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asinaTS\Downloads\"/>
    </mc:Choice>
  </mc:AlternateContent>
  <bookViews>
    <workbookView xWindow="0" yWindow="0" windowWidth="28800" windowHeight="12345" tabRatio="553" activeTab="3"/>
  </bookViews>
  <sheets>
    <sheet name="РПЗ" sheetId="1" r:id="rId1"/>
    <sheet name="РПЦЗ" sheetId="7" r:id="rId2"/>
    <sheet name="ПП" sheetId="4" r:id="rId3"/>
    <sheet name="Отчет РПЗ(ПЗ)_ПЗИП" sheetId="2" r:id="rId4"/>
    <sheet name="Отчет о ПП" sheetId="5" r:id="rId5"/>
    <sheet name="Коды заказчиков" sheetId="9" r:id="rId6"/>
    <sheet name="Справочно" sheetId="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0" hidden="1">РПЗ!$A$15:$AC$50</definedName>
    <definedName name="Currency">'[1]Курс валюты'!$A$1:$A$167</definedName>
    <definedName name="Данные">[1]регион!$A$1:$A$86</definedName>
    <definedName name="Диапазон1" localSheetId="5">[2]РПЗ!$A:$A</definedName>
    <definedName name="Диапазон1">РПЗ!$A:$A</definedName>
    <definedName name="Источник_112">Справочно!$K$3:$K$100</definedName>
    <definedName name="океи">'[3]код океи'!$B$2:$B$448</definedName>
  </definedNames>
  <calcPr calcId="162913"/>
</workbook>
</file>

<file path=xl/calcChain.xml><?xml version="1.0" encoding="utf-8"?>
<calcChain xmlns="http://schemas.openxmlformats.org/spreadsheetml/2006/main">
  <c r="B1" i="9" l="1"/>
  <c r="I110" i="5"/>
  <c r="I108" i="5"/>
  <c r="I107" i="5"/>
  <c r="C101" i="5"/>
  <c r="C100" i="5"/>
  <c r="C99" i="5"/>
  <c r="C98" i="5"/>
  <c r="C97" i="5"/>
  <c r="C96" i="5"/>
  <c r="C95" i="5"/>
  <c r="C94" i="5"/>
  <c r="I86" i="5"/>
  <c r="I85" i="5"/>
  <c r="I81" i="5"/>
  <c r="I80" i="5"/>
  <c r="B80" i="5"/>
  <c r="I79" i="5"/>
  <c r="B79" i="5"/>
  <c r="I78" i="5"/>
  <c r="B78" i="5"/>
  <c r="I77" i="5"/>
  <c r="B77" i="5"/>
  <c r="I76" i="5"/>
  <c r="B76" i="5"/>
  <c r="I75" i="5"/>
  <c r="B75" i="5"/>
  <c r="I74" i="5"/>
  <c r="B74" i="5"/>
  <c r="I73" i="5"/>
  <c r="B73" i="5"/>
  <c r="I72" i="5"/>
  <c r="B72" i="5"/>
  <c r="I71" i="5"/>
  <c r="B71" i="5"/>
  <c r="I70" i="5"/>
  <c r="B70" i="5"/>
  <c r="I69" i="5"/>
  <c r="B69" i="5"/>
  <c r="I68" i="5"/>
  <c r="B68" i="5"/>
  <c r="I67" i="5"/>
  <c r="B67" i="5"/>
  <c r="I66" i="5"/>
  <c r="B66" i="5"/>
  <c r="I65" i="5"/>
  <c r="B65" i="5"/>
  <c r="I64" i="5"/>
  <c r="B64" i="5"/>
  <c r="I63" i="5"/>
  <c r="B63" i="5"/>
  <c r="I62" i="5"/>
  <c r="B62" i="5"/>
  <c r="I61" i="5"/>
  <c r="B61" i="5"/>
  <c r="I60" i="5"/>
  <c r="B60" i="5"/>
  <c r="I59" i="5"/>
  <c r="B59" i="5"/>
  <c r="I58" i="5"/>
  <c r="B58" i="5"/>
  <c r="I57" i="5"/>
  <c r="B57" i="5"/>
  <c r="I56" i="5"/>
  <c r="B56" i="5"/>
  <c r="AE22" i="5"/>
  <c r="AD22" i="5"/>
  <c r="AC22" i="5"/>
  <c r="AB22" i="5"/>
  <c r="AE21" i="5"/>
  <c r="AD21" i="5"/>
  <c r="AC21" i="5"/>
  <c r="AB21" i="5"/>
  <c r="AE20" i="5"/>
  <c r="AD20" i="5"/>
  <c r="AC20" i="5"/>
  <c r="AB20" i="5"/>
  <c r="G17" i="5"/>
  <c r="D17" i="5"/>
  <c r="AC15" i="5"/>
  <c r="C11" i="5"/>
  <c r="C10" i="5"/>
  <c r="C9" i="5"/>
  <c r="C8" i="5"/>
  <c r="C7" i="5"/>
  <c r="C6" i="5"/>
  <c r="C5" i="5"/>
  <c r="AP1680" i="2"/>
  <c r="AO1680" i="2"/>
  <c r="AH1680" i="2"/>
  <c r="W1680" i="2"/>
  <c r="AI1680" i="2" s="1"/>
  <c r="U1680" i="2"/>
  <c r="M1680" i="2"/>
  <c r="N1680" i="2" s="1"/>
  <c r="AQ1680" i="2" s="1"/>
  <c r="K1680" i="2"/>
  <c r="J1680" i="2"/>
  <c r="I1680" i="2"/>
  <c r="H1680" i="2"/>
  <c r="G1680" i="2"/>
  <c r="F1680" i="2"/>
  <c r="D1680" i="2"/>
  <c r="C1680" i="2"/>
  <c r="B1680" i="2"/>
  <c r="A1680" i="2"/>
  <c r="AP1679" i="2"/>
  <c r="AO1679" i="2"/>
  <c r="AH1679" i="2"/>
  <c r="W1679" i="2"/>
  <c r="AI1679" i="2" s="1"/>
  <c r="U1679" i="2"/>
  <c r="M1679" i="2"/>
  <c r="N1679" i="2" s="1"/>
  <c r="AQ1679" i="2" s="1"/>
  <c r="K1679" i="2"/>
  <c r="J1679" i="2"/>
  <c r="I1679" i="2"/>
  <c r="H1679" i="2"/>
  <c r="G1679" i="2"/>
  <c r="F1679" i="2"/>
  <c r="D1679" i="2"/>
  <c r="C1679" i="2"/>
  <c r="B1679" i="2"/>
  <c r="A1679" i="2"/>
  <c r="AP1678" i="2"/>
  <c r="AO1678" i="2"/>
  <c r="AH1678" i="2"/>
  <c r="W1678" i="2"/>
  <c r="AI1678" i="2" s="1"/>
  <c r="U1678" i="2"/>
  <c r="N1678" i="2"/>
  <c r="AQ1678" i="2" s="1"/>
  <c r="M1678" i="2"/>
  <c r="K1678" i="2"/>
  <c r="J1678" i="2"/>
  <c r="I1678" i="2"/>
  <c r="H1678" i="2"/>
  <c r="F1678" i="2"/>
  <c r="G1678" i="2" s="1"/>
  <c r="D1678" i="2"/>
  <c r="C1678" i="2"/>
  <c r="B1678" i="2"/>
  <c r="A1678" i="2"/>
  <c r="AP1677" i="2"/>
  <c r="AO1677" i="2"/>
  <c r="AH1677" i="2"/>
  <c r="W1677" i="2"/>
  <c r="AI1677" i="2" s="1"/>
  <c r="U1677" i="2"/>
  <c r="M1677" i="2"/>
  <c r="N1677" i="2" s="1"/>
  <c r="AQ1677" i="2" s="1"/>
  <c r="K1677" i="2"/>
  <c r="J1677" i="2"/>
  <c r="I1677" i="2"/>
  <c r="H1677" i="2"/>
  <c r="F1677" i="2"/>
  <c r="G1677" i="2" s="1"/>
  <c r="D1677" i="2"/>
  <c r="C1677" i="2"/>
  <c r="B1677" i="2"/>
  <c r="A1677" i="2"/>
  <c r="AP1676" i="2"/>
  <c r="AO1676" i="2"/>
  <c r="AH1676" i="2"/>
  <c r="W1676" i="2"/>
  <c r="AI1676" i="2" s="1"/>
  <c r="U1676" i="2"/>
  <c r="M1676" i="2"/>
  <c r="N1676" i="2" s="1"/>
  <c r="AQ1676" i="2" s="1"/>
  <c r="K1676" i="2"/>
  <c r="J1676" i="2"/>
  <c r="I1676" i="2"/>
  <c r="H1676" i="2"/>
  <c r="G1676" i="2"/>
  <c r="F1676" i="2"/>
  <c r="D1676" i="2"/>
  <c r="C1676" i="2"/>
  <c r="B1676" i="2"/>
  <c r="A1676" i="2"/>
  <c r="AP1675" i="2"/>
  <c r="AO1675" i="2"/>
  <c r="AH1675" i="2"/>
  <c r="W1675" i="2"/>
  <c r="AI1675" i="2" s="1"/>
  <c r="U1675" i="2"/>
  <c r="M1675" i="2"/>
  <c r="N1675" i="2" s="1"/>
  <c r="AQ1675" i="2" s="1"/>
  <c r="K1675" i="2"/>
  <c r="J1675" i="2"/>
  <c r="I1675" i="2"/>
  <c r="H1675" i="2"/>
  <c r="G1675" i="2"/>
  <c r="F1675" i="2"/>
  <c r="D1675" i="2"/>
  <c r="C1675" i="2"/>
  <c r="B1675" i="2"/>
  <c r="A1675" i="2"/>
  <c r="AP1674" i="2"/>
  <c r="AO1674" i="2"/>
  <c r="AH1674" i="2"/>
  <c r="W1674" i="2"/>
  <c r="AI1674" i="2" s="1"/>
  <c r="U1674" i="2"/>
  <c r="N1674" i="2"/>
  <c r="AQ1674" i="2" s="1"/>
  <c r="M1674" i="2"/>
  <c r="K1674" i="2"/>
  <c r="J1674" i="2"/>
  <c r="I1674" i="2"/>
  <c r="H1674" i="2"/>
  <c r="F1674" i="2"/>
  <c r="G1674" i="2" s="1"/>
  <c r="D1674" i="2"/>
  <c r="C1674" i="2"/>
  <c r="B1674" i="2"/>
  <c r="A1674" i="2"/>
  <c r="AP1673" i="2"/>
  <c r="AO1673" i="2"/>
  <c r="AH1673" i="2"/>
  <c r="W1673" i="2"/>
  <c r="AI1673" i="2" s="1"/>
  <c r="U1673" i="2"/>
  <c r="M1673" i="2"/>
  <c r="N1673" i="2" s="1"/>
  <c r="AQ1673" i="2" s="1"/>
  <c r="K1673" i="2"/>
  <c r="J1673" i="2"/>
  <c r="I1673" i="2"/>
  <c r="H1673" i="2"/>
  <c r="F1673" i="2"/>
  <c r="G1673" i="2" s="1"/>
  <c r="D1673" i="2"/>
  <c r="C1673" i="2"/>
  <c r="B1673" i="2"/>
  <c r="A1673" i="2"/>
  <c r="AP1672" i="2"/>
  <c r="AO1672" i="2"/>
  <c r="AH1672" i="2"/>
  <c r="W1672" i="2"/>
  <c r="AI1672" i="2" s="1"/>
  <c r="U1672" i="2"/>
  <c r="M1672" i="2"/>
  <c r="N1672" i="2" s="1"/>
  <c r="AQ1672" i="2" s="1"/>
  <c r="K1672" i="2"/>
  <c r="J1672" i="2"/>
  <c r="I1672" i="2"/>
  <c r="H1672" i="2"/>
  <c r="G1672" i="2"/>
  <c r="F1672" i="2"/>
  <c r="D1672" i="2"/>
  <c r="C1672" i="2"/>
  <c r="B1672" i="2"/>
  <c r="A1672" i="2"/>
  <c r="AP1671" i="2"/>
  <c r="AO1671" i="2"/>
  <c r="AH1671" i="2"/>
  <c r="W1671" i="2"/>
  <c r="AI1671" i="2" s="1"/>
  <c r="U1671" i="2"/>
  <c r="M1671" i="2"/>
  <c r="N1671" i="2" s="1"/>
  <c r="AQ1671" i="2" s="1"/>
  <c r="K1671" i="2"/>
  <c r="J1671" i="2"/>
  <c r="I1671" i="2"/>
  <c r="H1671" i="2"/>
  <c r="G1671" i="2"/>
  <c r="F1671" i="2"/>
  <c r="D1671" i="2"/>
  <c r="C1671" i="2"/>
  <c r="B1671" i="2"/>
  <c r="A1671" i="2"/>
  <c r="AP1670" i="2"/>
  <c r="AO1670" i="2"/>
  <c r="AH1670" i="2"/>
  <c r="W1670" i="2"/>
  <c r="AI1670" i="2" s="1"/>
  <c r="U1670" i="2"/>
  <c r="N1670" i="2"/>
  <c r="AQ1670" i="2" s="1"/>
  <c r="M1670" i="2"/>
  <c r="K1670" i="2"/>
  <c r="J1670" i="2"/>
  <c r="I1670" i="2"/>
  <c r="H1670" i="2"/>
  <c r="F1670" i="2"/>
  <c r="G1670" i="2" s="1"/>
  <c r="D1670" i="2"/>
  <c r="C1670" i="2"/>
  <c r="B1670" i="2"/>
  <c r="A1670" i="2"/>
  <c r="AP1669" i="2"/>
  <c r="AO1669" i="2"/>
  <c r="AH1669" i="2"/>
  <c r="W1669" i="2"/>
  <c r="AI1669" i="2" s="1"/>
  <c r="U1669" i="2"/>
  <c r="M1669" i="2"/>
  <c r="N1669" i="2" s="1"/>
  <c r="AQ1669" i="2" s="1"/>
  <c r="K1669" i="2"/>
  <c r="J1669" i="2"/>
  <c r="I1669" i="2"/>
  <c r="H1669" i="2"/>
  <c r="F1669" i="2"/>
  <c r="G1669" i="2" s="1"/>
  <c r="D1669" i="2"/>
  <c r="C1669" i="2"/>
  <c r="B1669" i="2"/>
  <c r="A1669" i="2"/>
  <c r="AP1668" i="2"/>
  <c r="AO1668" i="2"/>
  <c r="AH1668" i="2"/>
  <c r="W1668" i="2"/>
  <c r="AI1668" i="2" s="1"/>
  <c r="U1668" i="2"/>
  <c r="M1668" i="2"/>
  <c r="N1668" i="2" s="1"/>
  <c r="AQ1668" i="2" s="1"/>
  <c r="K1668" i="2"/>
  <c r="J1668" i="2"/>
  <c r="I1668" i="2"/>
  <c r="H1668" i="2"/>
  <c r="F1668" i="2"/>
  <c r="G1668" i="2" s="1"/>
  <c r="D1668" i="2"/>
  <c r="C1668" i="2"/>
  <c r="B1668" i="2"/>
  <c r="A1668" i="2"/>
  <c r="AP1667" i="2"/>
  <c r="AO1667" i="2"/>
  <c r="AH1667" i="2"/>
  <c r="W1667" i="2"/>
  <c r="AI1667" i="2" s="1"/>
  <c r="U1667" i="2"/>
  <c r="M1667" i="2"/>
  <c r="N1667" i="2" s="1"/>
  <c r="AQ1667" i="2" s="1"/>
  <c r="K1667" i="2"/>
  <c r="J1667" i="2"/>
  <c r="I1667" i="2"/>
  <c r="H1667" i="2"/>
  <c r="F1667" i="2"/>
  <c r="G1667" i="2" s="1"/>
  <c r="D1667" i="2"/>
  <c r="C1667" i="2"/>
  <c r="B1667" i="2"/>
  <c r="A1667" i="2"/>
  <c r="AP1666" i="2"/>
  <c r="AO1666" i="2"/>
  <c r="AH1666" i="2"/>
  <c r="W1666" i="2"/>
  <c r="AI1666" i="2" s="1"/>
  <c r="U1666" i="2"/>
  <c r="M1666" i="2"/>
  <c r="N1666" i="2" s="1"/>
  <c r="AQ1666" i="2" s="1"/>
  <c r="K1666" i="2"/>
  <c r="J1666" i="2"/>
  <c r="I1666" i="2"/>
  <c r="H1666" i="2"/>
  <c r="F1666" i="2"/>
  <c r="G1666" i="2" s="1"/>
  <c r="D1666" i="2"/>
  <c r="C1666" i="2"/>
  <c r="B1666" i="2"/>
  <c r="A1666" i="2"/>
  <c r="AP1665" i="2"/>
  <c r="AO1665" i="2"/>
  <c r="AH1665" i="2"/>
  <c r="W1665" i="2"/>
  <c r="AI1665" i="2" s="1"/>
  <c r="U1665" i="2"/>
  <c r="M1665" i="2"/>
  <c r="N1665" i="2" s="1"/>
  <c r="AQ1665" i="2" s="1"/>
  <c r="K1665" i="2"/>
  <c r="J1665" i="2"/>
  <c r="I1665" i="2"/>
  <c r="H1665" i="2"/>
  <c r="F1665" i="2"/>
  <c r="G1665" i="2" s="1"/>
  <c r="D1665" i="2"/>
  <c r="C1665" i="2"/>
  <c r="B1665" i="2"/>
  <c r="A1665" i="2"/>
  <c r="AP1664" i="2"/>
  <c r="AO1664" i="2"/>
  <c r="AH1664" i="2"/>
  <c r="W1664" i="2"/>
  <c r="AI1664" i="2" s="1"/>
  <c r="U1664" i="2"/>
  <c r="M1664" i="2"/>
  <c r="N1664" i="2" s="1"/>
  <c r="AQ1664" i="2" s="1"/>
  <c r="K1664" i="2"/>
  <c r="J1664" i="2"/>
  <c r="I1664" i="2"/>
  <c r="H1664" i="2"/>
  <c r="G1664" i="2"/>
  <c r="F1664" i="2"/>
  <c r="D1664" i="2"/>
  <c r="C1664" i="2"/>
  <c r="B1664" i="2"/>
  <c r="A1664" i="2"/>
  <c r="AP1663" i="2"/>
  <c r="AO1663" i="2"/>
  <c r="AH1663" i="2"/>
  <c r="W1663" i="2"/>
  <c r="AI1663" i="2" s="1"/>
  <c r="U1663" i="2"/>
  <c r="M1663" i="2"/>
  <c r="N1663" i="2" s="1"/>
  <c r="AQ1663" i="2" s="1"/>
  <c r="K1663" i="2"/>
  <c r="J1663" i="2"/>
  <c r="I1663" i="2"/>
  <c r="H1663" i="2"/>
  <c r="G1663" i="2"/>
  <c r="F1663" i="2"/>
  <c r="D1663" i="2"/>
  <c r="C1663" i="2"/>
  <c r="B1663" i="2"/>
  <c r="A1663" i="2"/>
  <c r="AP1662" i="2"/>
  <c r="AO1662" i="2"/>
  <c r="AH1662" i="2"/>
  <c r="W1662" i="2"/>
  <c r="AI1662" i="2" s="1"/>
  <c r="U1662" i="2"/>
  <c r="N1662" i="2"/>
  <c r="AQ1662" i="2" s="1"/>
  <c r="M1662" i="2"/>
  <c r="K1662" i="2"/>
  <c r="J1662" i="2"/>
  <c r="I1662" i="2"/>
  <c r="H1662" i="2"/>
  <c r="F1662" i="2"/>
  <c r="G1662" i="2" s="1"/>
  <c r="D1662" i="2"/>
  <c r="C1662" i="2"/>
  <c r="B1662" i="2"/>
  <c r="A1662" i="2"/>
  <c r="AP1661" i="2"/>
  <c r="AO1661" i="2"/>
  <c r="AH1661" i="2"/>
  <c r="W1661" i="2"/>
  <c r="AI1661" i="2" s="1"/>
  <c r="U1661" i="2"/>
  <c r="M1661" i="2"/>
  <c r="N1661" i="2" s="1"/>
  <c r="AQ1661" i="2" s="1"/>
  <c r="K1661" i="2"/>
  <c r="J1661" i="2"/>
  <c r="I1661" i="2"/>
  <c r="H1661" i="2"/>
  <c r="F1661" i="2"/>
  <c r="G1661" i="2" s="1"/>
  <c r="D1661" i="2"/>
  <c r="C1661" i="2"/>
  <c r="B1661" i="2"/>
  <c r="A1661" i="2"/>
  <c r="AP1660" i="2"/>
  <c r="AO1660" i="2"/>
  <c r="AH1660" i="2"/>
  <c r="W1660" i="2"/>
  <c r="AI1660" i="2" s="1"/>
  <c r="U1660" i="2"/>
  <c r="M1660" i="2"/>
  <c r="N1660" i="2" s="1"/>
  <c r="AQ1660" i="2" s="1"/>
  <c r="K1660" i="2"/>
  <c r="J1660" i="2"/>
  <c r="I1660" i="2"/>
  <c r="H1660" i="2"/>
  <c r="G1660" i="2"/>
  <c r="F1660" i="2"/>
  <c r="D1660" i="2"/>
  <c r="C1660" i="2"/>
  <c r="B1660" i="2"/>
  <c r="A1660" i="2"/>
  <c r="AP1659" i="2"/>
  <c r="AO1659" i="2"/>
  <c r="AH1659" i="2"/>
  <c r="W1659" i="2"/>
  <c r="AI1659" i="2" s="1"/>
  <c r="U1659" i="2"/>
  <c r="M1659" i="2"/>
  <c r="N1659" i="2" s="1"/>
  <c r="AQ1659" i="2" s="1"/>
  <c r="K1659" i="2"/>
  <c r="J1659" i="2"/>
  <c r="I1659" i="2"/>
  <c r="H1659" i="2"/>
  <c r="G1659" i="2"/>
  <c r="F1659" i="2"/>
  <c r="D1659" i="2"/>
  <c r="C1659" i="2"/>
  <c r="B1659" i="2"/>
  <c r="A1659" i="2"/>
  <c r="AP1658" i="2"/>
  <c r="AO1658" i="2"/>
  <c r="AH1658" i="2"/>
  <c r="W1658" i="2"/>
  <c r="AI1658" i="2" s="1"/>
  <c r="U1658" i="2"/>
  <c r="N1658" i="2"/>
  <c r="AQ1658" i="2" s="1"/>
  <c r="M1658" i="2"/>
  <c r="K1658" i="2"/>
  <c r="J1658" i="2"/>
  <c r="I1658" i="2"/>
  <c r="H1658" i="2"/>
  <c r="F1658" i="2"/>
  <c r="G1658" i="2" s="1"/>
  <c r="D1658" i="2"/>
  <c r="C1658" i="2"/>
  <c r="B1658" i="2"/>
  <c r="A1658" i="2"/>
  <c r="AP1657" i="2"/>
  <c r="AO1657" i="2"/>
  <c r="AH1657" i="2"/>
  <c r="W1657" i="2"/>
  <c r="AI1657" i="2" s="1"/>
  <c r="U1657" i="2"/>
  <c r="M1657" i="2"/>
  <c r="N1657" i="2" s="1"/>
  <c r="AQ1657" i="2" s="1"/>
  <c r="K1657" i="2"/>
  <c r="J1657" i="2"/>
  <c r="I1657" i="2"/>
  <c r="H1657" i="2"/>
  <c r="F1657" i="2"/>
  <c r="G1657" i="2" s="1"/>
  <c r="D1657" i="2"/>
  <c r="C1657" i="2"/>
  <c r="B1657" i="2"/>
  <c r="A1657" i="2"/>
  <c r="AP1656" i="2"/>
  <c r="AO1656" i="2"/>
  <c r="AH1656" i="2"/>
  <c r="W1656" i="2"/>
  <c r="AI1656" i="2" s="1"/>
  <c r="U1656" i="2"/>
  <c r="M1656" i="2"/>
  <c r="N1656" i="2" s="1"/>
  <c r="AQ1656" i="2" s="1"/>
  <c r="K1656" i="2"/>
  <c r="J1656" i="2"/>
  <c r="I1656" i="2"/>
  <c r="H1656" i="2"/>
  <c r="G1656" i="2"/>
  <c r="F1656" i="2"/>
  <c r="D1656" i="2"/>
  <c r="C1656" i="2"/>
  <c r="B1656" i="2"/>
  <c r="A1656" i="2"/>
  <c r="AP1655" i="2"/>
  <c r="AO1655" i="2"/>
  <c r="AH1655" i="2"/>
  <c r="W1655" i="2"/>
  <c r="AI1655" i="2" s="1"/>
  <c r="U1655" i="2"/>
  <c r="M1655" i="2"/>
  <c r="N1655" i="2" s="1"/>
  <c r="AQ1655" i="2" s="1"/>
  <c r="K1655" i="2"/>
  <c r="J1655" i="2"/>
  <c r="I1655" i="2"/>
  <c r="H1655" i="2"/>
  <c r="G1655" i="2"/>
  <c r="F1655" i="2"/>
  <c r="D1655" i="2"/>
  <c r="C1655" i="2"/>
  <c r="B1655" i="2"/>
  <c r="A1655" i="2"/>
  <c r="AP1654" i="2"/>
  <c r="AO1654" i="2"/>
  <c r="AH1654" i="2"/>
  <c r="W1654" i="2"/>
  <c r="AI1654" i="2" s="1"/>
  <c r="U1654" i="2"/>
  <c r="N1654" i="2"/>
  <c r="AQ1654" i="2" s="1"/>
  <c r="M1654" i="2"/>
  <c r="K1654" i="2"/>
  <c r="J1654" i="2"/>
  <c r="I1654" i="2"/>
  <c r="H1654" i="2"/>
  <c r="F1654" i="2"/>
  <c r="G1654" i="2" s="1"/>
  <c r="D1654" i="2"/>
  <c r="C1654" i="2"/>
  <c r="B1654" i="2"/>
  <c r="A1654" i="2"/>
  <c r="AP1653" i="2"/>
  <c r="AO1653" i="2"/>
  <c r="AH1653" i="2"/>
  <c r="W1653" i="2"/>
  <c r="AI1653" i="2" s="1"/>
  <c r="U1653" i="2"/>
  <c r="M1653" i="2"/>
  <c r="N1653" i="2" s="1"/>
  <c r="AQ1653" i="2" s="1"/>
  <c r="K1653" i="2"/>
  <c r="J1653" i="2"/>
  <c r="I1653" i="2"/>
  <c r="H1653" i="2"/>
  <c r="F1653" i="2"/>
  <c r="G1653" i="2" s="1"/>
  <c r="D1653" i="2"/>
  <c r="C1653" i="2"/>
  <c r="B1653" i="2"/>
  <c r="A1653" i="2"/>
  <c r="AP1652" i="2"/>
  <c r="AO1652" i="2"/>
  <c r="AH1652" i="2"/>
  <c r="W1652" i="2"/>
  <c r="AI1652" i="2" s="1"/>
  <c r="U1652" i="2"/>
  <c r="M1652" i="2"/>
  <c r="N1652" i="2" s="1"/>
  <c r="AQ1652" i="2" s="1"/>
  <c r="K1652" i="2"/>
  <c r="J1652" i="2"/>
  <c r="I1652" i="2"/>
  <c r="H1652" i="2"/>
  <c r="F1652" i="2"/>
  <c r="G1652" i="2" s="1"/>
  <c r="D1652" i="2"/>
  <c r="C1652" i="2"/>
  <c r="B1652" i="2"/>
  <c r="A1652" i="2"/>
  <c r="AP1651" i="2"/>
  <c r="AO1651" i="2"/>
  <c r="AH1651" i="2"/>
  <c r="W1651" i="2"/>
  <c r="AI1651" i="2" s="1"/>
  <c r="U1651" i="2"/>
  <c r="M1651" i="2"/>
  <c r="N1651" i="2" s="1"/>
  <c r="AQ1651" i="2" s="1"/>
  <c r="K1651" i="2"/>
  <c r="J1651" i="2"/>
  <c r="I1651" i="2"/>
  <c r="H1651" i="2"/>
  <c r="F1651" i="2"/>
  <c r="G1651" i="2" s="1"/>
  <c r="D1651" i="2"/>
  <c r="C1651" i="2"/>
  <c r="B1651" i="2"/>
  <c r="A1651" i="2"/>
  <c r="AP1650" i="2"/>
  <c r="AO1650" i="2"/>
  <c r="AH1650" i="2"/>
  <c r="W1650" i="2"/>
  <c r="AI1650" i="2" s="1"/>
  <c r="U1650" i="2"/>
  <c r="M1650" i="2"/>
  <c r="N1650" i="2" s="1"/>
  <c r="AQ1650" i="2" s="1"/>
  <c r="K1650" i="2"/>
  <c r="J1650" i="2"/>
  <c r="I1650" i="2"/>
  <c r="H1650" i="2"/>
  <c r="F1650" i="2"/>
  <c r="G1650" i="2" s="1"/>
  <c r="D1650" i="2"/>
  <c r="C1650" i="2"/>
  <c r="B1650" i="2"/>
  <c r="A1650" i="2"/>
  <c r="AP1649" i="2"/>
  <c r="AO1649" i="2"/>
  <c r="AH1649" i="2"/>
  <c r="W1649" i="2"/>
  <c r="AI1649" i="2" s="1"/>
  <c r="U1649" i="2"/>
  <c r="M1649" i="2"/>
  <c r="N1649" i="2" s="1"/>
  <c r="AQ1649" i="2" s="1"/>
  <c r="K1649" i="2"/>
  <c r="J1649" i="2"/>
  <c r="I1649" i="2"/>
  <c r="H1649" i="2"/>
  <c r="F1649" i="2"/>
  <c r="G1649" i="2" s="1"/>
  <c r="D1649" i="2"/>
  <c r="C1649" i="2"/>
  <c r="B1649" i="2"/>
  <c r="A1649" i="2"/>
  <c r="AP1648" i="2"/>
  <c r="AO1648" i="2"/>
  <c r="AH1648" i="2"/>
  <c r="W1648" i="2"/>
  <c r="AI1648" i="2" s="1"/>
  <c r="U1648" i="2"/>
  <c r="M1648" i="2"/>
  <c r="N1648" i="2" s="1"/>
  <c r="AQ1648" i="2" s="1"/>
  <c r="K1648" i="2"/>
  <c r="J1648" i="2"/>
  <c r="I1648" i="2"/>
  <c r="H1648" i="2"/>
  <c r="G1648" i="2"/>
  <c r="F1648" i="2"/>
  <c r="D1648" i="2"/>
  <c r="C1648" i="2"/>
  <c r="B1648" i="2"/>
  <c r="A1648" i="2"/>
  <c r="AP1647" i="2"/>
  <c r="AO1647" i="2"/>
  <c r="AH1647" i="2"/>
  <c r="W1647" i="2"/>
  <c r="AI1647" i="2" s="1"/>
  <c r="U1647" i="2"/>
  <c r="M1647" i="2"/>
  <c r="N1647" i="2" s="1"/>
  <c r="AQ1647" i="2" s="1"/>
  <c r="K1647" i="2"/>
  <c r="J1647" i="2"/>
  <c r="I1647" i="2"/>
  <c r="H1647" i="2"/>
  <c r="G1647" i="2"/>
  <c r="F1647" i="2"/>
  <c r="D1647" i="2"/>
  <c r="C1647" i="2"/>
  <c r="B1647" i="2"/>
  <c r="A1647" i="2"/>
  <c r="AP1646" i="2"/>
  <c r="AO1646" i="2"/>
  <c r="AH1646" i="2"/>
  <c r="W1646" i="2"/>
  <c r="AI1646" i="2" s="1"/>
  <c r="U1646" i="2"/>
  <c r="N1646" i="2"/>
  <c r="AQ1646" i="2" s="1"/>
  <c r="M1646" i="2"/>
  <c r="K1646" i="2"/>
  <c r="J1646" i="2"/>
  <c r="I1646" i="2"/>
  <c r="H1646" i="2"/>
  <c r="F1646" i="2"/>
  <c r="G1646" i="2" s="1"/>
  <c r="D1646" i="2"/>
  <c r="C1646" i="2"/>
  <c r="B1646" i="2"/>
  <c r="A1646" i="2"/>
  <c r="AP1645" i="2"/>
  <c r="AO1645" i="2"/>
  <c r="AH1645" i="2"/>
  <c r="W1645" i="2"/>
  <c r="AI1645" i="2" s="1"/>
  <c r="U1645" i="2"/>
  <c r="M1645" i="2"/>
  <c r="N1645" i="2" s="1"/>
  <c r="AQ1645" i="2" s="1"/>
  <c r="K1645" i="2"/>
  <c r="J1645" i="2"/>
  <c r="I1645" i="2"/>
  <c r="H1645" i="2"/>
  <c r="F1645" i="2"/>
  <c r="G1645" i="2" s="1"/>
  <c r="D1645" i="2"/>
  <c r="C1645" i="2"/>
  <c r="B1645" i="2"/>
  <c r="A1645" i="2"/>
  <c r="AP1644" i="2"/>
  <c r="AO1644" i="2"/>
  <c r="AH1644" i="2"/>
  <c r="W1644" i="2"/>
  <c r="AI1644" i="2" s="1"/>
  <c r="U1644" i="2"/>
  <c r="M1644" i="2"/>
  <c r="N1644" i="2" s="1"/>
  <c r="AQ1644" i="2" s="1"/>
  <c r="K1644" i="2"/>
  <c r="J1644" i="2"/>
  <c r="I1644" i="2"/>
  <c r="H1644" i="2"/>
  <c r="G1644" i="2"/>
  <c r="F1644" i="2"/>
  <c r="D1644" i="2"/>
  <c r="C1644" i="2"/>
  <c r="B1644" i="2"/>
  <c r="A1644" i="2"/>
  <c r="AP1643" i="2"/>
  <c r="AO1643" i="2"/>
  <c r="AH1643" i="2"/>
  <c r="W1643" i="2"/>
  <c r="AI1643" i="2" s="1"/>
  <c r="U1643" i="2"/>
  <c r="M1643" i="2"/>
  <c r="N1643" i="2" s="1"/>
  <c r="AQ1643" i="2" s="1"/>
  <c r="K1643" i="2"/>
  <c r="J1643" i="2"/>
  <c r="I1643" i="2"/>
  <c r="H1643" i="2"/>
  <c r="G1643" i="2"/>
  <c r="F1643" i="2"/>
  <c r="D1643" i="2"/>
  <c r="C1643" i="2"/>
  <c r="B1643" i="2"/>
  <c r="A1643" i="2"/>
  <c r="AP1642" i="2"/>
  <c r="AO1642" i="2"/>
  <c r="AH1642" i="2"/>
  <c r="W1642" i="2"/>
  <c r="AI1642" i="2" s="1"/>
  <c r="U1642" i="2"/>
  <c r="N1642" i="2"/>
  <c r="AQ1642" i="2" s="1"/>
  <c r="M1642" i="2"/>
  <c r="K1642" i="2"/>
  <c r="J1642" i="2"/>
  <c r="I1642" i="2"/>
  <c r="H1642" i="2"/>
  <c r="F1642" i="2"/>
  <c r="G1642" i="2" s="1"/>
  <c r="D1642" i="2"/>
  <c r="C1642" i="2"/>
  <c r="B1642" i="2"/>
  <c r="A1642" i="2"/>
  <c r="AP1641" i="2"/>
  <c r="AO1641" i="2"/>
  <c r="AH1641" i="2"/>
  <c r="W1641" i="2"/>
  <c r="AI1641" i="2" s="1"/>
  <c r="U1641" i="2"/>
  <c r="M1641" i="2"/>
  <c r="N1641" i="2" s="1"/>
  <c r="AQ1641" i="2" s="1"/>
  <c r="K1641" i="2"/>
  <c r="J1641" i="2"/>
  <c r="I1641" i="2"/>
  <c r="H1641" i="2"/>
  <c r="F1641" i="2"/>
  <c r="G1641" i="2" s="1"/>
  <c r="D1641" i="2"/>
  <c r="C1641" i="2"/>
  <c r="B1641" i="2"/>
  <c r="A1641" i="2"/>
  <c r="AP1640" i="2"/>
  <c r="AO1640" i="2"/>
  <c r="AH1640" i="2"/>
  <c r="W1640" i="2"/>
  <c r="AI1640" i="2" s="1"/>
  <c r="U1640" i="2"/>
  <c r="M1640" i="2"/>
  <c r="N1640" i="2" s="1"/>
  <c r="AQ1640" i="2" s="1"/>
  <c r="K1640" i="2"/>
  <c r="J1640" i="2"/>
  <c r="I1640" i="2"/>
  <c r="H1640" i="2"/>
  <c r="G1640" i="2"/>
  <c r="F1640" i="2"/>
  <c r="D1640" i="2"/>
  <c r="C1640" i="2"/>
  <c r="B1640" i="2"/>
  <c r="A1640" i="2"/>
  <c r="AP1639" i="2"/>
  <c r="AO1639" i="2"/>
  <c r="AH1639" i="2"/>
  <c r="W1639" i="2"/>
  <c r="AI1639" i="2" s="1"/>
  <c r="U1639" i="2"/>
  <c r="M1639" i="2"/>
  <c r="N1639" i="2" s="1"/>
  <c r="AQ1639" i="2" s="1"/>
  <c r="K1639" i="2"/>
  <c r="J1639" i="2"/>
  <c r="I1639" i="2"/>
  <c r="H1639" i="2"/>
  <c r="G1639" i="2"/>
  <c r="F1639" i="2"/>
  <c r="D1639" i="2"/>
  <c r="C1639" i="2"/>
  <c r="B1639" i="2"/>
  <c r="A1639" i="2"/>
  <c r="AP1638" i="2"/>
  <c r="AO1638" i="2"/>
  <c r="AH1638" i="2"/>
  <c r="W1638" i="2"/>
  <c r="AI1638" i="2" s="1"/>
  <c r="U1638" i="2"/>
  <c r="N1638" i="2"/>
  <c r="AQ1638" i="2" s="1"/>
  <c r="M1638" i="2"/>
  <c r="K1638" i="2"/>
  <c r="J1638" i="2"/>
  <c r="I1638" i="2"/>
  <c r="H1638" i="2"/>
  <c r="F1638" i="2"/>
  <c r="G1638" i="2" s="1"/>
  <c r="D1638" i="2"/>
  <c r="C1638" i="2"/>
  <c r="B1638" i="2"/>
  <c r="A1638" i="2"/>
  <c r="AP1637" i="2"/>
  <c r="AO1637" i="2"/>
  <c r="AH1637" i="2"/>
  <c r="W1637" i="2"/>
  <c r="AI1637" i="2" s="1"/>
  <c r="U1637" i="2"/>
  <c r="M1637" i="2"/>
  <c r="N1637" i="2" s="1"/>
  <c r="AQ1637" i="2" s="1"/>
  <c r="K1637" i="2"/>
  <c r="J1637" i="2"/>
  <c r="I1637" i="2"/>
  <c r="H1637" i="2"/>
  <c r="F1637" i="2"/>
  <c r="G1637" i="2" s="1"/>
  <c r="D1637" i="2"/>
  <c r="C1637" i="2"/>
  <c r="B1637" i="2"/>
  <c r="A1637" i="2"/>
  <c r="AP1636" i="2"/>
  <c r="AO1636" i="2"/>
  <c r="AH1636" i="2"/>
  <c r="W1636" i="2"/>
  <c r="AI1636" i="2" s="1"/>
  <c r="U1636" i="2"/>
  <c r="M1636" i="2"/>
  <c r="N1636" i="2" s="1"/>
  <c r="AQ1636" i="2" s="1"/>
  <c r="K1636" i="2"/>
  <c r="J1636" i="2"/>
  <c r="I1636" i="2"/>
  <c r="H1636" i="2"/>
  <c r="F1636" i="2"/>
  <c r="G1636" i="2" s="1"/>
  <c r="D1636" i="2"/>
  <c r="C1636" i="2"/>
  <c r="B1636" i="2"/>
  <c r="A1636" i="2"/>
  <c r="AP1635" i="2"/>
  <c r="AO1635" i="2"/>
  <c r="AH1635" i="2"/>
  <c r="W1635" i="2"/>
  <c r="AI1635" i="2" s="1"/>
  <c r="U1635" i="2"/>
  <c r="M1635" i="2"/>
  <c r="N1635" i="2" s="1"/>
  <c r="AQ1635" i="2" s="1"/>
  <c r="K1635" i="2"/>
  <c r="J1635" i="2"/>
  <c r="I1635" i="2"/>
  <c r="H1635" i="2"/>
  <c r="F1635" i="2"/>
  <c r="G1635" i="2" s="1"/>
  <c r="D1635" i="2"/>
  <c r="C1635" i="2"/>
  <c r="B1635" i="2"/>
  <c r="A1635" i="2"/>
  <c r="AP1634" i="2"/>
  <c r="AO1634" i="2"/>
  <c r="AH1634" i="2"/>
  <c r="W1634" i="2"/>
  <c r="AI1634" i="2" s="1"/>
  <c r="U1634" i="2"/>
  <c r="M1634" i="2"/>
  <c r="N1634" i="2" s="1"/>
  <c r="AQ1634" i="2" s="1"/>
  <c r="K1634" i="2"/>
  <c r="J1634" i="2"/>
  <c r="I1634" i="2"/>
  <c r="H1634" i="2"/>
  <c r="F1634" i="2"/>
  <c r="G1634" i="2" s="1"/>
  <c r="D1634" i="2"/>
  <c r="C1634" i="2"/>
  <c r="B1634" i="2"/>
  <c r="A1634" i="2"/>
  <c r="AP1633" i="2"/>
  <c r="AO1633" i="2"/>
  <c r="AH1633" i="2"/>
  <c r="W1633" i="2"/>
  <c r="AI1633" i="2" s="1"/>
  <c r="U1633" i="2"/>
  <c r="M1633" i="2"/>
  <c r="N1633" i="2" s="1"/>
  <c r="AQ1633" i="2" s="1"/>
  <c r="K1633" i="2"/>
  <c r="J1633" i="2"/>
  <c r="I1633" i="2"/>
  <c r="H1633" i="2"/>
  <c r="F1633" i="2"/>
  <c r="G1633" i="2" s="1"/>
  <c r="D1633" i="2"/>
  <c r="C1633" i="2"/>
  <c r="B1633" i="2"/>
  <c r="A1633" i="2"/>
  <c r="AP1632" i="2"/>
  <c r="AO1632" i="2"/>
  <c r="AH1632" i="2"/>
  <c r="W1632" i="2"/>
  <c r="AI1632" i="2" s="1"/>
  <c r="U1632" i="2"/>
  <c r="M1632" i="2"/>
  <c r="N1632" i="2" s="1"/>
  <c r="AQ1632" i="2" s="1"/>
  <c r="K1632" i="2"/>
  <c r="J1632" i="2"/>
  <c r="I1632" i="2"/>
  <c r="H1632" i="2"/>
  <c r="G1632" i="2"/>
  <c r="F1632" i="2"/>
  <c r="D1632" i="2"/>
  <c r="C1632" i="2"/>
  <c r="B1632" i="2"/>
  <c r="A1632" i="2"/>
  <c r="AP1631" i="2"/>
  <c r="AO1631" i="2"/>
  <c r="AH1631" i="2"/>
  <c r="W1631" i="2"/>
  <c r="AI1631" i="2" s="1"/>
  <c r="U1631" i="2"/>
  <c r="M1631" i="2"/>
  <c r="N1631" i="2" s="1"/>
  <c r="AQ1631" i="2" s="1"/>
  <c r="K1631" i="2"/>
  <c r="J1631" i="2"/>
  <c r="I1631" i="2"/>
  <c r="H1631" i="2"/>
  <c r="G1631" i="2"/>
  <c r="F1631" i="2"/>
  <c r="D1631" i="2"/>
  <c r="C1631" i="2"/>
  <c r="B1631" i="2"/>
  <c r="A1631" i="2"/>
  <c r="AP1630" i="2"/>
  <c r="AO1630" i="2"/>
  <c r="AH1630" i="2"/>
  <c r="W1630" i="2"/>
  <c r="AI1630" i="2" s="1"/>
  <c r="U1630" i="2"/>
  <c r="N1630" i="2"/>
  <c r="AQ1630" i="2" s="1"/>
  <c r="M1630" i="2"/>
  <c r="K1630" i="2"/>
  <c r="J1630" i="2"/>
  <c r="I1630" i="2"/>
  <c r="H1630" i="2"/>
  <c r="F1630" i="2"/>
  <c r="G1630" i="2" s="1"/>
  <c r="D1630" i="2"/>
  <c r="C1630" i="2"/>
  <c r="B1630" i="2"/>
  <c r="A1630" i="2"/>
  <c r="AP1629" i="2"/>
  <c r="AO1629" i="2"/>
  <c r="AH1629" i="2"/>
  <c r="W1629" i="2"/>
  <c r="AI1629" i="2" s="1"/>
  <c r="U1629" i="2"/>
  <c r="M1629" i="2"/>
  <c r="N1629" i="2" s="1"/>
  <c r="AQ1629" i="2" s="1"/>
  <c r="K1629" i="2"/>
  <c r="J1629" i="2"/>
  <c r="I1629" i="2"/>
  <c r="H1629" i="2"/>
  <c r="F1629" i="2"/>
  <c r="G1629" i="2" s="1"/>
  <c r="D1629" i="2"/>
  <c r="C1629" i="2"/>
  <c r="B1629" i="2"/>
  <c r="A1629" i="2"/>
  <c r="AP1628" i="2"/>
  <c r="AO1628" i="2"/>
  <c r="AH1628" i="2"/>
  <c r="W1628" i="2"/>
  <c r="AI1628" i="2" s="1"/>
  <c r="U1628" i="2"/>
  <c r="M1628" i="2"/>
  <c r="N1628" i="2" s="1"/>
  <c r="AQ1628" i="2" s="1"/>
  <c r="K1628" i="2"/>
  <c r="J1628" i="2"/>
  <c r="I1628" i="2"/>
  <c r="H1628" i="2"/>
  <c r="G1628" i="2"/>
  <c r="F1628" i="2"/>
  <c r="D1628" i="2"/>
  <c r="C1628" i="2"/>
  <c r="B1628" i="2"/>
  <c r="A1628" i="2"/>
  <c r="AP1627" i="2"/>
  <c r="AO1627" i="2"/>
  <c r="AH1627" i="2"/>
  <c r="W1627" i="2"/>
  <c r="AI1627" i="2" s="1"/>
  <c r="U1627" i="2"/>
  <c r="M1627" i="2"/>
  <c r="N1627" i="2" s="1"/>
  <c r="AQ1627" i="2" s="1"/>
  <c r="K1627" i="2"/>
  <c r="J1627" i="2"/>
  <c r="I1627" i="2"/>
  <c r="H1627" i="2"/>
  <c r="G1627" i="2"/>
  <c r="F1627" i="2"/>
  <c r="D1627" i="2"/>
  <c r="C1627" i="2"/>
  <c r="B1627" i="2"/>
  <c r="A1627" i="2"/>
  <c r="AP1626" i="2"/>
  <c r="AO1626" i="2"/>
  <c r="AH1626" i="2"/>
  <c r="W1626" i="2"/>
  <c r="AI1626" i="2" s="1"/>
  <c r="U1626" i="2"/>
  <c r="N1626" i="2"/>
  <c r="AQ1626" i="2" s="1"/>
  <c r="M1626" i="2"/>
  <c r="K1626" i="2"/>
  <c r="J1626" i="2"/>
  <c r="I1626" i="2"/>
  <c r="H1626" i="2"/>
  <c r="F1626" i="2"/>
  <c r="G1626" i="2" s="1"/>
  <c r="D1626" i="2"/>
  <c r="C1626" i="2"/>
  <c r="B1626" i="2"/>
  <c r="A1626" i="2"/>
  <c r="AP1625" i="2"/>
  <c r="AO1625" i="2"/>
  <c r="AH1625" i="2"/>
  <c r="W1625" i="2"/>
  <c r="AI1625" i="2" s="1"/>
  <c r="U1625" i="2"/>
  <c r="M1625" i="2"/>
  <c r="N1625" i="2" s="1"/>
  <c r="AQ1625" i="2" s="1"/>
  <c r="K1625" i="2"/>
  <c r="J1625" i="2"/>
  <c r="I1625" i="2"/>
  <c r="H1625" i="2"/>
  <c r="F1625" i="2"/>
  <c r="G1625" i="2" s="1"/>
  <c r="D1625" i="2"/>
  <c r="C1625" i="2"/>
  <c r="B1625" i="2"/>
  <c r="A1625" i="2"/>
  <c r="AP1624" i="2"/>
  <c r="AO1624" i="2"/>
  <c r="AH1624" i="2"/>
  <c r="W1624" i="2"/>
  <c r="AI1624" i="2" s="1"/>
  <c r="U1624" i="2"/>
  <c r="M1624" i="2"/>
  <c r="N1624" i="2" s="1"/>
  <c r="AQ1624" i="2" s="1"/>
  <c r="K1624" i="2"/>
  <c r="J1624" i="2"/>
  <c r="I1624" i="2"/>
  <c r="H1624" i="2"/>
  <c r="G1624" i="2"/>
  <c r="F1624" i="2"/>
  <c r="D1624" i="2"/>
  <c r="C1624" i="2"/>
  <c r="B1624" i="2"/>
  <c r="A1624" i="2"/>
  <c r="AP1623" i="2"/>
  <c r="AO1623" i="2"/>
  <c r="AH1623" i="2"/>
  <c r="W1623" i="2"/>
  <c r="AI1623" i="2" s="1"/>
  <c r="U1623" i="2"/>
  <c r="M1623" i="2"/>
  <c r="N1623" i="2" s="1"/>
  <c r="AQ1623" i="2" s="1"/>
  <c r="K1623" i="2"/>
  <c r="J1623" i="2"/>
  <c r="I1623" i="2"/>
  <c r="H1623" i="2"/>
  <c r="G1623" i="2"/>
  <c r="F1623" i="2"/>
  <c r="D1623" i="2"/>
  <c r="C1623" i="2"/>
  <c r="B1623" i="2"/>
  <c r="A1623" i="2"/>
  <c r="AP1622" i="2"/>
  <c r="AO1622" i="2"/>
  <c r="AH1622" i="2"/>
  <c r="W1622" i="2"/>
  <c r="AI1622" i="2" s="1"/>
  <c r="U1622" i="2"/>
  <c r="N1622" i="2"/>
  <c r="AQ1622" i="2" s="1"/>
  <c r="M1622" i="2"/>
  <c r="K1622" i="2"/>
  <c r="J1622" i="2"/>
  <c r="I1622" i="2"/>
  <c r="H1622" i="2"/>
  <c r="F1622" i="2"/>
  <c r="G1622" i="2" s="1"/>
  <c r="D1622" i="2"/>
  <c r="C1622" i="2"/>
  <c r="B1622" i="2"/>
  <c r="A1622" i="2"/>
  <c r="AP1621" i="2"/>
  <c r="AO1621" i="2"/>
  <c r="AH1621" i="2"/>
  <c r="W1621" i="2"/>
  <c r="AI1621" i="2" s="1"/>
  <c r="U1621" i="2"/>
  <c r="M1621" i="2"/>
  <c r="N1621" i="2" s="1"/>
  <c r="AQ1621" i="2" s="1"/>
  <c r="K1621" i="2"/>
  <c r="J1621" i="2"/>
  <c r="I1621" i="2"/>
  <c r="H1621" i="2"/>
  <c r="F1621" i="2"/>
  <c r="G1621" i="2" s="1"/>
  <c r="D1621" i="2"/>
  <c r="C1621" i="2"/>
  <c r="B1621" i="2"/>
  <c r="A1621" i="2"/>
  <c r="AP1620" i="2"/>
  <c r="AO1620" i="2"/>
  <c r="AH1620" i="2"/>
  <c r="W1620" i="2"/>
  <c r="AI1620" i="2" s="1"/>
  <c r="U1620" i="2"/>
  <c r="M1620" i="2"/>
  <c r="N1620" i="2" s="1"/>
  <c r="AQ1620" i="2" s="1"/>
  <c r="K1620" i="2"/>
  <c r="J1620" i="2"/>
  <c r="I1620" i="2"/>
  <c r="H1620" i="2"/>
  <c r="G1620" i="2"/>
  <c r="F1620" i="2"/>
  <c r="D1620" i="2"/>
  <c r="C1620" i="2"/>
  <c r="B1620" i="2"/>
  <c r="A1620" i="2"/>
  <c r="AP1619" i="2"/>
  <c r="AO1619" i="2"/>
  <c r="AH1619" i="2"/>
  <c r="W1619" i="2"/>
  <c r="AI1619" i="2" s="1"/>
  <c r="U1619" i="2"/>
  <c r="M1619" i="2"/>
  <c r="N1619" i="2" s="1"/>
  <c r="AQ1619" i="2" s="1"/>
  <c r="K1619" i="2"/>
  <c r="J1619" i="2"/>
  <c r="I1619" i="2"/>
  <c r="H1619" i="2"/>
  <c r="G1619" i="2"/>
  <c r="F1619" i="2"/>
  <c r="D1619" i="2"/>
  <c r="C1619" i="2"/>
  <c r="B1619" i="2"/>
  <c r="A1619" i="2"/>
  <c r="AP1618" i="2"/>
  <c r="AO1618" i="2"/>
  <c r="AH1618" i="2"/>
  <c r="W1618" i="2"/>
  <c r="AI1618" i="2" s="1"/>
  <c r="U1618" i="2"/>
  <c r="N1618" i="2"/>
  <c r="AQ1618" i="2" s="1"/>
  <c r="M1618" i="2"/>
  <c r="K1618" i="2"/>
  <c r="J1618" i="2"/>
  <c r="I1618" i="2"/>
  <c r="H1618" i="2"/>
  <c r="F1618" i="2"/>
  <c r="G1618" i="2" s="1"/>
  <c r="D1618" i="2"/>
  <c r="C1618" i="2"/>
  <c r="B1618" i="2"/>
  <c r="A1618" i="2"/>
  <c r="AP1617" i="2"/>
  <c r="AO1617" i="2"/>
  <c r="AH1617" i="2"/>
  <c r="W1617" i="2"/>
  <c r="AI1617" i="2" s="1"/>
  <c r="U1617" i="2"/>
  <c r="M1617" i="2"/>
  <c r="N1617" i="2" s="1"/>
  <c r="AQ1617" i="2" s="1"/>
  <c r="K1617" i="2"/>
  <c r="J1617" i="2"/>
  <c r="I1617" i="2"/>
  <c r="H1617" i="2"/>
  <c r="F1617" i="2"/>
  <c r="G1617" i="2" s="1"/>
  <c r="D1617" i="2"/>
  <c r="C1617" i="2"/>
  <c r="B1617" i="2"/>
  <c r="A1617" i="2"/>
  <c r="AP1616" i="2"/>
  <c r="AO1616" i="2"/>
  <c r="AH1616" i="2"/>
  <c r="W1616" i="2"/>
  <c r="AI1616" i="2" s="1"/>
  <c r="U1616" i="2"/>
  <c r="M1616" i="2"/>
  <c r="N1616" i="2" s="1"/>
  <c r="AQ1616" i="2" s="1"/>
  <c r="K1616" i="2"/>
  <c r="J1616" i="2"/>
  <c r="I1616" i="2"/>
  <c r="H1616" i="2"/>
  <c r="F1616" i="2"/>
  <c r="G1616" i="2" s="1"/>
  <c r="D1616" i="2"/>
  <c r="C1616" i="2"/>
  <c r="B1616" i="2"/>
  <c r="A1616" i="2"/>
  <c r="AP1615" i="2"/>
  <c r="AO1615" i="2"/>
  <c r="AH1615" i="2"/>
  <c r="W1615" i="2"/>
  <c r="AI1615" i="2" s="1"/>
  <c r="U1615" i="2"/>
  <c r="M1615" i="2"/>
  <c r="N1615" i="2" s="1"/>
  <c r="AQ1615" i="2" s="1"/>
  <c r="K1615" i="2"/>
  <c r="J1615" i="2"/>
  <c r="I1615" i="2"/>
  <c r="H1615" i="2"/>
  <c r="F1615" i="2"/>
  <c r="G1615" i="2" s="1"/>
  <c r="D1615" i="2"/>
  <c r="C1615" i="2"/>
  <c r="B1615" i="2"/>
  <c r="A1615" i="2"/>
  <c r="AP1614" i="2"/>
  <c r="AO1614" i="2"/>
  <c r="AH1614" i="2"/>
  <c r="W1614" i="2"/>
  <c r="AI1614" i="2" s="1"/>
  <c r="U1614" i="2"/>
  <c r="M1614" i="2"/>
  <c r="N1614" i="2" s="1"/>
  <c r="AQ1614" i="2" s="1"/>
  <c r="K1614" i="2"/>
  <c r="J1614" i="2"/>
  <c r="I1614" i="2"/>
  <c r="H1614" i="2"/>
  <c r="F1614" i="2"/>
  <c r="G1614" i="2" s="1"/>
  <c r="D1614" i="2"/>
  <c r="C1614" i="2"/>
  <c r="B1614" i="2"/>
  <c r="A1614" i="2"/>
  <c r="AP1613" i="2"/>
  <c r="AO1613" i="2"/>
  <c r="AH1613" i="2"/>
  <c r="W1613" i="2"/>
  <c r="AI1613" i="2" s="1"/>
  <c r="U1613" i="2"/>
  <c r="N1613" i="2"/>
  <c r="AQ1613" i="2" s="1"/>
  <c r="M1613" i="2"/>
  <c r="K1613" i="2"/>
  <c r="J1613" i="2"/>
  <c r="I1613" i="2"/>
  <c r="H1613" i="2"/>
  <c r="F1613" i="2"/>
  <c r="G1613" i="2" s="1"/>
  <c r="D1613" i="2"/>
  <c r="C1613" i="2"/>
  <c r="B1613" i="2"/>
  <c r="A1613" i="2"/>
  <c r="AP1612" i="2"/>
  <c r="AO1612" i="2"/>
  <c r="AH1612" i="2"/>
  <c r="W1612" i="2"/>
  <c r="AI1612" i="2" s="1"/>
  <c r="U1612" i="2"/>
  <c r="M1612" i="2"/>
  <c r="N1612" i="2" s="1"/>
  <c r="AQ1612" i="2" s="1"/>
  <c r="K1612" i="2"/>
  <c r="J1612" i="2"/>
  <c r="I1612" i="2"/>
  <c r="H1612" i="2"/>
  <c r="F1612" i="2"/>
  <c r="G1612" i="2" s="1"/>
  <c r="D1612" i="2"/>
  <c r="C1612" i="2"/>
  <c r="B1612" i="2"/>
  <c r="A1612" i="2"/>
  <c r="AP1611" i="2"/>
  <c r="AO1611" i="2"/>
  <c r="AH1611" i="2"/>
  <c r="W1611" i="2"/>
  <c r="AI1611" i="2" s="1"/>
  <c r="U1611" i="2"/>
  <c r="M1611" i="2"/>
  <c r="N1611" i="2" s="1"/>
  <c r="AQ1611" i="2" s="1"/>
  <c r="K1611" i="2"/>
  <c r="J1611" i="2"/>
  <c r="I1611" i="2"/>
  <c r="H1611" i="2"/>
  <c r="F1611" i="2"/>
  <c r="G1611" i="2" s="1"/>
  <c r="D1611" i="2"/>
  <c r="C1611" i="2"/>
  <c r="B1611" i="2"/>
  <c r="A1611" i="2"/>
  <c r="AP1610" i="2"/>
  <c r="AO1610" i="2"/>
  <c r="AH1610" i="2"/>
  <c r="W1610" i="2"/>
  <c r="AI1610" i="2" s="1"/>
  <c r="U1610" i="2"/>
  <c r="M1610" i="2"/>
  <c r="N1610" i="2" s="1"/>
  <c r="AQ1610" i="2" s="1"/>
  <c r="K1610" i="2"/>
  <c r="J1610" i="2"/>
  <c r="I1610" i="2"/>
  <c r="H1610" i="2"/>
  <c r="F1610" i="2"/>
  <c r="G1610" i="2" s="1"/>
  <c r="D1610" i="2"/>
  <c r="C1610" i="2"/>
  <c r="B1610" i="2"/>
  <c r="A1610" i="2"/>
  <c r="AP1609" i="2"/>
  <c r="AO1609" i="2"/>
  <c r="AH1609" i="2"/>
  <c r="W1609" i="2"/>
  <c r="AI1609" i="2" s="1"/>
  <c r="U1609" i="2"/>
  <c r="N1609" i="2"/>
  <c r="AQ1609" i="2" s="1"/>
  <c r="M1609" i="2"/>
  <c r="K1609" i="2"/>
  <c r="J1609" i="2"/>
  <c r="I1609" i="2"/>
  <c r="H1609" i="2"/>
  <c r="F1609" i="2"/>
  <c r="G1609" i="2" s="1"/>
  <c r="D1609" i="2"/>
  <c r="C1609" i="2"/>
  <c r="B1609" i="2"/>
  <c r="A1609" i="2"/>
  <c r="AP1608" i="2"/>
  <c r="AO1608" i="2"/>
  <c r="AH1608" i="2"/>
  <c r="W1608" i="2"/>
  <c r="AI1608" i="2" s="1"/>
  <c r="U1608" i="2"/>
  <c r="M1608" i="2"/>
  <c r="N1608" i="2" s="1"/>
  <c r="AQ1608" i="2" s="1"/>
  <c r="K1608" i="2"/>
  <c r="J1608" i="2"/>
  <c r="I1608" i="2"/>
  <c r="H1608" i="2"/>
  <c r="F1608" i="2"/>
  <c r="G1608" i="2" s="1"/>
  <c r="D1608" i="2"/>
  <c r="C1608" i="2"/>
  <c r="B1608" i="2"/>
  <c r="A1608" i="2"/>
  <c r="AP1607" i="2"/>
  <c r="AO1607" i="2"/>
  <c r="AH1607" i="2"/>
  <c r="W1607" i="2"/>
  <c r="AI1607" i="2" s="1"/>
  <c r="U1607" i="2"/>
  <c r="M1607" i="2"/>
  <c r="N1607" i="2" s="1"/>
  <c r="AQ1607" i="2" s="1"/>
  <c r="K1607" i="2"/>
  <c r="J1607" i="2"/>
  <c r="I1607" i="2"/>
  <c r="H1607" i="2"/>
  <c r="F1607" i="2"/>
  <c r="G1607" i="2" s="1"/>
  <c r="D1607" i="2"/>
  <c r="C1607" i="2"/>
  <c r="B1607" i="2"/>
  <c r="A1607" i="2"/>
  <c r="AP1606" i="2"/>
  <c r="AO1606" i="2"/>
  <c r="AH1606" i="2"/>
  <c r="W1606" i="2"/>
  <c r="AI1606" i="2" s="1"/>
  <c r="U1606" i="2"/>
  <c r="M1606" i="2"/>
  <c r="N1606" i="2" s="1"/>
  <c r="AQ1606" i="2" s="1"/>
  <c r="K1606" i="2"/>
  <c r="J1606" i="2"/>
  <c r="I1606" i="2"/>
  <c r="H1606" i="2"/>
  <c r="F1606" i="2"/>
  <c r="G1606" i="2" s="1"/>
  <c r="D1606" i="2"/>
  <c r="C1606" i="2"/>
  <c r="B1606" i="2"/>
  <c r="A1606" i="2"/>
  <c r="AQ1605" i="2"/>
  <c r="AP1605" i="2"/>
  <c r="AO1605" i="2"/>
  <c r="AH1605" i="2"/>
  <c r="W1605" i="2"/>
  <c r="AI1605" i="2" s="1"/>
  <c r="U1605" i="2"/>
  <c r="M1605" i="2"/>
  <c r="N1605" i="2" s="1"/>
  <c r="K1605" i="2"/>
  <c r="J1605" i="2"/>
  <c r="I1605" i="2"/>
  <c r="H1605" i="2"/>
  <c r="F1605" i="2"/>
  <c r="G1605" i="2" s="1"/>
  <c r="D1605" i="2"/>
  <c r="C1605" i="2"/>
  <c r="B1605" i="2"/>
  <c r="A1605" i="2"/>
  <c r="AP1604" i="2"/>
  <c r="AO1604" i="2"/>
  <c r="AH1604" i="2"/>
  <c r="W1604" i="2"/>
  <c r="AI1604" i="2" s="1"/>
  <c r="U1604" i="2"/>
  <c r="M1604" i="2"/>
  <c r="N1604" i="2" s="1"/>
  <c r="AQ1604" i="2" s="1"/>
  <c r="K1604" i="2"/>
  <c r="J1604" i="2"/>
  <c r="I1604" i="2"/>
  <c r="H1604" i="2"/>
  <c r="F1604" i="2"/>
  <c r="G1604" i="2" s="1"/>
  <c r="D1604" i="2"/>
  <c r="C1604" i="2"/>
  <c r="B1604" i="2"/>
  <c r="A1604" i="2"/>
  <c r="AP1603" i="2"/>
  <c r="AO1603" i="2"/>
  <c r="AH1603" i="2"/>
  <c r="W1603" i="2"/>
  <c r="AI1603" i="2" s="1"/>
  <c r="U1603" i="2"/>
  <c r="M1603" i="2"/>
  <c r="N1603" i="2" s="1"/>
  <c r="AQ1603" i="2" s="1"/>
  <c r="K1603" i="2"/>
  <c r="J1603" i="2"/>
  <c r="I1603" i="2"/>
  <c r="H1603" i="2"/>
  <c r="F1603" i="2"/>
  <c r="G1603" i="2" s="1"/>
  <c r="D1603" i="2"/>
  <c r="C1603" i="2"/>
  <c r="B1603" i="2"/>
  <c r="A1603" i="2"/>
  <c r="AP1602" i="2"/>
  <c r="AO1602" i="2"/>
  <c r="AH1602" i="2"/>
  <c r="W1602" i="2"/>
  <c r="AI1602" i="2" s="1"/>
  <c r="U1602" i="2"/>
  <c r="M1602" i="2"/>
  <c r="N1602" i="2" s="1"/>
  <c r="AQ1602" i="2" s="1"/>
  <c r="K1602" i="2"/>
  <c r="J1602" i="2"/>
  <c r="I1602" i="2"/>
  <c r="H1602" i="2"/>
  <c r="F1602" i="2"/>
  <c r="G1602" i="2" s="1"/>
  <c r="D1602" i="2"/>
  <c r="C1602" i="2"/>
  <c r="B1602" i="2"/>
  <c r="A1602" i="2"/>
  <c r="AP1601" i="2"/>
  <c r="AO1601" i="2"/>
  <c r="AH1601" i="2"/>
  <c r="W1601" i="2"/>
  <c r="AI1601" i="2" s="1"/>
  <c r="U1601" i="2"/>
  <c r="M1601" i="2"/>
  <c r="N1601" i="2" s="1"/>
  <c r="AQ1601" i="2" s="1"/>
  <c r="K1601" i="2"/>
  <c r="J1601" i="2"/>
  <c r="I1601" i="2"/>
  <c r="H1601" i="2"/>
  <c r="F1601" i="2"/>
  <c r="G1601" i="2" s="1"/>
  <c r="D1601" i="2"/>
  <c r="C1601" i="2"/>
  <c r="B1601" i="2"/>
  <c r="A1601" i="2"/>
  <c r="AP1600" i="2"/>
  <c r="AO1600" i="2"/>
  <c r="AH1600" i="2"/>
  <c r="W1600" i="2"/>
  <c r="AI1600" i="2" s="1"/>
  <c r="U1600" i="2"/>
  <c r="M1600" i="2"/>
  <c r="N1600" i="2" s="1"/>
  <c r="AQ1600" i="2" s="1"/>
  <c r="K1600" i="2"/>
  <c r="J1600" i="2"/>
  <c r="I1600" i="2"/>
  <c r="H1600" i="2"/>
  <c r="G1600" i="2"/>
  <c r="F1600" i="2"/>
  <c r="D1600" i="2"/>
  <c r="C1600" i="2"/>
  <c r="B1600" i="2"/>
  <c r="A1600" i="2"/>
  <c r="AP1599" i="2"/>
  <c r="AO1599" i="2"/>
  <c r="AH1599" i="2"/>
  <c r="W1599" i="2"/>
  <c r="AI1599" i="2" s="1"/>
  <c r="U1599" i="2"/>
  <c r="M1599" i="2"/>
  <c r="N1599" i="2" s="1"/>
  <c r="AQ1599" i="2" s="1"/>
  <c r="K1599" i="2"/>
  <c r="J1599" i="2"/>
  <c r="I1599" i="2"/>
  <c r="H1599" i="2"/>
  <c r="G1599" i="2"/>
  <c r="F1599" i="2"/>
  <c r="D1599" i="2"/>
  <c r="C1599" i="2"/>
  <c r="B1599" i="2"/>
  <c r="A1599" i="2"/>
  <c r="AP1598" i="2"/>
  <c r="AO1598" i="2"/>
  <c r="AH1598" i="2"/>
  <c r="W1598" i="2"/>
  <c r="AI1598" i="2" s="1"/>
  <c r="U1598" i="2"/>
  <c r="N1598" i="2"/>
  <c r="AQ1598" i="2" s="1"/>
  <c r="M1598" i="2"/>
  <c r="K1598" i="2"/>
  <c r="J1598" i="2"/>
  <c r="I1598" i="2"/>
  <c r="H1598" i="2"/>
  <c r="F1598" i="2"/>
  <c r="G1598" i="2" s="1"/>
  <c r="D1598" i="2"/>
  <c r="C1598" i="2"/>
  <c r="B1598" i="2"/>
  <c r="A1598" i="2"/>
  <c r="AP1597" i="2"/>
  <c r="AO1597" i="2"/>
  <c r="AH1597" i="2"/>
  <c r="W1597" i="2"/>
  <c r="AI1597" i="2" s="1"/>
  <c r="U1597" i="2"/>
  <c r="M1597" i="2"/>
  <c r="N1597" i="2" s="1"/>
  <c r="AQ1597" i="2" s="1"/>
  <c r="K1597" i="2"/>
  <c r="J1597" i="2"/>
  <c r="I1597" i="2"/>
  <c r="H1597" i="2"/>
  <c r="F1597" i="2"/>
  <c r="G1597" i="2" s="1"/>
  <c r="D1597" i="2"/>
  <c r="C1597" i="2"/>
  <c r="B1597" i="2"/>
  <c r="A1597" i="2"/>
  <c r="AP1596" i="2"/>
  <c r="AO1596" i="2"/>
  <c r="AH1596" i="2"/>
  <c r="W1596" i="2"/>
  <c r="AI1596" i="2" s="1"/>
  <c r="U1596" i="2"/>
  <c r="M1596" i="2"/>
  <c r="N1596" i="2" s="1"/>
  <c r="AQ1596" i="2" s="1"/>
  <c r="K1596" i="2"/>
  <c r="J1596" i="2"/>
  <c r="I1596" i="2"/>
  <c r="H1596" i="2"/>
  <c r="G1596" i="2"/>
  <c r="F1596" i="2"/>
  <c r="D1596" i="2"/>
  <c r="C1596" i="2"/>
  <c r="B1596" i="2"/>
  <c r="A1596" i="2"/>
  <c r="AP1595" i="2"/>
  <c r="AO1595" i="2"/>
  <c r="AH1595" i="2"/>
  <c r="W1595" i="2"/>
  <c r="AI1595" i="2" s="1"/>
  <c r="U1595" i="2"/>
  <c r="M1595" i="2"/>
  <c r="N1595" i="2" s="1"/>
  <c r="AQ1595" i="2" s="1"/>
  <c r="K1595" i="2"/>
  <c r="J1595" i="2"/>
  <c r="I1595" i="2"/>
  <c r="H1595" i="2"/>
  <c r="G1595" i="2"/>
  <c r="F1595" i="2"/>
  <c r="D1595" i="2"/>
  <c r="C1595" i="2"/>
  <c r="B1595" i="2"/>
  <c r="A1595" i="2"/>
  <c r="AP1594" i="2"/>
  <c r="AO1594" i="2"/>
  <c r="AH1594" i="2"/>
  <c r="W1594" i="2"/>
  <c r="AI1594" i="2" s="1"/>
  <c r="U1594" i="2"/>
  <c r="N1594" i="2"/>
  <c r="AQ1594" i="2" s="1"/>
  <c r="M1594" i="2"/>
  <c r="K1594" i="2"/>
  <c r="J1594" i="2"/>
  <c r="I1594" i="2"/>
  <c r="H1594" i="2"/>
  <c r="F1594" i="2"/>
  <c r="G1594" i="2" s="1"/>
  <c r="D1594" i="2"/>
  <c r="C1594" i="2"/>
  <c r="B1594" i="2"/>
  <c r="A1594" i="2"/>
  <c r="AP1593" i="2"/>
  <c r="AO1593" i="2"/>
  <c r="AH1593" i="2"/>
  <c r="W1593" i="2"/>
  <c r="AI1593" i="2" s="1"/>
  <c r="U1593" i="2"/>
  <c r="M1593" i="2"/>
  <c r="N1593" i="2" s="1"/>
  <c r="AQ1593" i="2" s="1"/>
  <c r="K1593" i="2"/>
  <c r="J1593" i="2"/>
  <c r="I1593" i="2"/>
  <c r="H1593" i="2"/>
  <c r="F1593" i="2"/>
  <c r="G1593" i="2" s="1"/>
  <c r="D1593" i="2"/>
  <c r="C1593" i="2"/>
  <c r="B1593" i="2"/>
  <c r="A1593" i="2"/>
  <c r="AP1592" i="2"/>
  <c r="AO1592" i="2"/>
  <c r="AH1592" i="2"/>
  <c r="W1592" i="2"/>
  <c r="AI1592" i="2" s="1"/>
  <c r="U1592" i="2"/>
  <c r="M1592" i="2"/>
  <c r="N1592" i="2" s="1"/>
  <c r="AQ1592" i="2" s="1"/>
  <c r="K1592" i="2"/>
  <c r="J1592" i="2"/>
  <c r="I1592" i="2"/>
  <c r="H1592" i="2"/>
  <c r="G1592" i="2"/>
  <c r="F1592" i="2"/>
  <c r="D1592" i="2"/>
  <c r="C1592" i="2"/>
  <c r="B1592" i="2"/>
  <c r="A1592" i="2"/>
  <c r="AP1591" i="2"/>
  <c r="AO1591" i="2"/>
  <c r="AH1591" i="2"/>
  <c r="W1591" i="2"/>
  <c r="AI1591" i="2" s="1"/>
  <c r="U1591" i="2"/>
  <c r="M1591" i="2"/>
  <c r="N1591" i="2" s="1"/>
  <c r="AQ1591" i="2" s="1"/>
  <c r="K1591" i="2"/>
  <c r="J1591" i="2"/>
  <c r="I1591" i="2"/>
  <c r="H1591" i="2"/>
  <c r="G1591" i="2"/>
  <c r="F1591" i="2"/>
  <c r="D1591" i="2"/>
  <c r="C1591" i="2"/>
  <c r="B1591" i="2"/>
  <c r="A1591" i="2"/>
  <c r="AP1590" i="2"/>
  <c r="AO1590" i="2"/>
  <c r="AH1590" i="2"/>
  <c r="W1590" i="2"/>
  <c r="AI1590" i="2" s="1"/>
  <c r="U1590" i="2"/>
  <c r="N1590" i="2"/>
  <c r="AQ1590" i="2" s="1"/>
  <c r="M1590" i="2"/>
  <c r="K1590" i="2"/>
  <c r="J1590" i="2"/>
  <c r="I1590" i="2"/>
  <c r="H1590" i="2"/>
  <c r="F1590" i="2"/>
  <c r="G1590" i="2" s="1"/>
  <c r="D1590" i="2"/>
  <c r="C1590" i="2"/>
  <c r="B1590" i="2"/>
  <c r="A1590" i="2"/>
  <c r="AP1589" i="2"/>
  <c r="AO1589" i="2"/>
  <c r="AH1589" i="2"/>
  <c r="W1589" i="2"/>
  <c r="AI1589" i="2" s="1"/>
  <c r="U1589" i="2"/>
  <c r="M1589" i="2"/>
  <c r="N1589" i="2" s="1"/>
  <c r="AQ1589" i="2" s="1"/>
  <c r="K1589" i="2"/>
  <c r="J1589" i="2"/>
  <c r="I1589" i="2"/>
  <c r="H1589" i="2"/>
  <c r="F1589" i="2"/>
  <c r="G1589" i="2" s="1"/>
  <c r="D1589" i="2"/>
  <c r="C1589" i="2"/>
  <c r="B1589" i="2"/>
  <c r="A1589" i="2"/>
  <c r="AP1588" i="2"/>
  <c r="AO1588" i="2"/>
  <c r="AH1588" i="2"/>
  <c r="W1588" i="2"/>
  <c r="AI1588" i="2" s="1"/>
  <c r="U1588" i="2"/>
  <c r="M1588" i="2"/>
  <c r="N1588" i="2" s="1"/>
  <c r="AQ1588" i="2" s="1"/>
  <c r="K1588" i="2"/>
  <c r="J1588" i="2"/>
  <c r="I1588" i="2"/>
  <c r="H1588" i="2"/>
  <c r="F1588" i="2"/>
  <c r="D1588" i="2"/>
  <c r="C1588" i="2"/>
  <c r="B1588" i="2"/>
  <c r="A1588" i="2"/>
  <c r="AP1587" i="2"/>
  <c r="AO1587" i="2"/>
  <c r="AH1587" i="2"/>
  <c r="W1587" i="2"/>
  <c r="AI1587" i="2" s="1"/>
  <c r="U1587" i="2"/>
  <c r="M1587" i="2"/>
  <c r="N1587" i="2" s="1"/>
  <c r="AQ1587" i="2" s="1"/>
  <c r="K1587" i="2"/>
  <c r="J1587" i="2"/>
  <c r="I1587" i="2"/>
  <c r="H1587" i="2"/>
  <c r="F1587" i="2"/>
  <c r="D1587" i="2"/>
  <c r="C1587" i="2"/>
  <c r="B1587" i="2"/>
  <c r="A1587" i="2"/>
  <c r="AP1586" i="2"/>
  <c r="AO1586" i="2"/>
  <c r="W1586" i="2"/>
  <c r="U1586" i="2"/>
  <c r="M1586" i="2"/>
  <c r="N1586" i="2" s="1"/>
  <c r="AQ1586" i="2" s="1"/>
  <c r="K1586" i="2"/>
  <c r="J1586" i="2"/>
  <c r="I1586" i="2"/>
  <c r="H1586" i="2"/>
  <c r="F1586" i="2"/>
  <c r="G1586" i="2" s="1"/>
  <c r="D1586" i="2"/>
  <c r="C1586" i="2"/>
  <c r="B1586" i="2"/>
  <c r="A1586" i="2"/>
  <c r="AP1585" i="2"/>
  <c r="AO1585" i="2"/>
  <c r="AH1585" i="2"/>
  <c r="W1585" i="2"/>
  <c r="AI1585" i="2" s="1"/>
  <c r="U1585" i="2"/>
  <c r="M1585" i="2"/>
  <c r="N1585" i="2" s="1"/>
  <c r="AQ1585" i="2" s="1"/>
  <c r="K1585" i="2"/>
  <c r="J1585" i="2"/>
  <c r="I1585" i="2"/>
  <c r="H1585" i="2"/>
  <c r="F1585" i="2"/>
  <c r="D1585" i="2"/>
  <c r="C1585" i="2"/>
  <c r="B1585" i="2"/>
  <c r="A1585" i="2"/>
  <c r="AP1584" i="2"/>
  <c r="AO1584" i="2"/>
  <c r="AH1584" i="2"/>
  <c r="W1584" i="2"/>
  <c r="AI1584" i="2" s="1"/>
  <c r="U1584" i="2"/>
  <c r="M1584" i="2"/>
  <c r="N1584" i="2" s="1"/>
  <c r="AQ1584" i="2" s="1"/>
  <c r="K1584" i="2"/>
  <c r="J1584" i="2"/>
  <c r="I1584" i="2"/>
  <c r="H1584" i="2"/>
  <c r="F1584" i="2"/>
  <c r="D1584" i="2"/>
  <c r="C1584" i="2"/>
  <c r="B1584" i="2"/>
  <c r="A1584" i="2"/>
  <c r="AP1583" i="2"/>
  <c r="AO1583" i="2"/>
  <c r="AH1583" i="2"/>
  <c r="W1583" i="2"/>
  <c r="AI1583" i="2" s="1"/>
  <c r="U1583" i="2"/>
  <c r="M1583" i="2"/>
  <c r="N1583" i="2" s="1"/>
  <c r="AQ1583" i="2" s="1"/>
  <c r="K1583" i="2"/>
  <c r="J1583" i="2"/>
  <c r="I1583" i="2"/>
  <c r="H1583" i="2"/>
  <c r="F1583" i="2"/>
  <c r="D1583" i="2"/>
  <c r="C1583" i="2"/>
  <c r="B1583" i="2"/>
  <c r="A1583" i="2"/>
  <c r="AP1582" i="2"/>
  <c r="AO1582" i="2"/>
  <c r="AH1582" i="2"/>
  <c r="W1582" i="2"/>
  <c r="AI1582" i="2" s="1"/>
  <c r="U1582" i="2"/>
  <c r="M1582" i="2"/>
  <c r="N1582" i="2" s="1"/>
  <c r="AQ1582" i="2" s="1"/>
  <c r="K1582" i="2"/>
  <c r="J1582" i="2"/>
  <c r="I1582" i="2"/>
  <c r="H1582" i="2"/>
  <c r="F1582" i="2"/>
  <c r="D1582" i="2"/>
  <c r="C1582" i="2"/>
  <c r="B1582" i="2"/>
  <c r="A1582" i="2"/>
  <c r="AP1581" i="2"/>
  <c r="AO1581" i="2"/>
  <c r="AH1581" i="2"/>
  <c r="W1581" i="2"/>
  <c r="AI1581" i="2" s="1"/>
  <c r="U1581" i="2"/>
  <c r="M1581" i="2"/>
  <c r="N1581" i="2" s="1"/>
  <c r="AQ1581" i="2" s="1"/>
  <c r="K1581" i="2"/>
  <c r="J1581" i="2"/>
  <c r="I1581" i="2"/>
  <c r="H1581" i="2"/>
  <c r="F1581" i="2"/>
  <c r="D1581" i="2"/>
  <c r="C1581" i="2"/>
  <c r="B1581" i="2"/>
  <c r="A1581" i="2"/>
  <c r="AP1580" i="2"/>
  <c r="AO1580" i="2"/>
  <c r="W1580" i="2"/>
  <c r="U1580" i="2"/>
  <c r="M1580" i="2"/>
  <c r="N1580" i="2" s="1"/>
  <c r="AQ1580" i="2" s="1"/>
  <c r="K1580" i="2"/>
  <c r="J1580" i="2"/>
  <c r="I1580" i="2"/>
  <c r="H1580" i="2"/>
  <c r="F1580" i="2"/>
  <c r="G1580" i="2" s="1"/>
  <c r="D1580" i="2"/>
  <c r="C1580" i="2"/>
  <c r="B1580" i="2"/>
  <c r="A1580" i="2"/>
  <c r="AP1579" i="2"/>
  <c r="AO1579" i="2"/>
  <c r="W1579" i="2"/>
  <c r="U1579" i="2"/>
  <c r="M1579" i="2"/>
  <c r="N1579" i="2" s="1"/>
  <c r="AQ1579" i="2" s="1"/>
  <c r="K1579" i="2"/>
  <c r="J1579" i="2"/>
  <c r="I1579" i="2"/>
  <c r="H1579" i="2"/>
  <c r="F1579" i="2"/>
  <c r="G1579" i="2" s="1"/>
  <c r="D1579" i="2"/>
  <c r="C1579" i="2"/>
  <c r="B1579" i="2"/>
  <c r="A1579" i="2"/>
  <c r="AP1578" i="2"/>
  <c r="AO1578" i="2"/>
  <c r="AH1578" i="2"/>
  <c r="W1578" i="2"/>
  <c r="AI1578" i="2" s="1"/>
  <c r="U1578" i="2"/>
  <c r="M1578" i="2"/>
  <c r="N1578" i="2" s="1"/>
  <c r="AQ1578" i="2" s="1"/>
  <c r="K1578" i="2"/>
  <c r="J1578" i="2"/>
  <c r="I1578" i="2"/>
  <c r="H1578" i="2"/>
  <c r="F1578" i="2"/>
  <c r="D1578" i="2"/>
  <c r="C1578" i="2"/>
  <c r="B1578" i="2"/>
  <c r="A1578" i="2"/>
  <c r="AP1577" i="2"/>
  <c r="AO1577" i="2"/>
  <c r="AH1577" i="2"/>
  <c r="W1577" i="2"/>
  <c r="AI1577" i="2" s="1"/>
  <c r="U1577" i="2"/>
  <c r="M1577" i="2"/>
  <c r="N1577" i="2" s="1"/>
  <c r="AQ1577" i="2" s="1"/>
  <c r="K1577" i="2"/>
  <c r="J1577" i="2"/>
  <c r="I1577" i="2"/>
  <c r="H1577" i="2"/>
  <c r="F1577" i="2"/>
  <c r="G1577" i="2" s="1"/>
  <c r="D1577" i="2"/>
  <c r="C1577" i="2"/>
  <c r="B1577" i="2"/>
  <c r="A1577" i="2"/>
  <c r="AP1576" i="2"/>
  <c r="AO1576" i="2"/>
  <c r="W1576" i="2"/>
  <c r="U1576" i="2"/>
  <c r="M1576" i="2"/>
  <c r="N1576" i="2" s="1"/>
  <c r="AQ1576" i="2" s="1"/>
  <c r="K1576" i="2"/>
  <c r="J1576" i="2"/>
  <c r="I1576" i="2"/>
  <c r="H1576" i="2"/>
  <c r="F1576" i="2"/>
  <c r="G1576" i="2" s="1"/>
  <c r="D1576" i="2"/>
  <c r="C1576" i="2"/>
  <c r="B1576" i="2"/>
  <c r="A1576" i="2"/>
  <c r="AP1575" i="2"/>
  <c r="AO1575" i="2"/>
  <c r="AH1575" i="2"/>
  <c r="W1575" i="2"/>
  <c r="AI1575" i="2" s="1"/>
  <c r="U1575" i="2"/>
  <c r="M1575" i="2"/>
  <c r="N1575" i="2" s="1"/>
  <c r="AQ1575" i="2" s="1"/>
  <c r="K1575" i="2"/>
  <c r="J1575" i="2"/>
  <c r="I1575" i="2"/>
  <c r="H1575" i="2"/>
  <c r="F1575" i="2"/>
  <c r="D1575" i="2"/>
  <c r="C1575" i="2"/>
  <c r="B1575" i="2"/>
  <c r="A1575" i="2"/>
  <c r="AP1574" i="2"/>
  <c r="AO1574" i="2"/>
  <c r="AH1574" i="2"/>
  <c r="W1574" i="2"/>
  <c r="AI1574" i="2" s="1"/>
  <c r="U1574" i="2"/>
  <c r="M1574" i="2"/>
  <c r="N1574" i="2" s="1"/>
  <c r="AQ1574" i="2" s="1"/>
  <c r="K1574" i="2"/>
  <c r="J1574" i="2"/>
  <c r="I1574" i="2"/>
  <c r="H1574" i="2"/>
  <c r="F1574" i="2"/>
  <c r="D1574" i="2"/>
  <c r="C1574" i="2"/>
  <c r="B1574" i="2"/>
  <c r="A1574" i="2"/>
  <c r="AP1573" i="2"/>
  <c r="AO1573" i="2"/>
  <c r="W1573" i="2"/>
  <c r="U1573" i="2"/>
  <c r="M1573" i="2"/>
  <c r="N1573" i="2" s="1"/>
  <c r="AQ1573" i="2" s="1"/>
  <c r="K1573" i="2"/>
  <c r="J1573" i="2"/>
  <c r="I1573" i="2"/>
  <c r="H1573" i="2"/>
  <c r="F1573" i="2"/>
  <c r="G1573" i="2" s="1"/>
  <c r="D1573" i="2"/>
  <c r="C1573" i="2"/>
  <c r="B1573" i="2"/>
  <c r="A1573" i="2"/>
  <c r="AP1572" i="2"/>
  <c r="AO1572" i="2"/>
  <c r="AH1572" i="2"/>
  <c r="W1572" i="2"/>
  <c r="AI1572" i="2" s="1"/>
  <c r="U1572" i="2"/>
  <c r="M1572" i="2"/>
  <c r="N1572" i="2" s="1"/>
  <c r="AQ1572" i="2" s="1"/>
  <c r="K1572" i="2"/>
  <c r="J1572" i="2"/>
  <c r="I1572" i="2"/>
  <c r="H1572" i="2"/>
  <c r="F1572" i="2"/>
  <c r="D1572" i="2"/>
  <c r="C1572" i="2"/>
  <c r="B1572" i="2"/>
  <c r="A1572" i="2"/>
  <c r="AP1571" i="2"/>
  <c r="AO1571" i="2"/>
  <c r="W1571" i="2"/>
  <c r="U1571" i="2"/>
  <c r="M1571" i="2"/>
  <c r="N1571" i="2" s="1"/>
  <c r="AQ1571" i="2" s="1"/>
  <c r="K1571" i="2"/>
  <c r="J1571" i="2"/>
  <c r="I1571" i="2"/>
  <c r="H1571" i="2"/>
  <c r="F1571" i="2"/>
  <c r="G1571" i="2" s="1"/>
  <c r="D1571" i="2"/>
  <c r="C1571" i="2"/>
  <c r="B1571" i="2"/>
  <c r="A1571" i="2"/>
  <c r="AP1570" i="2"/>
  <c r="AO1570" i="2"/>
  <c r="W1570" i="2"/>
  <c r="U1570" i="2"/>
  <c r="M1570" i="2"/>
  <c r="N1570" i="2" s="1"/>
  <c r="AQ1570" i="2" s="1"/>
  <c r="K1570" i="2"/>
  <c r="J1570" i="2"/>
  <c r="I1570" i="2"/>
  <c r="H1570" i="2"/>
  <c r="F1570" i="2"/>
  <c r="G1570" i="2" s="1"/>
  <c r="D1570" i="2"/>
  <c r="C1570" i="2"/>
  <c r="B1570" i="2"/>
  <c r="A1570" i="2"/>
  <c r="AP1569" i="2"/>
  <c r="AO1569" i="2"/>
  <c r="W1569" i="2"/>
  <c r="U1569" i="2"/>
  <c r="M1569" i="2"/>
  <c r="N1569" i="2" s="1"/>
  <c r="AQ1569" i="2" s="1"/>
  <c r="K1569" i="2"/>
  <c r="J1569" i="2"/>
  <c r="I1569" i="2"/>
  <c r="H1569" i="2"/>
  <c r="F1569" i="2"/>
  <c r="G1569" i="2" s="1"/>
  <c r="D1569" i="2"/>
  <c r="C1569" i="2"/>
  <c r="B1569" i="2"/>
  <c r="A1569" i="2"/>
  <c r="AP1568" i="2"/>
  <c r="AO1568" i="2"/>
  <c r="AH1568" i="2"/>
  <c r="W1568" i="2"/>
  <c r="AI1568" i="2" s="1"/>
  <c r="U1568" i="2"/>
  <c r="M1568" i="2"/>
  <c r="N1568" i="2" s="1"/>
  <c r="AQ1568" i="2" s="1"/>
  <c r="K1568" i="2"/>
  <c r="J1568" i="2"/>
  <c r="I1568" i="2"/>
  <c r="H1568" i="2"/>
  <c r="F1568" i="2"/>
  <c r="D1568" i="2"/>
  <c r="C1568" i="2"/>
  <c r="B1568" i="2"/>
  <c r="A1568" i="2"/>
  <c r="AP1567" i="2"/>
  <c r="AO1567" i="2"/>
  <c r="W1567" i="2"/>
  <c r="U1567" i="2"/>
  <c r="M1567" i="2"/>
  <c r="N1567" i="2" s="1"/>
  <c r="AQ1567" i="2" s="1"/>
  <c r="K1567" i="2"/>
  <c r="J1567" i="2"/>
  <c r="I1567" i="2"/>
  <c r="H1567" i="2"/>
  <c r="F1567" i="2"/>
  <c r="G1567" i="2" s="1"/>
  <c r="D1567" i="2"/>
  <c r="C1567" i="2"/>
  <c r="B1567" i="2"/>
  <c r="A1567" i="2"/>
  <c r="AP1566" i="2"/>
  <c r="AO1566" i="2"/>
  <c r="W1566" i="2"/>
  <c r="U1566" i="2"/>
  <c r="M1566" i="2"/>
  <c r="N1566" i="2" s="1"/>
  <c r="AQ1566" i="2" s="1"/>
  <c r="K1566" i="2"/>
  <c r="J1566" i="2"/>
  <c r="I1566" i="2"/>
  <c r="H1566" i="2"/>
  <c r="F1566" i="2"/>
  <c r="G1566" i="2" s="1"/>
  <c r="D1566" i="2"/>
  <c r="C1566" i="2"/>
  <c r="B1566" i="2"/>
  <c r="A1566" i="2"/>
  <c r="AP1565" i="2"/>
  <c r="AO1565" i="2"/>
  <c r="W1565" i="2"/>
  <c r="U1565" i="2"/>
  <c r="M1565" i="2"/>
  <c r="N1565" i="2" s="1"/>
  <c r="AQ1565" i="2" s="1"/>
  <c r="K1565" i="2"/>
  <c r="J1565" i="2"/>
  <c r="I1565" i="2"/>
  <c r="H1565" i="2"/>
  <c r="F1565" i="2"/>
  <c r="G1565" i="2" s="1"/>
  <c r="D1565" i="2"/>
  <c r="C1565" i="2"/>
  <c r="B1565" i="2"/>
  <c r="A1565" i="2"/>
  <c r="AP1564" i="2"/>
  <c r="AO1564" i="2"/>
  <c r="AH1564" i="2"/>
  <c r="W1564" i="2"/>
  <c r="AI1564" i="2" s="1"/>
  <c r="U1564" i="2"/>
  <c r="M1564" i="2"/>
  <c r="N1564" i="2" s="1"/>
  <c r="AQ1564" i="2" s="1"/>
  <c r="K1564" i="2"/>
  <c r="J1564" i="2"/>
  <c r="I1564" i="2"/>
  <c r="H1564" i="2"/>
  <c r="F1564" i="2"/>
  <c r="G1564" i="2" s="1"/>
  <c r="D1564" i="2"/>
  <c r="C1564" i="2"/>
  <c r="B1564" i="2"/>
  <c r="A1564" i="2"/>
  <c r="AP1563" i="2"/>
  <c r="AO1563" i="2"/>
  <c r="AH1563" i="2"/>
  <c r="W1563" i="2"/>
  <c r="AI1563" i="2" s="1"/>
  <c r="U1563" i="2"/>
  <c r="M1563" i="2"/>
  <c r="N1563" i="2" s="1"/>
  <c r="AQ1563" i="2" s="1"/>
  <c r="K1563" i="2"/>
  <c r="J1563" i="2"/>
  <c r="I1563" i="2"/>
  <c r="H1563" i="2"/>
  <c r="F1563" i="2"/>
  <c r="D1563" i="2"/>
  <c r="C1563" i="2"/>
  <c r="B1563" i="2"/>
  <c r="A1563" i="2"/>
  <c r="AP1562" i="2"/>
  <c r="AO1562" i="2"/>
  <c r="AH1562" i="2"/>
  <c r="W1562" i="2"/>
  <c r="AI1562" i="2" s="1"/>
  <c r="U1562" i="2"/>
  <c r="M1562" i="2"/>
  <c r="N1562" i="2" s="1"/>
  <c r="AQ1562" i="2" s="1"/>
  <c r="K1562" i="2"/>
  <c r="J1562" i="2"/>
  <c r="I1562" i="2"/>
  <c r="H1562" i="2"/>
  <c r="F1562" i="2"/>
  <c r="D1562" i="2"/>
  <c r="C1562" i="2"/>
  <c r="B1562" i="2"/>
  <c r="A1562" i="2"/>
  <c r="AP1561" i="2"/>
  <c r="AO1561" i="2"/>
  <c r="W1561" i="2"/>
  <c r="AI1561" i="2" s="1"/>
  <c r="U1561" i="2"/>
  <c r="M1561" i="2"/>
  <c r="N1561" i="2" s="1"/>
  <c r="AQ1561" i="2" s="1"/>
  <c r="K1561" i="2"/>
  <c r="J1561" i="2"/>
  <c r="I1561" i="2"/>
  <c r="H1561" i="2"/>
  <c r="F1561" i="2"/>
  <c r="G1561" i="2" s="1"/>
  <c r="D1561" i="2"/>
  <c r="C1561" i="2"/>
  <c r="B1561" i="2"/>
  <c r="A1561" i="2"/>
  <c r="AP1560" i="2"/>
  <c r="AO1560" i="2"/>
  <c r="AH1560" i="2"/>
  <c r="W1560" i="2"/>
  <c r="AI1560" i="2" s="1"/>
  <c r="U1560" i="2"/>
  <c r="M1560" i="2"/>
  <c r="N1560" i="2" s="1"/>
  <c r="AQ1560" i="2" s="1"/>
  <c r="K1560" i="2"/>
  <c r="J1560" i="2"/>
  <c r="I1560" i="2"/>
  <c r="H1560" i="2"/>
  <c r="F1560" i="2"/>
  <c r="D1560" i="2"/>
  <c r="C1560" i="2"/>
  <c r="B1560" i="2"/>
  <c r="A1560" i="2"/>
  <c r="AP1559" i="2"/>
  <c r="AO1559" i="2"/>
  <c r="AH1559" i="2"/>
  <c r="W1559" i="2"/>
  <c r="AI1559" i="2" s="1"/>
  <c r="U1559" i="2"/>
  <c r="M1559" i="2"/>
  <c r="N1559" i="2" s="1"/>
  <c r="AQ1559" i="2" s="1"/>
  <c r="K1559" i="2"/>
  <c r="J1559" i="2"/>
  <c r="I1559" i="2"/>
  <c r="H1559" i="2"/>
  <c r="F1559" i="2"/>
  <c r="D1559" i="2"/>
  <c r="C1559" i="2"/>
  <c r="B1559" i="2"/>
  <c r="A1559" i="2"/>
  <c r="AP1558" i="2"/>
  <c r="AO1558" i="2"/>
  <c r="AH1558" i="2"/>
  <c r="W1558" i="2"/>
  <c r="AI1558" i="2" s="1"/>
  <c r="U1558" i="2"/>
  <c r="M1558" i="2"/>
  <c r="N1558" i="2" s="1"/>
  <c r="AQ1558" i="2" s="1"/>
  <c r="K1558" i="2"/>
  <c r="J1558" i="2"/>
  <c r="I1558" i="2"/>
  <c r="H1558" i="2"/>
  <c r="F1558" i="2"/>
  <c r="D1558" i="2"/>
  <c r="C1558" i="2"/>
  <c r="B1558" i="2"/>
  <c r="A1558" i="2"/>
  <c r="AP1557" i="2"/>
  <c r="AO1557" i="2"/>
  <c r="W1557" i="2"/>
  <c r="U1557" i="2"/>
  <c r="M1557" i="2"/>
  <c r="N1557" i="2" s="1"/>
  <c r="AQ1557" i="2" s="1"/>
  <c r="K1557" i="2"/>
  <c r="J1557" i="2"/>
  <c r="I1557" i="2"/>
  <c r="H1557" i="2"/>
  <c r="F1557" i="2"/>
  <c r="G1557" i="2" s="1"/>
  <c r="D1557" i="2"/>
  <c r="C1557" i="2"/>
  <c r="B1557" i="2"/>
  <c r="A1557" i="2"/>
  <c r="AP1556" i="2"/>
  <c r="AO1556" i="2"/>
  <c r="AH1556" i="2"/>
  <c r="W1556" i="2"/>
  <c r="AI1556" i="2" s="1"/>
  <c r="U1556" i="2"/>
  <c r="M1556" i="2"/>
  <c r="N1556" i="2" s="1"/>
  <c r="AQ1556" i="2" s="1"/>
  <c r="K1556" i="2"/>
  <c r="J1556" i="2"/>
  <c r="I1556" i="2"/>
  <c r="H1556" i="2"/>
  <c r="F1556" i="2"/>
  <c r="D1556" i="2"/>
  <c r="C1556" i="2"/>
  <c r="B1556" i="2"/>
  <c r="A1556" i="2"/>
  <c r="AP1555" i="2"/>
  <c r="AO1555" i="2"/>
  <c r="AH1555" i="2"/>
  <c r="W1555" i="2"/>
  <c r="AI1555" i="2" s="1"/>
  <c r="U1555" i="2"/>
  <c r="M1555" i="2"/>
  <c r="N1555" i="2" s="1"/>
  <c r="AQ1555" i="2" s="1"/>
  <c r="K1555" i="2"/>
  <c r="J1555" i="2"/>
  <c r="I1555" i="2"/>
  <c r="H1555" i="2"/>
  <c r="F1555" i="2"/>
  <c r="D1555" i="2"/>
  <c r="C1555" i="2"/>
  <c r="B1555" i="2"/>
  <c r="A1555" i="2"/>
  <c r="AP1554" i="2"/>
  <c r="AO1554" i="2"/>
  <c r="AH1554" i="2"/>
  <c r="W1554" i="2"/>
  <c r="AI1554" i="2" s="1"/>
  <c r="U1554" i="2"/>
  <c r="M1554" i="2"/>
  <c r="N1554" i="2" s="1"/>
  <c r="AQ1554" i="2" s="1"/>
  <c r="K1554" i="2"/>
  <c r="J1554" i="2"/>
  <c r="I1554" i="2"/>
  <c r="H1554" i="2"/>
  <c r="F1554" i="2"/>
  <c r="D1554" i="2"/>
  <c r="C1554" i="2"/>
  <c r="B1554" i="2"/>
  <c r="A1554" i="2"/>
  <c r="AP1553" i="2"/>
  <c r="AO1553" i="2"/>
  <c r="AH1553" i="2"/>
  <c r="W1553" i="2"/>
  <c r="AI1553" i="2" s="1"/>
  <c r="U1553" i="2"/>
  <c r="M1553" i="2"/>
  <c r="N1553" i="2" s="1"/>
  <c r="AQ1553" i="2" s="1"/>
  <c r="K1553" i="2"/>
  <c r="J1553" i="2"/>
  <c r="I1553" i="2"/>
  <c r="H1553" i="2"/>
  <c r="F1553" i="2"/>
  <c r="D1553" i="2"/>
  <c r="C1553" i="2"/>
  <c r="B1553" i="2"/>
  <c r="A1553" i="2"/>
  <c r="AP1552" i="2"/>
  <c r="AO1552" i="2"/>
  <c r="W1552" i="2"/>
  <c r="AI1552" i="2" s="1"/>
  <c r="U1552" i="2"/>
  <c r="M1552" i="2"/>
  <c r="N1552" i="2" s="1"/>
  <c r="AQ1552" i="2" s="1"/>
  <c r="K1552" i="2"/>
  <c r="J1552" i="2"/>
  <c r="I1552" i="2"/>
  <c r="H1552" i="2"/>
  <c r="F1552" i="2"/>
  <c r="G1552" i="2" s="1"/>
  <c r="D1552" i="2"/>
  <c r="C1552" i="2"/>
  <c r="B1552" i="2"/>
  <c r="A1552" i="2"/>
  <c r="AP1551" i="2"/>
  <c r="AO1551" i="2"/>
  <c r="AH1551" i="2"/>
  <c r="W1551" i="2"/>
  <c r="AI1551" i="2" s="1"/>
  <c r="U1551" i="2"/>
  <c r="M1551" i="2"/>
  <c r="N1551" i="2" s="1"/>
  <c r="AQ1551" i="2" s="1"/>
  <c r="K1551" i="2"/>
  <c r="J1551" i="2"/>
  <c r="I1551" i="2"/>
  <c r="H1551" i="2"/>
  <c r="F1551" i="2"/>
  <c r="G1551" i="2" s="1"/>
  <c r="D1551" i="2"/>
  <c r="C1551" i="2"/>
  <c r="B1551" i="2"/>
  <c r="A1551" i="2"/>
  <c r="AP1550" i="2"/>
  <c r="AO1550" i="2"/>
  <c r="W1550" i="2"/>
  <c r="AI1550" i="2" s="1"/>
  <c r="U1550" i="2"/>
  <c r="M1550" i="2"/>
  <c r="N1550" i="2" s="1"/>
  <c r="AQ1550" i="2" s="1"/>
  <c r="K1550" i="2"/>
  <c r="J1550" i="2"/>
  <c r="I1550" i="2"/>
  <c r="H1550" i="2"/>
  <c r="F1550" i="2"/>
  <c r="G1550" i="2" s="1"/>
  <c r="D1550" i="2"/>
  <c r="C1550" i="2"/>
  <c r="B1550" i="2"/>
  <c r="A1550" i="2"/>
  <c r="AP1549" i="2"/>
  <c r="AO1549" i="2"/>
  <c r="W1549" i="2"/>
  <c r="U1549" i="2"/>
  <c r="M1549" i="2"/>
  <c r="N1549" i="2" s="1"/>
  <c r="AQ1549" i="2" s="1"/>
  <c r="K1549" i="2"/>
  <c r="J1549" i="2"/>
  <c r="I1549" i="2"/>
  <c r="H1549" i="2"/>
  <c r="F1549" i="2"/>
  <c r="G1549" i="2" s="1"/>
  <c r="D1549" i="2"/>
  <c r="C1549" i="2"/>
  <c r="B1549" i="2"/>
  <c r="A1549" i="2"/>
  <c r="AP1548" i="2"/>
  <c r="AO1548" i="2"/>
  <c r="AH1548" i="2"/>
  <c r="W1548" i="2"/>
  <c r="AI1548" i="2" s="1"/>
  <c r="U1548" i="2"/>
  <c r="M1548" i="2"/>
  <c r="N1548" i="2" s="1"/>
  <c r="AQ1548" i="2" s="1"/>
  <c r="K1548" i="2"/>
  <c r="J1548" i="2"/>
  <c r="I1548" i="2"/>
  <c r="H1548" i="2"/>
  <c r="F1548" i="2"/>
  <c r="G1548" i="2" s="1"/>
  <c r="D1548" i="2"/>
  <c r="C1548" i="2"/>
  <c r="B1548" i="2"/>
  <c r="A1548" i="2"/>
  <c r="AP1547" i="2"/>
  <c r="AO1547" i="2"/>
  <c r="AH1547" i="2"/>
  <c r="W1547" i="2"/>
  <c r="AI1547" i="2" s="1"/>
  <c r="U1547" i="2"/>
  <c r="M1547" i="2"/>
  <c r="N1547" i="2" s="1"/>
  <c r="AQ1547" i="2" s="1"/>
  <c r="K1547" i="2"/>
  <c r="J1547" i="2"/>
  <c r="I1547" i="2"/>
  <c r="H1547" i="2"/>
  <c r="F1547" i="2"/>
  <c r="D1547" i="2"/>
  <c r="C1547" i="2"/>
  <c r="B1547" i="2"/>
  <c r="A1547" i="2"/>
  <c r="AP1546" i="2"/>
  <c r="AO1546" i="2"/>
  <c r="AH1546" i="2"/>
  <c r="W1546" i="2"/>
  <c r="AI1546" i="2" s="1"/>
  <c r="U1546" i="2"/>
  <c r="M1546" i="2"/>
  <c r="N1546" i="2" s="1"/>
  <c r="AQ1546" i="2" s="1"/>
  <c r="K1546" i="2"/>
  <c r="J1546" i="2"/>
  <c r="I1546" i="2"/>
  <c r="H1546" i="2"/>
  <c r="F1546" i="2"/>
  <c r="G1546" i="2" s="1"/>
  <c r="D1546" i="2"/>
  <c r="C1546" i="2"/>
  <c r="B1546" i="2"/>
  <c r="A1546" i="2"/>
  <c r="AP1545" i="2"/>
  <c r="AO1545" i="2"/>
  <c r="AH1545" i="2"/>
  <c r="W1545" i="2"/>
  <c r="AI1545" i="2" s="1"/>
  <c r="U1545" i="2"/>
  <c r="M1545" i="2"/>
  <c r="N1545" i="2" s="1"/>
  <c r="AQ1545" i="2" s="1"/>
  <c r="K1545" i="2"/>
  <c r="J1545" i="2"/>
  <c r="I1545" i="2"/>
  <c r="H1545" i="2"/>
  <c r="F1545" i="2"/>
  <c r="G1545" i="2" s="1"/>
  <c r="D1545" i="2"/>
  <c r="C1545" i="2"/>
  <c r="B1545" i="2"/>
  <c r="A1545" i="2"/>
  <c r="AP1544" i="2"/>
  <c r="AO1544" i="2"/>
  <c r="W1544" i="2"/>
  <c r="U1544" i="2"/>
  <c r="M1544" i="2"/>
  <c r="N1544" i="2" s="1"/>
  <c r="AQ1544" i="2" s="1"/>
  <c r="K1544" i="2"/>
  <c r="J1544" i="2"/>
  <c r="I1544" i="2"/>
  <c r="H1544" i="2"/>
  <c r="F1544" i="2"/>
  <c r="G1544" i="2" s="1"/>
  <c r="D1544" i="2"/>
  <c r="C1544" i="2"/>
  <c r="B1544" i="2"/>
  <c r="A1544" i="2"/>
  <c r="AP1543" i="2"/>
  <c r="AO1543" i="2"/>
  <c r="W1543" i="2"/>
  <c r="U1543" i="2"/>
  <c r="M1543" i="2"/>
  <c r="N1543" i="2" s="1"/>
  <c r="AQ1543" i="2" s="1"/>
  <c r="K1543" i="2"/>
  <c r="J1543" i="2"/>
  <c r="I1543" i="2"/>
  <c r="H1543" i="2"/>
  <c r="F1543" i="2"/>
  <c r="G1543" i="2" s="1"/>
  <c r="D1543" i="2"/>
  <c r="C1543" i="2"/>
  <c r="B1543" i="2"/>
  <c r="A1543" i="2"/>
  <c r="AP1542" i="2"/>
  <c r="AO1542" i="2"/>
  <c r="AH1542" i="2"/>
  <c r="W1542" i="2"/>
  <c r="AI1542" i="2" s="1"/>
  <c r="U1542" i="2"/>
  <c r="M1542" i="2"/>
  <c r="N1542" i="2" s="1"/>
  <c r="AQ1542" i="2" s="1"/>
  <c r="K1542" i="2"/>
  <c r="J1542" i="2"/>
  <c r="I1542" i="2"/>
  <c r="H1542" i="2"/>
  <c r="F1542" i="2"/>
  <c r="D1542" i="2"/>
  <c r="C1542" i="2"/>
  <c r="B1542" i="2"/>
  <c r="A1542" i="2"/>
  <c r="AP1541" i="2"/>
  <c r="AO1541" i="2"/>
  <c r="W1541" i="2"/>
  <c r="AH1541" i="2" s="1"/>
  <c r="U1541" i="2"/>
  <c r="M1541" i="2"/>
  <c r="N1541" i="2" s="1"/>
  <c r="AQ1541" i="2" s="1"/>
  <c r="K1541" i="2"/>
  <c r="J1541" i="2"/>
  <c r="I1541" i="2"/>
  <c r="H1541" i="2"/>
  <c r="F1541" i="2"/>
  <c r="G1541" i="2" s="1"/>
  <c r="D1541" i="2"/>
  <c r="C1541" i="2"/>
  <c r="B1541" i="2"/>
  <c r="A1541" i="2"/>
  <c r="AP1540" i="2"/>
  <c r="AO1540" i="2"/>
  <c r="W1540" i="2"/>
  <c r="U1540" i="2"/>
  <c r="M1540" i="2"/>
  <c r="N1540" i="2" s="1"/>
  <c r="AQ1540" i="2" s="1"/>
  <c r="K1540" i="2"/>
  <c r="J1540" i="2"/>
  <c r="I1540" i="2"/>
  <c r="H1540" i="2"/>
  <c r="F1540" i="2"/>
  <c r="G1540" i="2" s="1"/>
  <c r="D1540" i="2"/>
  <c r="C1540" i="2"/>
  <c r="B1540" i="2"/>
  <c r="A1540" i="2"/>
  <c r="AP1539" i="2"/>
  <c r="AO1539" i="2"/>
  <c r="AH1539" i="2"/>
  <c r="W1539" i="2"/>
  <c r="AI1539" i="2" s="1"/>
  <c r="U1539" i="2"/>
  <c r="M1539" i="2"/>
  <c r="N1539" i="2" s="1"/>
  <c r="AQ1539" i="2" s="1"/>
  <c r="K1539" i="2"/>
  <c r="J1539" i="2"/>
  <c r="I1539" i="2"/>
  <c r="H1539" i="2"/>
  <c r="F1539" i="2"/>
  <c r="D1539" i="2"/>
  <c r="C1539" i="2"/>
  <c r="B1539" i="2"/>
  <c r="A1539" i="2"/>
  <c r="AP1538" i="2"/>
  <c r="AO1538" i="2"/>
  <c r="AH1538" i="2"/>
  <c r="W1538" i="2"/>
  <c r="AI1538" i="2" s="1"/>
  <c r="U1538" i="2"/>
  <c r="M1538" i="2"/>
  <c r="N1538" i="2" s="1"/>
  <c r="AQ1538" i="2" s="1"/>
  <c r="K1538" i="2"/>
  <c r="J1538" i="2"/>
  <c r="I1538" i="2"/>
  <c r="H1538" i="2"/>
  <c r="F1538" i="2"/>
  <c r="D1538" i="2"/>
  <c r="C1538" i="2"/>
  <c r="B1538" i="2"/>
  <c r="A1538" i="2"/>
  <c r="AP1537" i="2"/>
  <c r="AO1537" i="2"/>
  <c r="AH1537" i="2"/>
  <c r="W1537" i="2"/>
  <c r="AI1537" i="2" s="1"/>
  <c r="U1537" i="2"/>
  <c r="M1537" i="2"/>
  <c r="N1537" i="2" s="1"/>
  <c r="AQ1537" i="2" s="1"/>
  <c r="K1537" i="2"/>
  <c r="J1537" i="2"/>
  <c r="I1537" i="2"/>
  <c r="H1537" i="2"/>
  <c r="F1537" i="2"/>
  <c r="D1537" i="2"/>
  <c r="C1537" i="2"/>
  <c r="B1537" i="2"/>
  <c r="A1537" i="2"/>
  <c r="AP1536" i="2"/>
  <c r="AO1536" i="2"/>
  <c r="AH1536" i="2"/>
  <c r="W1536" i="2"/>
  <c r="AI1536" i="2" s="1"/>
  <c r="U1536" i="2"/>
  <c r="M1536" i="2"/>
  <c r="N1536" i="2" s="1"/>
  <c r="AQ1536" i="2" s="1"/>
  <c r="K1536" i="2"/>
  <c r="J1536" i="2"/>
  <c r="I1536" i="2"/>
  <c r="H1536" i="2"/>
  <c r="F1536" i="2"/>
  <c r="D1536" i="2"/>
  <c r="C1536" i="2"/>
  <c r="B1536" i="2"/>
  <c r="A1536" i="2"/>
  <c r="AP1535" i="2"/>
  <c r="AO1535" i="2"/>
  <c r="AH1535" i="2"/>
  <c r="W1535" i="2"/>
  <c r="AI1535" i="2" s="1"/>
  <c r="U1535" i="2"/>
  <c r="M1535" i="2"/>
  <c r="N1535" i="2" s="1"/>
  <c r="AQ1535" i="2" s="1"/>
  <c r="K1535" i="2"/>
  <c r="J1535" i="2"/>
  <c r="I1535" i="2"/>
  <c r="H1535" i="2"/>
  <c r="F1535" i="2"/>
  <c r="D1535" i="2"/>
  <c r="C1535" i="2"/>
  <c r="B1535" i="2"/>
  <c r="A1535" i="2"/>
  <c r="AP1534" i="2"/>
  <c r="AO1534" i="2"/>
  <c r="AH1534" i="2"/>
  <c r="W1534" i="2"/>
  <c r="AI1534" i="2" s="1"/>
  <c r="U1534" i="2"/>
  <c r="M1534" i="2"/>
  <c r="N1534" i="2" s="1"/>
  <c r="AQ1534" i="2" s="1"/>
  <c r="K1534" i="2"/>
  <c r="J1534" i="2"/>
  <c r="I1534" i="2"/>
  <c r="H1534" i="2"/>
  <c r="F1534" i="2"/>
  <c r="D1534" i="2"/>
  <c r="C1534" i="2"/>
  <c r="B1534" i="2"/>
  <c r="A1534" i="2"/>
  <c r="AP1533" i="2"/>
  <c r="AO1533" i="2"/>
  <c r="AH1533" i="2"/>
  <c r="W1533" i="2"/>
  <c r="AI1533" i="2" s="1"/>
  <c r="U1533" i="2"/>
  <c r="M1533" i="2"/>
  <c r="N1533" i="2" s="1"/>
  <c r="AQ1533" i="2" s="1"/>
  <c r="K1533" i="2"/>
  <c r="J1533" i="2"/>
  <c r="I1533" i="2"/>
  <c r="H1533" i="2"/>
  <c r="F1533" i="2"/>
  <c r="D1533" i="2"/>
  <c r="C1533" i="2"/>
  <c r="B1533" i="2"/>
  <c r="A1533" i="2"/>
  <c r="AP1532" i="2"/>
  <c r="AO1532" i="2"/>
  <c r="AH1532" i="2"/>
  <c r="W1532" i="2"/>
  <c r="AI1532" i="2" s="1"/>
  <c r="U1532" i="2"/>
  <c r="M1532" i="2"/>
  <c r="N1532" i="2" s="1"/>
  <c r="AQ1532" i="2" s="1"/>
  <c r="K1532" i="2"/>
  <c r="J1532" i="2"/>
  <c r="I1532" i="2"/>
  <c r="H1532" i="2"/>
  <c r="F1532" i="2"/>
  <c r="D1532" i="2"/>
  <c r="C1532" i="2"/>
  <c r="B1532" i="2"/>
  <c r="A1532" i="2"/>
  <c r="AP1531" i="2"/>
  <c r="AO1531" i="2"/>
  <c r="W1531" i="2"/>
  <c r="U1531" i="2"/>
  <c r="M1531" i="2"/>
  <c r="N1531" i="2" s="1"/>
  <c r="AQ1531" i="2" s="1"/>
  <c r="K1531" i="2"/>
  <c r="J1531" i="2"/>
  <c r="I1531" i="2"/>
  <c r="H1531" i="2"/>
  <c r="F1531" i="2"/>
  <c r="G1531" i="2" s="1"/>
  <c r="D1531" i="2"/>
  <c r="C1531" i="2"/>
  <c r="B1531" i="2"/>
  <c r="A1531" i="2"/>
  <c r="AP1530" i="2"/>
  <c r="AO1530" i="2"/>
  <c r="AH1530" i="2"/>
  <c r="W1530" i="2"/>
  <c r="AI1530" i="2" s="1"/>
  <c r="U1530" i="2"/>
  <c r="M1530" i="2"/>
  <c r="N1530" i="2" s="1"/>
  <c r="AQ1530" i="2" s="1"/>
  <c r="K1530" i="2"/>
  <c r="J1530" i="2"/>
  <c r="I1530" i="2"/>
  <c r="H1530" i="2"/>
  <c r="F1530" i="2"/>
  <c r="D1530" i="2"/>
  <c r="C1530" i="2"/>
  <c r="B1530" i="2"/>
  <c r="A1530" i="2"/>
  <c r="AP1529" i="2"/>
  <c r="AO1529" i="2"/>
  <c r="W1529" i="2"/>
  <c r="U1529" i="2"/>
  <c r="M1529" i="2"/>
  <c r="N1529" i="2" s="1"/>
  <c r="AQ1529" i="2" s="1"/>
  <c r="K1529" i="2"/>
  <c r="J1529" i="2"/>
  <c r="I1529" i="2"/>
  <c r="H1529" i="2"/>
  <c r="F1529" i="2"/>
  <c r="G1529" i="2" s="1"/>
  <c r="D1529" i="2"/>
  <c r="C1529" i="2"/>
  <c r="B1529" i="2"/>
  <c r="A1529" i="2"/>
  <c r="AP1528" i="2"/>
  <c r="AO1528" i="2"/>
  <c r="AH1528" i="2"/>
  <c r="W1528" i="2"/>
  <c r="AI1528" i="2" s="1"/>
  <c r="U1528" i="2"/>
  <c r="M1528" i="2"/>
  <c r="N1528" i="2" s="1"/>
  <c r="AQ1528" i="2" s="1"/>
  <c r="K1528" i="2"/>
  <c r="J1528" i="2"/>
  <c r="I1528" i="2"/>
  <c r="H1528" i="2"/>
  <c r="F1528" i="2"/>
  <c r="D1528" i="2"/>
  <c r="C1528" i="2"/>
  <c r="B1528" i="2"/>
  <c r="A1528" i="2"/>
  <c r="AP1527" i="2"/>
  <c r="AO1527" i="2"/>
  <c r="W1527" i="2"/>
  <c r="AH1527" i="2" s="1"/>
  <c r="U1527" i="2"/>
  <c r="M1527" i="2"/>
  <c r="N1527" i="2" s="1"/>
  <c r="AQ1527" i="2" s="1"/>
  <c r="K1527" i="2"/>
  <c r="J1527" i="2"/>
  <c r="I1527" i="2"/>
  <c r="H1527" i="2"/>
  <c r="F1527" i="2"/>
  <c r="G1527" i="2" s="1"/>
  <c r="D1527" i="2"/>
  <c r="C1527" i="2"/>
  <c r="B1527" i="2"/>
  <c r="A1527" i="2"/>
  <c r="AP1526" i="2"/>
  <c r="AO1526" i="2"/>
  <c r="W1526" i="2"/>
  <c r="U1526" i="2"/>
  <c r="M1526" i="2"/>
  <c r="N1526" i="2" s="1"/>
  <c r="AQ1526" i="2" s="1"/>
  <c r="K1526" i="2"/>
  <c r="J1526" i="2"/>
  <c r="I1526" i="2"/>
  <c r="H1526" i="2"/>
  <c r="F1526" i="2"/>
  <c r="G1526" i="2" s="1"/>
  <c r="D1526" i="2"/>
  <c r="C1526" i="2"/>
  <c r="B1526" i="2"/>
  <c r="A1526" i="2"/>
  <c r="AP1525" i="2"/>
  <c r="AO1525" i="2"/>
  <c r="AH1525" i="2"/>
  <c r="W1525" i="2"/>
  <c r="AI1525" i="2" s="1"/>
  <c r="U1525" i="2"/>
  <c r="M1525" i="2"/>
  <c r="N1525" i="2" s="1"/>
  <c r="AQ1525" i="2" s="1"/>
  <c r="K1525" i="2"/>
  <c r="J1525" i="2"/>
  <c r="I1525" i="2"/>
  <c r="H1525" i="2"/>
  <c r="F1525" i="2"/>
  <c r="G1525" i="2" s="1"/>
  <c r="D1525" i="2"/>
  <c r="C1525" i="2"/>
  <c r="B1525" i="2"/>
  <c r="A1525" i="2"/>
  <c r="AP1524" i="2"/>
  <c r="AO1524" i="2"/>
  <c r="AH1524" i="2"/>
  <c r="W1524" i="2"/>
  <c r="AI1524" i="2" s="1"/>
  <c r="U1524" i="2"/>
  <c r="M1524" i="2"/>
  <c r="N1524" i="2" s="1"/>
  <c r="AQ1524" i="2" s="1"/>
  <c r="K1524" i="2"/>
  <c r="J1524" i="2"/>
  <c r="I1524" i="2"/>
  <c r="H1524" i="2"/>
  <c r="F1524" i="2"/>
  <c r="D1524" i="2"/>
  <c r="C1524" i="2"/>
  <c r="B1524" i="2"/>
  <c r="A1524" i="2"/>
  <c r="AP1523" i="2"/>
  <c r="AO1523" i="2"/>
  <c r="AH1523" i="2"/>
  <c r="W1523" i="2"/>
  <c r="AI1523" i="2" s="1"/>
  <c r="U1523" i="2"/>
  <c r="M1523" i="2"/>
  <c r="N1523" i="2" s="1"/>
  <c r="AQ1523" i="2" s="1"/>
  <c r="K1523" i="2"/>
  <c r="J1523" i="2"/>
  <c r="I1523" i="2"/>
  <c r="H1523" i="2"/>
  <c r="F1523" i="2"/>
  <c r="D1523" i="2"/>
  <c r="C1523" i="2"/>
  <c r="B1523" i="2"/>
  <c r="A1523" i="2"/>
  <c r="AP1522" i="2"/>
  <c r="AO1522" i="2"/>
  <c r="AH1522" i="2"/>
  <c r="W1522" i="2"/>
  <c r="AI1522" i="2" s="1"/>
  <c r="U1522" i="2"/>
  <c r="M1522" i="2"/>
  <c r="N1522" i="2" s="1"/>
  <c r="AQ1522" i="2" s="1"/>
  <c r="K1522" i="2"/>
  <c r="J1522" i="2"/>
  <c r="I1522" i="2"/>
  <c r="H1522" i="2"/>
  <c r="F1522" i="2"/>
  <c r="D1522" i="2"/>
  <c r="C1522" i="2"/>
  <c r="B1522" i="2"/>
  <c r="A1522" i="2"/>
  <c r="AP1521" i="2"/>
  <c r="AO1521" i="2"/>
  <c r="AH1521" i="2"/>
  <c r="W1521" i="2"/>
  <c r="AI1521" i="2" s="1"/>
  <c r="U1521" i="2"/>
  <c r="M1521" i="2"/>
  <c r="N1521" i="2" s="1"/>
  <c r="AQ1521" i="2" s="1"/>
  <c r="K1521" i="2"/>
  <c r="J1521" i="2"/>
  <c r="I1521" i="2"/>
  <c r="H1521" i="2"/>
  <c r="F1521" i="2"/>
  <c r="D1521" i="2"/>
  <c r="C1521" i="2"/>
  <c r="B1521" i="2"/>
  <c r="A1521" i="2"/>
  <c r="AP1520" i="2"/>
  <c r="AO1520" i="2"/>
  <c r="AH1520" i="2"/>
  <c r="W1520" i="2"/>
  <c r="AI1520" i="2" s="1"/>
  <c r="U1520" i="2"/>
  <c r="M1520" i="2"/>
  <c r="N1520" i="2" s="1"/>
  <c r="AQ1520" i="2" s="1"/>
  <c r="K1520" i="2"/>
  <c r="J1520" i="2"/>
  <c r="I1520" i="2"/>
  <c r="H1520" i="2"/>
  <c r="F1520" i="2"/>
  <c r="D1520" i="2"/>
  <c r="C1520" i="2"/>
  <c r="B1520" i="2"/>
  <c r="A1520" i="2"/>
  <c r="AP1519" i="2"/>
  <c r="AO1519" i="2"/>
  <c r="AH1519" i="2"/>
  <c r="W1519" i="2"/>
  <c r="AI1519" i="2" s="1"/>
  <c r="U1519" i="2"/>
  <c r="M1519" i="2"/>
  <c r="N1519" i="2" s="1"/>
  <c r="AQ1519" i="2" s="1"/>
  <c r="K1519" i="2"/>
  <c r="J1519" i="2"/>
  <c r="I1519" i="2"/>
  <c r="H1519" i="2"/>
  <c r="F1519" i="2"/>
  <c r="D1519" i="2"/>
  <c r="C1519" i="2"/>
  <c r="B1519" i="2"/>
  <c r="A1519" i="2"/>
  <c r="AP1518" i="2"/>
  <c r="AO1518" i="2"/>
  <c r="AH1518" i="2"/>
  <c r="W1518" i="2"/>
  <c r="AI1518" i="2" s="1"/>
  <c r="U1518" i="2"/>
  <c r="M1518" i="2"/>
  <c r="N1518" i="2" s="1"/>
  <c r="AQ1518" i="2" s="1"/>
  <c r="K1518" i="2"/>
  <c r="J1518" i="2"/>
  <c r="I1518" i="2"/>
  <c r="H1518" i="2"/>
  <c r="F1518" i="2"/>
  <c r="D1518" i="2"/>
  <c r="C1518" i="2"/>
  <c r="B1518" i="2"/>
  <c r="A1518" i="2"/>
  <c r="AP1517" i="2"/>
  <c r="AO1517" i="2"/>
  <c r="AH1517" i="2"/>
  <c r="W1517" i="2"/>
  <c r="AI1517" i="2" s="1"/>
  <c r="U1517" i="2"/>
  <c r="M1517" i="2"/>
  <c r="N1517" i="2" s="1"/>
  <c r="AQ1517" i="2" s="1"/>
  <c r="K1517" i="2"/>
  <c r="J1517" i="2"/>
  <c r="I1517" i="2"/>
  <c r="H1517" i="2"/>
  <c r="F1517" i="2"/>
  <c r="D1517" i="2"/>
  <c r="C1517" i="2"/>
  <c r="B1517" i="2"/>
  <c r="A1517" i="2"/>
  <c r="AP1516" i="2"/>
  <c r="AO1516" i="2"/>
  <c r="AH1516" i="2"/>
  <c r="W1516" i="2"/>
  <c r="AI1516" i="2" s="1"/>
  <c r="U1516" i="2"/>
  <c r="M1516" i="2"/>
  <c r="N1516" i="2" s="1"/>
  <c r="AQ1516" i="2" s="1"/>
  <c r="K1516" i="2"/>
  <c r="J1516" i="2"/>
  <c r="I1516" i="2"/>
  <c r="H1516" i="2"/>
  <c r="F1516" i="2"/>
  <c r="D1516" i="2"/>
  <c r="C1516" i="2"/>
  <c r="B1516" i="2"/>
  <c r="A1516" i="2"/>
  <c r="AP1515" i="2"/>
  <c r="AO1515" i="2"/>
  <c r="AH1515" i="2"/>
  <c r="W1515" i="2"/>
  <c r="AI1515" i="2" s="1"/>
  <c r="U1515" i="2"/>
  <c r="M1515" i="2"/>
  <c r="N1515" i="2" s="1"/>
  <c r="AQ1515" i="2" s="1"/>
  <c r="K1515" i="2"/>
  <c r="J1515" i="2"/>
  <c r="I1515" i="2"/>
  <c r="H1515" i="2"/>
  <c r="F1515" i="2"/>
  <c r="D1515" i="2"/>
  <c r="C1515" i="2"/>
  <c r="B1515" i="2"/>
  <c r="A1515" i="2"/>
  <c r="AP1514" i="2"/>
  <c r="AO1514" i="2"/>
  <c r="AH1514" i="2"/>
  <c r="W1514" i="2"/>
  <c r="AI1514" i="2" s="1"/>
  <c r="U1514" i="2"/>
  <c r="M1514" i="2"/>
  <c r="N1514" i="2" s="1"/>
  <c r="AQ1514" i="2" s="1"/>
  <c r="K1514" i="2"/>
  <c r="J1514" i="2"/>
  <c r="I1514" i="2"/>
  <c r="H1514" i="2"/>
  <c r="F1514" i="2"/>
  <c r="D1514" i="2"/>
  <c r="C1514" i="2"/>
  <c r="B1514" i="2"/>
  <c r="A1514" i="2"/>
  <c r="AP1513" i="2"/>
  <c r="AO1513" i="2"/>
  <c r="AH1513" i="2"/>
  <c r="W1513" i="2"/>
  <c r="AI1513" i="2" s="1"/>
  <c r="U1513" i="2"/>
  <c r="M1513" i="2"/>
  <c r="N1513" i="2" s="1"/>
  <c r="AQ1513" i="2" s="1"/>
  <c r="K1513" i="2"/>
  <c r="J1513" i="2"/>
  <c r="I1513" i="2"/>
  <c r="H1513" i="2"/>
  <c r="F1513" i="2"/>
  <c r="D1513" i="2"/>
  <c r="C1513" i="2"/>
  <c r="B1513" i="2"/>
  <c r="A1513" i="2"/>
  <c r="AP1512" i="2"/>
  <c r="AO1512" i="2"/>
  <c r="AH1512" i="2"/>
  <c r="W1512" i="2"/>
  <c r="AI1512" i="2" s="1"/>
  <c r="U1512" i="2"/>
  <c r="M1512" i="2"/>
  <c r="N1512" i="2" s="1"/>
  <c r="AQ1512" i="2" s="1"/>
  <c r="K1512" i="2"/>
  <c r="J1512" i="2"/>
  <c r="I1512" i="2"/>
  <c r="H1512" i="2"/>
  <c r="F1512" i="2"/>
  <c r="D1512" i="2"/>
  <c r="C1512" i="2"/>
  <c r="B1512" i="2"/>
  <c r="A1512" i="2"/>
  <c r="AP1511" i="2"/>
  <c r="AO1511" i="2"/>
  <c r="AH1511" i="2"/>
  <c r="W1511" i="2"/>
  <c r="AI1511" i="2" s="1"/>
  <c r="U1511" i="2"/>
  <c r="M1511" i="2"/>
  <c r="N1511" i="2" s="1"/>
  <c r="AQ1511" i="2" s="1"/>
  <c r="K1511" i="2"/>
  <c r="J1511" i="2"/>
  <c r="I1511" i="2"/>
  <c r="H1511" i="2"/>
  <c r="F1511" i="2"/>
  <c r="D1511" i="2"/>
  <c r="C1511" i="2"/>
  <c r="B1511" i="2"/>
  <c r="A1511" i="2"/>
  <c r="AP1510" i="2"/>
  <c r="AO1510" i="2"/>
  <c r="AH1510" i="2"/>
  <c r="W1510" i="2"/>
  <c r="AI1510" i="2" s="1"/>
  <c r="U1510" i="2"/>
  <c r="M1510" i="2"/>
  <c r="N1510" i="2" s="1"/>
  <c r="AQ1510" i="2" s="1"/>
  <c r="K1510" i="2"/>
  <c r="J1510" i="2"/>
  <c r="I1510" i="2"/>
  <c r="H1510" i="2"/>
  <c r="F1510" i="2"/>
  <c r="G1510" i="2" s="1"/>
  <c r="D1510" i="2"/>
  <c r="C1510" i="2"/>
  <c r="B1510" i="2"/>
  <c r="A1510" i="2"/>
  <c r="AP1509" i="2"/>
  <c r="AO1509" i="2"/>
  <c r="W1509" i="2"/>
  <c r="U1509" i="2"/>
  <c r="M1509" i="2"/>
  <c r="N1509" i="2" s="1"/>
  <c r="AQ1509" i="2" s="1"/>
  <c r="K1509" i="2"/>
  <c r="J1509" i="2"/>
  <c r="I1509" i="2"/>
  <c r="H1509" i="2"/>
  <c r="F1509" i="2"/>
  <c r="G1509" i="2" s="1"/>
  <c r="D1509" i="2"/>
  <c r="C1509" i="2"/>
  <c r="B1509" i="2"/>
  <c r="A1509" i="2"/>
  <c r="AP1508" i="2"/>
  <c r="AO1508" i="2"/>
  <c r="AH1508" i="2"/>
  <c r="W1508" i="2"/>
  <c r="AI1508" i="2" s="1"/>
  <c r="U1508" i="2"/>
  <c r="M1508" i="2"/>
  <c r="N1508" i="2" s="1"/>
  <c r="AQ1508" i="2" s="1"/>
  <c r="K1508" i="2"/>
  <c r="J1508" i="2"/>
  <c r="I1508" i="2"/>
  <c r="H1508" i="2"/>
  <c r="F1508" i="2"/>
  <c r="D1508" i="2"/>
  <c r="C1508" i="2"/>
  <c r="B1508" i="2"/>
  <c r="A1508" i="2"/>
  <c r="AP1507" i="2"/>
  <c r="AO1507" i="2"/>
  <c r="W1507" i="2"/>
  <c r="U1507" i="2"/>
  <c r="M1507" i="2"/>
  <c r="N1507" i="2" s="1"/>
  <c r="AQ1507" i="2" s="1"/>
  <c r="K1507" i="2"/>
  <c r="J1507" i="2"/>
  <c r="I1507" i="2"/>
  <c r="H1507" i="2"/>
  <c r="F1507" i="2"/>
  <c r="G1507" i="2" s="1"/>
  <c r="D1507" i="2"/>
  <c r="C1507" i="2"/>
  <c r="B1507" i="2"/>
  <c r="A1507" i="2"/>
  <c r="AP1506" i="2"/>
  <c r="AO1506" i="2"/>
  <c r="AH1506" i="2"/>
  <c r="W1506" i="2"/>
  <c r="AI1506" i="2" s="1"/>
  <c r="U1506" i="2"/>
  <c r="M1506" i="2"/>
  <c r="N1506" i="2" s="1"/>
  <c r="AQ1506" i="2" s="1"/>
  <c r="K1506" i="2"/>
  <c r="J1506" i="2"/>
  <c r="I1506" i="2"/>
  <c r="H1506" i="2"/>
  <c r="F1506" i="2"/>
  <c r="D1506" i="2"/>
  <c r="C1506" i="2"/>
  <c r="B1506" i="2"/>
  <c r="A1506" i="2"/>
  <c r="AP1505" i="2"/>
  <c r="AO1505" i="2"/>
  <c r="AH1505" i="2"/>
  <c r="W1505" i="2"/>
  <c r="AI1505" i="2" s="1"/>
  <c r="U1505" i="2"/>
  <c r="M1505" i="2"/>
  <c r="N1505" i="2" s="1"/>
  <c r="AQ1505" i="2" s="1"/>
  <c r="K1505" i="2"/>
  <c r="J1505" i="2"/>
  <c r="I1505" i="2"/>
  <c r="H1505" i="2"/>
  <c r="F1505" i="2"/>
  <c r="D1505" i="2"/>
  <c r="C1505" i="2"/>
  <c r="B1505" i="2"/>
  <c r="A1505" i="2"/>
  <c r="AP1504" i="2"/>
  <c r="AO1504" i="2"/>
  <c r="W1504" i="2"/>
  <c r="U1504" i="2"/>
  <c r="M1504" i="2"/>
  <c r="N1504" i="2" s="1"/>
  <c r="AQ1504" i="2" s="1"/>
  <c r="K1504" i="2"/>
  <c r="J1504" i="2"/>
  <c r="I1504" i="2"/>
  <c r="H1504" i="2"/>
  <c r="F1504" i="2"/>
  <c r="G1504" i="2" s="1"/>
  <c r="D1504" i="2"/>
  <c r="C1504" i="2"/>
  <c r="B1504" i="2"/>
  <c r="A1504" i="2"/>
  <c r="AP1503" i="2"/>
  <c r="AO1503" i="2"/>
  <c r="W1503" i="2"/>
  <c r="U1503" i="2"/>
  <c r="M1503" i="2"/>
  <c r="N1503" i="2" s="1"/>
  <c r="AQ1503" i="2" s="1"/>
  <c r="K1503" i="2"/>
  <c r="J1503" i="2"/>
  <c r="I1503" i="2"/>
  <c r="H1503" i="2"/>
  <c r="F1503" i="2"/>
  <c r="G1503" i="2" s="1"/>
  <c r="D1503" i="2"/>
  <c r="C1503" i="2"/>
  <c r="B1503" i="2"/>
  <c r="A1503" i="2"/>
  <c r="AP1502" i="2"/>
  <c r="AO1502" i="2"/>
  <c r="W1502" i="2"/>
  <c r="U1502" i="2"/>
  <c r="M1502" i="2"/>
  <c r="N1502" i="2" s="1"/>
  <c r="AQ1502" i="2" s="1"/>
  <c r="K1502" i="2"/>
  <c r="J1502" i="2"/>
  <c r="I1502" i="2"/>
  <c r="H1502" i="2"/>
  <c r="F1502" i="2"/>
  <c r="G1502" i="2" s="1"/>
  <c r="D1502" i="2"/>
  <c r="C1502" i="2"/>
  <c r="B1502" i="2"/>
  <c r="A1502" i="2"/>
  <c r="AP1501" i="2"/>
  <c r="AO1501" i="2"/>
  <c r="AH1501" i="2"/>
  <c r="W1501" i="2"/>
  <c r="AI1501" i="2" s="1"/>
  <c r="U1501" i="2"/>
  <c r="M1501" i="2"/>
  <c r="N1501" i="2" s="1"/>
  <c r="AQ1501" i="2" s="1"/>
  <c r="K1501" i="2"/>
  <c r="J1501" i="2"/>
  <c r="I1501" i="2"/>
  <c r="H1501" i="2"/>
  <c r="F1501" i="2"/>
  <c r="G1501" i="2" s="1"/>
  <c r="D1501" i="2"/>
  <c r="C1501" i="2"/>
  <c r="B1501" i="2"/>
  <c r="A1501" i="2"/>
  <c r="AP1500" i="2"/>
  <c r="AO1500" i="2"/>
  <c r="AH1500" i="2"/>
  <c r="W1500" i="2"/>
  <c r="AI1500" i="2" s="1"/>
  <c r="U1500" i="2"/>
  <c r="M1500" i="2"/>
  <c r="N1500" i="2" s="1"/>
  <c r="AQ1500" i="2" s="1"/>
  <c r="K1500" i="2"/>
  <c r="J1500" i="2"/>
  <c r="I1500" i="2"/>
  <c r="H1500" i="2"/>
  <c r="F1500" i="2"/>
  <c r="D1500" i="2"/>
  <c r="C1500" i="2"/>
  <c r="B1500" i="2"/>
  <c r="A1500" i="2"/>
  <c r="AP1499" i="2"/>
  <c r="AO1499" i="2"/>
  <c r="AH1499" i="2"/>
  <c r="W1499" i="2"/>
  <c r="AI1499" i="2" s="1"/>
  <c r="U1499" i="2"/>
  <c r="M1499" i="2"/>
  <c r="N1499" i="2" s="1"/>
  <c r="AQ1499" i="2" s="1"/>
  <c r="K1499" i="2"/>
  <c r="J1499" i="2"/>
  <c r="I1499" i="2"/>
  <c r="H1499" i="2"/>
  <c r="F1499" i="2"/>
  <c r="G1499" i="2" s="1"/>
  <c r="D1499" i="2"/>
  <c r="C1499" i="2"/>
  <c r="B1499" i="2"/>
  <c r="A1499" i="2"/>
  <c r="AP1498" i="2"/>
  <c r="AO1498" i="2"/>
  <c r="W1498" i="2"/>
  <c r="AH1498" i="2" s="1"/>
  <c r="U1498" i="2"/>
  <c r="M1498" i="2"/>
  <c r="N1498" i="2" s="1"/>
  <c r="AQ1498" i="2" s="1"/>
  <c r="K1498" i="2"/>
  <c r="J1498" i="2"/>
  <c r="I1498" i="2"/>
  <c r="H1498" i="2"/>
  <c r="F1498" i="2"/>
  <c r="G1498" i="2" s="1"/>
  <c r="D1498" i="2"/>
  <c r="C1498" i="2"/>
  <c r="B1498" i="2"/>
  <c r="A1498" i="2"/>
  <c r="AP1497" i="2"/>
  <c r="AO1497" i="2"/>
  <c r="W1497" i="2"/>
  <c r="AH1497" i="2" s="1"/>
  <c r="U1497" i="2"/>
  <c r="M1497" i="2"/>
  <c r="N1497" i="2" s="1"/>
  <c r="AQ1497" i="2" s="1"/>
  <c r="K1497" i="2"/>
  <c r="J1497" i="2"/>
  <c r="I1497" i="2"/>
  <c r="H1497" i="2"/>
  <c r="F1497" i="2"/>
  <c r="G1497" i="2" s="1"/>
  <c r="D1497" i="2"/>
  <c r="C1497" i="2"/>
  <c r="B1497" i="2"/>
  <c r="A1497" i="2"/>
  <c r="AP1496" i="2"/>
  <c r="AO1496" i="2"/>
  <c r="AH1496" i="2"/>
  <c r="W1496" i="2"/>
  <c r="AI1496" i="2" s="1"/>
  <c r="U1496" i="2"/>
  <c r="M1496" i="2"/>
  <c r="N1496" i="2" s="1"/>
  <c r="AQ1496" i="2" s="1"/>
  <c r="K1496" i="2"/>
  <c r="J1496" i="2"/>
  <c r="I1496" i="2"/>
  <c r="H1496" i="2"/>
  <c r="F1496" i="2"/>
  <c r="D1496" i="2"/>
  <c r="C1496" i="2"/>
  <c r="B1496" i="2"/>
  <c r="A1496" i="2"/>
  <c r="AP1495" i="2"/>
  <c r="AO1495" i="2"/>
  <c r="W1495" i="2"/>
  <c r="AH1495" i="2" s="1"/>
  <c r="U1495" i="2"/>
  <c r="M1495" i="2"/>
  <c r="N1495" i="2" s="1"/>
  <c r="AQ1495" i="2" s="1"/>
  <c r="K1495" i="2"/>
  <c r="J1495" i="2"/>
  <c r="I1495" i="2"/>
  <c r="H1495" i="2"/>
  <c r="F1495" i="2"/>
  <c r="G1495" i="2" s="1"/>
  <c r="D1495" i="2"/>
  <c r="C1495" i="2"/>
  <c r="B1495" i="2"/>
  <c r="A1495" i="2"/>
  <c r="AP1494" i="2"/>
  <c r="AO1494" i="2"/>
  <c r="W1494" i="2"/>
  <c r="AH1494" i="2" s="1"/>
  <c r="U1494" i="2"/>
  <c r="M1494" i="2"/>
  <c r="N1494" i="2" s="1"/>
  <c r="AQ1494" i="2" s="1"/>
  <c r="K1494" i="2"/>
  <c r="J1494" i="2"/>
  <c r="I1494" i="2"/>
  <c r="H1494" i="2"/>
  <c r="F1494" i="2"/>
  <c r="G1494" i="2" s="1"/>
  <c r="D1494" i="2"/>
  <c r="C1494" i="2"/>
  <c r="B1494" i="2"/>
  <c r="A1494" i="2"/>
  <c r="AP1493" i="2"/>
  <c r="AO1493" i="2"/>
  <c r="W1493" i="2"/>
  <c r="U1493" i="2"/>
  <c r="M1493" i="2"/>
  <c r="N1493" i="2" s="1"/>
  <c r="AQ1493" i="2" s="1"/>
  <c r="K1493" i="2"/>
  <c r="J1493" i="2"/>
  <c r="I1493" i="2"/>
  <c r="H1493" i="2"/>
  <c r="F1493" i="2"/>
  <c r="G1493" i="2" s="1"/>
  <c r="D1493" i="2"/>
  <c r="C1493" i="2"/>
  <c r="B1493" i="2"/>
  <c r="A1493" i="2"/>
  <c r="AP1492" i="2"/>
  <c r="AO1492" i="2"/>
  <c r="W1492" i="2"/>
  <c r="U1492" i="2"/>
  <c r="M1492" i="2"/>
  <c r="N1492" i="2" s="1"/>
  <c r="AQ1492" i="2" s="1"/>
  <c r="K1492" i="2"/>
  <c r="J1492" i="2"/>
  <c r="I1492" i="2"/>
  <c r="H1492" i="2"/>
  <c r="F1492" i="2"/>
  <c r="G1492" i="2" s="1"/>
  <c r="D1492" i="2"/>
  <c r="C1492" i="2"/>
  <c r="B1492" i="2"/>
  <c r="A1492" i="2"/>
  <c r="AP1491" i="2"/>
  <c r="AO1491" i="2"/>
  <c r="W1491" i="2"/>
  <c r="U1491" i="2"/>
  <c r="M1491" i="2"/>
  <c r="N1491" i="2" s="1"/>
  <c r="AQ1491" i="2" s="1"/>
  <c r="K1491" i="2"/>
  <c r="J1491" i="2"/>
  <c r="I1491" i="2"/>
  <c r="H1491" i="2"/>
  <c r="F1491" i="2"/>
  <c r="G1491" i="2" s="1"/>
  <c r="D1491" i="2"/>
  <c r="C1491" i="2"/>
  <c r="B1491" i="2"/>
  <c r="A1491" i="2"/>
  <c r="AP1490" i="2"/>
  <c r="AO1490" i="2"/>
  <c r="W1490" i="2"/>
  <c r="U1490" i="2"/>
  <c r="M1490" i="2"/>
  <c r="N1490" i="2" s="1"/>
  <c r="AQ1490" i="2" s="1"/>
  <c r="K1490" i="2"/>
  <c r="J1490" i="2"/>
  <c r="I1490" i="2"/>
  <c r="H1490" i="2"/>
  <c r="F1490" i="2"/>
  <c r="G1490" i="2" s="1"/>
  <c r="D1490" i="2"/>
  <c r="C1490" i="2"/>
  <c r="B1490" i="2"/>
  <c r="A1490" i="2"/>
  <c r="AP1489" i="2"/>
  <c r="AO1489" i="2"/>
  <c r="W1489" i="2"/>
  <c r="AI1489" i="2" s="1"/>
  <c r="U1489" i="2"/>
  <c r="M1489" i="2"/>
  <c r="N1489" i="2" s="1"/>
  <c r="AQ1489" i="2" s="1"/>
  <c r="K1489" i="2"/>
  <c r="J1489" i="2"/>
  <c r="I1489" i="2"/>
  <c r="H1489" i="2"/>
  <c r="F1489" i="2"/>
  <c r="G1489" i="2" s="1"/>
  <c r="D1489" i="2"/>
  <c r="C1489" i="2"/>
  <c r="B1489" i="2"/>
  <c r="A1489" i="2"/>
  <c r="AP1488" i="2"/>
  <c r="AO1488" i="2"/>
  <c r="AH1488" i="2"/>
  <c r="W1488" i="2"/>
  <c r="AI1488" i="2" s="1"/>
  <c r="U1488" i="2"/>
  <c r="M1488" i="2"/>
  <c r="N1488" i="2" s="1"/>
  <c r="AQ1488" i="2" s="1"/>
  <c r="K1488" i="2"/>
  <c r="J1488" i="2"/>
  <c r="I1488" i="2"/>
  <c r="H1488" i="2"/>
  <c r="F1488" i="2"/>
  <c r="D1488" i="2"/>
  <c r="C1488" i="2"/>
  <c r="B1488" i="2"/>
  <c r="A1488" i="2"/>
  <c r="AP1487" i="2"/>
  <c r="AO1487" i="2"/>
  <c r="W1487" i="2"/>
  <c r="AI1487" i="2" s="1"/>
  <c r="U1487" i="2"/>
  <c r="M1487" i="2"/>
  <c r="N1487" i="2" s="1"/>
  <c r="AQ1487" i="2" s="1"/>
  <c r="K1487" i="2"/>
  <c r="J1487" i="2"/>
  <c r="I1487" i="2"/>
  <c r="H1487" i="2"/>
  <c r="F1487" i="2"/>
  <c r="G1487" i="2" s="1"/>
  <c r="D1487" i="2"/>
  <c r="C1487" i="2"/>
  <c r="B1487" i="2"/>
  <c r="A1487" i="2"/>
  <c r="AP1486" i="2"/>
  <c r="AO1486" i="2"/>
  <c r="W1486" i="2"/>
  <c r="AI1486" i="2" s="1"/>
  <c r="U1486" i="2"/>
  <c r="M1486" i="2"/>
  <c r="N1486" i="2" s="1"/>
  <c r="AQ1486" i="2" s="1"/>
  <c r="K1486" i="2"/>
  <c r="J1486" i="2"/>
  <c r="I1486" i="2"/>
  <c r="H1486" i="2"/>
  <c r="F1486" i="2"/>
  <c r="G1486" i="2" s="1"/>
  <c r="D1486" i="2"/>
  <c r="C1486" i="2"/>
  <c r="B1486" i="2"/>
  <c r="A1486" i="2"/>
  <c r="AP1485" i="2"/>
  <c r="AO1485" i="2"/>
  <c r="AH1485" i="2"/>
  <c r="W1485" i="2"/>
  <c r="AI1485" i="2" s="1"/>
  <c r="U1485" i="2"/>
  <c r="M1485" i="2"/>
  <c r="N1485" i="2" s="1"/>
  <c r="AQ1485" i="2" s="1"/>
  <c r="K1485" i="2"/>
  <c r="J1485" i="2"/>
  <c r="I1485" i="2"/>
  <c r="H1485" i="2"/>
  <c r="F1485" i="2"/>
  <c r="G1485" i="2" s="1"/>
  <c r="D1485" i="2"/>
  <c r="C1485" i="2"/>
  <c r="B1485" i="2"/>
  <c r="A1485" i="2"/>
  <c r="AP1484" i="2"/>
  <c r="AO1484" i="2"/>
  <c r="W1484" i="2"/>
  <c r="AH1484" i="2" s="1"/>
  <c r="U1484" i="2"/>
  <c r="M1484" i="2"/>
  <c r="N1484" i="2" s="1"/>
  <c r="AQ1484" i="2" s="1"/>
  <c r="K1484" i="2"/>
  <c r="J1484" i="2"/>
  <c r="I1484" i="2"/>
  <c r="H1484" i="2"/>
  <c r="F1484" i="2"/>
  <c r="G1484" i="2" s="1"/>
  <c r="D1484" i="2"/>
  <c r="C1484" i="2"/>
  <c r="B1484" i="2"/>
  <c r="A1484" i="2"/>
  <c r="AP1483" i="2"/>
  <c r="AO1483" i="2"/>
  <c r="AH1483" i="2"/>
  <c r="W1483" i="2"/>
  <c r="AI1483" i="2" s="1"/>
  <c r="U1483" i="2"/>
  <c r="M1483" i="2"/>
  <c r="N1483" i="2" s="1"/>
  <c r="AQ1483" i="2" s="1"/>
  <c r="K1483" i="2"/>
  <c r="J1483" i="2"/>
  <c r="I1483" i="2"/>
  <c r="H1483" i="2"/>
  <c r="F1483" i="2"/>
  <c r="G1483" i="2" s="1"/>
  <c r="D1483" i="2"/>
  <c r="C1483" i="2"/>
  <c r="B1483" i="2"/>
  <c r="A1483" i="2"/>
  <c r="AP1482" i="2"/>
  <c r="AO1482" i="2"/>
  <c r="AH1482" i="2"/>
  <c r="W1482" i="2"/>
  <c r="AI1482" i="2" s="1"/>
  <c r="U1482" i="2"/>
  <c r="M1482" i="2"/>
  <c r="N1482" i="2" s="1"/>
  <c r="AQ1482" i="2" s="1"/>
  <c r="K1482" i="2"/>
  <c r="J1482" i="2"/>
  <c r="I1482" i="2"/>
  <c r="H1482" i="2"/>
  <c r="F1482" i="2"/>
  <c r="G1482" i="2" s="1"/>
  <c r="D1482" i="2"/>
  <c r="C1482" i="2"/>
  <c r="B1482" i="2"/>
  <c r="A1482" i="2"/>
  <c r="AP1481" i="2"/>
  <c r="AO1481" i="2"/>
  <c r="AH1481" i="2"/>
  <c r="W1481" i="2"/>
  <c r="AI1481" i="2" s="1"/>
  <c r="U1481" i="2"/>
  <c r="M1481" i="2"/>
  <c r="N1481" i="2" s="1"/>
  <c r="AQ1481" i="2" s="1"/>
  <c r="K1481" i="2"/>
  <c r="J1481" i="2"/>
  <c r="I1481" i="2"/>
  <c r="H1481" i="2"/>
  <c r="F1481" i="2"/>
  <c r="G1481" i="2" s="1"/>
  <c r="D1481" i="2"/>
  <c r="C1481" i="2"/>
  <c r="B1481" i="2"/>
  <c r="A1481" i="2"/>
  <c r="AP1480" i="2"/>
  <c r="AO1480" i="2"/>
  <c r="W1480" i="2"/>
  <c r="U1480" i="2"/>
  <c r="M1480" i="2"/>
  <c r="N1480" i="2" s="1"/>
  <c r="AQ1480" i="2" s="1"/>
  <c r="K1480" i="2"/>
  <c r="J1480" i="2"/>
  <c r="I1480" i="2"/>
  <c r="H1480" i="2"/>
  <c r="F1480" i="2"/>
  <c r="G1480" i="2" s="1"/>
  <c r="D1480" i="2"/>
  <c r="C1480" i="2"/>
  <c r="B1480" i="2"/>
  <c r="A1480" i="2"/>
  <c r="AP1479" i="2"/>
  <c r="AO1479" i="2"/>
  <c r="W1479" i="2"/>
  <c r="U1479" i="2"/>
  <c r="M1479" i="2"/>
  <c r="N1479" i="2" s="1"/>
  <c r="AQ1479" i="2" s="1"/>
  <c r="K1479" i="2"/>
  <c r="J1479" i="2"/>
  <c r="I1479" i="2"/>
  <c r="H1479" i="2"/>
  <c r="F1479" i="2"/>
  <c r="G1479" i="2" s="1"/>
  <c r="D1479" i="2"/>
  <c r="C1479" i="2"/>
  <c r="B1479" i="2"/>
  <c r="A1479" i="2"/>
  <c r="AP1478" i="2"/>
  <c r="AO1478" i="2"/>
  <c r="AH1478" i="2"/>
  <c r="W1478" i="2"/>
  <c r="AI1478" i="2" s="1"/>
  <c r="U1478" i="2"/>
  <c r="M1478" i="2"/>
  <c r="N1478" i="2" s="1"/>
  <c r="AQ1478" i="2" s="1"/>
  <c r="K1478" i="2"/>
  <c r="J1478" i="2"/>
  <c r="I1478" i="2"/>
  <c r="H1478" i="2"/>
  <c r="F1478" i="2"/>
  <c r="D1478" i="2"/>
  <c r="C1478" i="2"/>
  <c r="B1478" i="2"/>
  <c r="A1478" i="2"/>
  <c r="AP1477" i="2"/>
  <c r="AO1477" i="2"/>
  <c r="W1477" i="2"/>
  <c r="U1477" i="2"/>
  <c r="M1477" i="2"/>
  <c r="N1477" i="2" s="1"/>
  <c r="AQ1477" i="2" s="1"/>
  <c r="K1477" i="2"/>
  <c r="J1477" i="2"/>
  <c r="I1477" i="2"/>
  <c r="H1477" i="2"/>
  <c r="F1477" i="2"/>
  <c r="G1477" i="2" s="1"/>
  <c r="D1477" i="2"/>
  <c r="C1477" i="2"/>
  <c r="B1477" i="2"/>
  <c r="A1477" i="2"/>
  <c r="AP1476" i="2"/>
  <c r="AO1476" i="2"/>
  <c r="W1476" i="2"/>
  <c r="U1476" i="2"/>
  <c r="M1476" i="2"/>
  <c r="N1476" i="2" s="1"/>
  <c r="AQ1476" i="2" s="1"/>
  <c r="K1476" i="2"/>
  <c r="J1476" i="2"/>
  <c r="I1476" i="2"/>
  <c r="H1476" i="2"/>
  <c r="F1476" i="2"/>
  <c r="G1476" i="2" s="1"/>
  <c r="D1476" i="2"/>
  <c r="C1476" i="2"/>
  <c r="B1476" i="2"/>
  <c r="A1476" i="2"/>
  <c r="AP1475" i="2"/>
  <c r="AO1475" i="2"/>
  <c r="W1475" i="2"/>
  <c r="U1475" i="2"/>
  <c r="M1475" i="2"/>
  <c r="N1475" i="2" s="1"/>
  <c r="AQ1475" i="2" s="1"/>
  <c r="K1475" i="2"/>
  <c r="J1475" i="2"/>
  <c r="I1475" i="2"/>
  <c r="H1475" i="2"/>
  <c r="F1475" i="2"/>
  <c r="G1475" i="2" s="1"/>
  <c r="D1475" i="2"/>
  <c r="C1475" i="2"/>
  <c r="B1475" i="2"/>
  <c r="A1475" i="2"/>
  <c r="AP1474" i="2"/>
  <c r="AO1474" i="2"/>
  <c r="W1474" i="2"/>
  <c r="U1474" i="2"/>
  <c r="M1474" i="2"/>
  <c r="N1474" i="2" s="1"/>
  <c r="AQ1474" i="2" s="1"/>
  <c r="K1474" i="2"/>
  <c r="J1474" i="2"/>
  <c r="I1474" i="2"/>
  <c r="H1474" i="2"/>
  <c r="F1474" i="2"/>
  <c r="G1474" i="2" s="1"/>
  <c r="D1474" i="2"/>
  <c r="C1474" i="2"/>
  <c r="B1474" i="2"/>
  <c r="A1474" i="2"/>
  <c r="AP1473" i="2"/>
  <c r="AO1473" i="2"/>
  <c r="W1473" i="2"/>
  <c r="U1473" i="2"/>
  <c r="M1473" i="2"/>
  <c r="N1473" i="2" s="1"/>
  <c r="AQ1473" i="2" s="1"/>
  <c r="K1473" i="2"/>
  <c r="J1473" i="2"/>
  <c r="I1473" i="2"/>
  <c r="H1473" i="2"/>
  <c r="F1473" i="2"/>
  <c r="G1473" i="2" s="1"/>
  <c r="D1473" i="2"/>
  <c r="C1473" i="2"/>
  <c r="B1473" i="2"/>
  <c r="A1473" i="2"/>
  <c r="AP1472" i="2"/>
  <c r="AO1472" i="2"/>
  <c r="W1472" i="2"/>
  <c r="AI1472" i="2" s="1"/>
  <c r="U1472" i="2"/>
  <c r="M1472" i="2"/>
  <c r="N1472" i="2" s="1"/>
  <c r="AQ1472" i="2" s="1"/>
  <c r="K1472" i="2"/>
  <c r="J1472" i="2"/>
  <c r="I1472" i="2"/>
  <c r="H1472" i="2"/>
  <c r="F1472" i="2"/>
  <c r="G1472" i="2" s="1"/>
  <c r="D1472" i="2"/>
  <c r="C1472" i="2"/>
  <c r="B1472" i="2"/>
  <c r="A1472" i="2"/>
  <c r="AP1471" i="2"/>
  <c r="AO1471" i="2"/>
  <c r="AH1471" i="2"/>
  <c r="W1471" i="2"/>
  <c r="AI1471" i="2" s="1"/>
  <c r="U1471" i="2"/>
  <c r="M1471" i="2"/>
  <c r="N1471" i="2" s="1"/>
  <c r="AQ1471" i="2" s="1"/>
  <c r="K1471" i="2"/>
  <c r="J1471" i="2"/>
  <c r="I1471" i="2"/>
  <c r="H1471" i="2"/>
  <c r="F1471" i="2"/>
  <c r="G1471" i="2" s="1"/>
  <c r="D1471" i="2"/>
  <c r="C1471" i="2"/>
  <c r="B1471" i="2"/>
  <c r="A1471" i="2"/>
  <c r="AP1470" i="2"/>
  <c r="AO1470" i="2"/>
  <c r="AH1470" i="2"/>
  <c r="W1470" i="2"/>
  <c r="AI1470" i="2" s="1"/>
  <c r="U1470" i="2"/>
  <c r="M1470" i="2"/>
  <c r="N1470" i="2" s="1"/>
  <c r="AQ1470" i="2" s="1"/>
  <c r="K1470" i="2"/>
  <c r="J1470" i="2"/>
  <c r="I1470" i="2"/>
  <c r="H1470" i="2"/>
  <c r="F1470" i="2"/>
  <c r="D1470" i="2"/>
  <c r="C1470" i="2"/>
  <c r="B1470" i="2"/>
  <c r="A1470" i="2"/>
  <c r="AP1469" i="2"/>
  <c r="AO1469" i="2"/>
  <c r="AH1469" i="2"/>
  <c r="W1469" i="2"/>
  <c r="AI1469" i="2" s="1"/>
  <c r="U1469" i="2"/>
  <c r="M1469" i="2"/>
  <c r="N1469" i="2" s="1"/>
  <c r="AQ1469" i="2" s="1"/>
  <c r="K1469" i="2"/>
  <c r="J1469" i="2"/>
  <c r="I1469" i="2"/>
  <c r="H1469" i="2"/>
  <c r="F1469" i="2"/>
  <c r="G1469" i="2" s="1"/>
  <c r="D1469" i="2"/>
  <c r="C1469" i="2"/>
  <c r="B1469" i="2"/>
  <c r="A1469" i="2"/>
  <c r="AP1468" i="2"/>
  <c r="AO1468" i="2"/>
  <c r="AH1468" i="2"/>
  <c r="W1468" i="2"/>
  <c r="AI1468" i="2" s="1"/>
  <c r="U1468" i="2"/>
  <c r="M1468" i="2"/>
  <c r="N1468" i="2" s="1"/>
  <c r="AQ1468" i="2" s="1"/>
  <c r="K1468" i="2"/>
  <c r="J1468" i="2"/>
  <c r="I1468" i="2"/>
  <c r="H1468" i="2"/>
  <c r="F1468" i="2"/>
  <c r="G1468" i="2" s="1"/>
  <c r="D1468" i="2"/>
  <c r="C1468" i="2"/>
  <c r="B1468" i="2"/>
  <c r="A1468" i="2"/>
  <c r="AP1467" i="2"/>
  <c r="AO1467" i="2"/>
  <c r="AH1467" i="2"/>
  <c r="W1467" i="2"/>
  <c r="AI1467" i="2" s="1"/>
  <c r="U1467" i="2"/>
  <c r="M1467" i="2"/>
  <c r="N1467" i="2" s="1"/>
  <c r="AQ1467" i="2" s="1"/>
  <c r="K1467" i="2"/>
  <c r="J1467" i="2"/>
  <c r="I1467" i="2"/>
  <c r="H1467" i="2"/>
  <c r="F1467" i="2"/>
  <c r="G1467" i="2" s="1"/>
  <c r="D1467" i="2"/>
  <c r="C1467" i="2"/>
  <c r="B1467" i="2"/>
  <c r="A1467" i="2"/>
  <c r="AP1466" i="2"/>
  <c r="AO1466" i="2"/>
  <c r="W1466" i="2"/>
  <c r="U1466" i="2"/>
  <c r="M1466" i="2"/>
  <c r="N1466" i="2" s="1"/>
  <c r="AQ1466" i="2" s="1"/>
  <c r="K1466" i="2"/>
  <c r="J1466" i="2"/>
  <c r="I1466" i="2"/>
  <c r="H1466" i="2"/>
  <c r="F1466" i="2"/>
  <c r="G1466" i="2" s="1"/>
  <c r="D1466" i="2"/>
  <c r="C1466" i="2"/>
  <c r="B1466" i="2"/>
  <c r="A1466" i="2"/>
  <c r="AP1465" i="2"/>
  <c r="AO1465" i="2"/>
  <c r="W1465" i="2"/>
  <c r="U1465" i="2"/>
  <c r="M1465" i="2"/>
  <c r="N1465" i="2" s="1"/>
  <c r="AQ1465" i="2" s="1"/>
  <c r="K1465" i="2"/>
  <c r="J1465" i="2"/>
  <c r="I1465" i="2"/>
  <c r="H1465" i="2"/>
  <c r="F1465" i="2"/>
  <c r="G1465" i="2" s="1"/>
  <c r="D1465" i="2"/>
  <c r="C1465" i="2"/>
  <c r="B1465" i="2"/>
  <c r="A1465" i="2"/>
  <c r="AP1464" i="2"/>
  <c r="AO1464" i="2"/>
  <c r="W1464" i="2"/>
  <c r="U1464" i="2"/>
  <c r="M1464" i="2"/>
  <c r="N1464" i="2" s="1"/>
  <c r="AQ1464" i="2" s="1"/>
  <c r="K1464" i="2"/>
  <c r="J1464" i="2"/>
  <c r="I1464" i="2"/>
  <c r="H1464" i="2"/>
  <c r="F1464" i="2"/>
  <c r="G1464" i="2" s="1"/>
  <c r="D1464" i="2"/>
  <c r="C1464" i="2"/>
  <c r="B1464" i="2"/>
  <c r="A1464" i="2"/>
  <c r="AP1463" i="2"/>
  <c r="AO1463" i="2"/>
  <c r="AH1463" i="2"/>
  <c r="W1463" i="2"/>
  <c r="AI1463" i="2" s="1"/>
  <c r="U1463" i="2"/>
  <c r="M1463" i="2"/>
  <c r="N1463" i="2" s="1"/>
  <c r="AQ1463" i="2" s="1"/>
  <c r="K1463" i="2"/>
  <c r="J1463" i="2"/>
  <c r="I1463" i="2"/>
  <c r="H1463" i="2"/>
  <c r="F1463" i="2"/>
  <c r="D1463" i="2"/>
  <c r="C1463" i="2"/>
  <c r="B1463" i="2"/>
  <c r="A1463" i="2"/>
  <c r="AP1462" i="2"/>
  <c r="AO1462" i="2"/>
  <c r="AH1462" i="2"/>
  <c r="W1462" i="2"/>
  <c r="AI1462" i="2" s="1"/>
  <c r="U1462" i="2"/>
  <c r="M1462" i="2"/>
  <c r="N1462" i="2" s="1"/>
  <c r="AQ1462" i="2" s="1"/>
  <c r="K1462" i="2"/>
  <c r="J1462" i="2"/>
  <c r="I1462" i="2"/>
  <c r="H1462" i="2"/>
  <c r="F1462" i="2"/>
  <c r="D1462" i="2"/>
  <c r="C1462" i="2"/>
  <c r="B1462" i="2"/>
  <c r="A1462" i="2"/>
  <c r="AP1461" i="2"/>
  <c r="AO1461" i="2"/>
  <c r="W1461" i="2"/>
  <c r="U1461" i="2"/>
  <c r="M1461" i="2"/>
  <c r="N1461" i="2" s="1"/>
  <c r="AQ1461" i="2" s="1"/>
  <c r="K1461" i="2"/>
  <c r="J1461" i="2"/>
  <c r="I1461" i="2"/>
  <c r="H1461" i="2"/>
  <c r="F1461" i="2"/>
  <c r="G1461" i="2" s="1"/>
  <c r="D1461" i="2"/>
  <c r="C1461" i="2"/>
  <c r="B1461" i="2"/>
  <c r="A1461" i="2"/>
  <c r="AP1460" i="2"/>
  <c r="AO1460" i="2"/>
  <c r="W1460" i="2"/>
  <c r="AH1460" i="2" s="1"/>
  <c r="U1460" i="2"/>
  <c r="M1460" i="2"/>
  <c r="N1460" i="2" s="1"/>
  <c r="AQ1460" i="2" s="1"/>
  <c r="K1460" i="2"/>
  <c r="J1460" i="2"/>
  <c r="I1460" i="2"/>
  <c r="H1460" i="2"/>
  <c r="F1460" i="2"/>
  <c r="G1460" i="2" s="1"/>
  <c r="D1460" i="2"/>
  <c r="C1460" i="2"/>
  <c r="B1460" i="2"/>
  <c r="A1460" i="2"/>
  <c r="AP1459" i="2"/>
  <c r="AO1459" i="2"/>
  <c r="W1459" i="2"/>
  <c r="AH1459" i="2" s="1"/>
  <c r="U1459" i="2"/>
  <c r="M1459" i="2"/>
  <c r="N1459" i="2" s="1"/>
  <c r="AQ1459" i="2" s="1"/>
  <c r="K1459" i="2"/>
  <c r="J1459" i="2"/>
  <c r="I1459" i="2"/>
  <c r="H1459" i="2"/>
  <c r="F1459" i="2"/>
  <c r="G1459" i="2" s="1"/>
  <c r="D1459" i="2"/>
  <c r="C1459" i="2"/>
  <c r="B1459" i="2"/>
  <c r="A1459" i="2"/>
  <c r="AP1458" i="2"/>
  <c r="AO1458" i="2"/>
  <c r="AH1458" i="2"/>
  <c r="W1458" i="2"/>
  <c r="AI1458" i="2" s="1"/>
  <c r="U1458" i="2"/>
  <c r="M1458" i="2"/>
  <c r="N1458" i="2" s="1"/>
  <c r="AQ1458" i="2" s="1"/>
  <c r="K1458" i="2"/>
  <c r="J1458" i="2"/>
  <c r="I1458" i="2"/>
  <c r="H1458" i="2"/>
  <c r="F1458" i="2"/>
  <c r="D1458" i="2"/>
  <c r="C1458" i="2"/>
  <c r="B1458" i="2"/>
  <c r="A1458" i="2"/>
  <c r="AP1457" i="2"/>
  <c r="AO1457" i="2"/>
  <c r="AH1457" i="2"/>
  <c r="W1457" i="2"/>
  <c r="AI1457" i="2" s="1"/>
  <c r="U1457" i="2"/>
  <c r="M1457" i="2"/>
  <c r="N1457" i="2" s="1"/>
  <c r="AQ1457" i="2" s="1"/>
  <c r="K1457" i="2"/>
  <c r="J1457" i="2"/>
  <c r="I1457" i="2"/>
  <c r="H1457" i="2"/>
  <c r="F1457" i="2"/>
  <c r="G1457" i="2" s="1"/>
  <c r="D1457" i="2"/>
  <c r="C1457" i="2"/>
  <c r="B1457" i="2"/>
  <c r="A1457" i="2"/>
  <c r="AP1456" i="2"/>
  <c r="AO1456" i="2"/>
  <c r="W1456" i="2"/>
  <c r="U1456" i="2"/>
  <c r="M1456" i="2"/>
  <c r="N1456" i="2" s="1"/>
  <c r="AQ1456" i="2" s="1"/>
  <c r="K1456" i="2"/>
  <c r="J1456" i="2"/>
  <c r="I1456" i="2"/>
  <c r="H1456" i="2"/>
  <c r="F1456" i="2"/>
  <c r="G1456" i="2" s="1"/>
  <c r="D1456" i="2"/>
  <c r="C1456" i="2"/>
  <c r="B1456" i="2"/>
  <c r="A1456" i="2"/>
  <c r="AP1455" i="2"/>
  <c r="AO1455" i="2"/>
  <c r="W1455" i="2"/>
  <c r="AI1455" i="2" s="1"/>
  <c r="U1455" i="2"/>
  <c r="M1455" i="2"/>
  <c r="N1455" i="2" s="1"/>
  <c r="AQ1455" i="2" s="1"/>
  <c r="K1455" i="2"/>
  <c r="J1455" i="2"/>
  <c r="I1455" i="2"/>
  <c r="H1455" i="2"/>
  <c r="F1455" i="2"/>
  <c r="G1455" i="2" s="1"/>
  <c r="D1455" i="2"/>
  <c r="C1455" i="2"/>
  <c r="B1455" i="2"/>
  <c r="A1455" i="2"/>
  <c r="AP1454" i="2"/>
  <c r="AO1454" i="2"/>
  <c r="W1454" i="2"/>
  <c r="U1454" i="2"/>
  <c r="M1454" i="2"/>
  <c r="N1454" i="2" s="1"/>
  <c r="AQ1454" i="2" s="1"/>
  <c r="K1454" i="2"/>
  <c r="J1454" i="2"/>
  <c r="I1454" i="2"/>
  <c r="H1454" i="2"/>
  <c r="F1454" i="2"/>
  <c r="G1454" i="2" s="1"/>
  <c r="D1454" i="2"/>
  <c r="C1454" i="2"/>
  <c r="B1454" i="2"/>
  <c r="A1454" i="2"/>
  <c r="AP1453" i="2"/>
  <c r="AO1453" i="2"/>
  <c r="W1453" i="2"/>
  <c r="U1453" i="2"/>
  <c r="M1453" i="2"/>
  <c r="N1453" i="2" s="1"/>
  <c r="AQ1453" i="2" s="1"/>
  <c r="K1453" i="2"/>
  <c r="J1453" i="2"/>
  <c r="I1453" i="2"/>
  <c r="H1453" i="2"/>
  <c r="F1453" i="2"/>
  <c r="G1453" i="2" s="1"/>
  <c r="D1453" i="2"/>
  <c r="C1453" i="2"/>
  <c r="B1453" i="2"/>
  <c r="A1453" i="2"/>
  <c r="AP1452" i="2"/>
  <c r="AO1452" i="2"/>
  <c r="W1452" i="2"/>
  <c r="AI1452" i="2" s="1"/>
  <c r="U1452" i="2"/>
  <c r="M1452" i="2"/>
  <c r="N1452" i="2" s="1"/>
  <c r="AQ1452" i="2" s="1"/>
  <c r="K1452" i="2"/>
  <c r="J1452" i="2"/>
  <c r="I1452" i="2"/>
  <c r="H1452" i="2"/>
  <c r="F1452" i="2"/>
  <c r="G1452" i="2" s="1"/>
  <c r="D1452" i="2"/>
  <c r="C1452" i="2"/>
  <c r="B1452" i="2"/>
  <c r="A1452" i="2"/>
  <c r="AP1451" i="2"/>
  <c r="AO1451" i="2"/>
  <c r="W1451" i="2"/>
  <c r="U1451" i="2"/>
  <c r="M1451" i="2"/>
  <c r="N1451" i="2" s="1"/>
  <c r="AQ1451" i="2" s="1"/>
  <c r="K1451" i="2"/>
  <c r="J1451" i="2"/>
  <c r="I1451" i="2"/>
  <c r="H1451" i="2"/>
  <c r="F1451" i="2"/>
  <c r="G1451" i="2" s="1"/>
  <c r="D1451" i="2"/>
  <c r="C1451" i="2"/>
  <c r="B1451" i="2"/>
  <c r="A1451" i="2"/>
  <c r="AP1450" i="2"/>
  <c r="AO1450" i="2"/>
  <c r="W1450" i="2"/>
  <c r="U1450" i="2"/>
  <c r="M1450" i="2"/>
  <c r="N1450" i="2" s="1"/>
  <c r="AQ1450" i="2" s="1"/>
  <c r="K1450" i="2"/>
  <c r="J1450" i="2"/>
  <c r="I1450" i="2"/>
  <c r="H1450" i="2"/>
  <c r="F1450" i="2"/>
  <c r="G1450" i="2" s="1"/>
  <c r="D1450" i="2"/>
  <c r="C1450" i="2"/>
  <c r="B1450" i="2"/>
  <c r="A1450" i="2"/>
  <c r="AP1449" i="2"/>
  <c r="AO1449" i="2"/>
  <c r="AH1449" i="2"/>
  <c r="W1449" i="2"/>
  <c r="AI1449" i="2" s="1"/>
  <c r="U1449" i="2"/>
  <c r="M1449" i="2"/>
  <c r="N1449" i="2" s="1"/>
  <c r="AQ1449" i="2" s="1"/>
  <c r="K1449" i="2"/>
  <c r="J1449" i="2"/>
  <c r="I1449" i="2"/>
  <c r="H1449" i="2"/>
  <c r="F1449" i="2"/>
  <c r="D1449" i="2"/>
  <c r="C1449" i="2"/>
  <c r="B1449" i="2"/>
  <c r="A1449" i="2"/>
  <c r="AP1448" i="2"/>
  <c r="AO1448" i="2"/>
  <c r="W1448" i="2"/>
  <c r="AI1448" i="2" s="1"/>
  <c r="U1448" i="2"/>
  <c r="M1448" i="2"/>
  <c r="N1448" i="2" s="1"/>
  <c r="AQ1448" i="2" s="1"/>
  <c r="K1448" i="2"/>
  <c r="J1448" i="2"/>
  <c r="I1448" i="2"/>
  <c r="H1448" i="2"/>
  <c r="F1448" i="2"/>
  <c r="G1448" i="2" s="1"/>
  <c r="D1448" i="2"/>
  <c r="C1448" i="2"/>
  <c r="B1448" i="2"/>
  <c r="A1448" i="2"/>
  <c r="AP1447" i="2"/>
  <c r="AO1447" i="2"/>
  <c r="W1447" i="2"/>
  <c r="U1447" i="2"/>
  <c r="M1447" i="2"/>
  <c r="N1447" i="2" s="1"/>
  <c r="AQ1447" i="2" s="1"/>
  <c r="K1447" i="2"/>
  <c r="J1447" i="2"/>
  <c r="I1447" i="2"/>
  <c r="H1447" i="2"/>
  <c r="F1447" i="2"/>
  <c r="G1447" i="2" s="1"/>
  <c r="D1447" i="2"/>
  <c r="C1447" i="2"/>
  <c r="B1447" i="2"/>
  <c r="A1447" i="2"/>
  <c r="AP1446" i="2"/>
  <c r="AO1446" i="2"/>
  <c r="AH1446" i="2"/>
  <c r="W1446" i="2"/>
  <c r="AI1446" i="2" s="1"/>
  <c r="U1446" i="2"/>
  <c r="M1446" i="2"/>
  <c r="N1446" i="2" s="1"/>
  <c r="AQ1446" i="2" s="1"/>
  <c r="K1446" i="2"/>
  <c r="J1446" i="2"/>
  <c r="I1446" i="2"/>
  <c r="H1446" i="2"/>
  <c r="F1446" i="2"/>
  <c r="D1446" i="2"/>
  <c r="C1446" i="2"/>
  <c r="B1446" i="2"/>
  <c r="A1446" i="2"/>
  <c r="AP1445" i="2"/>
  <c r="AO1445" i="2"/>
  <c r="W1445" i="2"/>
  <c r="AI1445" i="2" s="1"/>
  <c r="U1445" i="2"/>
  <c r="M1445" i="2"/>
  <c r="N1445" i="2" s="1"/>
  <c r="AQ1445" i="2" s="1"/>
  <c r="K1445" i="2"/>
  <c r="J1445" i="2"/>
  <c r="I1445" i="2"/>
  <c r="H1445" i="2"/>
  <c r="F1445" i="2"/>
  <c r="G1445" i="2" s="1"/>
  <c r="D1445" i="2"/>
  <c r="C1445" i="2"/>
  <c r="B1445" i="2"/>
  <c r="A1445" i="2"/>
  <c r="AP1444" i="2"/>
  <c r="AO1444" i="2"/>
  <c r="W1444" i="2"/>
  <c r="U1444" i="2"/>
  <c r="M1444" i="2"/>
  <c r="N1444" i="2" s="1"/>
  <c r="AQ1444" i="2" s="1"/>
  <c r="K1444" i="2"/>
  <c r="J1444" i="2"/>
  <c r="I1444" i="2"/>
  <c r="H1444" i="2"/>
  <c r="F1444" i="2"/>
  <c r="G1444" i="2" s="1"/>
  <c r="D1444" i="2"/>
  <c r="C1444" i="2"/>
  <c r="B1444" i="2"/>
  <c r="A1444" i="2"/>
  <c r="AP1443" i="2"/>
  <c r="AO1443" i="2"/>
  <c r="AH1443" i="2"/>
  <c r="W1443" i="2"/>
  <c r="AI1443" i="2" s="1"/>
  <c r="U1443" i="2"/>
  <c r="M1443" i="2"/>
  <c r="N1443" i="2" s="1"/>
  <c r="AQ1443" i="2" s="1"/>
  <c r="K1443" i="2"/>
  <c r="J1443" i="2"/>
  <c r="I1443" i="2"/>
  <c r="H1443" i="2"/>
  <c r="F1443" i="2"/>
  <c r="D1443" i="2"/>
  <c r="C1443" i="2"/>
  <c r="B1443" i="2"/>
  <c r="A1443" i="2"/>
  <c r="AP1442" i="2"/>
  <c r="AO1442" i="2"/>
  <c r="W1442" i="2"/>
  <c r="AI1442" i="2" s="1"/>
  <c r="U1442" i="2"/>
  <c r="M1442" i="2"/>
  <c r="N1442" i="2" s="1"/>
  <c r="AQ1442" i="2" s="1"/>
  <c r="K1442" i="2"/>
  <c r="J1442" i="2"/>
  <c r="I1442" i="2"/>
  <c r="H1442" i="2"/>
  <c r="F1442" i="2"/>
  <c r="G1442" i="2" s="1"/>
  <c r="D1442" i="2"/>
  <c r="C1442" i="2"/>
  <c r="B1442" i="2"/>
  <c r="A1442" i="2"/>
  <c r="AP1441" i="2"/>
  <c r="AO1441" i="2"/>
  <c r="AH1441" i="2"/>
  <c r="W1441" i="2"/>
  <c r="AI1441" i="2" s="1"/>
  <c r="U1441" i="2"/>
  <c r="M1441" i="2"/>
  <c r="N1441" i="2" s="1"/>
  <c r="AQ1441" i="2" s="1"/>
  <c r="K1441" i="2"/>
  <c r="J1441" i="2"/>
  <c r="I1441" i="2"/>
  <c r="H1441" i="2"/>
  <c r="F1441" i="2"/>
  <c r="D1441" i="2"/>
  <c r="C1441" i="2"/>
  <c r="B1441" i="2"/>
  <c r="A1441" i="2"/>
  <c r="AP1440" i="2"/>
  <c r="AO1440" i="2"/>
  <c r="AH1440" i="2"/>
  <c r="W1440" i="2"/>
  <c r="AI1440" i="2" s="1"/>
  <c r="U1440" i="2"/>
  <c r="M1440" i="2"/>
  <c r="N1440" i="2" s="1"/>
  <c r="AQ1440" i="2" s="1"/>
  <c r="K1440" i="2"/>
  <c r="J1440" i="2"/>
  <c r="I1440" i="2"/>
  <c r="H1440" i="2"/>
  <c r="F1440" i="2"/>
  <c r="D1440" i="2"/>
  <c r="C1440" i="2"/>
  <c r="B1440" i="2"/>
  <c r="A1440" i="2"/>
  <c r="AP1439" i="2"/>
  <c r="AO1439" i="2"/>
  <c r="W1439" i="2"/>
  <c r="U1439" i="2"/>
  <c r="M1439" i="2"/>
  <c r="N1439" i="2" s="1"/>
  <c r="AQ1439" i="2" s="1"/>
  <c r="K1439" i="2"/>
  <c r="J1439" i="2"/>
  <c r="I1439" i="2"/>
  <c r="H1439" i="2"/>
  <c r="F1439" i="2"/>
  <c r="G1439" i="2" s="1"/>
  <c r="D1439" i="2"/>
  <c r="C1439" i="2"/>
  <c r="B1439" i="2"/>
  <c r="A1439" i="2"/>
  <c r="AP1438" i="2"/>
  <c r="AO1438" i="2"/>
  <c r="W1438" i="2"/>
  <c r="AH1438" i="2" s="1"/>
  <c r="U1438" i="2"/>
  <c r="M1438" i="2"/>
  <c r="N1438" i="2" s="1"/>
  <c r="AQ1438" i="2" s="1"/>
  <c r="K1438" i="2"/>
  <c r="J1438" i="2"/>
  <c r="I1438" i="2"/>
  <c r="H1438" i="2"/>
  <c r="F1438" i="2"/>
  <c r="G1438" i="2" s="1"/>
  <c r="D1438" i="2"/>
  <c r="C1438" i="2"/>
  <c r="B1438" i="2"/>
  <c r="A1438" i="2"/>
  <c r="AP1437" i="2"/>
  <c r="AO1437" i="2"/>
  <c r="AH1437" i="2"/>
  <c r="W1437" i="2"/>
  <c r="AI1437" i="2" s="1"/>
  <c r="U1437" i="2"/>
  <c r="M1437" i="2"/>
  <c r="N1437" i="2" s="1"/>
  <c r="AQ1437" i="2" s="1"/>
  <c r="K1437" i="2"/>
  <c r="J1437" i="2"/>
  <c r="I1437" i="2"/>
  <c r="H1437" i="2"/>
  <c r="F1437" i="2"/>
  <c r="D1437" i="2"/>
  <c r="C1437" i="2"/>
  <c r="B1437" i="2"/>
  <c r="A1437" i="2"/>
  <c r="AP1436" i="2"/>
  <c r="AO1436" i="2"/>
  <c r="W1436" i="2"/>
  <c r="U1436" i="2"/>
  <c r="M1436" i="2"/>
  <c r="N1436" i="2" s="1"/>
  <c r="AQ1436" i="2" s="1"/>
  <c r="K1436" i="2"/>
  <c r="J1436" i="2"/>
  <c r="I1436" i="2"/>
  <c r="H1436" i="2"/>
  <c r="F1436" i="2"/>
  <c r="G1436" i="2" s="1"/>
  <c r="D1436" i="2"/>
  <c r="C1436" i="2"/>
  <c r="B1436" i="2"/>
  <c r="A1436" i="2"/>
  <c r="AP1435" i="2"/>
  <c r="AO1435" i="2"/>
  <c r="W1435" i="2"/>
  <c r="AH1435" i="2" s="1"/>
  <c r="U1435" i="2"/>
  <c r="M1435" i="2"/>
  <c r="N1435" i="2" s="1"/>
  <c r="AQ1435" i="2" s="1"/>
  <c r="K1435" i="2"/>
  <c r="J1435" i="2"/>
  <c r="I1435" i="2"/>
  <c r="H1435" i="2"/>
  <c r="F1435" i="2"/>
  <c r="G1435" i="2" s="1"/>
  <c r="D1435" i="2"/>
  <c r="C1435" i="2"/>
  <c r="B1435" i="2"/>
  <c r="A1435" i="2"/>
  <c r="AP1434" i="2"/>
  <c r="AO1434" i="2"/>
  <c r="AH1434" i="2"/>
  <c r="W1434" i="2"/>
  <c r="AI1434" i="2" s="1"/>
  <c r="U1434" i="2"/>
  <c r="M1434" i="2"/>
  <c r="N1434" i="2" s="1"/>
  <c r="AQ1434" i="2" s="1"/>
  <c r="K1434" i="2"/>
  <c r="J1434" i="2"/>
  <c r="I1434" i="2"/>
  <c r="H1434" i="2"/>
  <c r="F1434" i="2"/>
  <c r="D1434" i="2"/>
  <c r="C1434" i="2"/>
  <c r="B1434" i="2"/>
  <c r="A1434" i="2"/>
  <c r="AP1433" i="2"/>
  <c r="AO1433" i="2"/>
  <c r="AH1433" i="2"/>
  <c r="W1433" i="2"/>
  <c r="AI1433" i="2" s="1"/>
  <c r="U1433" i="2"/>
  <c r="M1433" i="2"/>
  <c r="N1433" i="2" s="1"/>
  <c r="AQ1433" i="2" s="1"/>
  <c r="K1433" i="2"/>
  <c r="J1433" i="2"/>
  <c r="I1433" i="2"/>
  <c r="H1433" i="2"/>
  <c r="F1433" i="2"/>
  <c r="D1433" i="2"/>
  <c r="C1433" i="2"/>
  <c r="B1433" i="2"/>
  <c r="A1433" i="2"/>
  <c r="AP1432" i="2"/>
  <c r="AO1432" i="2"/>
  <c r="W1432" i="2"/>
  <c r="U1432" i="2"/>
  <c r="M1432" i="2"/>
  <c r="N1432" i="2" s="1"/>
  <c r="AQ1432" i="2" s="1"/>
  <c r="K1432" i="2"/>
  <c r="J1432" i="2"/>
  <c r="I1432" i="2"/>
  <c r="H1432" i="2"/>
  <c r="F1432" i="2"/>
  <c r="G1432" i="2" s="1"/>
  <c r="D1432" i="2"/>
  <c r="C1432" i="2"/>
  <c r="B1432" i="2"/>
  <c r="A1432" i="2"/>
  <c r="AP1431" i="2"/>
  <c r="AO1431" i="2"/>
  <c r="AH1431" i="2"/>
  <c r="W1431" i="2"/>
  <c r="AI1431" i="2" s="1"/>
  <c r="U1431" i="2"/>
  <c r="M1431" i="2"/>
  <c r="N1431" i="2" s="1"/>
  <c r="AQ1431" i="2" s="1"/>
  <c r="K1431" i="2"/>
  <c r="J1431" i="2"/>
  <c r="I1431" i="2"/>
  <c r="H1431" i="2"/>
  <c r="F1431" i="2"/>
  <c r="D1431" i="2"/>
  <c r="C1431" i="2"/>
  <c r="B1431" i="2"/>
  <c r="A1431" i="2"/>
  <c r="AP1430" i="2"/>
  <c r="AO1430" i="2"/>
  <c r="W1430" i="2"/>
  <c r="U1430" i="2"/>
  <c r="M1430" i="2"/>
  <c r="N1430" i="2" s="1"/>
  <c r="AQ1430" i="2" s="1"/>
  <c r="K1430" i="2"/>
  <c r="J1430" i="2"/>
  <c r="I1430" i="2"/>
  <c r="H1430" i="2"/>
  <c r="F1430" i="2"/>
  <c r="G1430" i="2" s="1"/>
  <c r="D1430" i="2"/>
  <c r="C1430" i="2"/>
  <c r="B1430" i="2"/>
  <c r="A1430" i="2"/>
  <c r="AP1429" i="2"/>
  <c r="AO1429" i="2"/>
  <c r="W1429" i="2"/>
  <c r="U1429" i="2"/>
  <c r="M1429" i="2"/>
  <c r="N1429" i="2" s="1"/>
  <c r="AQ1429" i="2" s="1"/>
  <c r="K1429" i="2"/>
  <c r="J1429" i="2"/>
  <c r="I1429" i="2"/>
  <c r="H1429" i="2"/>
  <c r="F1429" i="2"/>
  <c r="G1429" i="2" s="1"/>
  <c r="D1429" i="2"/>
  <c r="C1429" i="2"/>
  <c r="B1429" i="2"/>
  <c r="A1429" i="2"/>
  <c r="AP1428" i="2"/>
  <c r="AO1428" i="2"/>
  <c r="W1428" i="2"/>
  <c r="U1428" i="2"/>
  <c r="M1428" i="2"/>
  <c r="N1428" i="2" s="1"/>
  <c r="AQ1428" i="2" s="1"/>
  <c r="K1428" i="2"/>
  <c r="J1428" i="2"/>
  <c r="I1428" i="2"/>
  <c r="H1428" i="2"/>
  <c r="F1428" i="2"/>
  <c r="G1428" i="2" s="1"/>
  <c r="D1428" i="2"/>
  <c r="C1428" i="2"/>
  <c r="B1428" i="2"/>
  <c r="A1428" i="2"/>
  <c r="AP1427" i="2"/>
  <c r="AO1427" i="2"/>
  <c r="W1427" i="2"/>
  <c r="U1427" i="2"/>
  <c r="M1427" i="2"/>
  <c r="N1427" i="2" s="1"/>
  <c r="AQ1427" i="2" s="1"/>
  <c r="K1427" i="2"/>
  <c r="J1427" i="2"/>
  <c r="I1427" i="2"/>
  <c r="H1427" i="2"/>
  <c r="F1427" i="2"/>
  <c r="G1427" i="2" s="1"/>
  <c r="D1427" i="2"/>
  <c r="C1427" i="2"/>
  <c r="B1427" i="2"/>
  <c r="A1427" i="2"/>
  <c r="AP1426" i="2"/>
  <c r="AO1426" i="2"/>
  <c r="AH1426" i="2"/>
  <c r="W1426" i="2"/>
  <c r="AI1426" i="2" s="1"/>
  <c r="U1426" i="2"/>
  <c r="M1426" i="2"/>
  <c r="N1426" i="2" s="1"/>
  <c r="AQ1426" i="2" s="1"/>
  <c r="K1426" i="2"/>
  <c r="J1426" i="2"/>
  <c r="I1426" i="2"/>
  <c r="H1426" i="2"/>
  <c r="F1426" i="2"/>
  <c r="D1426" i="2"/>
  <c r="C1426" i="2"/>
  <c r="B1426" i="2"/>
  <c r="A1426" i="2"/>
  <c r="AP1425" i="2"/>
  <c r="AO1425" i="2"/>
  <c r="W1425" i="2"/>
  <c r="AI1425" i="2" s="1"/>
  <c r="U1425" i="2"/>
  <c r="M1425" i="2"/>
  <c r="N1425" i="2" s="1"/>
  <c r="AQ1425" i="2" s="1"/>
  <c r="K1425" i="2"/>
  <c r="J1425" i="2"/>
  <c r="I1425" i="2"/>
  <c r="H1425" i="2"/>
  <c r="F1425" i="2"/>
  <c r="G1425" i="2" s="1"/>
  <c r="D1425" i="2"/>
  <c r="C1425" i="2"/>
  <c r="B1425" i="2"/>
  <c r="A1425" i="2"/>
  <c r="AP1424" i="2"/>
  <c r="AO1424" i="2"/>
  <c r="AH1424" i="2"/>
  <c r="W1424" i="2"/>
  <c r="AI1424" i="2" s="1"/>
  <c r="U1424" i="2"/>
  <c r="M1424" i="2"/>
  <c r="N1424" i="2" s="1"/>
  <c r="AQ1424" i="2" s="1"/>
  <c r="K1424" i="2"/>
  <c r="J1424" i="2"/>
  <c r="I1424" i="2"/>
  <c r="H1424" i="2"/>
  <c r="F1424" i="2"/>
  <c r="D1424" i="2"/>
  <c r="C1424" i="2"/>
  <c r="B1424" i="2"/>
  <c r="A1424" i="2"/>
  <c r="AP1423" i="2"/>
  <c r="AO1423" i="2"/>
  <c r="W1423" i="2"/>
  <c r="AH1423" i="2" s="1"/>
  <c r="U1423" i="2"/>
  <c r="M1423" i="2"/>
  <c r="N1423" i="2" s="1"/>
  <c r="AQ1423" i="2" s="1"/>
  <c r="K1423" i="2"/>
  <c r="J1423" i="2"/>
  <c r="I1423" i="2"/>
  <c r="H1423" i="2"/>
  <c r="F1423" i="2"/>
  <c r="G1423" i="2" s="1"/>
  <c r="D1423" i="2"/>
  <c r="C1423" i="2"/>
  <c r="B1423" i="2"/>
  <c r="A1423" i="2"/>
  <c r="AP1422" i="2"/>
  <c r="AO1422" i="2"/>
  <c r="AH1422" i="2"/>
  <c r="W1422" i="2"/>
  <c r="AI1422" i="2" s="1"/>
  <c r="U1422" i="2"/>
  <c r="M1422" i="2"/>
  <c r="N1422" i="2" s="1"/>
  <c r="AQ1422" i="2" s="1"/>
  <c r="K1422" i="2"/>
  <c r="J1422" i="2"/>
  <c r="I1422" i="2"/>
  <c r="H1422" i="2"/>
  <c r="F1422" i="2"/>
  <c r="G1422" i="2" s="1"/>
  <c r="D1422" i="2"/>
  <c r="C1422" i="2"/>
  <c r="B1422" i="2"/>
  <c r="A1422" i="2"/>
  <c r="AP1421" i="2"/>
  <c r="AO1421" i="2"/>
  <c r="W1421" i="2"/>
  <c r="U1421" i="2"/>
  <c r="M1421" i="2"/>
  <c r="N1421" i="2" s="1"/>
  <c r="AQ1421" i="2" s="1"/>
  <c r="K1421" i="2"/>
  <c r="J1421" i="2"/>
  <c r="I1421" i="2"/>
  <c r="H1421" i="2"/>
  <c r="F1421" i="2"/>
  <c r="G1421" i="2" s="1"/>
  <c r="D1421" i="2"/>
  <c r="C1421" i="2"/>
  <c r="B1421" i="2"/>
  <c r="A1421" i="2"/>
  <c r="AP1420" i="2"/>
  <c r="AO1420" i="2"/>
  <c r="AH1420" i="2"/>
  <c r="W1420" i="2"/>
  <c r="AI1420" i="2" s="1"/>
  <c r="U1420" i="2"/>
  <c r="M1420" i="2"/>
  <c r="N1420" i="2" s="1"/>
  <c r="AQ1420" i="2" s="1"/>
  <c r="K1420" i="2"/>
  <c r="J1420" i="2"/>
  <c r="I1420" i="2"/>
  <c r="H1420" i="2"/>
  <c r="F1420" i="2"/>
  <c r="G1420" i="2" s="1"/>
  <c r="D1420" i="2"/>
  <c r="C1420" i="2"/>
  <c r="B1420" i="2"/>
  <c r="A1420" i="2"/>
  <c r="AP1419" i="2"/>
  <c r="AO1419" i="2"/>
  <c r="AH1419" i="2"/>
  <c r="W1419" i="2"/>
  <c r="AI1419" i="2" s="1"/>
  <c r="U1419" i="2"/>
  <c r="M1419" i="2"/>
  <c r="N1419" i="2" s="1"/>
  <c r="AQ1419" i="2" s="1"/>
  <c r="K1419" i="2"/>
  <c r="J1419" i="2"/>
  <c r="I1419" i="2"/>
  <c r="H1419" i="2"/>
  <c r="F1419" i="2"/>
  <c r="G1419" i="2" s="1"/>
  <c r="D1419" i="2"/>
  <c r="C1419" i="2"/>
  <c r="B1419" i="2"/>
  <c r="A1419" i="2"/>
  <c r="AP1418" i="2"/>
  <c r="AO1418" i="2"/>
  <c r="W1418" i="2"/>
  <c r="U1418" i="2"/>
  <c r="M1418" i="2"/>
  <c r="N1418" i="2" s="1"/>
  <c r="AQ1418" i="2" s="1"/>
  <c r="K1418" i="2"/>
  <c r="J1418" i="2"/>
  <c r="I1418" i="2"/>
  <c r="H1418" i="2"/>
  <c r="F1418" i="2"/>
  <c r="G1418" i="2" s="1"/>
  <c r="D1418" i="2"/>
  <c r="C1418" i="2"/>
  <c r="B1418" i="2"/>
  <c r="A1418" i="2"/>
  <c r="AP1417" i="2"/>
  <c r="AO1417" i="2"/>
  <c r="W1417" i="2"/>
  <c r="U1417" i="2"/>
  <c r="M1417" i="2"/>
  <c r="N1417" i="2" s="1"/>
  <c r="AQ1417" i="2" s="1"/>
  <c r="K1417" i="2"/>
  <c r="J1417" i="2"/>
  <c r="I1417" i="2"/>
  <c r="H1417" i="2"/>
  <c r="F1417" i="2"/>
  <c r="G1417" i="2" s="1"/>
  <c r="D1417" i="2"/>
  <c r="C1417" i="2"/>
  <c r="B1417" i="2"/>
  <c r="A1417" i="2"/>
  <c r="AP1416" i="2"/>
  <c r="AO1416" i="2"/>
  <c r="W1416" i="2"/>
  <c r="U1416" i="2"/>
  <c r="M1416" i="2"/>
  <c r="N1416" i="2" s="1"/>
  <c r="AQ1416" i="2" s="1"/>
  <c r="K1416" i="2"/>
  <c r="J1416" i="2"/>
  <c r="I1416" i="2"/>
  <c r="H1416" i="2"/>
  <c r="F1416" i="2"/>
  <c r="G1416" i="2" s="1"/>
  <c r="D1416" i="2"/>
  <c r="C1416" i="2"/>
  <c r="B1416" i="2"/>
  <c r="A1416" i="2"/>
  <c r="AP1415" i="2"/>
  <c r="AO1415" i="2"/>
  <c r="AH1415" i="2"/>
  <c r="W1415" i="2"/>
  <c r="AI1415" i="2" s="1"/>
  <c r="U1415" i="2"/>
  <c r="M1415" i="2"/>
  <c r="N1415" i="2" s="1"/>
  <c r="AQ1415" i="2" s="1"/>
  <c r="K1415" i="2"/>
  <c r="J1415" i="2"/>
  <c r="I1415" i="2"/>
  <c r="H1415" i="2"/>
  <c r="F1415" i="2"/>
  <c r="D1415" i="2"/>
  <c r="C1415" i="2"/>
  <c r="B1415" i="2"/>
  <c r="A1415" i="2"/>
  <c r="AP1414" i="2"/>
  <c r="AO1414" i="2"/>
  <c r="W1414" i="2"/>
  <c r="U1414" i="2"/>
  <c r="M1414" i="2"/>
  <c r="N1414" i="2" s="1"/>
  <c r="AQ1414" i="2" s="1"/>
  <c r="K1414" i="2"/>
  <c r="J1414" i="2"/>
  <c r="I1414" i="2"/>
  <c r="H1414" i="2"/>
  <c r="F1414" i="2"/>
  <c r="G1414" i="2" s="1"/>
  <c r="D1414" i="2"/>
  <c r="C1414" i="2"/>
  <c r="B1414" i="2"/>
  <c r="A1414" i="2"/>
  <c r="AP1413" i="2"/>
  <c r="AO1413" i="2"/>
  <c r="W1413" i="2"/>
  <c r="U1413" i="2"/>
  <c r="M1413" i="2"/>
  <c r="N1413" i="2" s="1"/>
  <c r="AQ1413" i="2" s="1"/>
  <c r="K1413" i="2"/>
  <c r="J1413" i="2"/>
  <c r="I1413" i="2"/>
  <c r="H1413" i="2"/>
  <c r="F1413" i="2"/>
  <c r="G1413" i="2" s="1"/>
  <c r="D1413" i="2"/>
  <c r="C1413" i="2"/>
  <c r="B1413" i="2"/>
  <c r="A1413" i="2"/>
  <c r="AP1412" i="2"/>
  <c r="AO1412" i="2"/>
  <c r="W1412" i="2"/>
  <c r="U1412" i="2"/>
  <c r="M1412" i="2"/>
  <c r="N1412" i="2" s="1"/>
  <c r="AQ1412" i="2" s="1"/>
  <c r="K1412" i="2"/>
  <c r="J1412" i="2"/>
  <c r="I1412" i="2"/>
  <c r="H1412" i="2"/>
  <c r="F1412" i="2"/>
  <c r="G1412" i="2" s="1"/>
  <c r="D1412" i="2"/>
  <c r="C1412" i="2"/>
  <c r="B1412" i="2"/>
  <c r="A1412" i="2"/>
  <c r="AP1411" i="2"/>
  <c r="AO1411" i="2"/>
  <c r="AH1411" i="2"/>
  <c r="W1411" i="2"/>
  <c r="AI1411" i="2" s="1"/>
  <c r="U1411" i="2"/>
  <c r="M1411" i="2"/>
  <c r="N1411" i="2" s="1"/>
  <c r="AQ1411" i="2" s="1"/>
  <c r="K1411" i="2"/>
  <c r="J1411" i="2"/>
  <c r="I1411" i="2"/>
  <c r="H1411" i="2"/>
  <c r="F1411" i="2"/>
  <c r="G1411" i="2" s="1"/>
  <c r="D1411" i="2"/>
  <c r="C1411" i="2"/>
  <c r="B1411" i="2"/>
  <c r="A1411" i="2"/>
  <c r="AP1410" i="2"/>
  <c r="AO1410" i="2"/>
  <c r="W1410" i="2"/>
  <c r="U1410" i="2"/>
  <c r="M1410" i="2"/>
  <c r="N1410" i="2" s="1"/>
  <c r="AQ1410" i="2" s="1"/>
  <c r="K1410" i="2"/>
  <c r="J1410" i="2"/>
  <c r="I1410" i="2"/>
  <c r="H1410" i="2"/>
  <c r="F1410" i="2"/>
  <c r="G1410" i="2" s="1"/>
  <c r="D1410" i="2"/>
  <c r="C1410" i="2"/>
  <c r="B1410" i="2"/>
  <c r="A1410" i="2"/>
  <c r="AP1409" i="2"/>
  <c r="AO1409" i="2"/>
  <c r="AH1409" i="2"/>
  <c r="W1409" i="2"/>
  <c r="AI1409" i="2" s="1"/>
  <c r="U1409" i="2"/>
  <c r="M1409" i="2"/>
  <c r="N1409" i="2" s="1"/>
  <c r="AQ1409" i="2" s="1"/>
  <c r="K1409" i="2"/>
  <c r="J1409" i="2"/>
  <c r="I1409" i="2"/>
  <c r="H1409" i="2"/>
  <c r="F1409" i="2"/>
  <c r="G1409" i="2" s="1"/>
  <c r="D1409" i="2"/>
  <c r="C1409" i="2"/>
  <c r="B1409" i="2"/>
  <c r="A1409" i="2"/>
  <c r="AP1408" i="2"/>
  <c r="AO1408" i="2"/>
  <c r="AH1408" i="2"/>
  <c r="W1408" i="2"/>
  <c r="AI1408" i="2" s="1"/>
  <c r="U1408" i="2"/>
  <c r="M1408" i="2"/>
  <c r="N1408" i="2" s="1"/>
  <c r="AQ1408" i="2" s="1"/>
  <c r="K1408" i="2"/>
  <c r="J1408" i="2"/>
  <c r="I1408" i="2"/>
  <c r="H1408" i="2"/>
  <c r="F1408" i="2"/>
  <c r="G1408" i="2" s="1"/>
  <c r="D1408" i="2"/>
  <c r="C1408" i="2"/>
  <c r="B1408" i="2"/>
  <c r="A1408" i="2"/>
  <c r="AP1407" i="2"/>
  <c r="AO1407" i="2"/>
  <c r="AH1407" i="2"/>
  <c r="W1407" i="2"/>
  <c r="AI1407" i="2" s="1"/>
  <c r="U1407" i="2"/>
  <c r="M1407" i="2"/>
  <c r="N1407" i="2" s="1"/>
  <c r="AQ1407" i="2" s="1"/>
  <c r="K1407" i="2"/>
  <c r="J1407" i="2"/>
  <c r="I1407" i="2"/>
  <c r="H1407" i="2"/>
  <c r="F1407" i="2"/>
  <c r="G1407" i="2" s="1"/>
  <c r="D1407" i="2"/>
  <c r="C1407" i="2"/>
  <c r="B1407" i="2"/>
  <c r="A1407" i="2"/>
  <c r="AP1406" i="2"/>
  <c r="AO1406" i="2"/>
  <c r="W1406" i="2"/>
  <c r="U1406" i="2"/>
  <c r="M1406" i="2"/>
  <c r="N1406" i="2" s="1"/>
  <c r="AQ1406" i="2" s="1"/>
  <c r="K1406" i="2"/>
  <c r="J1406" i="2"/>
  <c r="I1406" i="2"/>
  <c r="H1406" i="2"/>
  <c r="F1406" i="2"/>
  <c r="G1406" i="2" s="1"/>
  <c r="D1406" i="2"/>
  <c r="C1406" i="2"/>
  <c r="B1406" i="2"/>
  <c r="A1406" i="2"/>
  <c r="AP1405" i="2"/>
  <c r="AO1405" i="2"/>
  <c r="W1405" i="2"/>
  <c r="U1405" i="2"/>
  <c r="M1405" i="2"/>
  <c r="N1405" i="2" s="1"/>
  <c r="AQ1405" i="2" s="1"/>
  <c r="K1405" i="2"/>
  <c r="J1405" i="2"/>
  <c r="I1405" i="2"/>
  <c r="H1405" i="2"/>
  <c r="F1405" i="2"/>
  <c r="G1405" i="2" s="1"/>
  <c r="D1405" i="2"/>
  <c r="C1405" i="2"/>
  <c r="B1405" i="2"/>
  <c r="A1405" i="2"/>
  <c r="AP1404" i="2"/>
  <c r="AO1404" i="2"/>
  <c r="W1404" i="2"/>
  <c r="AI1404" i="2" s="1"/>
  <c r="U1404" i="2"/>
  <c r="M1404" i="2"/>
  <c r="N1404" i="2" s="1"/>
  <c r="AQ1404" i="2" s="1"/>
  <c r="K1404" i="2"/>
  <c r="J1404" i="2"/>
  <c r="I1404" i="2"/>
  <c r="H1404" i="2"/>
  <c r="F1404" i="2"/>
  <c r="G1404" i="2" s="1"/>
  <c r="D1404" i="2"/>
  <c r="C1404" i="2"/>
  <c r="B1404" i="2"/>
  <c r="A1404" i="2"/>
  <c r="AP1403" i="2"/>
  <c r="AO1403" i="2"/>
  <c r="W1403" i="2"/>
  <c r="U1403" i="2"/>
  <c r="M1403" i="2"/>
  <c r="N1403" i="2" s="1"/>
  <c r="AQ1403" i="2" s="1"/>
  <c r="K1403" i="2"/>
  <c r="J1403" i="2"/>
  <c r="I1403" i="2"/>
  <c r="H1403" i="2"/>
  <c r="F1403" i="2"/>
  <c r="G1403" i="2" s="1"/>
  <c r="D1403" i="2"/>
  <c r="C1403" i="2"/>
  <c r="B1403" i="2"/>
  <c r="A1403" i="2"/>
  <c r="AP1402" i="2"/>
  <c r="AO1402" i="2"/>
  <c r="W1402" i="2"/>
  <c r="U1402" i="2"/>
  <c r="M1402" i="2"/>
  <c r="N1402" i="2" s="1"/>
  <c r="AQ1402" i="2" s="1"/>
  <c r="K1402" i="2"/>
  <c r="J1402" i="2"/>
  <c r="I1402" i="2"/>
  <c r="H1402" i="2"/>
  <c r="F1402" i="2"/>
  <c r="G1402" i="2" s="1"/>
  <c r="D1402" i="2"/>
  <c r="C1402" i="2"/>
  <c r="B1402" i="2"/>
  <c r="A1402" i="2"/>
  <c r="AP1401" i="2"/>
  <c r="AO1401" i="2"/>
  <c r="W1401" i="2"/>
  <c r="AH1401" i="2" s="1"/>
  <c r="U1401" i="2"/>
  <c r="M1401" i="2"/>
  <c r="N1401" i="2" s="1"/>
  <c r="AQ1401" i="2" s="1"/>
  <c r="K1401" i="2"/>
  <c r="J1401" i="2"/>
  <c r="I1401" i="2"/>
  <c r="H1401" i="2"/>
  <c r="F1401" i="2"/>
  <c r="G1401" i="2" s="1"/>
  <c r="D1401" i="2"/>
  <c r="C1401" i="2"/>
  <c r="B1401" i="2"/>
  <c r="A1401" i="2"/>
  <c r="AP1400" i="2"/>
  <c r="AO1400" i="2"/>
  <c r="W1400" i="2"/>
  <c r="U1400" i="2"/>
  <c r="M1400" i="2"/>
  <c r="N1400" i="2" s="1"/>
  <c r="AQ1400" i="2" s="1"/>
  <c r="K1400" i="2"/>
  <c r="J1400" i="2"/>
  <c r="I1400" i="2"/>
  <c r="H1400" i="2"/>
  <c r="F1400" i="2"/>
  <c r="G1400" i="2" s="1"/>
  <c r="D1400" i="2"/>
  <c r="C1400" i="2"/>
  <c r="B1400" i="2"/>
  <c r="A1400" i="2"/>
  <c r="AP1399" i="2"/>
  <c r="AO1399" i="2"/>
  <c r="AH1399" i="2"/>
  <c r="W1399" i="2"/>
  <c r="AI1399" i="2" s="1"/>
  <c r="U1399" i="2"/>
  <c r="M1399" i="2"/>
  <c r="N1399" i="2" s="1"/>
  <c r="AQ1399" i="2" s="1"/>
  <c r="K1399" i="2"/>
  <c r="J1399" i="2"/>
  <c r="I1399" i="2"/>
  <c r="H1399" i="2"/>
  <c r="F1399" i="2"/>
  <c r="G1399" i="2" s="1"/>
  <c r="D1399" i="2"/>
  <c r="C1399" i="2"/>
  <c r="B1399" i="2"/>
  <c r="A1399" i="2"/>
  <c r="AP1398" i="2"/>
  <c r="AO1398" i="2"/>
  <c r="W1398" i="2"/>
  <c r="U1398" i="2"/>
  <c r="M1398" i="2"/>
  <c r="N1398" i="2" s="1"/>
  <c r="AQ1398" i="2" s="1"/>
  <c r="K1398" i="2"/>
  <c r="J1398" i="2"/>
  <c r="I1398" i="2"/>
  <c r="H1398" i="2"/>
  <c r="F1398" i="2"/>
  <c r="G1398" i="2" s="1"/>
  <c r="D1398" i="2"/>
  <c r="C1398" i="2"/>
  <c r="B1398" i="2"/>
  <c r="A1398" i="2"/>
  <c r="AP1397" i="2"/>
  <c r="AO1397" i="2"/>
  <c r="W1397" i="2"/>
  <c r="AH1397" i="2" s="1"/>
  <c r="U1397" i="2"/>
  <c r="M1397" i="2"/>
  <c r="N1397" i="2" s="1"/>
  <c r="AQ1397" i="2" s="1"/>
  <c r="K1397" i="2"/>
  <c r="J1397" i="2"/>
  <c r="I1397" i="2"/>
  <c r="H1397" i="2"/>
  <c r="F1397" i="2"/>
  <c r="G1397" i="2" s="1"/>
  <c r="D1397" i="2"/>
  <c r="C1397" i="2"/>
  <c r="B1397" i="2"/>
  <c r="A1397" i="2"/>
  <c r="AP1396" i="2"/>
  <c r="AO1396" i="2"/>
  <c r="W1396" i="2"/>
  <c r="AH1396" i="2" s="1"/>
  <c r="U1396" i="2"/>
  <c r="M1396" i="2"/>
  <c r="N1396" i="2" s="1"/>
  <c r="AQ1396" i="2" s="1"/>
  <c r="K1396" i="2"/>
  <c r="J1396" i="2"/>
  <c r="I1396" i="2"/>
  <c r="H1396" i="2"/>
  <c r="F1396" i="2"/>
  <c r="G1396" i="2" s="1"/>
  <c r="D1396" i="2"/>
  <c r="C1396" i="2"/>
  <c r="B1396" i="2"/>
  <c r="A1396" i="2"/>
  <c r="AP1395" i="2"/>
  <c r="AO1395" i="2"/>
  <c r="W1395" i="2"/>
  <c r="U1395" i="2"/>
  <c r="M1395" i="2"/>
  <c r="N1395" i="2" s="1"/>
  <c r="AQ1395" i="2" s="1"/>
  <c r="K1395" i="2"/>
  <c r="J1395" i="2"/>
  <c r="I1395" i="2"/>
  <c r="H1395" i="2"/>
  <c r="F1395" i="2"/>
  <c r="D1395" i="2"/>
  <c r="C1395" i="2"/>
  <c r="B1395" i="2"/>
  <c r="A1395" i="2"/>
  <c r="AP1394" i="2"/>
  <c r="AO1394" i="2"/>
  <c r="AH1394" i="2"/>
  <c r="W1394" i="2"/>
  <c r="AI1394" i="2" s="1"/>
  <c r="U1394" i="2"/>
  <c r="M1394" i="2"/>
  <c r="N1394" i="2" s="1"/>
  <c r="AQ1394" i="2" s="1"/>
  <c r="K1394" i="2"/>
  <c r="J1394" i="2"/>
  <c r="I1394" i="2"/>
  <c r="H1394" i="2"/>
  <c r="F1394" i="2"/>
  <c r="D1394" i="2"/>
  <c r="C1394" i="2"/>
  <c r="B1394" i="2"/>
  <c r="A1394" i="2"/>
  <c r="AP1393" i="2"/>
  <c r="AO1393" i="2"/>
  <c r="W1393" i="2"/>
  <c r="AI1393" i="2" s="1"/>
  <c r="U1393" i="2"/>
  <c r="M1393" i="2"/>
  <c r="N1393" i="2" s="1"/>
  <c r="AQ1393" i="2" s="1"/>
  <c r="K1393" i="2"/>
  <c r="J1393" i="2"/>
  <c r="I1393" i="2"/>
  <c r="H1393" i="2"/>
  <c r="F1393" i="2"/>
  <c r="D1393" i="2"/>
  <c r="C1393" i="2"/>
  <c r="B1393" i="2"/>
  <c r="A1393" i="2"/>
  <c r="AP1392" i="2"/>
  <c r="AO1392" i="2"/>
  <c r="AH1392" i="2"/>
  <c r="W1392" i="2"/>
  <c r="AI1392" i="2" s="1"/>
  <c r="U1392" i="2"/>
  <c r="M1392" i="2"/>
  <c r="N1392" i="2" s="1"/>
  <c r="AQ1392" i="2" s="1"/>
  <c r="K1392" i="2"/>
  <c r="J1392" i="2"/>
  <c r="I1392" i="2"/>
  <c r="H1392" i="2"/>
  <c r="F1392" i="2"/>
  <c r="D1392" i="2"/>
  <c r="C1392" i="2"/>
  <c r="B1392" i="2"/>
  <c r="A1392" i="2"/>
  <c r="AP1391" i="2"/>
  <c r="AO1391" i="2"/>
  <c r="AH1391" i="2"/>
  <c r="W1391" i="2"/>
  <c r="AI1391" i="2" s="1"/>
  <c r="U1391" i="2"/>
  <c r="M1391" i="2"/>
  <c r="N1391" i="2" s="1"/>
  <c r="AQ1391" i="2" s="1"/>
  <c r="K1391" i="2"/>
  <c r="J1391" i="2"/>
  <c r="I1391" i="2"/>
  <c r="H1391" i="2"/>
  <c r="F1391" i="2"/>
  <c r="D1391" i="2"/>
  <c r="C1391" i="2"/>
  <c r="B1391" i="2"/>
  <c r="A1391" i="2"/>
  <c r="AP1390" i="2"/>
  <c r="AO1390" i="2"/>
  <c r="AH1390" i="2"/>
  <c r="W1390" i="2"/>
  <c r="AI1390" i="2" s="1"/>
  <c r="U1390" i="2"/>
  <c r="M1390" i="2"/>
  <c r="N1390" i="2" s="1"/>
  <c r="AQ1390" i="2" s="1"/>
  <c r="K1390" i="2"/>
  <c r="J1390" i="2"/>
  <c r="I1390" i="2"/>
  <c r="H1390" i="2"/>
  <c r="F1390" i="2"/>
  <c r="D1390" i="2"/>
  <c r="C1390" i="2"/>
  <c r="B1390" i="2"/>
  <c r="A1390" i="2"/>
  <c r="AP1389" i="2"/>
  <c r="AO1389" i="2"/>
  <c r="W1389" i="2"/>
  <c r="U1389" i="2"/>
  <c r="M1389" i="2"/>
  <c r="N1389" i="2" s="1"/>
  <c r="AQ1389" i="2" s="1"/>
  <c r="K1389" i="2"/>
  <c r="J1389" i="2"/>
  <c r="I1389" i="2"/>
  <c r="H1389" i="2"/>
  <c r="F1389" i="2"/>
  <c r="D1389" i="2"/>
  <c r="C1389" i="2"/>
  <c r="B1389" i="2"/>
  <c r="A1389" i="2"/>
  <c r="AP1388" i="2"/>
  <c r="AO1388" i="2"/>
  <c r="W1388" i="2"/>
  <c r="U1388" i="2"/>
  <c r="M1388" i="2"/>
  <c r="N1388" i="2" s="1"/>
  <c r="AQ1388" i="2" s="1"/>
  <c r="K1388" i="2"/>
  <c r="J1388" i="2"/>
  <c r="I1388" i="2"/>
  <c r="H1388" i="2"/>
  <c r="F1388" i="2"/>
  <c r="D1388" i="2"/>
  <c r="C1388" i="2"/>
  <c r="B1388" i="2"/>
  <c r="A1388" i="2"/>
  <c r="AP1387" i="2"/>
  <c r="AO1387" i="2"/>
  <c r="AH1387" i="2"/>
  <c r="W1387" i="2"/>
  <c r="AI1387" i="2" s="1"/>
  <c r="U1387" i="2"/>
  <c r="M1387" i="2"/>
  <c r="N1387" i="2" s="1"/>
  <c r="AQ1387" i="2" s="1"/>
  <c r="K1387" i="2"/>
  <c r="J1387" i="2"/>
  <c r="I1387" i="2"/>
  <c r="H1387" i="2"/>
  <c r="F1387" i="2"/>
  <c r="D1387" i="2"/>
  <c r="C1387" i="2"/>
  <c r="B1387" i="2"/>
  <c r="A1387" i="2"/>
  <c r="AP1386" i="2"/>
  <c r="AO1386" i="2"/>
  <c r="AH1386" i="2"/>
  <c r="W1386" i="2"/>
  <c r="AI1386" i="2" s="1"/>
  <c r="U1386" i="2"/>
  <c r="M1386" i="2"/>
  <c r="N1386" i="2" s="1"/>
  <c r="AQ1386" i="2" s="1"/>
  <c r="K1386" i="2"/>
  <c r="J1386" i="2"/>
  <c r="I1386" i="2"/>
  <c r="H1386" i="2"/>
  <c r="F1386" i="2"/>
  <c r="D1386" i="2"/>
  <c r="C1386" i="2"/>
  <c r="B1386" i="2"/>
  <c r="A1386" i="2"/>
  <c r="AP1385" i="2"/>
  <c r="AO1385" i="2"/>
  <c r="AH1385" i="2"/>
  <c r="W1385" i="2"/>
  <c r="AI1385" i="2" s="1"/>
  <c r="U1385" i="2"/>
  <c r="M1385" i="2"/>
  <c r="N1385" i="2" s="1"/>
  <c r="AQ1385" i="2" s="1"/>
  <c r="K1385" i="2"/>
  <c r="J1385" i="2"/>
  <c r="I1385" i="2"/>
  <c r="H1385" i="2"/>
  <c r="F1385" i="2"/>
  <c r="D1385" i="2"/>
  <c r="C1385" i="2"/>
  <c r="B1385" i="2"/>
  <c r="A1385" i="2"/>
  <c r="AP1384" i="2"/>
  <c r="AO1384" i="2"/>
  <c r="AH1384" i="2"/>
  <c r="W1384" i="2"/>
  <c r="AI1384" i="2" s="1"/>
  <c r="U1384" i="2"/>
  <c r="M1384" i="2"/>
  <c r="N1384" i="2" s="1"/>
  <c r="AQ1384" i="2" s="1"/>
  <c r="K1384" i="2"/>
  <c r="J1384" i="2"/>
  <c r="I1384" i="2"/>
  <c r="H1384" i="2"/>
  <c r="F1384" i="2"/>
  <c r="D1384" i="2"/>
  <c r="C1384" i="2"/>
  <c r="B1384" i="2"/>
  <c r="A1384" i="2"/>
  <c r="AP1383" i="2"/>
  <c r="AO1383" i="2"/>
  <c r="W1383" i="2"/>
  <c r="U1383" i="2"/>
  <c r="M1383" i="2"/>
  <c r="N1383" i="2" s="1"/>
  <c r="AQ1383" i="2" s="1"/>
  <c r="K1383" i="2"/>
  <c r="J1383" i="2"/>
  <c r="I1383" i="2"/>
  <c r="H1383" i="2"/>
  <c r="F1383" i="2"/>
  <c r="G1383" i="2" s="1"/>
  <c r="D1383" i="2"/>
  <c r="C1383" i="2"/>
  <c r="B1383" i="2"/>
  <c r="A1383" i="2"/>
  <c r="AP1382" i="2"/>
  <c r="AO1382" i="2"/>
  <c r="W1382" i="2"/>
  <c r="U1382" i="2"/>
  <c r="M1382" i="2"/>
  <c r="N1382" i="2" s="1"/>
  <c r="AQ1382" i="2" s="1"/>
  <c r="K1382" i="2"/>
  <c r="J1382" i="2"/>
  <c r="I1382" i="2"/>
  <c r="H1382" i="2"/>
  <c r="F1382" i="2"/>
  <c r="G1382" i="2" s="1"/>
  <c r="D1382" i="2"/>
  <c r="C1382" i="2"/>
  <c r="B1382" i="2"/>
  <c r="A1382" i="2"/>
  <c r="AP1381" i="2"/>
  <c r="AO1381" i="2"/>
  <c r="W1381" i="2"/>
  <c r="U1381" i="2"/>
  <c r="M1381" i="2"/>
  <c r="N1381" i="2" s="1"/>
  <c r="AQ1381" i="2" s="1"/>
  <c r="K1381" i="2"/>
  <c r="J1381" i="2"/>
  <c r="I1381" i="2"/>
  <c r="H1381" i="2"/>
  <c r="F1381" i="2"/>
  <c r="G1381" i="2" s="1"/>
  <c r="D1381" i="2"/>
  <c r="C1381" i="2"/>
  <c r="B1381" i="2"/>
  <c r="A1381" i="2"/>
  <c r="AP1380" i="2"/>
  <c r="AO1380" i="2"/>
  <c r="W1380" i="2"/>
  <c r="U1380" i="2"/>
  <c r="M1380" i="2"/>
  <c r="N1380" i="2" s="1"/>
  <c r="AQ1380" i="2" s="1"/>
  <c r="K1380" i="2"/>
  <c r="J1380" i="2"/>
  <c r="I1380" i="2"/>
  <c r="H1380" i="2"/>
  <c r="F1380" i="2"/>
  <c r="G1380" i="2" s="1"/>
  <c r="D1380" i="2"/>
  <c r="C1380" i="2"/>
  <c r="B1380" i="2"/>
  <c r="A1380" i="2"/>
  <c r="AP1379" i="2"/>
  <c r="AO1379" i="2"/>
  <c r="AH1379" i="2"/>
  <c r="W1379" i="2"/>
  <c r="AI1379" i="2" s="1"/>
  <c r="U1379" i="2"/>
  <c r="M1379" i="2"/>
  <c r="N1379" i="2" s="1"/>
  <c r="AQ1379" i="2" s="1"/>
  <c r="K1379" i="2"/>
  <c r="J1379" i="2"/>
  <c r="I1379" i="2"/>
  <c r="H1379" i="2"/>
  <c r="F1379" i="2"/>
  <c r="D1379" i="2"/>
  <c r="C1379" i="2"/>
  <c r="B1379" i="2"/>
  <c r="A1379" i="2"/>
  <c r="AP1378" i="2"/>
  <c r="AO1378" i="2"/>
  <c r="AH1378" i="2"/>
  <c r="W1378" i="2"/>
  <c r="AI1378" i="2" s="1"/>
  <c r="U1378" i="2"/>
  <c r="M1378" i="2"/>
  <c r="N1378" i="2" s="1"/>
  <c r="AQ1378" i="2" s="1"/>
  <c r="K1378" i="2"/>
  <c r="J1378" i="2"/>
  <c r="I1378" i="2"/>
  <c r="H1378" i="2"/>
  <c r="F1378" i="2"/>
  <c r="D1378" i="2"/>
  <c r="C1378" i="2"/>
  <c r="B1378" i="2"/>
  <c r="A1378" i="2"/>
  <c r="AP1377" i="2"/>
  <c r="AO1377" i="2"/>
  <c r="W1377" i="2"/>
  <c r="AI1377" i="2" s="1"/>
  <c r="U1377" i="2"/>
  <c r="M1377" i="2"/>
  <c r="N1377" i="2" s="1"/>
  <c r="AQ1377" i="2" s="1"/>
  <c r="K1377" i="2"/>
  <c r="J1377" i="2"/>
  <c r="I1377" i="2"/>
  <c r="H1377" i="2"/>
  <c r="F1377" i="2"/>
  <c r="G1377" i="2" s="1"/>
  <c r="D1377" i="2"/>
  <c r="C1377" i="2"/>
  <c r="B1377" i="2"/>
  <c r="A1377" i="2"/>
  <c r="AP1376" i="2"/>
  <c r="AO1376" i="2"/>
  <c r="W1376" i="2"/>
  <c r="U1376" i="2"/>
  <c r="M1376" i="2"/>
  <c r="N1376" i="2" s="1"/>
  <c r="AQ1376" i="2" s="1"/>
  <c r="K1376" i="2"/>
  <c r="J1376" i="2"/>
  <c r="I1376" i="2"/>
  <c r="H1376" i="2"/>
  <c r="F1376" i="2"/>
  <c r="G1376" i="2" s="1"/>
  <c r="D1376" i="2"/>
  <c r="C1376" i="2"/>
  <c r="B1376" i="2"/>
  <c r="A1376" i="2"/>
  <c r="AP1375" i="2"/>
  <c r="AO1375" i="2"/>
  <c r="AI1375" i="2"/>
  <c r="W1375" i="2"/>
  <c r="AH1375" i="2" s="1"/>
  <c r="U1375" i="2"/>
  <c r="M1375" i="2"/>
  <c r="N1375" i="2" s="1"/>
  <c r="AQ1375" i="2" s="1"/>
  <c r="K1375" i="2"/>
  <c r="J1375" i="2"/>
  <c r="I1375" i="2"/>
  <c r="H1375" i="2"/>
  <c r="F1375" i="2"/>
  <c r="G1375" i="2" s="1"/>
  <c r="D1375" i="2"/>
  <c r="C1375" i="2"/>
  <c r="B1375" i="2"/>
  <c r="A1375" i="2"/>
  <c r="AP1374" i="2"/>
  <c r="AO1374" i="2"/>
  <c r="AH1374" i="2"/>
  <c r="W1374" i="2"/>
  <c r="AI1374" i="2" s="1"/>
  <c r="U1374" i="2"/>
  <c r="M1374" i="2"/>
  <c r="N1374" i="2" s="1"/>
  <c r="AQ1374" i="2" s="1"/>
  <c r="K1374" i="2"/>
  <c r="J1374" i="2"/>
  <c r="I1374" i="2"/>
  <c r="H1374" i="2"/>
  <c r="F1374" i="2"/>
  <c r="D1374" i="2"/>
  <c r="C1374" i="2"/>
  <c r="B1374" i="2"/>
  <c r="A1374" i="2"/>
  <c r="AP1373" i="2"/>
  <c r="AO1373" i="2"/>
  <c r="W1373" i="2"/>
  <c r="U1373" i="2"/>
  <c r="M1373" i="2"/>
  <c r="N1373" i="2" s="1"/>
  <c r="AQ1373" i="2" s="1"/>
  <c r="K1373" i="2"/>
  <c r="J1373" i="2"/>
  <c r="I1373" i="2"/>
  <c r="H1373" i="2"/>
  <c r="F1373" i="2"/>
  <c r="G1373" i="2" s="1"/>
  <c r="D1373" i="2"/>
  <c r="C1373" i="2"/>
  <c r="B1373" i="2"/>
  <c r="A1373" i="2"/>
  <c r="AP1372" i="2"/>
  <c r="AO1372" i="2"/>
  <c r="AI1372" i="2"/>
  <c r="W1372" i="2"/>
  <c r="AH1372" i="2" s="1"/>
  <c r="U1372" i="2"/>
  <c r="M1372" i="2"/>
  <c r="N1372" i="2" s="1"/>
  <c r="AQ1372" i="2" s="1"/>
  <c r="K1372" i="2"/>
  <c r="J1372" i="2"/>
  <c r="I1372" i="2"/>
  <c r="H1372" i="2"/>
  <c r="F1372" i="2"/>
  <c r="G1372" i="2" s="1"/>
  <c r="D1372" i="2"/>
  <c r="C1372" i="2"/>
  <c r="B1372" i="2"/>
  <c r="A1372" i="2"/>
  <c r="AP1371" i="2"/>
  <c r="AO1371" i="2"/>
  <c r="W1371" i="2"/>
  <c r="U1371" i="2"/>
  <c r="M1371" i="2"/>
  <c r="N1371" i="2" s="1"/>
  <c r="AQ1371" i="2" s="1"/>
  <c r="K1371" i="2"/>
  <c r="J1371" i="2"/>
  <c r="I1371" i="2"/>
  <c r="H1371" i="2"/>
  <c r="F1371" i="2"/>
  <c r="D1371" i="2"/>
  <c r="C1371" i="2"/>
  <c r="B1371" i="2"/>
  <c r="A1371" i="2"/>
  <c r="AP1370" i="2"/>
  <c r="AO1370" i="2"/>
  <c r="W1370" i="2"/>
  <c r="U1370" i="2"/>
  <c r="M1370" i="2"/>
  <c r="N1370" i="2" s="1"/>
  <c r="AQ1370" i="2" s="1"/>
  <c r="K1370" i="2"/>
  <c r="J1370" i="2"/>
  <c r="I1370" i="2"/>
  <c r="H1370" i="2"/>
  <c r="F1370" i="2"/>
  <c r="G1370" i="2" s="1"/>
  <c r="D1370" i="2"/>
  <c r="C1370" i="2"/>
  <c r="B1370" i="2"/>
  <c r="A1370" i="2"/>
  <c r="AP1369" i="2"/>
  <c r="AO1369" i="2"/>
  <c r="AH1369" i="2"/>
  <c r="W1369" i="2"/>
  <c r="AI1369" i="2" s="1"/>
  <c r="U1369" i="2"/>
  <c r="M1369" i="2"/>
  <c r="N1369" i="2" s="1"/>
  <c r="AQ1369" i="2" s="1"/>
  <c r="K1369" i="2"/>
  <c r="J1369" i="2"/>
  <c r="I1369" i="2"/>
  <c r="H1369" i="2"/>
  <c r="F1369" i="2"/>
  <c r="D1369" i="2"/>
  <c r="C1369" i="2"/>
  <c r="B1369" i="2"/>
  <c r="A1369" i="2"/>
  <c r="AP1368" i="2"/>
  <c r="AO1368" i="2"/>
  <c r="W1368" i="2"/>
  <c r="U1368" i="2"/>
  <c r="M1368" i="2"/>
  <c r="N1368" i="2" s="1"/>
  <c r="AQ1368" i="2" s="1"/>
  <c r="K1368" i="2"/>
  <c r="J1368" i="2"/>
  <c r="I1368" i="2"/>
  <c r="H1368" i="2"/>
  <c r="F1368" i="2"/>
  <c r="G1368" i="2" s="1"/>
  <c r="D1368" i="2"/>
  <c r="C1368" i="2"/>
  <c r="B1368" i="2"/>
  <c r="A1368" i="2"/>
  <c r="AP1367" i="2"/>
  <c r="AO1367" i="2"/>
  <c r="W1367" i="2"/>
  <c r="U1367" i="2"/>
  <c r="M1367" i="2"/>
  <c r="N1367" i="2" s="1"/>
  <c r="AQ1367" i="2" s="1"/>
  <c r="K1367" i="2"/>
  <c r="J1367" i="2"/>
  <c r="I1367" i="2"/>
  <c r="H1367" i="2"/>
  <c r="F1367" i="2"/>
  <c r="D1367" i="2"/>
  <c r="C1367" i="2"/>
  <c r="B1367" i="2"/>
  <c r="A1367" i="2"/>
  <c r="AP1366" i="2"/>
  <c r="AO1366" i="2"/>
  <c r="AH1366" i="2"/>
  <c r="W1366" i="2"/>
  <c r="AI1366" i="2" s="1"/>
  <c r="U1366" i="2"/>
  <c r="M1366" i="2"/>
  <c r="N1366" i="2" s="1"/>
  <c r="AQ1366" i="2" s="1"/>
  <c r="K1366" i="2"/>
  <c r="J1366" i="2"/>
  <c r="I1366" i="2"/>
  <c r="H1366" i="2"/>
  <c r="F1366" i="2"/>
  <c r="D1366" i="2"/>
  <c r="C1366" i="2"/>
  <c r="B1366" i="2"/>
  <c r="A1366" i="2"/>
  <c r="AP1365" i="2"/>
  <c r="AO1365" i="2"/>
  <c r="W1365" i="2"/>
  <c r="U1365" i="2"/>
  <c r="M1365" i="2"/>
  <c r="N1365" i="2" s="1"/>
  <c r="AQ1365" i="2" s="1"/>
  <c r="K1365" i="2"/>
  <c r="J1365" i="2"/>
  <c r="I1365" i="2"/>
  <c r="H1365" i="2"/>
  <c r="F1365" i="2"/>
  <c r="G1365" i="2" s="1"/>
  <c r="D1365" i="2"/>
  <c r="C1365" i="2"/>
  <c r="B1365" i="2"/>
  <c r="A1365" i="2"/>
  <c r="AP1364" i="2"/>
  <c r="AO1364" i="2"/>
  <c r="W1364" i="2"/>
  <c r="U1364" i="2"/>
  <c r="M1364" i="2"/>
  <c r="N1364" i="2" s="1"/>
  <c r="AQ1364" i="2" s="1"/>
  <c r="K1364" i="2"/>
  <c r="J1364" i="2"/>
  <c r="I1364" i="2"/>
  <c r="H1364" i="2"/>
  <c r="F1364" i="2"/>
  <c r="G1364" i="2" s="1"/>
  <c r="D1364" i="2"/>
  <c r="C1364" i="2"/>
  <c r="B1364" i="2"/>
  <c r="A1364" i="2"/>
  <c r="AP1363" i="2"/>
  <c r="AO1363" i="2"/>
  <c r="AH1363" i="2"/>
  <c r="W1363" i="2"/>
  <c r="AI1363" i="2" s="1"/>
  <c r="U1363" i="2"/>
  <c r="M1363" i="2"/>
  <c r="N1363" i="2" s="1"/>
  <c r="AQ1363" i="2" s="1"/>
  <c r="K1363" i="2"/>
  <c r="J1363" i="2"/>
  <c r="I1363" i="2"/>
  <c r="H1363" i="2"/>
  <c r="F1363" i="2"/>
  <c r="G1363" i="2" s="1"/>
  <c r="D1363" i="2"/>
  <c r="C1363" i="2"/>
  <c r="B1363" i="2"/>
  <c r="A1363" i="2"/>
  <c r="AP1362" i="2"/>
  <c r="AO1362" i="2"/>
  <c r="W1362" i="2"/>
  <c r="U1362" i="2"/>
  <c r="M1362" i="2"/>
  <c r="N1362" i="2" s="1"/>
  <c r="AQ1362" i="2" s="1"/>
  <c r="K1362" i="2"/>
  <c r="J1362" i="2"/>
  <c r="I1362" i="2"/>
  <c r="H1362" i="2"/>
  <c r="F1362" i="2"/>
  <c r="G1362" i="2" s="1"/>
  <c r="D1362" i="2"/>
  <c r="C1362" i="2"/>
  <c r="B1362" i="2"/>
  <c r="A1362" i="2"/>
  <c r="AP1361" i="2"/>
  <c r="AO1361" i="2"/>
  <c r="W1361" i="2"/>
  <c r="U1361" i="2"/>
  <c r="M1361" i="2"/>
  <c r="N1361" i="2" s="1"/>
  <c r="AQ1361" i="2" s="1"/>
  <c r="K1361" i="2"/>
  <c r="J1361" i="2"/>
  <c r="I1361" i="2"/>
  <c r="H1361" i="2"/>
  <c r="F1361" i="2"/>
  <c r="G1361" i="2" s="1"/>
  <c r="D1361" i="2"/>
  <c r="C1361" i="2"/>
  <c r="B1361" i="2"/>
  <c r="A1361" i="2"/>
  <c r="AP1360" i="2"/>
  <c r="AO1360" i="2"/>
  <c r="W1360" i="2"/>
  <c r="U1360" i="2"/>
  <c r="M1360" i="2"/>
  <c r="N1360" i="2" s="1"/>
  <c r="AQ1360" i="2" s="1"/>
  <c r="K1360" i="2"/>
  <c r="J1360" i="2"/>
  <c r="I1360" i="2"/>
  <c r="H1360" i="2"/>
  <c r="F1360" i="2"/>
  <c r="G1360" i="2" s="1"/>
  <c r="D1360" i="2"/>
  <c r="C1360" i="2"/>
  <c r="B1360" i="2"/>
  <c r="A1360" i="2"/>
  <c r="AP1359" i="2"/>
  <c r="AO1359" i="2"/>
  <c r="W1359" i="2"/>
  <c r="U1359" i="2"/>
  <c r="M1359" i="2"/>
  <c r="N1359" i="2" s="1"/>
  <c r="AQ1359" i="2" s="1"/>
  <c r="K1359" i="2"/>
  <c r="J1359" i="2"/>
  <c r="I1359" i="2"/>
  <c r="H1359" i="2"/>
  <c r="F1359" i="2"/>
  <c r="G1359" i="2" s="1"/>
  <c r="D1359" i="2"/>
  <c r="C1359" i="2"/>
  <c r="B1359" i="2"/>
  <c r="A1359" i="2"/>
  <c r="AP1358" i="2"/>
  <c r="AO1358" i="2"/>
  <c r="AH1358" i="2"/>
  <c r="W1358" i="2"/>
  <c r="AI1358" i="2" s="1"/>
  <c r="U1358" i="2"/>
  <c r="M1358" i="2"/>
  <c r="N1358" i="2" s="1"/>
  <c r="AQ1358" i="2" s="1"/>
  <c r="K1358" i="2"/>
  <c r="J1358" i="2"/>
  <c r="I1358" i="2"/>
  <c r="H1358" i="2"/>
  <c r="F1358" i="2"/>
  <c r="D1358" i="2"/>
  <c r="C1358" i="2"/>
  <c r="B1358" i="2"/>
  <c r="A1358" i="2"/>
  <c r="AP1357" i="2"/>
  <c r="AO1357" i="2"/>
  <c r="W1357" i="2"/>
  <c r="U1357" i="2"/>
  <c r="M1357" i="2"/>
  <c r="N1357" i="2" s="1"/>
  <c r="AQ1357" i="2" s="1"/>
  <c r="K1357" i="2"/>
  <c r="J1357" i="2"/>
  <c r="I1357" i="2"/>
  <c r="H1357" i="2"/>
  <c r="F1357" i="2"/>
  <c r="G1357" i="2" s="1"/>
  <c r="D1357" i="2"/>
  <c r="C1357" i="2"/>
  <c r="B1357" i="2"/>
  <c r="A1357" i="2"/>
  <c r="AP1356" i="2"/>
  <c r="AO1356" i="2"/>
  <c r="AH1356" i="2"/>
  <c r="W1356" i="2"/>
  <c r="AI1356" i="2" s="1"/>
  <c r="U1356" i="2"/>
  <c r="M1356" i="2"/>
  <c r="N1356" i="2" s="1"/>
  <c r="AQ1356" i="2" s="1"/>
  <c r="K1356" i="2"/>
  <c r="J1356" i="2"/>
  <c r="I1356" i="2"/>
  <c r="H1356" i="2"/>
  <c r="F1356" i="2"/>
  <c r="D1356" i="2"/>
  <c r="C1356" i="2"/>
  <c r="B1356" i="2"/>
  <c r="A1356" i="2"/>
  <c r="AP1355" i="2"/>
  <c r="AO1355" i="2"/>
  <c r="W1355" i="2"/>
  <c r="U1355" i="2"/>
  <c r="M1355" i="2"/>
  <c r="N1355" i="2" s="1"/>
  <c r="AQ1355" i="2" s="1"/>
  <c r="K1355" i="2"/>
  <c r="J1355" i="2"/>
  <c r="I1355" i="2"/>
  <c r="H1355" i="2"/>
  <c r="F1355" i="2"/>
  <c r="G1355" i="2" s="1"/>
  <c r="D1355" i="2"/>
  <c r="C1355" i="2"/>
  <c r="B1355" i="2"/>
  <c r="A1355" i="2"/>
  <c r="AP1354" i="2"/>
  <c r="AO1354" i="2"/>
  <c r="W1354" i="2"/>
  <c r="U1354" i="2"/>
  <c r="M1354" i="2"/>
  <c r="N1354" i="2" s="1"/>
  <c r="AQ1354" i="2" s="1"/>
  <c r="K1354" i="2"/>
  <c r="J1354" i="2"/>
  <c r="I1354" i="2"/>
  <c r="H1354" i="2"/>
  <c r="F1354" i="2"/>
  <c r="G1354" i="2" s="1"/>
  <c r="D1354" i="2"/>
  <c r="C1354" i="2"/>
  <c r="B1354" i="2"/>
  <c r="A1354" i="2"/>
  <c r="AP1353" i="2"/>
  <c r="AO1353" i="2"/>
  <c r="W1353" i="2"/>
  <c r="AI1353" i="2" s="1"/>
  <c r="U1353" i="2"/>
  <c r="M1353" i="2"/>
  <c r="N1353" i="2" s="1"/>
  <c r="AQ1353" i="2" s="1"/>
  <c r="K1353" i="2"/>
  <c r="J1353" i="2"/>
  <c r="I1353" i="2"/>
  <c r="H1353" i="2"/>
  <c r="F1353" i="2"/>
  <c r="G1353" i="2" s="1"/>
  <c r="D1353" i="2"/>
  <c r="C1353" i="2"/>
  <c r="B1353" i="2"/>
  <c r="A1353" i="2"/>
  <c r="AP1352" i="2"/>
  <c r="AO1352" i="2"/>
  <c r="AH1352" i="2"/>
  <c r="W1352" i="2"/>
  <c r="AI1352" i="2" s="1"/>
  <c r="U1352" i="2"/>
  <c r="M1352" i="2"/>
  <c r="N1352" i="2" s="1"/>
  <c r="AQ1352" i="2" s="1"/>
  <c r="K1352" i="2"/>
  <c r="J1352" i="2"/>
  <c r="I1352" i="2"/>
  <c r="H1352" i="2"/>
  <c r="F1352" i="2"/>
  <c r="D1352" i="2"/>
  <c r="C1352" i="2"/>
  <c r="B1352" i="2"/>
  <c r="A1352" i="2"/>
  <c r="AP1351" i="2"/>
  <c r="AO1351" i="2"/>
  <c r="W1351" i="2"/>
  <c r="U1351" i="2"/>
  <c r="M1351" i="2"/>
  <c r="N1351" i="2" s="1"/>
  <c r="AQ1351" i="2" s="1"/>
  <c r="K1351" i="2"/>
  <c r="J1351" i="2"/>
  <c r="I1351" i="2"/>
  <c r="H1351" i="2"/>
  <c r="F1351" i="2"/>
  <c r="D1351" i="2"/>
  <c r="C1351" i="2"/>
  <c r="B1351" i="2"/>
  <c r="A1351" i="2"/>
  <c r="AP1350" i="2"/>
  <c r="AO1350" i="2"/>
  <c r="AH1350" i="2"/>
  <c r="W1350" i="2"/>
  <c r="AI1350" i="2" s="1"/>
  <c r="U1350" i="2"/>
  <c r="M1350" i="2"/>
  <c r="N1350" i="2" s="1"/>
  <c r="AQ1350" i="2" s="1"/>
  <c r="K1350" i="2"/>
  <c r="J1350" i="2"/>
  <c r="I1350" i="2"/>
  <c r="H1350" i="2"/>
  <c r="F1350" i="2"/>
  <c r="D1350" i="2"/>
  <c r="C1350" i="2"/>
  <c r="B1350" i="2"/>
  <c r="A1350" i="2"/>
  <c r="AP1349" i="2"/>
  <c r="AO1349" i="2"/>
  <c r="AH1349" i="2"/>
  <c r="W1349" i="2"/>
  <c r="AI1349" i="2" s="1"/>
  <c r="U1349" i="2"/>
  <c r="M1349" i="2"/>
  <c r="N1349" i="2" s="1"/>
  <c r="AQ1349" i="2" s="1"/>
  <c r="K1349" i="2"/>
  <c r="J1349" i="2"/>
  <c r="I1349" i="2"/>
  <c r="H1349" i="2"/>
  <c r="F1349" i="2"/>
  <c r="D1349" i="2"/>
  <c r="C1349" i="2"/>
  <c r="B1349" i="2"/>
  <c r="A1349" i="2"/>
  <c r="AP1348" i="2"/>
  <c r="AO1348" i="2"/>
  <c r="W1348" i="2"/>
  <c r="U1348" i="2"/>
  <c r="M1348" i="2"/>
  <c r="N1348" i="2" s="1"/>
  <c r="AQ1348" i="2" s="1"/>
  <c r="K1348" i="2"/>
  <c r="J1348" i="2"/>
  <c r="I1348" i="2"/>
  <c r="H1348" i="2"/>
  <c r="F1348" i="2"/>
  <c r="G1348" i="2" s="1"/>
  <c r="D1348" i="2"/>
  <c r="C1348" i="2"/>
  <c r="B1348" i="2"/>
  <c r="A1348" i="2"/>
  <c r="AP1347" i="2"/>
  <c r="AO1347" i="2"/>
  <c r="W1347" i="2"/>
  <c r="U1347" i="2"/>
  <c r="M1347" i="2"/>
  <c r="N1347" i="2" s="1"/>
  <c r="AQ1347" i="2" s="1"/>
  <c r="K1347" i="2"/>
  <c r="J1347" i="2"/>
  <c r="I1347" i="2"/>
  <c r="H1347" i="2"/>
  <c r="F1347" i="2"/>
  <c r="G1347" i="2" s="1"/>
  <c r="D1347" i="2"/>
  <c r="C1347" i="2"/>
  <c r="B1347" i="2"/>
  <c r="A1347" i="2"/>
  <c r="AP1346" i="2"/>
  <c r="AO1346" i="2"/>
  <c r="W1346" i="2"/>
  <c r="U1346" i="2"/>
  <c r="M1346" i="2"/>
  <c r="N1346" i="2" s="1"/>
  <c r="AQ1346" i="2" s="1"/>
  <c r="K1346" i="2"/>
  <c r="J1346" i="2"/>
  <c r="I1346" i="2"/>
  <c r="H1346" i="2"/>
  <c r="F1346" i="2"/>
  <c r="D1346" i="2"/>
  <c r="C1346" i="2"/>
  <c r="B1346" i="2"/>
  <c r="A1346" i="2"/>
  <c r="AP1345" i="2"/>
  <c r="AO1345" i="2"/>
  <c r="W1345" i="2"/>
  <c r="U1345" i="2"/>
  <c r="M1345" i="2"/>
  <c r="N1345" i="2" s="1"/>
  <c r="AQ1345" i="2" s="1"/>
  <c r="K1345" i="2"/>
  <c r="J1345" i="2"/>
  <c r="I1345" i="2"/>
  <c r="H1345" i="2"/>
  <c r="F1345" i="2"/>
  <c r="G1345" i="2" s="1"/>
  <c r="D1345" i="2"/>
  <c r="C1345" i="2"/>
  <c r="B1345" i="2"/>
  <c r="A1345" i="2"/>
  <c r="AP1344" i="2"/>
  <c r="AO1344" i="2"/>
  <c r="AH1344" i="2"/>
  <c r="W1344" i="2"/>
  <c r="AI1344" i="2" s="1"/>
  <c r="U1344" i="2"/>
  <c r="M1344" i="2"/>
  <c r="N1344" i="2" s="1"/>
  <c r="AQ1344" i="2" s="1"/>
  <c r="K1344" i="2"/>
  <c r="J1344" i="2"/>
  <c r="I1344" i="2"/>
  <c r="H1344" i="2"/>
  <c r="F1344" i="2"/>
  <c r="D1344" i="2"/>
  <c r="C1344" i="2"/>
  <c r="B1344" i="2"/>
  <c r="A1344" i="2"/>
  <c r="AP1343" i="2"/>
  <c r="AO1343" i="2"/>
  <c r="AH1343" i="2"/>
  <c r="W1343" i="2"/>
  <c r="AI1343" i="2" s="1"/>
  <c r="U1343" i="2"/>
  <c r="M1343" i="2"/>
  <c r="N1343" i="2" s="1"/>
  <c r="AQ1343" i="2" s="1"/>
  <c r="K1343" i="2"/>
  <c r="J1343" i="2"/>
  <c r="I1343" i="2"/>
  <c r="H1343" i="2"/>
  <c r="F1343" i="2"/>
  <c r="D1343" i="2"/>
  <c r="C1343" i="2"/>
  <c r="B1343" i="2"/>
  <c r="A1343" i="2"/>
  <c r="AP1342" i="2"/>
  <c r="AO1342" i="2"/>
  <c r="W1342" i="2"/>
  <c r="U1342" i="2"/>
  <c r="M1342" i="2"/>
  <c r="N1342" i="2" s="1"/>
  <c r="AQ1342" i="2" s="1"/>
  <c r="K1342" i="2"/>
  <c r="J1342" i="2"/>
  <c r="I1342" i="2"/>
  <c r="H1342" i="2"/>
  <c r="F1342" i="2"/>
  <c r="G1342" i="2" s="1"/>
  <c r="D1342" i="2"/>
  <c r="C1342" i="2"/>
  <c r="B1342" i="2"/>
  <c r="A1342" i="2"/>
  <c r="AP1341" i="2"/>
  <c r="AO1341" i="2"/>
  <c r="AH1341" i="2"/>
  <c r="W1341" i="2"/>
  <c r="AI1341" i="2" s="1"/>
  <c r="U1341" i="2"/>
  <c r="M1341" i="2"/>
  <c r="N1341" i="2" s="1"/>
  <c r="AQ1341" i="2" s="1"/>
  <c r="K1341" i="2"/>
  <c r="J1341" i="2"/>
  <c r="I1341" i="2"/>
  <c r="H1341" i="2"/>
  <c r="F1341" i="2"/>
  <c r="D1341" i="2"/>
  <c r="C1341" i="2"/>
  <c r="B1341" i="2"/>
  <c r="A1341" i="2"/>
  <c r="AP1340" i="2"/>
  <c r="AO1340" i="2"/>
  <c r="AH1340" i="2"/>
  <c r="W1340" i="2"/>
  <c r="AI1340" i="2" s="1"/>
  <c r="U1340" i="2"/>
  <c r="M1340" i="2"/>
  <c r="N1340" i="2" s="1"/>
  <c r="AQ1340" i="2" s="1"/>
  <c r="K1340" i="2"/>
  <c r="J1340" i="2"/>
  <c r="I1340" i="2"/>
  <c r="H1340" i="2"/>
  <c r="F1340" i="2"/>
  <c r="D1340" i="2"/>
  <c r="C1340" i="2"/>
  <c r="B1340" i="2"/>
  <c r="A1340" i="2"/>
  <c r="AP1339" i="2"/>
  <c r="AO1339" i="2"/>
  <c r="AH1339" i="2"/>
  <c r="W1339" i="2"/>
  <c r="AI1339" i="2" s="1"/>
  <c r="U1339" i="2"/>
  <c r="M1339" i="2"/>
  <c r="N1339" i="2" s="1"/>
  <c r="AQ1339" i="2" s="1"/>
  <c r="K1339" i="2"/>
  <c r="J1339" i="2"/>
  <c r="I1339" i="2"/>
  <c r="H1339" i="2"/>
  <c r="F1339" i="2"/>
  <c r="D1339" i="2"/>
  <c r="C1339" i="2"/>
  <c r="B1339" i="2"/>
  <c r="A1339" i="2"/>
  <c r="AP1338" i="2"/>
  <c r="AO1338" i="2"/>
  <c r="AH1338" i="2"/>
  <c r="W1338" i="2"/>
  <c r="AI1338" i="2" s="1"/>
  <c r="U1338" i="2"/>
  <c r="M1338" i="2"/>
  <c r="N1338" i="2" s="1"/>
  <c r="AQ1338" i="2" s="1"/>
  <c r="K1338" i="2"/>
  <c r="J1338" i="2"/>
  <c r="I1338" i="2"/>
  <c r="H1338" i="2"/>
  <c r="F1338" i="2"/>
  <c r="D1338" i="2"/>
  <c r="C1338" i="2"/>
  <c r="B1338" i="2"/>
  <c r="A1338" i="2"/>
  <c r="AP1337" i="2"/>
  <c r="AO1337" i="2"/>
  <c r="AH1337" i="2"/>
  <c r="W1337" i="2"/>
  <c r="AI1337" i="2" s="1"/>
  <c r="U1337" i="2"/>
  <c r="M1337" i="2"/>
  <c r="N1337" i="2" s="1"/>
  <c r="AQ1337" i="2" s="1"/>
  <c r="K1337" i="2"/>
  <c r="J1337" i="2"/>
  <c r="I1337" i="2"/>
  <c r="H1337" i="2"/>
  <c r="F1337" i="2"/>
  <c r="D1337" i="2"/>
  <c r="C1337" i="2"/>
  <c r="B1337" i="2"/>
  <c r="A1337" i="2"/>
  <c r="AP1336" i="2"/>
  <c r="AO1336" i="2"/>
  <c r="W1336" i="2"/>
  <c r="U1336" i="2"/>
  <c r="M1336" i="2"/>
  <c r="N1336" i="2" s="1"/>
  <c r="AQ1336" i="2" s="1"/>
  <c r="K1336" i="2"/>
  <c r="J1336" i="2"/>
  <c r="I1336" i="2"/>
  <c r="H1336" i="2"/>
  <c r="F1336" i="2"/>
  <c r="G1336" i="2" s="1"/>
  <c r="D1336" i="2"/>
  <c r="C1336" i="2"/>
  <c r="B1336" i="2"/>
  <c r="A1336" i="2"/>
  <c r="AP1335" i="2"/>
  <c r="AO1335" i="2"/>
  <c r="W1335" i="2"/>
  <c r="U1335" i="2"/>
  <c r="M1335" i="2"/>
  <c r="N1335" i="2" s="1"/>
  <c r="AQ1335" i="2" s="1"/>
  <c r="K1335" i="2"/>
  <c r="J1335" i="2"/>
  <c r="I1335" i="2"/>
  <c r="H1335" i="2"/>
  <c r="F1335" i="2"/>
  <c r="G1335" i="2" s="1"/>
  <c r="D1335" i="2"/>
  <c r="C1335" i="2"/>
  <c r="B1335" i="2"/>
  <c r="A1335" i="2"/>
  <c r="AP1334" i="2"/>
  <c r="AO1334" i="2"/>
  <c r="W1334" i="2"/>
  <c r="U1334" i="2"/>
  <c r="M1334" i="2"/>
  <c r="N1334" i="2" s="1"/>
  <c r="AQ1334" i="2" s="1"/>
  <c r="K1334" i="2"/>
  <c r="J1334" i="2"/>
  <c r="I1334" i="2"/>
  <c r="H1334" i="2"/>
  <c r="F1334" i="2"/>
  <c r="G1334" i="2" s="1"/>
  <c r="D1334" i="2"/>
  <c r="C1334" i="2"/>
  <c r="B1334" i="2"/>
  <c r="A1334" i="2"/>
  <c r="AP1333" i="2"/>
  <c r="AO1333" i="2"/>
  <c r="AH1333" i="2"/>
  <c r="W1333" i="2"/>
  <c r="AI1333" i="2" s="1"/>
  <c r="U1333" i="2"/>
  <c r="M1333" i="2"/>
  <c r="N1333" i="2" s="1"/>
  <c r="AQ1333" i="2" s="1"/>
  <c r="K1333" i="2"/>
  <c r="J1333" i="2"/>
  <c r="I1333" i="2"/>
  <c r="H1333" i="2"/>
  <c r="F1333" i="2"/>
  <c r="D1333" i="2"/>
  <c r="C1333" i="2"/>
  <c r="B1333" i="2"/>
  <c r="A1333" i="2"/>
  <c r="AP1332" i="2"/>
  <c r="AO1332" i="2"/>
  <c r="AH1332" i="2"/>
  <c r="W1332" i="2"/>
  <c r="AI1332" i="2" s="1"/>
  <c r="U1332" i="2"/>
  <c r="M1332" i="2"/>
  <c r="N1332" i="2" s="1"/>
  <c r="AQ1332" i="2" s="1"/>
  <c r="K1332" i="2"/>
  <c r="J1332" i="2"/>
  <c r="I1332" i="2"/>
  <c r="H1332" i="2"/>
  <c r="F1332" i="2"/>
  <c r="D1332" i="2"/>
  <c r="C1332" i="2"/>
  <c r="B1332" i="2"/>
  <c r="A1332" i="2"/>
  <c r="AP1331" i="2"/>
  <c r="AO1331" i="2"/>
  <c r="W1331" i="2"/>
  <c r="U1331" i="2"/>
  <c r="M1331" i="2"/>
  <c r="N1331" i="2" s="1"/>
  <c r="AQ1331" i="2" s="1"/>
  <c r="K1331" i="2"/>
  <c r="J1331" i="2"/>
  <c r="I1331" i="2"/>
  <c r="H1331" i="2"/>
  <c r="F1331" i="2"/>
  <c r="G1331" i="2" s="1"/>
  <c r="D1331" i="2"/>
  <c r="C1331" i="2"/>
  <c r="B1331" i="2"/>
  <c r="A1331" i="2"/>
  <c r="AP1330" i="2"/>
  <c r="AO1330" i="2"/>
  <c r="W1330" i="2"/>
  <c r="U1330" i="2"/>
  <c r="M1330" i="2"/>
  <c r="N1330" i="2" s="1"/>
  <c r="AQ1330" i="2" s="1"/>
  <c r="K1330" i="2"/>
  <c r="J1330" i="2"/>
  <c r="I1330" i="2"/>
  <c r="H1330" i="2"/>
  <c r="F1330" i="2"/>
  <c r="D1330" i="2"/>
  <c r="C1330" i="2"/>
  <c r="B1330" i="2"/>
  <c r="A1330" i="2"/>
  <c r="AP1329" i="2"/>
  <c r="AO1329" i="2"/>
  <c r="W1329" i="2"/>
  <c r="U1329" i="2"/>
  <c r="M1329" i="2"/>
  <c r="N1329" i="2" s="1"/>
  <c r="AQ1329" i="2" s="1"/>
  <c r="K1329" i="2"/>
  <c r="J1329" i="2"/>
  <c r="I1329" i="2"/>
  <c r="H1329" i="2"/>
  <c r="F1329" i="2"/>
  <c r="G1329" i="2" s="1"/>
  <c r="D1329" i="2"/>
  <c r="C1329" i="2"/>
  <c r="B1329" i="2"/>
  <c r="A1329" i="2"/>
  <c r="AP1328" i="2"/>
  <c r="AO1328" i="2"/>
  <c r="W1328" i="2"/>
  <c r="U1328" i="2"/>
  <c r="M1328" i="2"/>
  <c r="N1328" i="2" s="1"/>
  <c r="AQ1328" i="2" s="1"/>
  <c r="K1328" i="2"/>
  <c r="J1328" i="2"/>
  <c r="I1328" i="2"/>
  <c r="H1328" i="2"/>
  <c r="F1328" i="2"/>
  <c r="G1328" i="2" s="1"/>
  <c r="D1328" i="2"/>
  <c r="C1328" i="2"/>
  <c r="B1328" i="2"/>
  <c r="A1328" i="2"/>
  <c r="AP1327" i="2"/>
  <c r="AO1327" i="2"/>
  <c r="AH1327" i="2"/>
  <c r="W1327" i="2"/>
  <c r="AI1327" i="2" s="1"/>
  <c r="U1327" i="2"/>
  <c r="M1327" i="2"/>
  <c r="N1327" i="2" s="1"/>
  <c r="AQ1327" i="2" s="1"/>
  <c r="K1327" i="2"/>
  <c r="J1327" i="2"/>
  <c r="I1327" i="2"/>
  <c r="H1327" i="2"/>
  <c r="F1327" i="2"/>
  <c r="D1327" i="2"/>
  <c r="C1327" i="2"/>
  <c r="B1327" i="2"/>
  <c r="A1327" i="2"/>
  <c r="AP1326" i="2"/>
  <c r="AO1326" i="2"/>
  <c r="AH1326" i="2"/>
  <c r="W1326" i="2"/>
  <c r="AI1326" i="2" s="1"/>
  <c r="U1326" i="2"/>
  <c r="M1326" i="2"/>
  <c r="N1326" i="2" s="1"/>
  <c r="AQ1326" i="2" s="1"/>
  <c r="K1326" i="2"/>
  <c r="J1326" i="2"/>
  <c r="I1326" i="2"/>
  <c r="H1326" i="2"/>
  <c r="F1326" i="2"/>
  <c r="D1326" i="2"/>
  <c r="C1326" i="2"/>
  <c r="B1326" i="2"/>
  <c r="A1326" i="2"/>
  <c r="AP1325" i="2"/>
  <c r="AO1325" i="2"/>
  <c r="W1325" i="2"/>
  <c r="U1325" i="2"/>
  <c r="M1325" i="2"/>
  <c r="N1325" i="2" s="1"/>
  <c r="AQ1325" i="2" s="1"/>
  <c r="K1325" i="2"/>
  <c r="J1325" i="2"/>
  <c r="I1325" i="2"/>
  <c r="H1325" i="2"/>
  <c r="F1325" i="2"/>
  <c r="G1325" i="2" s="1"/>
  <c r="D1325" i="2"/>
  <c r="C1325" i="2"/>
  <c r="B1325" i="2"/>
  <c r="A1325" i="2"/>
  <c r="AP1324" i="2"/>
  <c r="AO1324" i="2"/>
  <c r="W1324" i="2"/>
  <c r="U1324" i="2"/>
  <c r="M1324" i="2"/>
  <c r="N1324" i="2" s="1"/>
  <c r="AQ1324" i="2" s="1"/>
  <c r="K1324" i="2"/>
  <c r="J1324" i="2"/>
  <c r="I1324" i="2"/>
  <c r="H1324" i="2"/>
  <c r="F1324" i="2"/>
  <c r="G1324" i="2" s="1"/>
  <c r="D1324" i="2"/>
  <c r="C1324" i="2"/>
  <c r="B1324" i="2"/>
  <c r="A1324" i="2"/>
  <c r="AP1323" i="2"/>
  <c r="AO1323" i="2"/>
  <c r="W1323" i="2"/>
  <c r="U1323" i="2"/>
  <c r="M1323" i="2"/>
  <c r="N1323" i="2" s="1"/>
  <c r="AQ1323" i="2" s="1"/>
  <c r="K1323" i="2"/>
  <c r="J1323" i="2"/>
  <c r="I1323" i="2"/>
  <c r="H1323" i="2"/>
  <c r="F1323" i="2"/>
  <c r="G1323" i="2" s="1"/>
  <c r="D1323" i="2"/>
  <c r="C1323" i="2"/>
  <c r="B1323" i="2"/>
  <c r="A1323" i="2"/>
  <c r="AP1322" i="2"/>
  <c r="AO1322" i="2"/>
  <c r="W1322" i="2"/>
  <c r="U1322" i="2"/>
  <c r="N1322" i="2"/>
  <c r="AQ1322" i="2" s="1"/>
  <c r="M1322" i="2"/>
  <c r="K1322" i="2"/>
  <c r="J1322" i="2"/>
  <c r="I1322" i="2"/>
  <c r="H1322" i="2"/>
  <c r="F1322" i="2"/>
  <c r="D1322" i="2"/>
  <c r="C1322" i="2"/>
  <c r="B1322" i="2"/>
  <c r="A1322" i="2"/>
  <c r="AP1321" i="2"/>
  <c r="AO1321" i="2"/>
  <c r="W1321" i="2"/>
  <c r="U1321" i="2"/>
  <c r="M1321" i="2"/>
  <c r="N1321" i="2" s="1"/>
  <c r="AQ1321" i="2" s="1"/>
  <c r="K1321" i="2"/>
  <c r="J1321" i="2"/>
  <c r="I1321" i="2"/>
  <c r="H1321" i="2"/>
  <c r="G1321" i="2"/>
  <c r="F1321" i="2"/>
  <c r="D1321" i="2"/>
  <c r="C1321" i="2"/>
  <c r="B1321" i="2"/>
  <c r="A1321" i="2"/>
  <c r="AP1320" i="2"/>
  <c r="AO1320" i="2"/>
  <c r="AI1320" i="2"/>
  <c r="W1320" i="2"/>
  <c r="AH1320" i="2" s="1"/>
  <c r="U1320" i="2"/>
  <c r="M1320" i="2"/>
  <c r="N1320" i="2" s="1"/>
  <c r="AQ1320" i="2" s="1"/>
  <c r="K1320" i="2"/>
  <c r="J1320" i="2"/>
  <c r="I1320" i="2"/>
  <c r="H1320" i="2"/>
  <c r="F1320" i="2"/>
  <c r="G1320" i="2" s="1"/>
  <c r="D1320" i="2"/>
  <c r="C1320" i="2"/>
  <c r="B1320" i="2"/>
  <c r="A1320" i="2"/>
  <c r="AP1319" i="2"/>
  <c r="AO1319" i="2"/>
  <c r="W1319" i="2"/>
  <c r="U1319" i="2"/>
  <c r="M1319" i="2"/>
  <c r="N1319" i="2" s="1"/>
  <c r="AQ1319" i="2" s="1"/>
  <c r="K1319" i="2"/>
  <c r="J1319" i="2"/>
  <c r="I1319" i="2"/>
  <c r="H1319" i="2"/>
  <c r="F1319" i="2"/>
  <c r="G1319" i="2" s="1"/>
  <c r="D1319" i="2"/>
  <c r="C1319" i="2"/>
  <c r="B1319" i="2"/>
  <c r="A1319" i="2"/>
  <c r="AP1318" i="2"/>
  <c r="AO1318" i="2"/>
  <c r="W1318" i="2"/>
  <c r="AI1318" i="2" s="1"/>
  <c r="U1318" i="2"/>
  <c r="M1318" i="2"/>
  <c r="N1318" i="2" s="1"/>
  <c r="AQ1318" i="2" s="1"/>
  <c r="K1318" i="2"/>
  <c r="J1318" i="2"/>
  <c r="I1318" i="2"/>
  <c r="H1318" i="2"/>
  <c r="F1318" i="2"/>
  <c r="G1318" i="2" s="1"/>
  <c r="D1318" i="2"/>
  <c r="C1318" i="2"/>
  <c r="B1318" i="2"/>
  <c r="A1318" i="2"/>
  <c r="AP1317" i="2"/>
  <c r="AO1317" i="2"/>
  <c r="AH1317" i="2"/>
  <c r="W1317" i="2"/>
  <c r="AI1317" i="2" s="1"/>
  <c r="U1317" i="2"/>
  <c r="M1317" i="2"/>
  <c r="N1317" i="2" s="1"/>
  <c r="AQ1317" i="2" s="1"/>
  <c r="K1317" i="2"/>
  <c r="J1317" i="2"/>
  <c r="I1317" i="2"/>
  <c r="H1317" i="2"/>
  <c r="F1317" i="2"/>
  <c r="G1317" i="2" s="1"/>
  <c r="D1317" i="2"/>
  <c r="C1317" i="2"/>
  <c r="B1317" i="2"/>
  <c r="A1317" i="2"/>
  <c r="AP1316" i="2"/>
  <c r="AO1316" i="2"/>
  <c r="W1316" i="2"/>
  <c r="U1316" i="2"/>
  <c r="M1316" i="2"/>
  <c r="N1316" i="2" s="1"/>
  <c r="AQ1316" i="2" s="1"/>
  <c r="K1316" i="2"/>
  <c r="J1316" i="2"/>
  <c r="I1316" i="2"/>
  <c r="H1316" i="2"/>
  <c r="F1316" i="2"/>
  <c r="G1316" i="2" s="1"/>
  <c r="D1316" i="2"/>
  <c r="C1316" i="2"/>
  <c r="B1316" i="2"/>
  <c r="A1316" i="2"/>
  <c r="AP1315" i="2"/>
  <c r="AO1315" i="2"/>
  <c r="AI1315" i="2"/>
  <c r="W1315" i="2"/>
  <c r="AH1315" i="2" s="1"/>
  <c r="U1315" i="2"/>
  <c r="M1315" i="2"/>
  <c r="N1315" i="2" s="1"/>
  <c r="AQ1315" i="2" s="1"/>
  <c r="K1315" i="2"/>
  <c r="J1315" i="2"/>
  <c r="I1315" i="2"/>
  <c r="H1315" i="2"/>
  <c r="F1315" i="2"/>
  <c r="G1315" i="2" s="1"/>
  <c r="D1315" i="2"/>
  <c r="C1315" i="2"/>
  <c r="B1315" i="2"/>
  <c r="A1315" i="2"/>
  <c r="AP1314" i="2"/>
  <c r="AO1314" i="2"/>
  <c r="AH1314" i="2"/>
  <c r="W1314" i="2"/>
  <c r="AI1314" i="2" s="1"/>
  <c r="U1314" i="2"/>
  <c r="M1314" i="2"/>
  <c r="N1314" i="2" s="1"/>
  <c r="AQ1314" i="2" s="1"/>
  <c r="K1314" i="2"/>
  <c r="J1314" i="2"/>
  <c r="I1314" i="2"/>
  <c r="H1314" i="2"/>
  <c r="F1314" i="2"/>
  <c r="D1314" i="2"/>
  <c r="C1314" i="2"/>
  <c r="B1314" i="2"/>
  <c r="A1314" i="2"/>
  <c r="AP1313" i="2"/>
  <c r="AO1313" i="2"/>
  <c r="W1313" i="2"/>
  <c r="U1313" i="2"/>
  <c r="M1313" i="2"/>
  <c r="N1313" i="2" s="1"/>
  <c r="AQ1313" i="2" s="1"/>
  <c r="K1313" i="2"/>
  <c r="J1313" i="2"/>
  <c r="I1313" i="2"/>
  <c r="H1313" i="2"/>
  <c r="F1313" i="2"/>
  <c r="G1313" i="2" s="1"/>
  <c r="D1313" i="2"/>
  <c r="C1313" i="2"/>
  <c r="B1313" i="2"/>
  <c r="A1313" i="2"/>
  <c r="AP1312" i="2"/>
  <c r="AO1312" i="2"/>
  <c r="W1312" i="2"/>
  <c r="U1312" i="2"/>
  <c r="M1312" i="2"/>
  <c r="N1312" i="2" s="1"/>
  <c r="AQ1312" i="2" s="1"/>
  <c r="K1312" i="2"/>
  <c r="J1312" i="2"/>
  <c r="I1312" i="2"/>
  <c r="H1312" i="2"/>
  <c r="F1312" i="2"/>
  <c r="G1312" i="2" s="1"/>
  <c r="D1312" i="2"/>
  <c r="C1312" i="2"/>
  <c r="B1312" i="2"/>
  <c r="A1312" i="2"/>
  <c r="AP1311" i="2"/>
  <c r="AO1311" i="2"/>
  <c r="W1311" i="2"/>
  <c r="U1311" i="2"/>
  <c r="M1311" i="2"/>
  <c r="N1311" i="2" s="1"/>
  <c r="AQ1311" i="2" s="1"/>
  <c r="K1311" i="2"/>
  <c r="J1311" i="2"/>
  <c r="I1311" i="2"/>
  <c r="H1311" i="2"/>
  <c r="F1311" i="2"/>
  <c r="G1311" i="2" s="1"/>
  <c r="D1311" i="2"/>
  <c r="C1311" i="2"/>
  <c r="B1311" i="2"/>
  <c r="A1311" i="2"/>
  <c r="AP1310" i="2"/>
  <c r="AO1310" i="2"/>
  <c r="W1310" i="2"/>
  <c r="U1310" i="2"/>
  <c r="M1310" i="2"/>
  <c r="N1310" i="2" s="1"/>
  <c r="AQ1310" i="2" s="1"/>
  <c r="K1310" i="2"/>
  <c r="J1310" i="2"/>
  <c r="I1310" i="2"/>
  <c r="H1310" i="2"/>
  <c r="F1310" i="2"/>
  <c r="G1310" i="2" s="1"/>
  <c r="D1310" i="2"/>
  <c r="C1310" i="2"/>
  <c r="B1310" i="2"/>
  <c r="A1310" i="2"/>
  <c r="AP1309" i="2"/>
  <c r="AO1309" i="2"/>
  <c r="AH1309" i="2"/>
  <c r="W1309" i="2"/>
  <c r="AI1309" i="2" s="1"/>
  <c r="U1309" i="2"/>
  <c r="M1309" i="2"/>
  <c r="N1309" i="2" s="1"/>
  <c r="AQ1309" i="2" s="1"/>
  <c r="K1309" i="2"/>
  <c r="J1309" i="2"/>
  <c r="I1309" i="2"/>
  <c r="H1309" i="2"/>
  <c r="F1309" i="2"/>
  <c r="D1309" i="2"/>
  <c r="C1309" i="2"/>
  <c r="B1309" i="2"/>
  <c r="A1309" i="2"/>
  <c r="AP1308" i="2"/>
  <c r="AO1308" i="2"/>
  <c r="AH1308" i="2"/>
  <c r="W1308" i="2"/>
  <c r="AI1308" i="2" s="1"/>
  <c r="U1308" i="2"/>
  <c r="M1308" i="2"/>
  <c r="N1308" i="2" s="1"/>
  <c r="AQ1308" i="2" s="1"/>
  <c r="K1308" i="2"/>
  <c r="J1308" i="2"/>
  <c r="I1308" i="2"/>
  <c r="H1308" i="2"/>
  <c r="F1308" i="2"/>
  <c r="D1308" i="2"/>
  <c r="C1308" i="2"/>
  <c r="B1308" i="2"/>
  <c r="A1308" i="2"/>
  <c r="AP1307" i="2"/>
  <c r="AO1307" i="2"/>
  <c r="AH1307" i="2"/>
  <c r="W1307" i="2"/>
  <c r="AI1307" i="2" s="1"/>
  <c r="U1307" i="2"/>
  <c r="M1307" i="2"/>
  <c r="N1307" i="2" s="1"/>
  <c r="AQ1307" i="2" s="1"/>
  <c r="K1307" i="2"/>
  <c r="J1307" i="2"/>
  <c r="I1307" i="2"/>
  <c r="H1307" i="2"/>
  <c r="F1307" i="2"/>
  <c r="G1307" i="2" s="1"/>
  <c r="D1307" i="2"/>
  <c r="C1307" i="2"/>
  <c r="B1307" i="2"/>
  <c r="A1307" i="2"/>
  <c r="AP1306" i="2"/>
  <c r="AO1306" i="2"/>
  <c r="W1306" i="2"/>
  <c r="U1306" i="2"/>
  <c r="M1306" i="2"/>
  <c r="N1306" i="2" s="1"/>
  <c r="AQ1306" i="2" s="1"/>
  <c r="K1306" i="2"/>
  <c r="J1306" i="2"/>
  <c r="I1306" i="2"/>
  <c r="H1306" i="2"/>
  <c r="F1306" i="2"/>
  <c r="G1306" i="2" s="1"/>
  <c r="D1306" i="2"/>
  <c r="C1306" i="2"/>
  <c r="B1306" i="2"/>
  <c r="A1306" i="2"/>
  <c r="AP1305" i="2"/>
  <c r="AO1305" i="2"/>
  <c r="W1305" i="2"/>
  <c r="U1305" i="2"/>
  <c r="M1305" i="2"/>
  <c r="N1305" i="2" s="1"/>
  <c r="AQ1305" i="2" s="1"/>
  <c r="K1305" i="2"/>
  <c r="J1305" i="2"/>
  <c r="I1305" i="2"/>
  <c r="H1305" i="2"/>
  <c r="F1305" i="2"/>
  <c r="G1305" i="2" s="1"/>
  <c r="D1305" i="2"/>
  <c r="C1305" i="2"/>
  <c r="B1305" i="2"/>
  <c r="A1305" i="2"/>
  <c r="AP1304" i="2"/>
  <c r="AO1304" i="2"/>
  <c r="AH1304" i="2"/>
  <c r="W1304" i="2"/>
  <c r="AI1304" i="2" s="1"/>
  <c r="U1304" i="2"/>
  <c r="M1304" i="2"/>
  <c r="N1304" i="2" s="1"/>
  <c r="AQ1304" i="2" s="1"/>
  <c r="K1304" i="2"/>
  <c r="J1304" i="2"/>
  <c r="I1304" i="2"/>
  <c r="H1304" i="2"/>
  <c r="F1304" i="2"/>
  <c r="D1304" i="2"/>
  <c r="C1304" i="2"/>
  <c r="B1304" i="2"/>
  <c r="A1304" i="2"/>
  <c r="AP1303" i="2"/>
  <c r="AO1303" i="2"/>
  <c r="W1303" i="2"/>
  <c r="U1303" i="2"/>
  <c r="M1303" i="2"/>
  <c r="N1303" i="2" s="1"/>
  <c r="AQ1303" i="2" s="1"/>
  <c r="K1303" i="2"/>
  <c r="J1303" i="2"/>
  <c r="I1303" i="2"/>
  <c r="H1303" i="2"/>
  <c r="F1303" i="2"/>
  <c r="G1303" i="2" s="1"/>
  <c r="D1303" i="2"/>
  <c r="C1303" i="2"/>
  <c r="B1303" i="2"/>
  <c r="A1303" i="2"/>
  <c r="AP1302" i="2"/>
  <c r="AO1302" i="2"/>
  <c r="W1302" i="2"/>
  <c r="U1302" i="2"/>
  <c r="M1302" i="2"/>
  <c r="N1302" i="2" s="1"/>
  <c r="AQ1302" i="2" s="1"/>
  <c r="K1302" i="2"/>
  <c r="J1302" i="2"/>
  <c r="I1302" i="2"/>
  <c r="H1302" i="2"/>
  <c r="F1302" i="2"/>
  <c r="G1302" i="2" s="1"/>
  <c r="D1302" i="2"/>
  <c r="C1302" i="2"/>
  <c r="B1302" i="2"/>
  <c r="A1302" i="2"/>
  <c r="AP1301" i="2"/>
  <c r="AO1301" i="2"/>
  <c r="AH1301" i="2"/>
  <c r="W1301" i="2"/>
  <c r="AI1301" i="2" s="1"/>
  <c r="U1301" i="2"/>
  <c r="M1301" i="2"/>
  <c r="N1301" i="2" s="1"/>
  <c r="AQ1301" i="2" s="1"/>
  <c r="K1301" i="2"/>
  <c r="J1301" i="2"/>
  <c r="I1301" i="2"/>
  <c r="H1301" i="2"/>
  <c r="F1301" i="2"/>
  <c r="D1301" i="2"/>
  <c r="C1301" i="2"/>
  <c r="B1301" i="2"/>
  <c r="A1301" i="2"/>
  <c r="AP1300" i="2"/>
  <c r="AO1300" i="2"/>
  <c r="W1300" i="2"/>
  <c r="AH1300" i="2" s="1"/>
  <c r="U1300" i="2"/>
  <c r="M1300" i="2"/>
  <c r="N1300" i="2" s="1"/>
  <c r="AQ1300" i="2" s="1"/>
  <c r="K1300" i="2"/>
  <c r="J1300" i="2"/>
  <c r="I1300" i="2"/>
  <c r="H1300" i="2"/>
  <c r="F1300" i="2"/>
  <c r="D1300" i="2"/>
  <c r="C1300" i="2"/>
  <c r="B1300" i="2"/>
  <c r="A1300" i="2"/>
  <c r="AP1299" i="2"/>
  <c r="AO1299" i="2"/>
  <c r="AH1299" i="2"/>
  <c r="W1299" i="2"/>
  <c r="AI1299" i="2" s="1"/>
  <c r="U1299" i="2"/>
  <c r="M1299" i="2"/>
  <c r="N1299" i="2" s="1"/>
  <c r="AQ1299" i="2" s="1"/>
  <c r="K1299" i="2"/>
  <c r="J1299" i="2"/>
  <c r="I1299" i="2"/>
  <c r="H1299" i="2"/>
  <c r="F1299" i="2"/>
  <c r="D1299" i="2"/>
  <c r="C1299" i="2"/>
  <c r="B1299" i="2"/>
  <c r="A1299" i="2"/>
  <c r="AP1298" i="2"/>
  <c r="AO1298" i="2"/>
  <c r="AH1298" i="2"/>
  <c r="W1298" i="2"/>
  <c r="AI1298" i="2" s="1"/>
  <c r="U1298" i="2"/>
  <c r="M1298" i="2"/>
  <c r="N1298" i="2" s="1"/>
  <c r="AQ1298" i="2" s="1"/>
  <c r="K1298" i="2"/>
  <c r="J1298" i="2"/>
  <c r="I1298" i="2"/>
  <c r="H1298" i="2"/>
  <c r="F1298" i="2"/>
  <c r="D1298" i="2"/>
  <c r="C1298" i="2"/>
  <c r="B1298" i="2"/>
  <c r="A1298" i="2"/>
  <c r="AP1297" i="2"/>
  <c r="AO1297" i="2"/>
  <c r="W1297" i="2"/>
  <c r="U1297" i="2"/>
  <c r="M1297" i="2"/>
  <c r="N1297" i="2" s="1"/>
  <c r="AQ1297" i="2" s="1"/>
  <c r="K1297" i="2"/>
  <c r="J1297" i="2"/>
  <c r="I1297" i="2"/>
  <c r="H1297" i="2"/>
  <c r="F1297" i="2"/>
  <c r="D1297" i="2"/>
  <c r="C1297" i="2"/>
  <c r="B1297" i="2"/>
  <c r="A1297" i="2"/>
  <c r="AP1296" i="2"/>
  <c r="AO1296" i="2"/>
  <c r="W1296" i="2"/>
  <c r="U1296" i="2"/>
  <c r="M1296" i="2"/>
  <c r="N1296" i="2" s="1"/>
  <c r="AQ1296" i="2" s="1"/>
  <c r="K1296" i="2"/>
  <c r="J1296" i="2"/>
  <c r="I1296" i="2"/>
  <c r="H1296" i="2"/>
  <c r="F1296" i="2"/>
  <c r="G1296" i="2" s="1"/>
  <c r="D1296" i="2"/>
  <c r="C1296" i="2"/>
  <c r="B1296" i="2"/>
  <c r="A1296" i="2"/>
  <c r="AP1295" i="2"/>
  <c r="AO1295" i="2"/>
  <c r="W1295" i="2"/>
  <c r="U1295" i="2"/>
  <c r="M1295" i="2"/>
  <c r="N1295" i="2" s="1"/>
  <c r="AQ1295" i="2" s="1"/>
  <c r="K1295" i="2"/>
  <c r="J1295" i="2"/>
  <c r="I1295" i="2"/>
  <c r="H1295" i="2"/>
  <c r="F1295" i="2"/>
  <c r="D1295" i="2"/>
  <c r="C1295" i="2"/>
  <c r="B1295" i="2"/>
  <c r="A1295" i="2"/>
  <c r="AP1294" i="2"/>
  <c r="AO1294" i="2"/>
  <c r="AH1294" i="2"/>
  <c r="W1294" i="2"/>
  <c r="AI1294" i="2" s="1"/>
  <c r="U1294" i="2"/>
  <c r="M1294" i="2"/>
  <c r="N1294" i="2" s="1"/>
  <c r="AQ1294" i="2" s="1"/>
  <c r="K1294" i="2"/>
  <c r="J1294" i="2"/>
  <c r="I1294" i="2"/>
  <c r="H1294" i="2"/>
  <c r="F1294" i="2"/>
  <c r="G1294" i="2" s="1"/>
  <c r="D1294" i="2"/>
  <c r="C1294" i="2"/>
  <c r="B1294" i="2"/>
  <c r="A1294" i="2"/>
  <c r="AP1293" i="2"/>
  <c r="AO1293" i="2"/>
  <c r="AH1293" i="2"/>
  <c r="W1293" i="2"/>
  <c r="AI1293" i="2" s="1"/>
  <c r="U1293" i="2"/>
  <c r="M1293" i="2"/>
  <c r="N1293" i="2" s="1"/>
  <c r="AQ1293" i="2" s="1"/>
  <c r="K1293" i="2"/>
  <c r="J1293" i="2"/>
  <c r="I1293" i="2"/>
  <c r="H1293" i="2"/>
  <c r="F1293" i="2"/>
  <c r="D1293" i="2"/>
  <c r="C1293" i="2"/>
  <c r="B1293" i="2"/>
  <c r="A1293" i="2"/>
  <c r="AP1292" i="2"/>
  <c r="AO1292" i="2"/>
  <c r="AH1292" i="2"/>
  <c r="W1292" i="2"/>
  <c r="AI1292" i="2" s="1"/>
  <c r="U1292" i="2"/>
  <c r="M1292" i="2"/>
  <c r="N1292" i="2" s="1"/>
  <c r="AQ1292" i="2" s="1"/>
  <c r="K1292" i="2"/>
  <c r="J1292" i="2"/>
  <c r="I1292" i="2"/>
  <c r="H1292" i="2"/>
  <c r="F1292" i="2"/>
  <c r="D1292" i="2"/>
  <c r="C1292" i="2"/>
  <c r="B1292" i="2"/>
  <c r="A1292" i="2"/>
  <c r="AP1291" i="2"/>
  <c r="AO1291" i="2"/>
  <c r="W1291" i="2"/>
  <c r="U1291" i="2"/>
  <c r="M1291" i="2"/>
  <c r="N1291" i="2" s="1"/>
  <c r="AQ1291" i="2" s="1"/>
  <c r="K1291" i="2"/>
  <c r="J1291" i="2"/>
  <c r="I1291" i="2"/>
  <c r="H1291" i="2"/>
  <c r="F1291" i="2"/>
  <c r="G1291" i="2" s="1"/>
  <c r="D1291" i="2"/>
  <c r="C1291" i="2"/>
  <c r="B1291" i="2"/>
  <c r="A1291" i="2"/>
  <c r="AP1290" i="2"/>
  <c r="AO1290" i="2"/>
  <c r="W1290" i="2"/>
  <c r="U1290" i="2"/>
  <c r="M1290" i="2"/>
  <c r="N1290" i="2" s="1"/>
  <c r="AQ1290" i="2" s="1"/>
  <c r="K1290" i="2"/>
  <c r="J1290" i="2"/>
  <c r="I1290" i="2"/>
  <c r="H1290" i="2"/>
  <c r="F1290" i="2"/>
  <c r="D1290" i="2"/>
  <c r="C1290" i="2"/>
  <c r="B1290" i="2"/>
  <c r="A1290" i="2"/>
  <c r="AP1289" i="2"/>
  <c r="AO1289" i="2"/>
  <c r="W1289" i="2"/>
  <c r="U1289" i="2"/>
  <c r="M1289" i="2"/>
  <c r="N1289" i="2" s="1"/>
  <c r="AQ1289" i="2" s="1"/>
  <c r="K1289" i="2"/>
  <c r="J1289" i="2"/>
  <c r="I1289" i="2"/>
  <c r="H1289" i="2"/>
  <c r="F1289" i="2"/>
  <c r="D1289" i="2"/>
  <c r="C1289" i="2"/>
  <c r="B1289" i="2"/>
  <c r="A1289" i="2"/>
  <c r="AP1288" i="2"/>
  <c r="AO1288" i="2"/>
  <c r="AH1288" i="2"/>
  <c r="W1288" i="2"/>
  <c r="AI1288" i="2" s="1"/>
  <c r="U1288" i="2"/>
  <c r="M1288" i="2"/>
  <c r="N1288" i="2" s="1"/>
  <c r="AQ1288" i="2" s="1"/>
  <c r="K1288" i="2"/>
  <c r="J1288" i="2"/>
  <c r="I1288" i="2"/>
  <c r="H1288" i="2"/>
  <c r="F1288" i="2"/>
  <c r="D1288" i="2"/>
  <c r="C1288" i="2"/>
  <c r="B1288" i="2"/>
  <c r="A1288" i="2"/>
  <c r="AP1287" i="2"/>
  <c r="AO1287" i="2"/>
  <c r="AH1287" i="2"/>
  <c r="W1287" i="2"/>
  <c r="AI1287" i="2" s="1"/>
  <c r="U1287" i="2"/>
  <c r="M1287" i="2"/>
  <c r="N1287" i="2" s="1"/>
  <c r="AQ1287" i="2" s="1"/>
  <c r="K1287" i="2"/>
  <c r="J1287" i="2"/>
  <c r="I1287" i="2"/>
  <c r="H1287" i="2"/>
  <c r="F1287" i="2"/>
  <c r="D1287" i="2"/>
  <c r="C1287" i="2"/>
  <c r="B1287" i="2"/>
  <c r="A1287" i="2"/>
  <c r="AP1286" i="2"/>
  <c r="AO1286" i="2"/>
  <c r="AH1286" i="2"/>
  <c r="W1286" i="2"/>
  <c r="AI1286" i="2" s="1"/>
  <c r="U1286" i="2"/>
  <c r="M1286" i="2"/>
  <c r="N1286" i="2" s="1"/>
  <c r="AQ1286" i="2" s="1"/>
  <c r="K1286" i="2"/>
  <c r="J1286" i="2"/>
  <c r="I1286" i="2"/>
  <c r="H1286" i="2"/>
  <c r="F1286" i="2"/>
  <c r="D1286" i="2"/>
  <c r="C1286" i="2"/>
  <c r="B1286" i="2"/>
  <c r="A1286" i="2"/>
  <c r="AP1285" i="2"/>
  <c r="AO1285" i="2"/>
  <c r="AH1285" i="2"/>
  <c r="W1285" i="2"/>
  <c r="AI1285" i="2" s="1"/>
  <c r="U1285" i="2"/>
  <c r="N1285" i="2"/>
  <c r="AQ1285" i="2" s="1"/>
  <c r="M1285" i="2"/>
  <c r="K1285" i="2"/>
  <c r="J1285" i="2"/>
  <c r="I1285" i="2"/>
  <c r="H1285" i="2"/>
  <c r="F1285" i="2"/>
  <c r="G1285" i="2" s="1"/>
  <c r="D1285" i="2"/>
  <c r="C1285" i="2"/>
  <c r="B1285" i="2"/>
  <c r="A1285" i="2"/>
  <c r="AP1284" i="2"/>
  <c r="AO1284" i="2"/>
  <c r="W1284" i="2"/>
  <c r="U1284" i="2"/>
  <c r="M1284" i="2"/>
  <c r="N1284" i="2" s="1"/>
  <c r="AQ1284" i="2" s="1"/>
  <c r="K1284" i="2"/>
  <c r="J1284" i="2"/>
  <c r="I1284" i="2"/>
  <c r="H1284" i="2"/>
  <c r="F1284" i="2"/>
  <c r="D1284" i="2"/>
  <c r="C1284" i="2"/>
  <c r="B1284" i="2"/>
  <c r="A1284" i="2"/>
  <c r="AP1283" i="2"/>
  <c r="AO1283" i="2"/>
  <c r="W1283" i="2"/>
  <c r="U1283" i="2"/>
  <c r="M1283" i="2"/>
  <c r="N1283" i="2" s="1"/>
  <c r="AQ1283" i="2" s="1"/>
  <c r="K1283" i="2"/>
  <c r="J1283" i="2"/>
  <c r="I1283" i="2"/>
  <c r="H1283" i="2"/>
  <c r="F1283" i="2"/>
  <c r="D1283" i="2"/>
  <c r="C1283" i="2"/>
  <c r="B1283" i="2"/>
  <c r="A1283" i="2"/>
  <c r="AP1282" i="2"/>
  <c r="AO1282" i="2"/>
  <c r="W1282" i="2"/>
  <c r="U1282" i="2"/>
  <c r="M1282" i="2"/>
  <c r="N1282" i="2" s="1"/>
  <c r="AQ1282" i="2" s="1"/>
  <c r="K1282" i="2"/>
  <c r="J1282" i="2"/>
  <c r="I1282" i="2"/>
  <c r="H1282" i="2"/>
  <c r="F1282" i="2"/>
  <c r="D1282" i="2"/>
  <c r="C1282" i="2"/>
  <c r="B1282" i="2"/>
  <c r="A1282" i="2"/>
  <c r="AP1281" i="2"/>
  <c r="AO1281" i="2"/>
  <c r="AH1281" i="2"/>
  <c r="W1281" i="2"/>
  <c r="AI1281" i="2" s="1"/>
  <c r="U1281" i="2"/>
  <c r="M1281" i="2"/>
  <c r="N1281" i="2" s="1"/>
  <c r="AQ1281" i="2" s="1"/>
  <c r="K1281" i="2"/>
  <c r="J1281" i="2"/>
  <c r="I1281" i="2"/>
  <c r="H1281" i="2"/>
  <c r="F1281" i="2"/>
  <c r="G1281" i="2" s="1"/>
  <c r="D1281" i="2"/>
  <c r="C1281" i="2"/>
  <c r="B1281" i="2"/>
  <c r="A1281" i="2"/>
  <c r="AP1280" i="2"/>
  <c r="AO1280" i="2"/>
  <c r="AH1280" i="2"/>
  <c r="W1280" i="2"/>
  <c r="AI1280" i="2" s="1"/>
  <c r="U1280" i="2"/>
  <c r="M1280" i="2"/>
  <c r="N1280" i="2" s="1"/>
  <c r="AQ1280" i="2" s="1"/>
  <c r="K1280" i="2"/>
  <c r="J1280" i="2"/>
  <c r="I1280" i="2"/>
  <c r="H1280" i="2"/>
  <c r="F1280" i="2"/>
  <c r="D1280" i="2"/>
  <c r="C1280" i="2"/>
  <c r="B1280" i="2"/>
  <c r="A1280" i="2"/>
  <c r="AP1279" i="2"/>
  <c r="AO1279" i="2"/>
  <c r="W1279" i="2"/>
  <c r="U1279" i="2"/>
  <c r="M1279" i="2"/>
  <c r="N1279" i="2" s="1"/>
  <c r="AQ1279" i="2" s="1"/>
  <c r="K1279" i="2"/>
  <c r="J1279" i="2"/>
  <c r="I1279" i="2"/>
  <c r="H1279" i="2"/>
  <c r="F1279" i="2"/>
  <c r="G1279" i="2" s="1"/>
  <c r="D1279" i="2"/>
  <c r="C1279" i="2"/>
  <c r="B1279" i="2"/>
  <c r="A1279" i="2"/>
  <c r="AP1278" i="2"/>
  <c r="AO1278" i="2"/>
  <c r="W1278" i="2"/>
  <c r="U1278" i="2"/>
  <c r="M1278" i="2"/>
  <c r="N1278" i="2" s="1"/>
  <c r="AQ1278" i="2" s="1"/>
  <c r="K1278" i="2"/>
  <c r="J1278" i="2"/>
  <c r="I1278" i="2"/>
  <c r="H1278" i="2"/>
  <c r="F1278" i="2"/>
  <c r="G1278" i="2" s="1"/>
  <c r="D1278" i="2"/>
  <c r="C1278" i="2"/>
  <c r="B1278" i="2"/>
  <c r="A1278" i="2"/>
  <c r="AP1277" i="2"/>
  <c r="AO1277" i="2"/>
  <c r="W1277" i="2"/>
  <c r="U1277" i="2"/>
  <c r="M1277" i="2"/>
  <c r="N1277" i="2" s="1"/>
  <c r="AQ1277" i="2" s="1"/>
  <c r="K1277" i="2"/>
  <c r="J1277" i="2"/>
  <c r="I1277" i="2"/>
  <c r="H1277" i="2"/>
  <c r="F1277" i="2"/>
  <c r="D1277" i="2"/>
  <c r="C1277" i="2"/>
  <c r="B1277" i="2"/>
  <c r="A1277" i="2"/>
  <c r="AP1276" i="2"/>
  <c r="AO1276" i="2"/>
  <c r="AH1276" i="2"/>
  <c r="W1276" i="2"/>
  <c r="AI1276" i="2" s="1"/>
  <c r="U1276" i="2"/>
  <c r="M1276" i="2"/>
  <c r="N1276" i="2" s="1"/>
  <c r="AQ1276" i="2" s="1"/>
  <c r="K1276" i="2"/>
  <c r="J1276" i="2"/>
  <c r="I1276" i="2"/>
  <c r="H1276" i="2"/>
  <c r="F1276" i="2"/>
  <c r="D1276" i="2"/>
  <c r="C1276" i="2"/>
  <c r="B1276" i="2"/>
  <c r="A1276" i="2"/>
  <c r="AP1275" i="2"/>
  <c r="AO1275" i="2"/>
  <c r="W1275" i="2"/>
  <c r="U1275" i="2"/>
  <c r="M1275" i="2"/>
  <c r="N1275" i="2" s="1"/>
  <c r="AQ1275" i="2" s="1"/>
  <c r="K1275" i="2"/>
  <c r="J1275" i="2"/>
  <c r="I1275" i="2"/>
  <c r="H1275" i="2"/>
  <c r="F1275" i="2"/>
  <c r="G1275" i="2" s="1"/>
  <c r="D1275" i="2"/>
  <c r="C1275" i="2"/>
  <c r="B1275" i="2"/>
  <c r="A1275" i="2"/>
  <c r="AP1274" i="2"/>
  <c r="AO1274" i="2"/>
  <c r="AH1274" i="2"/>
  <c r="W1274" i="2"/>
  <c r="AI1274" i="2" s="1"/>
  <c r="U1274" i="2"/>
  <c r="M1274" i="2"/>
  <c r="N1274" i="2" s="1"/>
  <c r="AQ1274" i="2" s="1"/>
  <c r="K1274" i="2"/>
  <c r="J1274" i="2"/>
  <c r="I1274" i="2"/>
  <c r="H1274" i="2"/>
  <c r="F1274" i="2"/>
  <c r="D1274" i="2"/>
  <c r="C1274" i="2"/>
  <c r="B1274" i="2"/>
  <c r="A1274" i="2"/>
  <c r="AP1273" i="2"/>
  <c r="AO1273" i="2"/>
  <c r="W1273" i="2"/>
  <c r="U1273" i="2"/>
  <c r="M1273" i="2"/>
  <c r="N1273" i="2" s="1"/>
  <c r="AQ1273" i="2" s="1"/>
  <c r="K1273" i="2"/>
  <c r="J1273" i="2"/>
  <c r="I1273" i="2"/>
  <c r="H1273" i="2"/>
  <c r="F1273" i="2"/>
  <c r="G1273" i="2" s="1"/>
  <c r="D1273" i="2"/>
  <c r="C1273" i="2"/>
  <c r="B1273" i="2"/>
  <c r="A1273" i="2"/>
  <c r="AP1272" i="2"/>
  <c r="AO1272" i="2"/>
  <c r="AI1272" i="2"/>
  <c r="W1272" i="2"/>
  <c r="AH1272" i="2" s="1"/>
  <c r="U1272" i="2"/>
  <c r="M1272" i="2"/>
  <c r="N1272" i="2" s="1"/>
  <c r="AQ1272" i="2" s="1"/>
  <c r="K1272" i="2"/>
  <c r="J1272" i="2"/>
  <c r="I1272" i="2"/>
  <c r="H1272" i="2"/>
  <c r="F1272" i="2"/>
  <c r="G1272" i="2" s="1"/>
  <c r="D1272" i="2"/>
  <c r="C1272" i="2"/>
  <c r="B1272" i="2"/>
  <c r="A1272" i="2"/>
  <c r="AP1271" i="2"/>
  <c r="AO1271" i="2"/>
  <c r="AH1271" i="2"/>
  <c r="W1271" i="2"/>
  <c r="AI1271" i="2" s="1"/>
  <c r="U1271" i="2"/>
  <c r="M1271" i="2"/>
  <c r="N1271" i="2" s="1"/>
  <c r="AQ1271" i="2" s="1"/>
  <c r="K1271" i="2"/>
  <c r="J1271" i="2"/>
  <c r="I1271" i="2"/>
  <c r="H1271" i="2"/>
  <c r="F1271" i="2"/>
  <c r="D1271" i="2"/>
  <c r="C1271" i="2"/>
  <c r="B1271" i="2"/>
  <c r="A1271" i="2"/>
  <c r="AP1270" i="2"/>
  <c r="AO1270" i="2"/>
  <c r="W1270" i="2"/>
  <c r="U1270" i="2"/>
  <c r="M1270" i="2"/>
  <c r="N1270" i="2" s="1"/>
  <c r="AQ1270" i="2" s="1"/>
  <c r="K1270" i="2"/>
  <c r="J1270" i="2"/>
  <c r="I1270" i="2"/>
  <c r="H1270" i="2"/>
  <c r="F1270" i="2"/>
  <c r="G1270" i="2" s="1"/>
  <c r="D1270" i="2"/>
  <c r="C1270" i="2"/>
  <c r="B1270" i="2"/>
  <c r="A1270" i="2"/>
  <c r="AP1269" i="2"/>
  <c r="AO1269" i="2"/>
  <c r="AH1269" i="2"/>
  <c r="W1269" i="2"/>
  <c r="AI1269" i="2" s="1"/>
  <c r="U1269" i="2"/>
  <c r="M1269" i="2"/>
  <c r="N1269" i="2" s="1"/>
  <c r="AQ1269" i="2" s="1"/>
  <c r="K1269" i="2"/>
  <c r="J1269" i="2"/>
  <c r="I1269" i="2"/>
  <c r="H1269" i="2"/>
  <c r="F1269" i="2"/>
  <c r="D1269" i="2"/>
  <c r="C1269" i="2"/>
  <c r="B1269" i="2"/>
  <c r="A1269" i="2"/>
  <c r="AP1268" i="2"/>
  <c r="AO1268" i="2"/>
  <c r="AH1268" i="2"/>
  <c r="W1268" i="2"/>
  <c r="AI1268" i="2" s="1"/>
  <c r="U1268" i="2"/>
  <c r="M1268" i="2"/>
  <c r="N1268" i="2" s="1"/>
  <c r="AQ1268" i="2" s="1"/>
  <c r="K1268" i="2"/>
  <c r="J1268" i="2"/>
  <c r="I1268" i="2"/>
  <c r="H1268" i="2"/>
  <c r="F1268" i="2"/>
  <c r="D1268" i="2"/>
  <c r="C1268" i="2"/>
  <c r="B1268" i="2"/>
  <c r="A1268" i="2"/>
  <c r="AP1267" i="2"/>
  <c r="AO1267" i="2"/>
  <c r="AH1267" i="2"/>
  <c r="W1267" i="2"/>
  <c r="AI1267" i="2" s="1"/>
  <c r="U1267" i="2"/>
  <c r="M1267" i="2"/>
  <c r="N1267" i="2" s="1"/>
  <c r="AQ1267" i="2" s="1"/>
  <c r="K1267" i="2"/>
  <c r="J1267" i="2"/>
  <c r="I1267" i="2"/>
  <c r="H1267" i="2"/>
  <c r="F1267" i="2"/>
  <c r="G1267" i="2" s="1"/>
  <c r="D1267" i="2"/>
  <c r="C1267" i="2"/>
  <c r="B1267" i="2"/>
  <c r="A1267" i="2"/>
  <c r="AP1266" i="2"/>
  <c r="AO1266" i="2"/>
  <c r="AH1266" i="2"/>
  <c r="W1266" i="2"/>
  <c r="AI1266" i="2" s="1"/>
  <c r="U1266" i="2"/>
  <c r="M1266" i="2"/>
  <c r="N1266" i="2" s="1"/>
  <c r="AQ1266" i="2" s="1"/>
  <c r="K1266" i="2"/>
  <c r="J1266" i="2"/>
  <c r="I1266" i="2"/>
  <c r="H1266" i="2"/>
  <c r="F1266" i="2"/>
  <c r="D1266" i="2"/>
  <c r="C1266" i="2"/>
  <c r="B1266" i="2"/>
  <c r="A1266" i="2"/>
  <c r="AP1265" i="2"/>
  <c r="AO1265" i="2"/>
  <c r="AH1265" i="2"/>
  <c r="W1265" i="2"/>
  <c r="AI1265" i="2" s="1"/>
  <c r="U1265" i="2"/>
  <c r="M1265" i="2"/>
  <c r="N1265" i="2" s="1"/>
  <c r="AQ1265" i="2" s="1"/>
  <c r="K1265" i="2"/>
  <c r="J1265" i="2"/>
  <c r="I1265" i="2"/>
  <c r="H1265" i="2"/>
  <c r="F1265" i="2"/>
  <c r="G1265" i="2" s="1"/>
  <c r="D1265" i="2"/>
  <c r="C1265" i="2"/>
  <c r="B1265" i="2"/>
  <c r="A1265" i="2"/>
  <c r="AP1264" i="2"/>
  <c r="AO1264" i="2"/>
  <c r="AH1264" i="2"/>
  <c r="W1264" i="2"/>
  <c r="AI1264" i="2" s="1"/>
  <c r="U1264" i="2"/>
  <c r="M1264" i="2"/>
  <c r="N1264" i="2" s="1"/>
  <c r="AQ1264" i="2" s="1"/>
  <c r="K1264" i="2"/>
  <c r="J1264" i="2"/>
  <c r="I1264" i="2"/>
  <c r="H1264" i="2"/>
  <c r="F1264" i="2"/>
  <c r="D1264" i="2"/>
  <c r="C1264" i="2"/>
  <c r="B1264" i="2"/>
  <c r="A1264" i="2"/>
  <c r="AP1263" i="2"/>
  <c r="AO1263" i="2"/>
  <c r="AH1263" i="2"/>
  <c r="W1263" i="2"/>
  <c r="AI1263" i="2" s="1"/>
  <c r="U1263" i="2"/>
  <c r="M1263" i="2"/>
  <c r="N1263" i="2" s="1"/>
  <c r="AQ1263" i="2" s="1"/>
  <c r="K1263" i="2"/>
  <c r="J1263" i="2"/>
  <c r="I1263" i="2"/>
  <c r="H1263" i="2"/>
  <c r="F1263" i="2"/>
  <c r="D1263" i="2"/>
  <c r="C1263" i="2"/>
  <c r="B1263" i="2"/>
  <c r="A1263" i="2"/>
  <c r="AP1262" i="2"/>
  <c r="AO1262" i="2"/>
  <c r="AH1262" i="2"/>
  <c r="W1262" i="2"/>
  <c r="AI1262" i="2" s="1"/>
  <c r="U1262" i="2"/>
  <c r="M1262" i="2"/>
  <c r="N1262" i="2" s="1"/>
  <c r="AQ1262" i="2" s="1"/>
  <c r="K1262" i="2"/>
  <c r="J1262" i="2"/>
  <c r="I1262" i="2"/>
  <c r="H1262" i="2"/>
  <c r="F1262" i="2"/>
  <c r="D1262" i="2"/>
  <c r="C1262" i="2"/>
  <c r="B1262" i="2"/>
  <c r="A1262" i="2"/>
  <c r="AP1261" i="2"/>
  <c r="AO1261" i="2"/>
  <c r="W1261" i="2"/>
  <c r="U1261" i="2"/>
  <c r="M1261" i="2"/>
  <c r="N1261" i="2" s="1"/>
  <c r="AQ1261" i="2" s="1"/>
  <c r="K1261" i="2"/>
  <c r="J1261" i="2"/>
  <c r="I1261" i="2"/>
  <c r="H1261" i="2"/>
  <c r="F1261" i="2"/>
  <c r="G1261" i="2" s="1"/>
  <c r="D1261" i="2"/>
  <c r="C1261" i="2"/>
  <c r="B1261" i="2"/>
  <c r="A1261" i="2"/>
  <c r="AP1260" i="2"/>
  <c r="AO1260" i="2"/>
  <c r="W1260" i="2"/>
  <c r="AI1260" i="2" s="1"/>
  <c r="U1260" i="2"/>
  <c r="M1260" i="2"/>
  <c r="N1260" i="2" s="1"/>
  <c r="AQ1260" i="2" s="1"/>
  <c r="K1260" i="2"/>
  <c r="J1260" i="2"/>
  <c r="I1260" i="2"/>
  <c r="H1260" i="2"/>
  <c r="F1260" i="2"/>
  <c r="G1260" i="2" s="1"/>
  <c r="D1260" i="2"/>
  <c r="C1260" i="2"/>
  <c r="B1260" i="2"/>
  <c r="A1260" i="2"/>
  <c r="AP1259" i="2"/>
  <c r="AO1259" i="2"/>
  <c r="AH1259" i="2"/>
  <c r="W1259" i="2"/>
  <c r="AI1259" i="2" s="1"/>
  <c r="U1259" i="2"/>
  <c r="M1259" i="2"/>
  <c r="N1259" i="2" s="1"/>
  <c r="AQ1259" i="2" s="1"/>
  <c r="K1259" i="2"/>
  <c r="J1259" i="2"/>
  <c r="I1259" i="2"/>
  <c r="H1259" i="2"/>
  <c r="F1259" i="2"/>
  <c r="D1259" i="2"/>
  <c r="C1259" i="2"/>
  <c r="B1259" i="2"/>
  <c r="A1259" i="2"/>
  <c r="AP1258" i="2"/>
  <c r="AO1258" i="2"/>
  <c r="AH1258" i="2"/>
  <c r="W1258" i="2"/>
  <c r="AI1258" i="2" s="1"/>
  <c r="U1258" i="2"/>
  <c r="M1258" i="2"/>
  <c r="N1258" i="2" s="1"/>
  <c r="AQ1258" i="2" s="1"/>
  <c r="K1258" i="2"/>
  <c r="J1258" i="2"/>
  <c r="I1258" i="2"/>
  <c r="H1258" i="2"/>
  <c r="F1258" i="2"/>
  <c r="D1258" i="2"/>
  <c r="C1258" i="2"/>
  <c r="B1258" i="2"/>
  <c r="A1258" i="2"/>
  <c r="AP1257" i="2"/>
  <c r="AO1257" i="2"/>
  <c r="AH1257" i="2"/>
  <c r="W1257" i="2"/>
  <c r="AI1257" i="2" s="1"/>
  <c r="U1257" i="2"/>
  <c r="M1257" i="2"/>
  <c r="N1257" i="2" s="1"/>
  <c r="AQ1257" i="2" s="1"/>
  <c r="K1257" i="2"/>
  <c r="J1257" i="2"/>
  <c r="I1257" i="2"/>
  <c r="H1257" i="2"/>
  <c r="F1257" i="2"/>
  <c r="D1257" i="2"/>
  <c r="C1257" i="2"/>
  <c r="B1257" i="2"/>
  <c r="A1257" i="2"/>
  <c r="AP1256" i="2"/>
  <c r="AO1256" i="2"/>
  <c r="AH1256" i="2"/>
  <c r="W1256" i="2"/>
  <c r="AI1256" i="2" s="1"/>
  <c r="U1256" i="2"/>
  <c r="M1256" i="2"/>
  <c r="N1256" i="2" s="1"/>
  <c r="AQ1256" i="2" s="1"/>
  <c r="K1256" i="2"/>
  <c r="J1256" i="2"/>
  <c r="I1256" i="2"/>
  <c r="H1256" i="2"/>
  <c r="F1256" i="2"/>
  <c r="D1256" i="2"/>
  <c r="C1256" i="2"/>
  <c r="B1256" i="2"/>
  <c r="A1256" i="2"/>
  <c r="AP1255" i="2"/>
  <c r="AO1255" i="2"/>
  <c r="AH1255" i="2"/>
  <c r="W1255" i="2"/>
  <c r="AI1255" i="2" s="1"/>
  <c r="U1255" i="2"/>
  <c r="M1255" i="2"/>
  <c r="N1255" i="2" s="1"/>
  <c r="AQ1255" i="2" s="1"/>
  <c r="K1255" i="2"/>
  <c r="J1255" i="2"/>
  <c r="I1255" i="2"/>
  <c r="H1255" i="2"/>
  <c r="F1255" i="2"/>
  <c r="D1255" i="2"/>
  <c r="C1255" i="2"/>
  <c r="B1255" i="2"/>
  <c r="A1255" i="2"/>
  <c r="AP1254" i="2"/>
  <c r="AO1254" i="2"/>
  <c r="W1254" i="2"/>
  <c r="U1254" i="2"/>
  <c r="M1254" i="2"/>
  <c r="N1254" i="2" s="1"/>
  <c r="AQ1254" i="2" s="1"/>
  <c r="K1254" i="2"/>
  <c r="J1254" i="2"/>
  <c r="I1254" i="2"/>
  <c r="H1254" i="2"/>
  <c r="F1254" i="2"/>
  <c r="G1254" i="2" s="1"/>
  <c r="D1254" i="2"/>
  <c r="C1254" i="2"/>
  <c r="B1254" i="2"/>
  <c r="A1254" i="2"/>
  <c r="AP1253" i="2"/>
  <c r="AO1253" i="2"/>
  <c r="W1253" i="2"/>
  <c r="U1253" i="2"/>
  <c r="M1253" i="2"/>
  <c r="N1253" i="2" s="1"/>
  <c r="AQ1253" i="2" s="1"/>
  <c r="K1253" i="2"/>
  <c r="J1253" i="2"/>
  <c r="I1253" i="2"/>
  <c r="H1253" i="2"/>
  <c r="F1253" i="2"/>
  <c r="G1253" i="2" s="1"/>
  <c r="D1253" i="2"/>
  <c r="C1253" i="2"/>
  <c r="B1253" i="2"/>
  <c r="A1253" i="2"/>
  <c r="AP1252" i="2"/>
  <c r="AO1252" i="2"/>
  <c r="AH1252" i="2"/>
  <c r="W1252" i="2"/>
  <c r="AI1252" i="2" s="1"/>
  <c r="U1252" i="2"/>
  <c r="M1252" i="2"/>
  <c r="N1252" i="2" s="1"/>
  <c r="AQ1252" i="2" s="1"/>
  <c r="K1252" i="2"/>
  <c r="J1252" i="2"/>
  <c r="I1252" i="2"/>
  <c r="H1252" i="2"/>
  <c r="F1252" i="2"/>
  <c r="D1252" i="2"/>
  <c r="C1252" i="2"/>
  <c r="B1252" i="2"/>
  <c r="A1252" i="2"/>
  <c r="AP1251" i="2"/>
  <c r="AO1251" i="2"/>
  <c r="AH1251" i="2"/>
  <c r="W1251" i="2"/>
  <c r="AI1251" i="2" s="1"/>
  <c r="U1251" i="2"/>
  <c r="M1251" i="2"/>
  <c r="N1251" i="2" s="1"/>
  <c r="AQ1251" i="2" s="1"/>
  <c r="K1251" i="2"/>
  <c r="J1251" i="2"/>
  <c r="I1251" i="2"/>
  <c r="H1251" i="2"/>
  <c r="G1251" i="2"/>
  <c r="F1251" i="2"/>
  <c r="D1251" i="2"/>
  <c r="C1251" i="2"/>
  <c r="B1251" i="2"/>
  <c r="A1251" i="2"/>
  <c r="AP1250" i="2"/>
  <c r="AO1250" i="2"/>
  <c r="AH1250" i="2"/>
  <c r="W1250" i="2"/>
  <c r="AI1250" i="2" s="1"/>
  <c r="U1250" i="2"/>
  <c r="M1250" i="2"/>
  <c r="N1250" i="2" s="1"/>
  <c r="AQ1250" i="2" s="1"/>
  <c r="K1250" i="2"/>
  <c r="J1250" i="2"/>
  <c r="I1250" i="2"/>
  <c r="H1250" i="2"/>
  <c r="F1250" i="2"/>
  <c r="D1250" i="2"/>
  <c r="C1250" i="2"/>
  <c r="B1250" i="2"/>
  <c r="A1250" i="2"/>
  <c r="AP1249" i="2"/>
  <c r="AO1249" i="2"/>
  <c r="AH1249" i="2"/>
  <c r="W1249" i="2"/>
  <c r="AI1249" i="2" s="1"/>
  <c r="U1249" i="2"/>
  <c r="M1249" i="2"/>
  <c r="N1249" i="2" s="1"/>
  <c r="AQ1249" i="2" s="1"/>
  <c r="K1249" i="2"/>
  <c r="J1249" i="2"/>
  <c r="I1249" i="2"/>
  <c r="H1249" i="2"/>
  <c r="F1249" i="2"/>
  <c r="D1249" i="2"/>
  <c r="C1249" i="2"/>
  <c r="B1249" i="2"/>
  <c r="A1249" i="2"/>
  <c r="AP1248" i="2"/>
  <c r="AO1248" i="2"/>
  <c r="AH1248" i="2"/>
  <c r="W1248" i="2"/>
  <c r="AI1248" i="2" s="1"/>
  <c r="U1248" i="2"/>
  <c r="M1248" i="2"/>
  <c r="N1248" i="2" s="1"/>
  <c r="AQ1248" i="2" s="1"/>
  <c r="K1248" i="2"/>
  <c r="J1248" i="2"/>
  <c r="I1248" i="2"/>
  <c r="H1248" i="2"/>
  <c r="F1248" i="2"/>
  <c r="D1248" i="2"/>
  <c r="C1248" i="2"/>
  <c r="B1248" i="2"/>
  <c r="A1248" i="2"/>
  <c r="AP1247" i="2"/>
  <c r="AO1247" i="2"/>
  <c r="W1247" i="2"/>
  <c r="U1247" i="2"/>
  <c r="M1247" i="2"/>
  <c r="N1247" i="2" s="1"/>
  <c r="AQ1247" i="2" s="1"/>
  <c r="K1247" i="2"/>
  <c r="J1247" i="2"/>
  <c r="I1247" i="2"/>
  <c r="H1247" i="2"/>
  <c r="F1247" i="2"/>
  <c r="G1247" i="2" s="1"/>
  <c r="D1247" i="2"/>
  <c r="C1247" i="2"/>
  <c r="B1247" i="2"/>
  <c r="A1247" i="2"/>
  <c r="AP1246" i="2"/>
  <c r="AO1246" i="2"/>
  <c r="AH1246" i="2"/>
  <c r="W1246" i="2"/>
  <c r="AI1246" i="2" s="1"/>
  <c r="U1246" i="2"/>
  <c r="M1246" i="2"/>
  <c r="N1246" i="2" s="1"/>
  <c r="AQ1246" i="2" s="1"/>
  <c r="K1246" i="2"/>
  <c r="J1246" i="2"/>
  <c r="I1246" i="2"/>
  <c r="H1246" i="2"/>
  <c r="F1246" i="2"/>
  <c r="D1246" i="2"/>
  <c r="C1246" i="2"/>
  <c r="B1246" i="2"/>
  <c r="A1246" i="2"/>
  <c r="AP1245" i="2"/>
  <c r="AO1245" i="2"/>
  <c r="W1245" i="2"/>
  <c r="U1245" i="2"/>
  <c r="M1245" i="2"/>
  <c r="N1245" i="2" s="1"/>
  <c r="AQ1245" i="2" s="1"/>
  <c r="K1245" i="2"/>
  <c r="J1245" i="2"/>
  <c r="I1245" i="2"/>
  <c r="H1245" i="2"/>
  <c r="F1245" i="2"/>
  <c r="G1245" i="2" s="1"/>
  <c r="D1245" i="2"/>
  <c r="C1245" i="2"/>
  <c r="B1245" i="2"/>
  <c r="A1245" i="2"/>
  <c r="AP1244" i="2"/>
  <c r="AO1244" i="2"/>
  <c r="AH1244" i="2"/>
  <c r="W1244" i="2"/>
  <c r="AI1244" i="2" s="1"/>
  <c r="U1244" i="2"/>
  <c r="M1244" i="2"/>
  <c r="N1244" i="2" s="1"/>
  <c r="AQ1244" i="2" s="1"/>
  <c r="K1244" i="2"/>
  <c r="J1244" i="2"/>
  <c r="I1244" i="2"/>
  <c r="H1244" i="2"/>
  <c r="F1244" i="2"/>
  <c r="D1244" i="2"/>
  <c r="C1244" i="2"/>
  <c r="B1244" i="2"/>
  <c r="A1244" i="2"/>
  <c r="AP1243" i="2"/>
  <c r="AO1243" i="2"/>
  <c r="W1243" i="2"/>
  <c r="U1243" i="2"/>
  <c r="M1243" i="2"/>
  <c r="N1243" i="2" s="1"/>
  <c r="AQ1243" i="2" s="1"/>
  <c r="K1243" i="2"/>
  <c r="J1243" i="2"/>
  <c r="I1243" i="2"/>
  <c r="H1243" i="2"/>
  <c r="F1243" i="2"/>
  <c r="G1243" i="2" s="1"/>
  <c r="D1243" i="2"/>
  <c r="C1243" i="2"/>
  <c r="B1243" i="2"/>
  <c r="A1243" i="2"/>
  <c r="AP1242" i="2"/>
  <c r="AO1242" i="2"/>
  <c r="AH1242" i="2"/>
  <c r="W1242" i="2"/>
  <c r="AI1242" i="2" s="1"/>
  <c r="U1242" i="2"/>
  <c r="M1242" i="2"/>
  <c r="N1242" i="2" s="1"/>
  <c r="AQ1242" i="2" s="1"/>
  <c r="K1242" i="2"/>
  <c r="J1242" i="2"/>
  <c r="I1242" i="2"/>
  <c r="H1242" i="2"/>
  <c r="F1242" i="2"/>
  <c r="D1242" i="2"/>
  <c r="C1242" i="2"/>
  <c r="B1242" i="2"/>
  <c r="A1242" i="2"/>
  <c r="AP1241" i="2"/>
  <c r="AO1241" i="2"/>
  <c r="W1241" i="2"/>
  <c r="U1241" i="2"/>
  <c r="M1241" i="2"/>
  <c r="N1241" i="2" s="1"/>
  <c r="AQ1241" i="2" s="1"/>
  <c r="K1241" i="2"/>
  <c r="J1241" i="2"/>
  <c r="I1241" i="2"/>
  <c r="H1241" i="2"/>
  <c r="F1241" i="2"/>
  <c r="G1241" i="2" s="1"/>
  <c r="D1241" i="2"/>
  <c r="C1241" i="2"/>
  <c r="B1241" i="2"/>
  <c r="A1241" i="2"/>
  <c r="AP1240" i="2"/>
  <c r="AO1240" i="2"/>
  <c r="W1240" i="2"/>
  <c r="U1240" i="2"/>
  <c r="M1240" i="2"/>
  <c r="N1240" i="2" s="1"/>
  <c r="AQ1240" i="2" s="1"/>
  <c r="K1240" i="2"/>
  <c r="J1240" i="2"/>
  <c r="I1240" i="2"/>
  <c r="H1240" i="2"/>
  <c r="F1240" i="2"/>
  <c r="G1240" i="2" s="1"/>
  <c r="D1240" i="2"/>
  <c r="C1240" i="2"/>
  <c r="B1240" i="2"/>
  <c r="A1240" i="2"/>
  <c r="AP1239" i="2"/>
  <c r="AO1239" i="2"/>
  <c r="AH1239" i="2"/>
  <c r="W1239" i="2"/>
  <c r="AI1239" i="2" s="1"/>
  <c r="U1239" i="2"/>
  <c r="M1239" i="2"/>
  <c r="N1239" i="2" s="1"/>
  <c r="AQ1239" i="2" s="1"/>
  <c r="K1239" i="2"/>
  <c r="J1239" i="2"/>
  <c r="I1239" i="2"/>
  <c r="H1239" i="2"/>
  <c r="F1239" i="2"/>
  <c r="D1239" i="2"/>
  <c r="C1239" i="2"/>
  <c r="B1239" i="2"/>
  <c r="A1239" i="2"/>
  <c r="AP1238" i="2"/>
  <c r="AO1238" i="2"/>
  <c r="W1238" i="2"/>
  <c r="AI1238" i="2" s="1"/>
  <c r="U1238" i="2"/>
  <c r="M1238" i="2"/>
  <c r="N1238" i="2" s="1"/>
  <c r="AQ1238" i="2" s="1"/>
  <c r="K1238" i="2"/>
  <c r="J1238" i="2"/>
  <c r="I1238" i="2"/>
  <c r="H1238" i="2"/>
  <c r="F1238" i="2"/>
  <c r="G1238" i="2" s="1"/>
  <c r="D1238" i="2"/>
  <c r="C1238" i="2"/>
  <c r="B1238" i="2"/>
  <c r="A1238" i="2"/>
  <c r="AP1237" i="2"/>
  <c r="AO1237" i="2"/>
  <c r="AH1237" i="2"/>
  <c r="W1237" i="2"/>
  <c r="AI1237" i="2" s="1"/>
  <c r="U1237" i="2"/>
  <c r="M1237" i="2"/>
  <c r="N1237" i="2" s="1"/>
  <c r="AQ1237" i="2" s="1"/>
  <c r="K1237" i="2"/>
  <c r="J1237" i="2"/>
  <c r="I1237" i="2"/>
  <c r="H1237" i="2"/>
  <c r="F1237" i="2"/>
  <c r="D1237" i="2"/>
  <c r="C1237" i="2"/>
  <c r="B1237" i="2"/>
  <c r="A1237" i="2"/>
  <c r="AP1236" i="2"/>
  <c r="AO1236" i="2"/>
  <c r="W1236" i="2"/>
  <c r="AH1236" i="2" s="1"/>
  <c r="U1236" i="2"/>
  <c r="M1236" i="2"/>
  <c r="N1236" i="2" s="1"/>
  <c r="AQ1236" i="2" s="1"/>
  <c r="K1236" i="2"/>
  <c r="J1236" i="2"/>
  <c r="I1236" i="2"/>
  <c r="H1236" i="2"/>
  <c r="F1236" i="2"/>
  <c r="G1236" i="2" s="1"/>
  <c r="D1236" i="2"/>
  <c r="C1236" i="2"/>
  <c r="B1236" i="2"/>
  <c r="A1236" i="2"/>
  <c r="AP1235" i="2"/>
  <c r="AO1235" i="2"/>
  <c r="W1235" i="2"/>
  <c r="AH1235" i="2" s="1"/>
  <c r="U1235" i="2"/>
  <c r="M1235" i="2"/>
  <c r="N1235" i="2" s="1"/>
  <c r="AQ1235" i="2" s="1"/>
  <c r="K1235" i="2"/>
  <c r="J1235" i="2"/>
  <c r="I1235" i="2"/>
  <c r="H1235" i="2"/>
  <c r="F1235" i="2"/>
  <c r="G1235" i="2" s="1"/>
  <c r="D1235" i="2"/>
  <c r="C1235" i="2"/>
  <c r="B1235" i="2"/>
  <c r="A1235" i="2"/>
  <c r="AP1234" i="2"/>
  <c r="AO1234" i="2"/>
  <c r="AH1234" i="2"/>
  <c r="W1234" i="2"/>
  <c r="AI1234" i="2" s="1"/>
  <c r="U1234" i="2"/>
  <c r="M1234" i="2"/>
  <c r="N1234" i="2" s="1"/>
  <c r="AQ1234" i="2" s="1"/>
  <c r="K1234" i="2"/>
  <c r="J1234" i="2"/>
  <c r="I1234" i="2"/>
  <c r="H1234" i="2"/>
  <c r="F1234" i="2"/>
  <c r="D1234" i="2"/>
  <c r="C1234" i="2"/>
  <c r="B1234" i="2"/>
  <c r="A1234" i="2"/>
  <c r="AP1233" i="2"/>
  <c r="AO1233" i="2"/>
  <c r="W1233" i="2"/>
  <c r="U1233" i="2"/>
  <c r="M1233" i="2"/>
  <c r="N1233" i="2" s="1"/>
  <c r="AQ1233" i="2" s="1"/>
  <c r="K1233" i="2"/>
  <c r="J1233" i="2"/>
  <c r="I1233" i="2"/>
  <c r="H1233" i="2"/>
  <c r="F1233" i="2"/>
  <c r="G1233" i="2" s="1"/>
  <c r="D1233" i="2"/>
  <c r="C1233" i="2"/>
  <c r="B1233" i="2"/>
  <c r="A1233" i="2"/>
  <c r="AP1232" i="2"/>
  <c r="AO1232" i="2"/>
  <c r="W1232" i="2"/>
  <c r="U1232" i="2"/>
  <c r="M1232" i="2"/>
  <c r="N1232" i="2" s="1"/>
  <c r="AQ1232" i="2" s="1"/>
  <c r="K1232" i="2"/>
  <c r="J1232" i="2"/>
  <c r="I1232" i="2"/>
  <c r="H1232" i="2"/>
  <c r="F1232" i="2"/>
  <c r="G1232" i="2" s="1"/>
  <c r="D1232" i="2"/>
  <c r="C1232" i="2"/>
  <c r="B1232" i="2"/>
  <c r="A1232" i="2"/>
  <c r="AP1231" i="2"/>
  <c r="AO1231" i="2"/>
  <c r="AH1231" i="2"/>
  <c r="W1231" i="2"/>
  <c r="AI1231" i="2" s="1"/>
  <c r="U1231" i="2"/>
  <c r="M1231" i="2"/>
  <c r="N1231" i="2" s="1"/>
  <c r="AQ1231" i="2" s="1"/>
  <c r="K1231" i="2"/>
  <c r="J1231" i="2"/>
  <c r="I1231" i="2"/>
  <c r="H1231" i="2"/>
  <c r="F1231" i="2"/>
  <c r="D1231" i="2"/>
  <c r="C1231" i="2"/>
  <c r="B1231" i="2"/>
  <c r="A1231" i="2"/>
  <c r="AP1230" i="2"/>
  <c r="AO1230" i="2"/>
  <c r="AH1230" i="2"/>
  <c r="W1230" i="2"/>
  <c r="AI1230" i="2" s="1"/>
  <c r="U1230" i="2"/>
  <c r="M1230" i="2"/>
  <c r="N1230" i="2" s="1"/>
  <c r="AQ1230" i="2" s="1"/>
  <c r="K1230" i="2"/>
  <c r="J1230" i="2"/>
  <c r="I1230" i="2"/>
  <c r="H1230" i="2"/>
  <c r="F1230" i="2"/>
  <c r="D1230" i="2"/>
  <c r="C1230" i="2"/>
  <c r="B1230" i="2"/>
  <c r="A1230" i="2"/>
  <c r="AP1229" i="2"/>
  <c r="AO1229" i="2"/>
  <c r="AH1229" i="2"/>
  <c r="W1229" i="2"/>
  <c r="AI1229" i="2" s="1"/>
  <c r="U1229" i="2"/>
  <c r="M1229" i="2"/>
  <c r="N1229" i="2" s="1"/>
  <c r="AQ1229" i="2" s="1"/>
  <c r="K1229" i="2"/>
  <c r="J1229" i="2"/>
  <c r="I1229" i="2"/>
  <c r="H1229" i="2"/>
  <c r="F1229" i="2"/>
  <c r="D1229" i="2"/>
  <c r="C1229" i="2"/>
  <c r="B1229" i="2"/>
  <c r="A1229" i="2"/>
  <c r="AP1228" i="2"/>
  <c r="AO1228" i="2"/>
  <c r="AH1228" i="2"/>
  <c r="W1228" i="2"/>
  <c r="AI1228" i="2" s="1"/>
  <c r="U1228" i="2"/>
  <c r="M1228" i="2"/>
  <c r="N1228" i="2" s="1"/>
  <c r="AQ1228" i="2" s="1"/>
  <c r="K1228" i="2"/>
  <c r="J1228" i="2"/>
  <c r="I1228" i="2"/>
  <c r="H1228" i="2"/>
  <c r="F1228" i="2"/>
  <c r="G1228" i="2" s="1"/>
  <c r="D1228" i="2"/>
  <c r="C1228" i="2"/>
  <c r="B1228" i="2"/>
  <c r="A1228" i="2"/>
  <c r="AP1227" i="2"/>
  <c r="AO1227" i="2"/>
  <c r="AH1227" i="2"/>
  <c r="W1227" i="2"/>
  <c r="AI1227" i="2" s="1"/>
  <c r="U1227" i="2"/>
  <c r="M1227" i="2"/>
  <c r="N1227" i="2" s="1"/>
  <c r="AQ1227" i="2" s="1"/>
  <c r="K1227" i="2"/>
  <c r="J1227" i="2"/>
  <c r="I1227" i="2"/>
  <c r="H1227" i="2"/>
  <c r="F1227" i="2"/>
  <c r="D1227" i="2"/>
  <c r="C1227" i="2"/>
  <c r="B1227" i="2"/>
  <c r="A1227" i="2"/>
  <c r="AP1226" i="2"/>
  <c r="AO1226" i="2"/>
  <c r="W1226" i="2"/>
  <c r="U1226" i="2"/>
  <c r="M1226" i="2"/>
  <c r="N1226" i="2" s="1"/>
  <c r="AQ1226" i="2" s="1"/>
  <c r="K1226" i="2"/>
  <c r="J1226" i="2"/>
  <c r="I1226" i="2"/>
  <c r="H1226" i="2"/>
  <c r="F1226" i="2"/>
  <c r="G1226" i="2" s="1"/>
  <c r="D1226" i="2"/>
  <c r="C1226" i="2"/>
  <c r="B1226" i="2"/>
  <c r="A1226" i="2"/>
  <c r="AP1225" i="2"/>
  <c r="AO1225" i="2"/>
  <c r="W1225" i="2"/>
  <c r="U1225" i="2"/>
  <c r="M1225" i="2"/>
  <c r="N1225" i="2" s="1"/>
  <c r="AQ1225" i="2" s="1"/>
  <c r="K1225" i="2"/>
  <c r="J1225" i="2"/>
  <c r="I1225" i="2"/>
  <c r="H1225" i="2"/>
  <c r="F1225" i="2"/>
  <c r="D1225" i="2"/>
  <c r="C1225" i="2"/>
  <c r="B1225" i="2"/>
  <c r="A1225" i="2"/>
  <c r="AP1224" i="2"/>
  <c r="AO1224" i="2"/>
  <c r="W1224" i="2"/>
  <c r="AI1224" i="2" s="1"/>
  <c r="U1224" i="2"/>
  <c r="M1224" i="2"/>
  <c r="N1224" i="2" s="1"/>
  <c r="AQ1224" i="2" s="1"/>
  <c r="K1224" i="2"/>
  <c r="J1224" i="2"/>
  <c r="I1224" i="2"/>
  <c r="H1224" i="2"/>
  <c r="F1224" i="2"/>
  <c r="G1224" i="2" s="1"/>
  <c r="D1224" i="2"/>
  <c r="C1224" i="2"/>
  <c r="B1224" i="2"/>
  <c r="A1224" i="2"/>
  <c r="AP1223" i="2"/>
  <c r="AO1223" i="2"/>
  <c r="W1223" i="2"/>
  <c r="AH1223" i="2" s="1"/>
  <c r="U1223" i="2"/>
  <c r="M1223" i="2"/>
  <c r="N1223" i="2" s="1"/>
  <c r="AQ1223" i="2" s="1"/>
  <c r="K1223" i="2"/>
  <c r="J1223" i="2"/>
  <c r="I1223" i="2"/>
  <c r="H1223" i="2"/>
  <c r="F1223" i="2"/>
  <c r="G1223" i="2" s="1"/>
  <c r="D1223" i="2"/>
  <c r="C1223" i="2"/>
  <c r="B1223" i="2"/>
  <c r="A1223" i="2"/>
  <c r="AP1222" i="2"/>
  <c r="AO1222" i="2"/>
  <c r="W1222" i="2"/>
  <c r="U1222" i="2"/>
  <c r="M1222" i="2"/>
  <c r="N1222" i="2" s="1"/>
  <c r="AQ1222" i="2" s="1"/>
  <c r="K1222" i="2"/>
  <c r="J1222" i="2"/>
  <c r="I1222" i="2"/>
  <c r="H1222" i="2"/>
  <c r="F1222" i="2"/>
  <c r="G1222" i="2" s="1"/>
  <c r="D1222" i="2"/>
  <c r="C1222" i="2"/>
  <c r="B1222" i="2"/>
  <c r="A1222" i="2"/>
  <c r="AP1221" i="2"/>
  <c r="AO1221" i="2"/>
  <c r="W1221" i="2"/>
  <c r="U1221" i="2"/>
  <c r="M1221" i="2"/>
  <c r="N1221" i="2" s="1"/>
  <c r="AQ1221" i="2" s="1"/>
  <c r="K1221" i="2"/>
  <c r="J1221" i="2"/>
  <c r="I1221" i="2"/>
  <c r="H1221" i="2"/>
  <c r="F1221" i="2"/>
  <c r="G1221" i="2" s="1"/>
  <c r="D1221" i="2"/>
  <c r="C1221" i="2"/>
  <c r="B1221" i="2"/>
  <c r="A1221" i="2"/>
  <c r="AP1220" i="2"/>
  <c r="AO1220" i="2"/>
  <c r="W1220" i="2"/>
  <c r="U1220" i="2"/>
  <c r="M1220" i="2"/>
  <c r="N1220" i="2" s="1"/>
  <c r="AQ1220" i="2" s="1"/>
  <c r="K1220" i="2"/>
  <c r="J1220" i="2"/>
  <c r="I1220" i="2"/>
  <c r="H1220" i="2"/>
  <c r="F1220" i="2"/>
  <c r="G1220" i="2" s="1"/>
  <c r="D1220" i="2"/>
  <c r="C1220" i="2"/>
  <c r="B1220" i="2"/>
  <c r="A1220" i="2"/>
  <c r="AP1219" i="2"/>
  <c r="AO1219" i="2"/>
  <c r="W1219" i="2"/>
  <c r="U1219" i="2"/>
  <c r="M1219" i="2"/>
  <c r="N1219" i="2" s="1"/>
  <c r="AQ1219" i="2" s="1"/>
  <c r="K1219" i="2"/>
  <c r="J1219" i="2"/>
  <c r="I1219" i="2"/>
  <c r="H1219" i="2"/>
  <c r="F1219" i="2"/>
  <c r="G1219" i="2" s="1"/>
  <c r="D1219" i="2"/>
  <c r="C1219" i="2"/>
  <c r="B1219" i="2"/>
  <c r="A1219" i="2"/>
  <c r="AP1218" i="2"/>
  <c r="AO1218" i="2"/>
  <c r="AH1218" i="2"/>
  <c r="W1218" i="2"/>
  <c r="AI1218" i="2" s="1"/>
  <c r="U1218" i="2"/>
  <c r="M1218" i="2"/>
  <c r="N1218" i="2" s="1"/>
  <c r="AQ1218" i="2" s="1"/>
  <c r="K1218" i="2"/>
  <c r="J1218" i="2"/>
  <c r="I1218" i="2"/>
  <c r="H1218" i="2"/>
  <c r="F1218" i="2"/>
  <c r="D1218" i="2"/>
  <c r="C1218" i="2"/>
  <c r="B1218" i="2"/>
  <c r="A1218" i="2"/>
  <c r="AP1217" i="2"/>
  <c r="AO1217" i="2"/>
  <c r="W1217" i="2"/>
  <c r="U1217" i="2"/>
  <c r="M1217" i="2"/>
  <c r="N1217" i="2" s="1"/>
  <c r="AQ1217" i="2" s="1"/>
  <c r="K1217" i="2"/>
  <c r="J1217" i="2"/>
  <c r="I1217" i="2"/>
  <c r="H1217" i="2"/>
  <c r="F1217" i="2"/>
  <c r="G1217" i="2" s="1"/>
  <c r="D1217" i="2"/>
  <c r="C1217" i="2"/>
  <c r="B1217" i="2"/>
  <c r="A1217" i="2"/>
  <c r="AP1216" i="2"/>
  <c r="AO1216" i="2"/>
  <c r="W1216" i="2"/>
  <c r="U1216" i="2"/>
  <c r="M1216" i="2"/>
  <c r="N1216" i="2" s="1"/>
  <c r="AQ1216" i="2" s="1"/>
  <c r="K1216" i="2"/>
  <c r="J1216" i="2"/>
  <c r="I1216" i="2"/>
  <c r="H1216" i="2"/>
  <c r="F1216" i="2"/>
  <c r="G1216" i="2" s="1"/>
  <c r="D1216" i="2"/>
  <c r="C1216" i="2"/>
  <c r="B1216" i="2"/>
  <c r="A1216" i="2"/>
  <c r="AP1215" i="2"/>
  <c r="AO1215" i="2"/>
  <c r="W1215" i="2"/>
  <c r="U1215" i="2"/>
  <c r="M1215" i="2"/>
  <c r="N1215" i="2" s="1"/>
  <c r="AQ1215" i="2" s="1"/>
  <c r="K1215" i="2"/>
  <c r="J1215" i="2"/>
  <c r="I1215" i="2"/>
  <c r="H1215" i="2"/>
  <c r="F1215" i="2"/>
  <c r="G1215" i="2" s="1"/>
  <c r="D1215" i="2"/>
  <c r="C1215" i="2"/>
  <c r="B1215" i="2"/>
  <c r="A1215" i="2"/>
  <c r="AP1214" i="2"/>
  <c r="AO1214" i="2"/>
  <c r="AH1214" i="2"/>
  <c r="W1214" i="2"/>
  <c r="AI1214" i="2" s="1"/>
  <c r="U1214" i="2"/>
  <c r="M1214" i="2"/>
  <c r="N1214" i="2" s="1"/>
  <c r="AQ1214" i="2" s="1"/>
  <c r="K1214" i="2"/>
  <c r="J1214" i="2"/>
  <c r="I1214" i="2"/>
  <c r="H1214" i="2"/>
  <c r="F1214" i="2"/>
  <c r="D1214" i="2"/>
  <c r="C1214" i="2"/>
  <c r="B1214" i="2"/>
  <c r="A1214" i="2"/>
  <c r="AP1213" i="2"/>
  <c r="AO1213" i="2"/>
  <c r="AH1213" i="2"/>
  <c r="W1213" i="2"/>
  <c r="AI1213" i="2" s="1"/>
  <c r="U1213" i="2"/>
  <c r="M1213" i="2"/>
  <c r="N1213" i="2" s="1"/>
  <c r="AQ1213" i="2" s="1"/>
  <c r="K1213" i="2"/>
  <c r="J1213" i="2"/>
  <c r="I1213" i="2"/>
  <c r="H1213" i="2"/>
  <c r="F1213" i="2"/>
  <c r="D1213" i="2"/>
  <c r="C1213" i="2"/>
  <c r="B1213" i="2"/>
  <c r="A1213" i="2"/>
  <c r="AP1212" i="2"/>
  <c r="AO1212" i="2"/>
  <c r="AH1212" i="2"/>
  <c r="W1212" i="2"/>
  <c r="AI1212" i="2" s="1"/>
  <c r="U1212" i="2"/>
  <c r="M1212" i="2"/>
  <c r="N1212" i="2" s="1"/>
  <c r="AQ1212" i="2" s="1"/>
  <c r="K1212" i="2"/>
  <c r="J1212" i="2"/>
  <c r="I1212" i="2"/>
  <c r="H1212" i="2"/>
  <c r="F1212" i="2"/>
  <c r="D1212" i="2"/>
  <c r="C1212" i="2"/>
  <c r="B1212" i="2"/>
  <c r="A1212" i="2"/>
  <c r="AP1211" i="2"/>
  <c r="AO1211" i="2"/>
  <c r="AH1211" i="2"/>
  <c r="W1211" i="2"/>
  <c r="AI1211" i="2" s="1"/>
  <c r="U1211" i="2"/>
  <c r="M1211" i="2"/>
  <c r="N1211" i="2" s="1"/>
  <c r="AQ1211" i="2" s="1"/>
  <c r="K1211" i="2"/>
  <c r="J1211" i="2"/>
  <c r="I1211" i="2"/>
  <c r="H1211" i="2"/>
  <c r="F1211" i="2"/>
  <c r="D1211" i="2"/>
  <c r="C1211" i="2"/>
  <c r="B1211" i="2"/>
  <c r="A1211" i="2"/>
  <c r="AP1210" i="2"/>
  <c r="AO1210" i="2"/>
  <c r="AH1210" i="2"/>
  <c r="W1210" i="2"/>
  <c r="AI1210" i="2" s="1"/>
  <c r="U1210" i="2"/>
  <c r="M1210" i="2"/>
  <c r="N1210" i="2" s="1"/>
  <c r="AQ1210" i="2" s="1"/>
  <c r="K1210" i="2"/>
  <c r="J1210" i="2"/>
  <c r="I1210" i="2"/>
  <c r="H1210" i="2"/>
  <c r="F1210" i="2"/>
  <c r="D1210" i="2"/>
  <c r="C1210" i="2"/>
  <c r="B1210" i="2"/>
  <c r="A1210" i="2"/>
  <c r="AP1209" i="2"/>
  <c r="AO1209" i="2"/>
  <c r="W1209" i="2"/>
  <c r="AI1209" i="2" s="1"/>
  <c r="U1209" i="2"/>
  <c r="M1209" i="2"/>
  <c r="N1209" i="2" s="1"/>
  <c r="AQ1209" i="2" s="1"/>
  <c r="K1209" i="2"/>
  <c r="J1209" i="2"/>
  <c r="I1209" i="2"/>
  <c r="H1209" i="2"/>
  <c r="F1209" i="2"/>
  <c r="G1209" i="2" s="1"/>
  <c r="D1209" i="2"/>
  <c r="C1209" i="2"/>
  <c r="B1209" i="2"/>
  <c r="A1209" i="2"/>
  <c r="AP1208" i="2"/>
  <c r="AO1208" i="2"/>
  <c r="AH1208" i="2"/>
  <c r="W1208" i="2"/>
  <c r="AI1208" i="2" s="1"/>
  <c r="U1208" i="2"/>
  <c r="M1208" i="2"/>
  <c r="N1208" i="2" s="1"/>
  <c r="AQ1208" i="2" s="1"/>
  <c r="K1208" i="2"/>
  <c r="J1208" i="2"/>
  <c r="I1208" i="2"/>
  <c r="H1208" i="2"/>
  <c r="F1208" i="2"/>
  <c r="D1208" i="2"/>
  <c r="C1208" i="2"/>
  <c r="B1208" i="2"/>
  <c r="A1208" i="2"/>
  <c r="AP1207" i="2"/>
  <c r="AO1207" i="2"/>
  <c r="W1207" i="2"/>
  <c r="U1207" i="2"/>
  <c r="M1207" i="2"/>
  <c r="N1207" i="2" s="1"/>
  <c r="AQ1207" i="2" s="1"/>
  <c r="K1207" i="2"/>
  <c r="J1207" i="2"/>
  <c r="I1207" i="2"/>
  <c r="H1207" i="2"/>
  <c r="F1207" i="2"/>
  <c r="G1207" i="2" s="1"/>
  <c r="D1207" i="2"/>
  <c r="C1207" i="2"/>
  <c r="B1207" i="2"/>
  <c r="A1207" i="2"/>
  <c r="AP1206" i="2"/>
  <c r="AO1206" i="2"/>
  <c r="AH1206" i="2"/>
  <c r="W1206" i="2"/>
  <c r="AI1206" i="2" s="1"/>
  <c r="U1206" i="2"/>
  <c r="M1206" i="2"/>
  <c r="N1206" i="2" s="1"/>
  <c r="AQ1206" i="2" s="1"/>
  <c r="K1206" i="2"/>
  <c r="J1206" i="2"/>
  <c r="I1206" i="2"/>
  <c r="H1206" i="2"/>
  <c r="F1206" i="2"/>
  <c r="D1206" i="2"/>
  <c r="C1206" i="2"/>
  <c r="B1206" i="2"/>
  <c r="A1206" i="2"/>
  <c r="AP1205" i="2"/>
  <c r="AO1205" i="2"/>
  <c r="W1205" i="2"/>
  <c r="U1205" i="2"/>
  <c r="M1205" i="2"/>
  <c r="N1205" i="2" s="1"/>
  <c r="AQ1205" i="2" s="1"/>
  <c r="K1205" i="2"/>
  <c r="J1205" i="2"/>
  <c r="I1205" i="2"/>
  <c r="H1205" i="2"/>
  <c r="F1205" i="2"/>
  <c r="G1205" i="2" s="1"/>
  <c r="D1205" i="2"/>
  <c r="C1205" i="2"/>
  <c r="B1205" i="2"/>
  <c r="A1205" i="2"/>
  <c r="AP1204" i="2"/>
  <c r="AO1204" i="2"/>
  <c r="AH1204" i="2"/>
  <c r="W1204" i="2"/>
  <c r="AI1204" i="2" s="1"/>
  <c r="U1204" i="2"/>
  <c r="M1204" i="2"/>
  <c r="N1204" i="2" s="1"/>
  <c r="AQ1204" i="2" s="1"/>
  <c r="K1204" i="2"/>
  <c r="J1204" i="2"/>
  <c r="I1204" i="2"/>
  <c r="H1204" i="2"/>
  <c r="F1204" i="2"/>
  <c r="D1204" i="2"/>
  <c r="C1204" i="2"/>
  <c r="B1204" i="2"/>
  <c r="A1204" i="2"/>
  <c r="AP1203" i="2"/>
  <c r="AO1203" i="2"/>
  <c r="W1203" i="2"/>
  <c r="U1203" i="2"/>
  <c r="M1203" i="2"/>
  <c r="N1203" i="2" s="1"/>
  <c r="AQ1203" i="2" s="1"/>
  <c r="K1203" i="2"/>
  <c r="J1203" i="2"/>
  <c r="I1203" i="2"/>
  <c r="H1203" i="2"/>
  <c r="F1203" i="2"/>
  <c r="G1203" i="2" s="1"/>
  <c r="D1203" i="2"/>
  <c r="C1203" i="2"/>
  <c r="B1203" i="2"/>
  <c r="A1203" i="2"/>
  <c r="AP1202" i="2"/>
  <c r="AO1202" i="2"/>
  <c r="AH1202" i="2"/>
  <c r="W1202" i="2"/>
  <c r="AI1202" i="2" s="1"/>
  <c r="U1202" i="2"/>
  <c r="M1202" i="2"/>
  <c r="N1202" i="2" s="1"/>
  <c r="AQ1202" i="2" s="1"/>
  <c r="K1202" i="2"/>
  <c r="J1202" i="2"/>
  <c r="I1202" i="2"/>
  <c r="H1202" i="2"/>
  <c r="F1202" i="2"/>
  <c r="D1202" i="2"/>
  <c r="C1202" i="2"/>
  <c r="B1202" i="2"/>
  <c r="A1202" i="2"/>
  <c r="AP1201" i="2"/>
  <c r="AO1201" i="2"/>
  <c r="AH1201" i="2"/>
  <c r="W1201" i="2"/>
  <c r="AI1201" i="2" s="1"/>
  <c r="U1201" i="2"/>
  <c r="M1201" i="2"/>
  <c r="N1201" i="2" s="1"/>
  <c r="AQ1201" i="2" s="1"/>
  <c r="K1201" i="2"/>
  <c r="J1201" i="2"/>
  <c r="I1201" i="2"/>
  <c r="H1201" i="2"/>
  <c r="F1201" i="2"/>
  <c r="D1201" i="2"/>
  <c r="C1201" i="2"/>
  <c r="B1201" i="2"/>
  <c r="A1201" i="2"/>
  <c r="AP1200" i="2"/>
  <c r="AO1200" i="2"/>
  <c r="AH1200" i="2"/>
  <c r="W1200" i="2"/>
  <c r="AI1200" i="2" s="1"/>
  <c r="U1200" i="2"/>
  <c r="M1200" i="2"/>
  <c r="N1200" i="2" s="1"/>
  <c r="AQ1200" i="2" s="1"/>
  <c r="K1200" i="2"/>
  <c r="J1200" i="2"/>
  <c r="I1200" i="2"/>
  <c r="H1200" i="2"/>
  <c r="F1200" i="2"/>
  <c r="D1200" i="2"/>
  <c r="C1200" i="2"/>
  <c r="B1200" i="2"/>
  <c r="A1200" i="2"/>
  <c r="AP1199" i="2"/>
  <c r="AO1199" i="2"/>
  <c r="AH1199" i="2"/>
  <c r="W1199" i="2"/>
  <c r="AI1199" i="2" s="1"/>
  <c r="U1199" i="2"/>
  <c r="M1199" i="2"/>
  <c r="N1199" i="2" s="1"/>
  <c r="AQ1199" i="2" s="1"/>
  <c r="K1199" i="2"/>
  <c r="J1199" i="2"/>
  <c r="I1199" i="2"/>
  <c r="H1199" i="2"/>
  <c r="F1199" i="2"/>
  <c r="D1199" i="2"/>
  <c r="C1199" i="2"/>
  <c r="B1199" i="2"/>
  <c r="A1199" i="2"/>
  <c r="AP1198" i="2"/>
  <c r="AO1198" i="2"/>
  <c r="W1198" i="2"/>
  <c r="U1198" i="2"/>
  <c r="M1198" i="2"/>
  <c r="N1198" i="2" s="1"/>
  <c r="AQ1198" i="2" s="1"/>
  <c r="K1198" i="2"/>
  <c r="J1198" i="2"/>
  <c r="I1198" i="2"/>
  <c r="H1198" i="2"/>
  <c r="F1198" i="2"/>
  <c r="G1198" i="2" s="1"/>
  <c r="D1198" i="2"/>
  <c r="C1198" i="2"/>
  <c r="B1198" i="2"/>
  <c r="A1198" i="2"/>
  <c r="AP1197" i="2"/>
  <c r="AO1197" i="2"/>
  <c r="AH1197" i="2"/>
  <c r="W1197" i="2"/>
  <c r="AI1197" i="2" s="1"/>
  <c r="U1197" i="2"/>
  <c r="M1197" i="2"/>
  <c r="N1197" i="2" s="1"/>
  <c r="AQ1197" i="2" s="1"/>
  <c r="K1197" i="2"/>
  <c r="J1197" i="2"/>
  <c r="I1197" i="2"/>
  <c r="H1197" i="2"/>
  <c r="F1197" i="2"/>
  <c r="D1197" i="2"/>
  <c r="C1197" i="2"/>
  <c r="B1197" i="2"/>
  <c r="A1197" i="2"/>
  <c r="AP1196" i="2"/>
  <c r="AO1196" i="2"/>
  <c r="W1196" i="2"/>
  <c r="U1196" i="2"/>
  <c r="M1196" i="2"/>
  <c r="N1196" i="2" s="1"/>
  <c r="AQ1196" i="2" s="1"/>
  <c r="K1196" i="2"/>
  <c r="J1196" i="2"/>
  <c r="I1196" i="2"/>
  <c r="H1196" i="2"/>
  <c r="F1196" i="2"/>
  <c r="G1196" i="2" s="1"/>
  <c r="D1196" i="2"/>
  <c r="C1196" i="2"/>
  <c r="B1196" i="2"/>
  <c r="A1196" i="2"/>
  <c r="AP1195" i="2"/>
  <c r="AO1195" i="2"/>
  <c r="W1195" i="2"/>
  <c r="U1195" i="2"/>
  <c r="M1195" i="2"/>
  <c r="N1195" i="2" s="1"/>
  <c r="AQ1195" i="2" s="1"/>
  <c r="K1195" i="2"/>
  <c r="J1195" i="2"/>
  <c r="I1195" i="2"/>
  <c r="H1195" i="2"/>
  <c r="F1195" i="2"/>
  <c r="G1195" i="2" s="1"/>
  <c r="D1195" i="2"/>
  <c r="C1195" i="2"/>
  <c r="B1195" i="2"/>
  <c r="A1195" i="2"/>
  <c r="AP1194" i="2"/>
  <c r="AO1194" i="2"/>
  <c r="W1194" i="2"/>
  <c r="AI1194" i="2" s="1"/>
  <c r="U1194" i="2"/>
  <c r="M1194" i="2"/>
  <c r="N1194" i="2" s="1"/>
  <c r="AQ1194" i="2" s="1"/>
  <c r="K1194" i="2"/>
  <c r="J1194" i="2"/>
  <c r="I1194" i="2"/>
  <c r="H1194" i="2"/>
  <c r="F1194" i="2"/>
  <c r="G1194" i="2" s="1"/>
  <c r="D1194" i="2"/>
  <c r="C1194" i="2"/>
  <c r="B1194" i="2"/>
  <c r="A1194" i="2"/>
  <c r="AP1193" i="2"/>
  <c r="AO1193" i="2"/>
  <c r="AH1193" i="2"/>
  <c r="W1193" i="2"/>
  <c r="AI1193" i="2" s="1"/>
  <c r="U1193" i="2"/>
  <c r="M1193" i="2"/>
  <c r="N1193" i="2" s="1"/>
  <c r="AQ1193" i="2" s="1"/>
  <c r="K1193" i="2"/>
  <c r="J1193" i="2"/>
  <c r="I1193" i="2"/>
  <c r="H1193" i="2"/>
  <c r="F1193" i="2"/>
  <c r="D1193" i="2"/>
  <c r="C1193" i="2"/>
  <c r="B1193" i="2"/>
  <c r="A1193" i="2"/>
  <c r="AP1192" i="2"/>
  <c r="AO1192" i="2"/>
  <c r="W1192" i="2"/>
  <c r="U1192" i="2"/>
  <c r="M1192" i="2"/>
  <c r="N1192" i="2" s="1"/>
  <c r="AQ1192" i="2" s="1"/>
  <c r="K1192" i="2"/>
  <c r="J1192" i="2"/>
  <c r="I1192" i="2"/>
  <c r="H1192" i="2"/>
  <c r="F1192" i="2"/>
  <c r="G1192" i="2" s="1"/>
  <c r="D1192" i="2"/>
  <c r="C1192" i="2"/>
  <c r="B1192" i="2"/>
  <c r="A1192" i="2"/>
  <c r="AP1191" i="2"/>
  <c r="AO1191" i="2"/>
  <c r="W1191" i="2"/>
  <c r="U1191" i="2"/>
  <c r="M1191" i="2"/>
  <c r="N1191" i="2" s="1"/>
  <c r="AQ1191" i="2" s="1"/>
  <c r="K1191" i="2"/>
  <c r="J1191" i="2"/>
  <c r="I1191" i="2"/>
  <c r="H1191" i="2"/>
  <c r="F1191" i="2"/>
  <c r="G1191" i="2" s="1"/>
  <c r="D1191" i="2"/>
  <c r="C1191" i="2"/>
  <c r="B1191" i="2"/>
  <c r="A1191" i="2"/>
  <c r="AP1190" i="2"/>
  <c r="AO1190" i="2"/>
  <c r="W1190" i="2"/>
  <c r="AI1190" i="2" s="1"/>
  <c r="U1190" i="2"/>
  <c r="M1190" i="2"/>
  <c r="N1190" i="2" s="1"/>
  <c r="AQ1190" i="2" s="1"/>
  <c r="K1190" i="2"/>
  <c r="J1190" i="2"/>
  <c r="I1190" i="2"/>
  <c r="H1190" i="2"/>
  <c r="F1190" i="2"/>
  <c r="G1190" i="2" s="1"/>
  <c r="D1190" i="2"/>
  <c r="C1190" i="2"/>
  <c r="B1190" i="2"/>
  <c r="A1190" i="2"/>
  <c r="AP1189" i="2"/>
  <c r="AO1189" i="2"/>
  <c r="W1189" i="2"/>
  <c r="U1189" i="2"/>
  <c r="M1189" i="2"/>
  <c r="N1189" i="2" s="1"/>
  <c r="AQ1189" i="2" s="1"/>
  <c r="K1189" i="2"/>
  <c r="J1189" i="2"/>
  <c r="I1189" i="2"/>
  <c r="H1189" i="2"/>
  <c r="F1189" i="2"/>
  <c r="G1189" i="2" s="1"/>
  <c r="D1189" i="2"/>
  <c r="C1189" i="2"/>
  <c r="B1189" i="2"/>
  <c r="A1189" i="2"/>
  <c r="AP1188" i="2"/>
  <c r="AO1188" i="2"/>
  <c r="W1188" i="2"/>
  <c r="U1188" i="2"/>
  <c r="M1188" i="2"/>
  <c r="N1188" i="2" s="1"/>
  <c r="AQ1188" i="2" s="1"/>
  <c r="K1188" i="2"/>
  <c r="J1188" i="2"/>
  <c r="I1188" i="2"/>
  <c r="H1188" i="2"/>
  <c r="F1188" i="2"/>
  <c r="G1188" i="2" s="1"/>
  <c r="D1188" i="2"/>
  <c r="C1188" i="2"/>
  <c r="B1188" i="2"/>
  <c r="A1188" i="2"/>
  <c r="AP1187" i="2"/>
  <c r="AO1187" i="2"/>
  <c r="W1187" i="2"/>
  <c r="U1187" i="2"/>
  <c r="M1187" i="2"/>
  <c r="N1187" i="2" s="1"/>
  <c r="AQ1187" i="2" s="1"/>
  <c r="K1187" i="2"/>
  <c r="J1187" i="2"/>
  <c r="I1187" i="2"/>
  <c r="H1187" i="2"/>
  <c r="F1187" i="2"/>
  <c r="G1187" i="2" s="1"/>
  <c r="D1187" i="2"/>
  <c r="C1187" i="2"/>
  <c r="B1187" i="2"/>
  <c r="A1187" i="2"/>
  <c r="AP1186" i="2"/>
  <c r="AO1186" i="2"/>
  <c r="W1186" i="2"/>
  <c r="U1186" i="2"/>
  <c r="M1186" i="2"/>
  <c r="N1186" i="2" s="1"/>
  <c r="AQ1186" i="2" s="1"/>
  <c r="K1186" i="2"/>
  <c r="J1186" i="2"/>
  <c r="I1186" i="2"/>
  <c r="H1186" i="2"/>
  <c r="F1186" i="2"/>
  <c r="G1186" i="2" s="1"/>
  <c r="D1186" i="2"/>
  <c r="C1186" i="2"/>
  <c r="B1186" i="2"/>
  <c r="A1186" i="2"/>
  <c r="AP1185" i="2"/>
  <c r="AO1185" i="2"/>
  <c r="AH1185" i="2"/>
  <c r="W1185" i="2"/>
  <c r="AI1185" i="2" s="1"/>
  <c r="U1185" i="2"/>
  <c r="M1185" i="2"/>
  <c r="N1185" i="2" s="1"/>
  <c r="AQ1185" i="2" s="1"/>
  <c r="K1185" i="2"/>
  <c r="J1185" i="2"/>
  <c r="I1185" i="2"/>
  <c r="H1185" i="2"/>
  <c r="F1185" i="2"/>
  <c r="D1185" i="2"/>
  <c r="C1185" i="2"/>
  <c r="B1185" i="2"/>
  <c r="A1185" i="2"/>
  <c r="AP1184" i="2"/>
  <c r="AO1184" i="2"/>
  <c r="AH1184" i="2"/>
  <c r="W1184" i="2"/>
  <c r="AI1184" i="2" s="1"/>
  <c r="U1184" i="2"/>
  <c r="M1184" i="2"/>
  <c r="N1184" i="2" s="1"/>
  <c r="AQ1184" i="2" s="1"/>
  <c r="K1184" i="2"/>
  <c r="J1184" i="2"/>
  <c r="I1184" i="2"/>
  <c r="H1184" i="2"/>
  <c r="F1184" i="2"/>
  <c r="G1184" i="2" s="1"/>
  <c r="D1184" i="2"/>
  <c r="C1184" i="2"/>
  <c r="B1184" i="2"/>
  <c r="A1184" i="2"/>
  <c r="AP1183" i="2"/>
  <c r="AO1183" i="2"/>
  <c r="W1183" i="2"/>
  <c r="U1183" i="2"/>
  <c r="M1183" i="2"/>
  <c r="N1183" i="2" s="1"/>
  <c r="AQ1183" i="2" s="1"/>
  <c r="K1183" i="2"/>
  <c r="J1183" i="2"/>
  <c r="I1183" i="2"/>
  <c r="H1183" i="2"/>
  <c r="F1183" i="2"/>
  <c r="G1183" i="2" s="1"/>
  <c r="D1183" i="2"/>
  <c r="C1183" i="2"/>
  <c r="B1183" i="2"/>
  <c r="A1183" i="2"/>
  <c r="AP1182" i="2"/>
  <c r="AO1182" i="2"/>
  <c r="W1182" i="2"/>
  <c r="U1182" i="2"/>
  <c r="M1182" i="2"/>
  <c r="N1182" i="2" s="1"/>
  <c r="AQ1182" i="2" s="1"/>
  <c r="K1182" i="2"/>
  <c r="J1182" i="2"/>
  <c r="I1182" i="2"/>
  <c r="H1182" i="2"/>
  <c r="F1182" i="2"/>
  <c r="D1182" i="2"/>
  <c r="C1182" i="2"/>
  <c r="B1182" i="2"/>
  <c r="A1182" i="2"/>
  <c r="AP1181" i="2"/>
  <c r="AO1181" i="2"/>
  <c r="AH1181" i="2"/>
  <c r="W1181" i="2"/>
  <c r="AI1181" i="2" s="1"/>
  <c r="U1181" i="2"/>
  <c r="M1181" i="2"/>
  <c r="N1181" i="2" s="1"/>
  <c r="AQ1181" i="2" s="1"/>
  <c r="K1181" i="2"/>
  <c r="J1181" i="2"/>
  <c r="I1181" i="2"/>
  <c r="H1181" i="2"/>
  <c r="F1181" i="2"/>
  <c r="G1181" i="2" s="1"/>
  <c r="D1181" i="2"/>
  <c r="C1181" i="2"/>
  <c r="B1181" i="2"/>
  <c r="A1181" i="2"/>
  <c r="AP1180" i="2"/>
  <c r="AO1180" i="2"/>
  <c r="AH1180" i="2"/>
  <c r="W1180" i="2"/>
  <c r="AI1180" i="2" s="1"/>
  <c r="U1180" i="2"/>
  <c r="M1180" i="2"/>
  <c r="N1180" i="2" s="1"/>
  <c r="AQ1180" i="2" s="1"/>
  <c r="K1180" i="2"/>
  <c r="J1180" i="2"/>
  <c r="I1180" i="2"/>
  <c r="H1180" i="2"/>
  <c r="F1180" i="2"/>
  <c r="G1180" i="2" s="1"/>
  <c r="D1180" i="2"/>
  <c r="C1180" i="2"/>
  <c r="B1180" i="2"/>
  <c r="A1180" i="2"/>
  <c r="AP1179" i="2"/>
  <c r="AO1179" i="2"/>
  <c r="AH1179" i="2"/>
  <c r="W1179" i="2"/>
  <c r="AI1179" i="2" s="1"/>
  <c r="U1179" i="2"/>
  <c r="M1179" i="2"/>
  <c r="N1179" i="2" s="1"/>
  <c r="AQ1179" i="2" s="1"/>
  <c r="K1179" i="2"/>
  <c r="J1179" i="2"/>
  <c r="I1179" i="2"/>
  <c r="H1179" i="2"/>
  <c r="F1179" i="2"/>
  <c r="G1179" i="2" s="1"/>
  <c r="D1179" i="2"/>
  <c r="C1179" i="2"/>
  <c r="B1179" i="2"/>
  <c r="A1179" i="2"/>
  <c r="AP1178" i="2"/>
  <c r="AO1178" i="2"/>
  <c r="AH1178" i="2"/>
  <c r="W1178" i="2"/>
  <c r="AI1178" i="2" s="1"/>
  <c r="U1178" i="2"/>
  <c r="M1178" i="2"/>
  <c r="N1178" i="2" s="1"/>
  <c r="AQ1178" i="2" s="1"/>
  <c r="K1178" i="2"/>
  <c r="J1178" i="2"/>
  <c r="I1178" i="2"/>
  <c r="H1178" i="2"/>
  <c r="F1178" i="2"/>
  <c r="G1178" i="2" s="1"/>
  <c r="D1178" i="2"/>
  <c r="C1178" i="2"/>
  <c r="B1178" i="2"/>
  <c r="A1178" i="2"/>
  <c r="AP1177" i="2"/>
  <c r="AO1177" i="2"/>
  <c r="AH1177" i="2"/>
  <c r="W1177" i="2"/>
  <c r="AI1177" i="2" s="1"/>
  <c r="U1177" i="2"/>
  <c r="M1177" i="2"/>
  <c r="N1177" i="2" s="1"/>
  <c r="AQ1177" i="2" s="1"/>
  <c r="K1177" i="2"/>
  <c r="J1177" i="2"/>
  <c r="I1177" i="2"/>
  <c r="H1177" i="2"/>
  <c r="F1177" i="2"/>
  <c r="G1177" i="2" s="1"/>
  <c r="D1177" i="2"/>
  <c r="C1177" i="2"/>
  <c r="B1177" i="2"/>
  <c r="A1177" i="2"/>
  <c r="AP1176" i="2"/>
  <c r="AO1176" i="2"/>
  <c r="W1176" i="2"/>
  <c r="U1176" i="2"/>
  <c r="M1176" i="2"/>
  <c r="N1176" i="2" s="1"/>
  <c r="AQ1176" i="2" s="1"/>
  <c r="K1176" i="2"/>
  <c r="J1176" i="2"/>
  <c r="I1176" i="2"/>
  <c r="H1176" i="2"/>
  <c r="F1176" i="2"/>
  <c r="G1176" i="2" s="1"/>
  <c r="D1176" i="2"/>
  <c r="C1176" i="2"/>
  <c r="B1176" i="2"/>
  <c r="A1176" i="2"/>
  <c r="AP1175" i="2"/>
  <c r="AO1175" i="2"/>
  <c r="W1175" i="2"/>
  <c r="U1175" i="2"/>
  <c r="M1175" i="2"/>
  <c r="N1175" i="2" s="1"/>
  <c r="AQ1175" i="2" s="1"/>
  <c r="K1175" i="2"/>
  <c r="J1175" i="2"/>
  <c r="I1175" i="2"/>
  <c r="H1175" i="2"/>
  <c r="F1175" i="2"/>
  <c r="D1175" i="2"/>
  <c r="C1175" i="2"/>
  <c r="B1175" i="2"/>
  <c r="A1175" i="2"/>
  <c r="AP1174" i="2"/>
  <c r="AO1174" i="2"/>
  <c r="AH1174" i="2"/>
  <c r="W1174" i="2"/>
  <c r="AI1174" i="2" s="1"/>
  <c r="U1174" i="2"/>
  <c r="M1174" i="2"/>
  <c r="N1174" i="2" s="1"/>
  <c r="AQ1174" i="2" s="1"/>
  <c r="K1174" i="2"/>
  <c r="J1174" i="2"/>
  <c r="I1174" i="2"/>
  <c r="H1174" i="2"/>
  <c r="F1174" i="2"/>
  <c r="D1174" i="2"/>
  <c r="C1174" i="2"/>
  <c r="B1174" i="2"/>
  <c r="A1174" i="2"/>
  <c r="AP1173" i="2"/>
  <c r="AO1173" i="2"/>
  <c r="AH1173" i="2"/>
  <c r="W1173" i="2"/>
  <c r="AI1173" i="2" s="1"/>
  <c r="U1173" i="2"/>
  <c r="M1173" i="2"/>
  <c r="N1173" i="2" s="1"/>
  <c r="AQ1173" i="2" s="1"/>
  <c r="K1173" i="2"/>
  <c r="J1173" i="2"/>
  <c r="I1173" i="2"/>
  <c r="H1173" i="2"/>
  <c r="F1173" i="2"/>
  <c r="D1173" i="2"/>
  <c r="C1173" i="2"/>
  <c r="B1173" i="2"/>
  <c r="A1173" i="2"/>
  <c r="AP1172" i="2"/>
  <c r="AO1172" i="2"/>
  <c r="AH1172" i="2"/>
  <c r="W1172" i="2"/>
  <c r="AI1172" i="2" s="1"/>
  <c r="U1172" i="2"/>
  <c r="M1172" i="2"/>
  <c r="N1172" i="2" s="1"/>
  <c r="AQ1172" i="2" s="1"/>
  <c r="K1172" i="2"/>
  <c r="J1172" i="2"/>
  <c r="I1172" i="2"/>
  <c r="H1172" i="2"/>
  <c r="F1172" i="2"/>
  <c r="D1172" i="2"/>
  <c r="C1172" i="2"/>
  <c r="B1172" i="2"/>
  <c r="A1172" i="2"/>
  <c r="AP1171" i="2"/>
  <c r="AO1171" i="2"/>
  <c r="AH1171" i="2"/>
  <c r="W1171" i="2"/>
  <c r="AI1171" i="2" s="1"/>
  <c r="U1171" i="2"/>
  <c r="M1171" i="2"/>
  <c r="N1171" i="2" s="1"/>
  <c r="AQ1171" i="2" s="1"/>
  <c r="K1171" i="2"/>
  <c r="J1171" i="2"/>
  <c r="I1171" i="2"/>
  <c r="H1171" i="2"/>
  <c r="F1171" i="2"/>
  <c r="D1171" i="2"/>
  <c r="C1171" i="2"/>
  <c r="B1171" i="2"/>
  <c r="A1171" i="2"/>
  <c r="AP1170" i="2"/>
  <c r="AO1170" i="2"/>
  <c r="W1170" i="2"/>
  <c r="U1170" i="2"/>
  <c r="M1170" i="2"/>
  <c r="N1170" i="2" s="1"/>
  <c r="AQ1170" i="2" s="1"/>
  <c r="K1170" i="2"/>
  <c r="J1170" i="2"/>
  <c r="I1170" i="2"/>
  <c r="H1170" i="2"/>
  <c r="F1170" i="2"/>
  <c r="G1170" i="2" s="1"/>
  <c r="D1170" i="2"/>
  <c r="C1170" i="2"/>
  <c r="B1170" i="2"/>
  <c r="A1170" i="2"/>
  <c r="AP1169" i="2"/>
  <c r="AO1169" i="2"/>
  <c r="AH1169" i="2"/>
  <c r="W1169" i="2"/>
  <c r="AI1169" i="2" s="1"/>
  <c r="U1169" i="2"/>
  <c r="M1169" i="2"/>
  <c r="N1169" i="2" s="1"/>
  <c r="AQ1169" i="2" s="1"/>
  <c r="K1169" i="2"/>
  <c r="J1169" i="2"/>
  <c r="I1169" i="2"/>
  <c r="H1169" i="2"/>
  <c r="F1169" i="2"/>
  <c r="D1169" i="2"/>
  <c r="C1169" i="2"/>
  <c r="B1169" i="2"/>
  <c r="A1169" i="2"/>
  <c r="AP1168" i="2"/>
  <c r="AO1168" i="2"/>
  <c r="W1168" i="2"/>
  <c r="AH1168" i="2" s="1"/>
  <c r="U1168" i="2"/>
  <c r="M1168" i="2"/>
  <c r="N1168" i="2" s="1"/>
  <c r="AQ1168" i="2" s="1"/>
  <c r="K1168" i="2"/>
  <c r="J1168" i="2"/>
  <c r="I1168" i="2"/>
  <c r="H1168" i="2"/>
  <c r="F1168" i="2"/>
  <c r="G1168" i="2" s="1"/>
  <c r="D1168" i="2"/>
  <c r="C1168" i="2"/>
  <c r="B1168" i="2"/>
  <c r="A1168" i="2"/>
  <c r="AP1167" i="2"/>
  <c r="AO1167" i="2"/>
  <c r="AH1167" i="2"/>
  <c r="W1167" i="2"/>
  <c r="AI1167" i="2" s="1"/>
  <c r="U1167" i="2"/>
  <c r="M1167" i="2"/>
  <c r="N1167" i="2" s="1"/>
  <c r="AQ1167" i="2" s="1"/>
  <c r="K1167" i="2"/>
  <c r="J1167" i="2"/>
  <c r="I1167" i="2"/>
  <c r="H1167" i="2"/>
  <c r="F1167" i="2"/>
  <c r="D1167" i="2"/>
  <c r="C1167" i="2"/>
  <c r="B1167" i="2"/>
  <c r="A1167" i="2"/>
  <c r="AP1166" i="2"/>
  <c r="AO1166" i="2"/>
  <c r="W1166" i="2"/>
  <c r="U1166" i="2"/>
  <c r="M1166" i="2"/>
  <c r="N1166" i="2" s="1"/>
  <c r="AQ1166" i="2" s="1"/>
  <c r="K1166" i="2"/>
  <c r="J1166" i="2"/>
  <c r="I1166" i="2"/>
  <c r="H1166" i="2"/>
  <c r="F1166" i="2"/>
  <c r="D1166" i="2"/>
  <c r="C1166" i="2"/>
  <c r="B1166" i="2"/>
  <c r="A1166" i="2"/>
  <c r="AP1165" i="2"/>
  <c r="AO1165" i="2"/>
  <c r="W1165" i="2"/>
  <c r="U1165" i="2"/>
  <c r="M1165" i="2"/>
  <c r="N1165" i="2" s="1"/>
  <c r="AQ1165" i="2" s="1"/>
  <c r="K1165" i="2"/>
  <c r="J1165" i="2"/>
  <c r="I1165" i="2"/>
  <c r="H1165" i="2"/>
  <c r="F1165" i="2"/>
  <c r="G1165" i="2" s="1"/>
  <c r="D1165" i="2"/>
  <c r="C1165" i="2"/>
  <c r="B1165" i="2"/>
  <c r="A1165" i="2"/>
  <c r="AP1164" i="2"/>
  <c r="AO1164" i="2"/>
  <c r="AH1164" i="2"/>
  <c r="W1164" i="2"/>
  <c r="AI1164" i="2" s="1"/>
  <c r="U1164" i="2"/>
  <c r="M1164" i="2"/>
  <c r="N1164" i="2" s="1"/>
  <c r="AQ1164" i="2" s="1"/>
  <c r="K1164" i="2"/>
  <c r="J1164" i="2"/>
  <c r="I1164" i="2"/>
  <c r="H1164" i="2"/>
  <c r="F1164" i="2"/>
  <c r="D1164" i="2"/>
  <c r="C1164" i="2"/>
  <c r="B1164" i="2"/>
  <c r="A1164" i="2"/>
  <c r="AP1163" i="2"/>
  <c r="AO1163" i="2"/>
  <c r="W1163" i="2"/>
  <c r="U1163" i="2"/>
  <c r="M1163" i="2"/>
  <c r="N1163" i="2" s="1"/>
  <c r="AQ1163" i="2" s="1"/>
  <c r="K1163" i="2"/>
  <c r="J1163" i="2"/>
  <c r="I1163" i="2"/>
  <c r="H1163" i="2"/>
  <c r="F1163" i="2"/>
  <c r="G1163" i="2" s="1"/>
  <c r="D1163" i="2"/>
  <c r="C1163" i="2"/>
  <c r="B1163" i="2"/>
  <c r="A1163" i="2"/>
  <c r="AP1162" i="2"/>
  <c r="AO1162" i="2"/>
  <c r="AH1162" i="2"/>
  <c r="W1162" i="2"/>
  <c r="AI1162" i="2" s="1"/>
  <c r="U1162" i="2"/>
  <c r="M1162" i="2"/>
  <c r="N1162" i="2" s="1"/>
  <c r="AQ1162" i="2" s="1"/>
  <c r="K1162" i="2"/>
  <c r="J1162" i="2"/>
  <c r="I1162" i="2"/>
  <c r="H1162" i="2"/>
  <c r="F1162" i="2"/>
  <c r="D1162" i="2"/>
  <c r="C1162" i="2"/>
  <c r="B1162" i="2"/>
  <c r="A1162" i="2"/>
  <c r="AP1161" i="2"/>
  <c r="AO1161" i="2"/>
  <c r="AH1161" i="2"/>
  <c r="W1161" i="2"/>
  <c r="AI1161" i="2" s="1"/>
  <c r="U1161" i="2"/>
  <c r="M1161" i="2"/>
  <c r="N1161" i="2" s="1"/>
  <c r="AQ1161" i="2" s="1"/>
  <c r="K1161" i="2"/>
  <c r="J1161" i="2"/>
  <c r="I1161" i="2"/>
  <c r="H1161" i="2"/>
  <c r="F1161" i="2"/>
  <c r="D1161" i="2"/>
  <c r="C1161" i="2"/>
  <c r="B1161" i="2"/>
  <c r="A1161" i="2"/>
  <c r="AP1160" i="2"/>
  <c r="AO1160" i="2"/>
  <c r="AH1160" i="2"/>
  <c r="W1160" i="2"/>
  <c r="AI1160" i="2" s="1"/>
  <c r="U1160" i="2"/>
  <c r="M1160" i="2"/>
  <c r="N1160" i="2" s="1"/>
  <c r="AQ1160" i="2" s="1"/>
  <c r="K1160" i="2"/>
  <c r="J1160" i="2"/>
  <c r="I1160" i="2"/>
  <c r="H1160" i="2"/>
  <c r="F1160" i="2"/>
  <c r="D1160" i="2"/>
  <c r="C1160" i="2"/>
  <c r="B1160" i="2"/>
  <c r="A1160" i="2"/>
  <c r="AP1159" i="2"/>
  <c r="AO1159" i="2"/>
  <c r="AH1159" i="2"/>
  <c r="W1159" i="2"/>
  <c r="AI1159" i="2" s="1"/>
  <c r="U1159" i="2"/>
  <c r="M1159" i="2"/>
  <c r="N1159" i="2" s="1"/>
  <c r="AQ1159" i="2" s="1"/>
  <c r="K1159" i="2"/>
  <c r="J1159" i="2"/>
  <c r="I1159" i="2"/>
  <c r="H1159" i="2"/>
  <c r="F1159" i="2"/>
  <c r="D1159" i="2"/>
  <c r="C1159" i="2"/>
  <c r="B1159" i="2"/>
  <c r="A1159" i="2"/>
  <c r="AP1158" i="2"/>
  <c r="AO1158" i="2"/>
  <c r="W1158" i="2"/>
  <c r="AI1158" i="2" s="1"/>
  <c r="U1158" i="2"/>
  <c r="M1158" i="2"/>
  <c r="N1158" i="2" s="1"/>
  <c r="AQ1158" i="2" s="1"/>
  <c r="K1158" i="2"/>
  <c r="J1158" i="2"/>
  <c r="I1158" i="2"/>
  <c r="H1158" i="2"/>
  <c r="F1158" i="2"/>
  <c r="G1158" i="2" s="1"/>
  <c r="D1158" i="2"/>
  <c r="C1158" i="2"/>
  <c r="B1158" i="2"/>
  <c r="A1158" i="2"/>
  <c r="AP1157" i="2"/>
  <c r="AO1157" i="2"/>
  <c r="W1157" i="2"/>
  <c r="AH1157" i="2" s="1"/>
  <c r="U1157" i="2"/>
  <c r="N1157" i="2"/>
  <c r="AQ1157" i="2" s="1"/>
  <c r="M1157" i="2"/>
  <c r="K1157" i="2"/>
  <c r="J1157" i="2"/>
  <c r="I1157" i="2"/>
  <c r="H1157" i="2"/>
  <c r="F1157" i="2"/>
  <c r="G1157" i="2" s="1"/>
  <c r="D1157" i="2"/>
  <c r="C1157" i="2"/>
  <c r="B1157" i="2"/>
  <c r="A1157" i="2"/>
  <c r="AP1156" i="2"/>
  <c r="AO1156" i="2"/>
  <c r="W1156" i="2"/>
  <c r="U1156" i="2"/>
  <c r="M1156" i="2"/>
  <c r="N1156" i="2" s="1"/>
  <c r="AQ1156" i="2" s="1"/>
  <c r="K1156" i="2"/>
  <c r="J1156" i="2"/>
  <c r="I1156" i="2"/>
  <c r="H1156" i="2"/>
  <c r="F1156" i="2"/>
  <c r="G1156" i="2" s="1"/>
  <c r="D1156" i="2"/>
  <c r="C1156" i="2"/>
  <c r="B1156" i="2"/>
  <c r="A1156" i="2"/>
  <c r="AP1155" i="2"/>
  <c r="AO1155" i="2"/>
  <c r="W1155" i="2"/>
  <c r="U1155" i="2"/>
  <c r="M1155" i="2"/>
  <c r="N1155" i="2" s="1"/>
  <c r="AQ1155" i="2" s="1"/>
  <c r="K1155" i="2"/>
  <c r="J1155" i="2"/>
  <c r="I1155" i="2"/>
  <c r="H1155" i="2"/>
  <c r="F1155" i="2"/>
  <c r="G1155" i="2" s="1"/>
  <c r="D1155" i="2"/>
  <c r="C1155" i="2"/>
  <c r="B1155" i="2"/>
  <c r="A1155" i="2"/>
  <c r="AP1154" i="2"/>
  <c r="AO1154" i="2"/>
  <c r="W1154" i="2"/>
  <c r="U1154" i="2"/>
  <c r="M1154" i="2"/>
  <c r="N1154" i="2" s="1"/>
  <c r="AQ1154" i="2" s="1"/>
  <c r="K1154" i="2"/>
  <c r="J1154" i="2"/>
  <c r="I1154" i="2"/>
  <c r="H1154" i="2"/>
  <c r="F1154" i="2"/>
  <c r="G1154" i="2" s="1"/>
  <c r="D1154" i="2"/>
  <c r="C1154" i="2"/>
  <c r="B1154" i="2"/>
  <c r="A1154" i="2"/>
  <c r="AP1153" i="2"/>
  <c r="AO1153" i="2"/>
  <c r="AH1153" i="2"/>
  <c r="W1153" i="2"/>
  <c r="AI1153" i="2" s="1"/>
  <c r="U1153" i="2"/>
  <c r="M1153" i="2"/>
  <c r="N1153" i="2" s="1"/>
  <c r="AQ1153" i="2" s="1"/>
  <c r="K1153" i="2"/>
  <c r="J1153" i="2"/>
  <c r="I1153" i="2"/>
  <c r="H1153" i="2"/>
  <c r="F1153" i="2"/>
  <c r="D1153" i="2"/>
  <c r="C1153" i="2"/>
  <c r="B1153" i="2"/>
  <c r="A1153" i="2"/>
  <c r="AP1152" i="2"/>
  <c r="AO1152" i="2"/>
  <c r="AH1152" i="2"/>
  <c r="W1152" i="2"/>
  <c r="AI1152" i="2" s="1"/>
  <c r="U1152" i="2"/>
  <c r="M1152" i="2"/>
  <c r="N1152" i="2" s="1"/>
  <c r="AQ1152" i="2" s="1"/>
  <c r="K1152" i="2"/>
  <c r="J1152" i="2"/>
  <c r="I1152" i="2"/>
  <c r="H1152" i="2"/>
  <c r="F1152" i="2"/>
  <c r="D1152" i="2"/>
  <c r="C1152" i="2"/>
  <c r="B1152" i="2"/>
  <c r="A1152" i="2"/>
  <c r="AP1151" i="2"/>
  <c r="AO1151" i="2"/>
  <c r="AH1151" i="2"/>
  <c r="W1151" i="2"/>
  <c r="AI1151" i="2" s="1"/>
  <c r="U1151" i="2"/>
  <c r="M1151" i="2"/>
  <c r="N1151" i="2" s="1"/>
  <c r="AQ1151" i="2" s="1"/>
  <c r="K1151" i="2"/>
  <c r="J1151" i="2"/>
  <c r="I1151" i="2"/>
  <c r="H1151" i="2"/>
  <c r="F1151" i="2"/>
  <c r="D1151" i="2"/>
  <c r="C1151" i="2"/>
  <c r="B1151" i="2"/>
  <c r="A1151" i="2"/>
  <c r="AP1150" i="2"/>
  <c r="AO1150" i="2"/>
  <c r="W1150" i="2"/>
  <c r="U1150" i="2"/>
  <c r="M1150" i="2"/>
  <c r="N1150" i="2" s="1"/>
  <c r="AQ1150" i="2" s="1"/>
  <c r="K1150" i="2"/>
  <c r="J1150" i="2"/>
  <c r="I1150" i="2"/>
  <c r="H1150" i="2"/>
  <c r="F1150" i="2"/>
  <c r="G1150" i="2" s="1"/>
  <c r="D1150" i="2"/>
  <c r="C1150" i="2"/>
  <c r="B1150" i="2"/>
  <c r="A1150" i="2"/>
  <c r="AP1149" i="2"/>
  <c r="AO1149" i="2"/>
  <c r="AH1149" i="2"/>
  <c r="W1149" i="2"/>
  <c r="AI1149" i="2" s="1"/>
  <c r="U1149" i="2"/>
  <c r="M1149" i="2"/>
  <c r="N1149" i="2" s="1"/>
  <c r="AQ1149" i="2" s="1"/>
  <c r="K1149" i="2"/>
  <c r="J1149" i="2"/>
  <c r="I1149" i="2"/>
  <c r="H1149" i="2"/>
  <c r="F1149" i="2"/>
  <c r="D1149" i="2"/>
  <c r="C1149" i="2"/>
  <c r="B1149" i="2"/>
  <c r="A1149" i="2"/>
  <c r="AP1148" i="2"/>
  <c r="AO1148" i="2"/>
  <c r="AH1148" i="2"/>
  <c r="W1148" i="2"/>
  <c r="AI1148" i="2" s="1"/>
  <c r="U1148" i="2"/>
  <c r="M1148" i="2"/>
  <c r="N1148" i="2" s="1"/>
  <c r="AQ1148" i="2" s="1"/>
  <c r="K1148" i="2"/>
  <c r="J1148" i="2"/>
  <c r="I1148" i="2"/>
  <c r="H1148" i="2"/>
  <c r="F1148" i="2"/>
  <c r="G1148" i="2" s="1"/>
  <c r="D1148" i="2"/>
  <c r="C1148" i="2"/>
  <c r="B1148" i="2"/>
  <c r="A1148" i="2"/>
  <c r="AP1147" i="2"/>
  <c r="AO1147" i="2"/>
  <c r="AH1147" i="2"/>
  <c r="W1147" i="2"/>
  <c r="AI1147" i="2" s="1"/>
  <c r="U1147" i="2"/>
  <c r="M1147" i="2"/>
  <c r="N1147" i="2" s="1"/>
  <c r="AQ1147" i="2" s="1"/>
  <c r="K1147" i="2"/>
  <c r="J1147" i="2"/>
  <c r="I1147" i="2"/>
  <c r="H1147" i="2"/>
  <c r="F1147" i="2"/>
  <c r="D1147" i="2"/>
  <c r="C1147" i="2"/>
  <c r="B1147" i="2"/>
  <c r="A1147" i="2"/>
  <c r="AP1146" i="2"/>
  <c r="AO1146" i="2"/>
  <c r="AH1146" i="2"/>
  <c r="W1146" i="2"/>
  <c r="AI1146" i="2" s="1"/>
  <c r="U1146" i="2"/>
  <c r="M1146" i="2"/>
  <c r="N1146" i="2" s="1"/>
  <c r="AQ1146" i="2" s="1"/>
  <c r="K1146" i="2"/>
  <c r="J1146" i="2"/>
  <c r="I1146" i="2"/>
  <c r="H1146" i="2"/>
  <c r="F1146" i="2"/>
  <c r="D1146" i="2"/>
  <c r="C1146" i="2"/>
  <c r="B1146" i="2"/>
  <c r="A1146" i="2"/>
  <c r="AP1145" i="2"/>
  <c r="AO1145" i="2"/>
  <c r="AH1145" i="2"/>
  <c r="W1145" i="2"/>
  <c r="AI1145" i="2" s="1"/>
  <c r="U1145" i="2"/>
  <c r="M1145" i="2"/>
  <c r="N1145" i="2" s="1"/>
  <c r="AQ1145" i="2" s="1"/>
  <c r="K1145" i="2"/>
  <c r="J1145" i="2"/>
  <c r="I1145" i="2"/>
  <c r="H1145" i="2"/>
  <c r="F1145" i="2"/>
  <c r="D1145" i="2"/>
  <c r="C1145" i="2"/>
  <c r="B1145" i="2"/>
  <c r="A1145" i="2"/>
  <c r="AP1144" i="2"/>
  <c r="AO1144" i="2"/>
  <c r="AH1144" i="2"/>
  <c r="W1144" i="2"/>
  <c r="AI1144" i="2" s="1"/>
  <c r="U1144" i="2"/>
  <c r="M1144" i="2"/>
  <c r="N1144" i="2" s="1"/>
  <c r="AQ1144" i="2" s="1"/>
  <c r="K1144" i="2"/>
  <c r="J1144" i="2"/>
  <c r="I1144" i="2"/>
  <c r="H1144" i="2"/>
  <c r="F1144" i="2"/>
  <c r="D1144" i="2"/>
  <c r="C1144" i="2"/>
  <c r="B1144" i="2"/>
  <c r="A1144" i="2"/>
  <c r="AP1143" i="2"/>
  <c r="AO1143" i="2"/>
  <c r="AH1143" i="2"/>
  <c r="W1143" i="2"/>
  <c r="AI1143" i="2" s="1"/>
  <c r="U1143" i="2"/>
  <c r="M1143" i="2"/>
  <c r="N1143" i="2" s="1"/>
  <c r="AQ1143" i="2" s="1"/>
  <c r="K1143" i="2"/>
  <c r="J1143" i="2"/>
  <c r="I1143" i="2"/>
  <c r="H1143" i="2"/>
  <c r="F1143" i="2"/>
  <c r="D1143" i="2"/>
  <c r="C1143" i="2"/>
  <c r="B1143" i="2"/>
  <c r="A1143" i="2"/>
  <c r="AP1142" i="2"/>
  <c r="AO1142" i="2"/>
  <c r="W1142" i="2"/>
  <c r="AH1142" i="2" s="1"/>
  <c r="U1142" i="2"/>
  <c r="M1142" i="2"/>
  <c r="N1142" i="2" s="1"/>
  <c r="AQ1142" i="2" s="1"/>
  <c r="K1142" i="2"/>
  <c r="J1142" i="2"/>
  <c r="I1142" i="2"/>
  <c r="H1142" i="2"/>
  <c r="F1142" i="2"/>
  <c r="G1142" i="2" s="1"/>
  <c r="D1142" i="2"/>
  <c r="C1142" i="2"/>
  <c r="B1142" i="2"/>
  <c r="A1142" i="2"/>
  <c r="AP1141" i="2"/>
  <c r="AO1141" i="2"/>
  <c r="AH1141" i="2"/>
  <c r="W1141" i="2"/>
  <c r="AI1141" i="2" s="1"/>
  <c r="U1141" i="2"/>
  <c r="M1141" i="2"/>
  <c r="N1141" i="2" s="1"/>
  <c r="AQ1141" i="2" s="1"/>
  <c r="K1141" i="2"/>
  <c r="J1141" i="2"/>
  <c r="I1141" i="2"/>
  <c r="H1141" i="2"/>
  <c r="F1141" i="2"/>
  <c r="D1141" i="2"/>
  <c r="C1141" i="2"/>
  <c r="B1141" i="2"/>
  <c r="A1141" i="2"/>
  <c r="AP1140" i="2"/>
  <c r="AO1140" i="2"/>
  <c r="W1140" i="2"/>
  <c r="U1140" i="2"/>
  <c r="M1140" i="2"/>
  <c r="N1140" i="2" s="1"/>
  <c r="AQ1140" i="2" s="1"/>
  <c r="K1140" i="2"/>
  <c r="J1140" i="2"/>
  <c r="I1140" i="2"/>
  <c r="H1140" i="2"/>
  <c r="F1140" i="2"/>
  <c r="G1140" i="2" s="1"/>
  <c r="D1140" i="2"/>
  <c r="C1140" i="2"/>
  <c r="B1140" i="2"/>
  <c r="A1140" i="2"/>
  <c r="AP1139" i="2"/>
  <c r="AO1139" i="2"/>
  <c r="AH1139" i="2"/>
  <c r="W1139" i="2"/>
  <c r="AI1139" i="2" s="1"/>
  <c r="U1139" i="2"/>
  <c r="M1139" i="2"/>
  <c r="N1139" i="2" s="1"/>
  <c r="AQ1139" i="2" s="1"/>
  <c r="K1139" i="2"/>
  <c r="J1139" i="2"/>
  <c r="I1139" i="2"/>
  <c r="H1139" i="2"/>
  <c r="F1139" i="2"/>
  <c r="G1139" i="2" s="1"/>
  <c r="D1139" i="2"/>
  <c r="C1139" i="2"/>
  <c r="B1139" i="2"/>
  <c r="A1139" i="2"/>
  <c r="AP1138" i="2"/>
  <c r="AO1138" i="2"/>
  <c r="W1138" i="2"/>
  <c r="AI1138" i="2" s="1"/>
  <c r="U1138" i="2"/>
  <c r="M1138" i="2"/>
  <c r="N1138" i="2" s="1"/>
  <c r="AQ1138" i="2" s="1"/>
  <c r="K1138" i="2"/>
  <c r="J1138" i="2"/>
  <c r="I1138" i="2"/>
  <c r="H1138" i="2"/>
  <c r="F1138" i="2"/>
  <c r="G1138" i="2" s="1"/>
  <c r="D1138" i="2"/>
  <c r="C1138" i="2"/>
  <c r="B1138" i="2"/>
  <c r="A1138" i="2"/>
  <c r="AP1137" i="2"/>
  <c r="AO1137" i="2"/>
  <c r="W1137" i="2"/>
  <c r="U1137" i="2"/>
  <c r="M1137" i="2"/>
  <c r="N1137" i="2" s="1"/>
  <c r="AQ1137" i="2" s="1"/>
  <c r="K1137" i="2"/>
  <c r="J1137" i="2"/>
  <c r="I1137" i="2"/>
  <c r="H1137" i="2"/>
  <c r="F1137" i="2"/>
  <c r="G1137" i="2" s="1"/>
  <c r="D1137" i="2"/>
  <c r="C1137" i="2"/>
  <c r="B1137" i="2"/>
  <c r="A1137" i="2"/>
  <c r="AP1136" i="2"/>
  <c r="AO1136" i="2"/>
  <c r="AH1136" i="2"/>
  <c r="W1136" i="2"/>
  <c r="AI1136" i="2" s="1"/>
  <c r="U1136" i="2"/>
  <c r="M1136" i="2"/>
  <c r="N1136" i="2" s="1"/>
  <c r="AQ1136" i="2" s="1"/>
  <c r="K1136" i="2"/>
  <c r="J1136" i="2"/>
  <c r="I1136" i="2"/>
  <c r="H1136" i="2"/>
  <c r="F1136" i="2"/>
  <c r="G1136" i="2" s="1"/>
  <c r="D1136" i="2"/>
  <c r="C1136" i="2"/>
  <c r="B1136" i="2"/>
  <c r="A1136" i="2"/>
  <c r="AP1135" i="2"/>
  <c r="AO1135" i="2"/>
  <c r="W1135" i="2"/>
  <c r="AI1135" i="2" s="1"/>
  <c r="U1135" i="2"/>
  <c r="M1135" i="2"/>
  <c r="N1135" i="2" s="1"/>
  <c r="AQ1135" i="2" s="1"/>
  <c r="K1135" i="2"/>
  <c r="J1135" i="2"/>
  <c r="I1135" i="2"/>
  <c r="H1135" i="2"/>
  <c r="F1135" i="2"/>
  <c r="G1135" i="2" s="1"/>
  <c r="D1135" i="2"/>
  <c r="C1135" i="2"/>
  <c r="B1135" i="2"/>
  <c r="A1135" i="2"/>
  <c r="AP1134" i="2"/>
  <c r="AO1134" i="2"/>
  <c r="W1134" i="2"/>
  <c r="U1134" i="2"/>
  <c r="M1134" i="2"/>
  <c r="N1134" i="2" s="1"/>
  <c r="AQ1134" i="2" s="1"/>
  <c r="K1134" i="2"/>
  <c r="J1134" i="2"/>
  <c r="I1134" i="2"/>
  <c r="H1134" i="2"/>
  <c r="F1134" i="2"/>
  <c r="D1134" i="2"/>
  <c r="C1134" i="2"/>
  <c r="B1134" i="2"/>
  <c r="A1134" i="2"/>
  <c r="AP1133" i="2"/>
  <c r="AO1133" i="2"/>
  <c r="AH1133" i="2"/>
  <c r="W1133" i="2"/>
  <c r="AI1133" i="2" s="1"/>
  <c r="U1133" i="2"/>
  <c r="M1133" i="2"/>
  <c r="N1133" i="2" s="1"/>
  <c r="AQ1133" i="2" s="1"/>
  <c r="K1133" i="2"/>
  <c r="J1133" i="2"/>
  <c r="I1133" i="2"/>
  <c r="H1133" i="2"/>
  <c r="F1133" i="2"/>
  <c r="D1133" i="2"/>
  <c r="C1133" i="2"/>
  <c r="B1133" i="2"/>
  <c r="A1133" i="2"/>
  <c r="AP1132" i="2"/>
  <c r="AO1132" i="2"/>
  <c r="W1132" i="2"/>
  <c r="AI1132" i="2" s="1"/>
  <c r="U1132" i="2"/>
  <c r="M1132" i="2"/>
  <c r="N1132" i="2" s="1"/>
  <c r="AQ1132" i="2" s="1"/>
  <c r="K1132" i="2"/>
  <c r="J1132" i="2"/>
  <c r="I1132" i="2"/>
  <c r="H1132" i="2"/>
  <c r="F1132" i="2"/>
  <c r="G1132" i="2" s="1"/>
  <c r="D1132" i="2"/>
  <c r="C1132" i="2"/>
  <c r="B1132" i="2"/>
  <c r="A1132" i="2"/>
  <c r="AP1131" i="2"/>
  <c r="AO1131" i="2"/>
  <c r="W1131" i="2"/>
  <c r="U1131" i="2"/>
  <c r="M1131" i="2"/>
  <c r="N1131" i="2" s="1"/>
  <c r="AQ1131" i="2" s="1"/>
  <c r="K1131" i="2"/>
  <c r="J1131" i="2"/>
  <c r="I1131" i="2"/>
  <c r="H1131" i="2"/>
  <c r="F1131" i="2"/>
  <c r="G1131" i="2" s="1"/>
  <c r="D1131" i="2"/>
  <c r="C1131" i="2"/>
  <c r="B1131" i="2"/>
  <c r="A1131" i="2"/>
  <c r="AP1130" i="2"/>
  <c r="AO1130" i="2"/>
  <c r="AH1130" i="2"/>
  <c r="W1130" i="2"/>
  <c r="AI1130" i="2" s="1"/>
  <c r="U1130" i="2"/>
  <c r="M1130" i="2"/>
  <c r="N1130" i="2" s="1"/>
  <c r="AQ1130" i="2" s="1"/>
  <c r="K1130" i="2"/>
  <c r="J1130" i="2"/>
  <c r="I1130" i="2"/>
  <c r="H1130" i="2"/>
  <c r="F1130" i="2"/>
  <c r="D1130" i="2"/>
  <c r="C1130" i="2"/>
  <c r="B1130" i="2"/>
  <c r="A1130" i="2"/>
  <c r="AP1129" i="2"/>
  <c r="AO1129" i="2"/>
  <c r="W1129" i="2"/>
  <c r="AI1129" i="2" s="1"/>
  <c r="U1129" i="2"/>
  <c r="M1129" i="2"/>
  <c r="N1129" i="2" s="1"/>
  <c r="AQ1129" i="2" s="1"/>
  <c r="K1129" i="2"/>
  <c r="J1129" i="2"/>
  <c r="I1129" i="2"/>
  <c r="H1129" i="2"/>
  <c r="F1129" i="2"/>
  <c r="G1129" i="2" s="1"/>
  <c r="D1129" i="2"/>
  <c r="C1129" i="2"/>
  <c r="B1129" i="2"/>
  <c r="A1129" i="2"/>
  <c r="AP1128" i="2"/>
  <c r="AO1128" i="2"/>
  <c r="AH1128" i="2"/>
  <c r="W1128" i="2"/>
  <c r="AI1128" i="2" s="1"/>
  <c r="U1128" i="2"/>
  <c r="M1128" i="2"/>
  <c r="N1128" i="2" s="1"/>
  <c r="AQ1128" i="2" s="1"/>
  <c r="K1128" i="2"/>
  <c r="J1128" i="2"/>
  <c r="I1128" i="2"/>
  <c r="H1128" i="2"/>
  <c r="F1128" i="2"/>
  <c r="D1128" i="2"/>
  <c r="C1128" i="2"/>
  <c r="B1128" i="2"/>
  <c r="A1128" i="2"/>
  <c r="AP1127" i="2"/>
  <c r="AO1127" i="2"/>
  <c r="AH1127" i="2"/>
  <c r="W1127" i="2"/>
  <c r="AI1127" i="2" s="1"/>
  <c r="U1127" i="2"/>
  <c r="M1127" i="2"/>
  <c r="N1127" i="2" s="1"/>
  <c r="AQ1127" i="2" s="1"/>
  <c r="K1127" i="2"/>
  <c r="J1127" i="2"/>
  <c r="I1127" i="2"/>
  <c r="H1127" i="2"/>
  <c r="F1127" i="2"/>
  <c r="G1127" i="2" s="1"/>
  <c r="D1127" i="2"/>
  <c r="C1127" i="2"/>
  <c r="B1127" i="2"/>
  <c r="A1127" i="2"/>
  <c r="AP1126" i="2"/>
  <c r="AO1126" i="2"/>
  <c r="AH1126" i="2"/>
  <c r="W1126" i="2"/>
  <c r="AI1126" i="2" s="1"/>
  <c r="U1126" i="2"/>
  <c r="M1126" i="2"/>
  <c r="N1126" i="2" s="1"/>
  <c r="AQ1126" i="2" s="1"/>
  <c r="K1126" i="2"/>
  <c r="J1126" i="2"/>
  <c r="I1126" i="2"/>
  <c r="H1126" i="2"/>
  <c r="F1126" i="2"/>
  <c r="G1126" i="2" s="1"/>
  <c r="D1126" i="2"/>
  <c r="C1126" i="2"/>
  <c r="B1126" i="2"/>
  <c r="A1126" i="2"/>
  <c r="AP1125" i="2"/>
  <c r="AO1125" i="2"/>
  <c r="W1125" i="2"/>
  <c r="U1125" i="2"/>
  <c r="M1125" i="2"/>
  <c r="N1125" i="2" s="1"/>
  <c r="AQ1125" i="2" s="1"/>
  <c r="K1125" i="2"/>
  <c r="J1125" i="2"/>
  <c r="I1125" i="2"/>
  <c r="H1125" i="2"/>
  <c r="F1125" i="2"/>
  <c r="G1125" i="2" s="1"/>
  <c r="D1125" i="2"/>
  <c r="C1125" i="2"/>
  <c r="B1125" i="2"/>
  <c r="A1125" i="2"/>
  <c r="AP1124" i="2"/>
  <c r="AO1124" i="2"/>
  <c r="AH1124" i="2"/>
  <c r="W1124" i="2"/>
  <c r="AI1124" i="2" s="1"/>
  <c r="U1124" i="2"/>
  <c r="M1124" i="2"/>
  <c r="N1124" i="2" s="1"/>
  <c r="AQ1124" i="2" s="1"/>
  <c r="K1124" i="2"/>
  <c r="J1124" i="2"/>
  <c r="I1124" i="2"/>
  <c r="H1124" i="2"/>
  <c r="F1124" i="2"/>
  <c r="G1124" i="2" s="1"/>
  <c r="D1124" i="2"/>
  <c r="C1124" i="2"/>
  <c r="B1124" i="2"/>
  <c r="A1124" i="2"/>
  <c r="AP1123" i="2"/>
  <c r="AO1123" i="2"/>
  <c r="AH1123" i="2"/>
  <c r="W1123" i="2"/>
  <c r="AI1123" i="2" s="1"/>
  <c r="U1123" i="2"/>
  <c r="M1123" i="2"/>
  <c r="N1123" i="2" s="1"/>
  <c r="AQ1123" i="2" s="1"/>
  <c r="K1123" i="2"/>
  <c r="J1123" i="2"/>
  <c r="I1123" i="2"/>
  <c r="H1123" i="2"/>
  <c r="F1123" i="2"/>
  <c r="D1123" i="2"/>
  <c r="C1123" i="2"/>
  <c r="B1123" i="2"/>
  <c r="A1123" i="2"/>
  <c r="AP1122" i="2"/>
  <c r="AO1122" i="2"/>
  <c r="AH1122" i="2"/>
  <c r="W1122" i="2"/>
  <c r="AI1122" i="2" s="1"/>
  <c r="U1122" i="2"/>
  <c r="M1122" i="2"/>
  <c r="N1122" i="2" s="1"/>
  <c r="AQ1122" i="2" s="1"/>
  <c r="K1122" i="2"/>
  <c r="J1122" i="2"/>
  <c r="I1122" i="2"/>
  <c r="H1122" i="2"/>
  <c r="F1122" i="2"/>
  <c r="D1122" i="2"/>
  <c r="C1122" i="2"/>
  <c r="B1122" i="2"/>
  <c r="A1122" i="2"/>
  <c r="AP1121" i="2"/>
  <c r="AO1121" i="2"/>
  <c r="AH1121" i="2"/>
  <c r="W1121" i="2"/>
  <c r="AI1121" i="2" s="1"/>
  <c r="U1121" i="2"/>
  <c r="M1121" i="2"/>
  <c r="N1121" i="2" s="1"/>
  <c r="AQ1121" i="2" s="1"/>
  <c r="K1121" i="2"/>
  <c r="J1121" i="2"/>
  <c r="I1121" i="2"/>
  <c r="H1121" i="2"/>
  <c r="F1121" i="2"/>
  <c r="G1121" i="2" s="1"/>
  <c r="D1121" i="2"/>
  <c r="C1121" i="2"/>
  <c r="B1121" i="2"/>
  <c r="A1121" i="2"/>
  <c r="AP1120" i="2"/>
  <c r="AO1120" i="2"/>
  <c r="AH1120" i="2"/>
  <c r="W1120" i="2"/>
  <c r="AI1120" i="2" s="1"/>
  <c r="U1120" i="2"/>
  <c r="M1120" i="2"/>
  <c r="N1120" i="2" s="1"/>
  <c r="AQ1120" i="2" s="1"/>
  <c r="K1120" i="2"/>
  <c r="J1120" i="2"/>
  <c r="I1120" i="2"/>
  <c r="H1120" i="2"/>
  <c r="F1120" i="2"/>
  <c r="D1120" i="2"/>
  <c r="C1120" i="2"/>
  <c r="B1120" i="2"/>
  <c r="A1120" i="2"/>
  <c r="AP1119" i="2"/>
  <c r="AO1119" i="2"/>
  <c r="AH1119" i="2"/>
  <c r="W1119" i="2"/>
  <c r="AI1119" i="2" s="1"/>
  <c r="U1119" i="2"/>
  <c r="M1119" i="2"/>
  <c r="N1119" i="2" s="1"/>
  <c r="AQ1119" i="2" s="1"/>
  <c r="K1119" i="2"/>
  <c r="J1119" i="2"/>
  <c r="I1119" i="2"/>
  <c r="H1119" i="2"/>
  <c r="F1119" i="2"/>
  <c r="G1119" i="2" s="1"/>
  <c r="D1119" i="2"/>
  <c r="C1119" i="2"/>
  <c r="B1119" i="2"/>
  <c r="A1119" i="2"/>
  <c r="AP1118" i="2"/>
  <c r="AO1118" i="2"/>
  <c r="AH1118" i="2"/>
  <c r="W1118" i="2"/>
  <c r="AI1118" i="2" s="1"/>
  <c r="U1118" i="2"/>
  <c r="M1118" i="2"/>
  <c r="N1118" i="2" s="1"/>
  <c r="AQ1118" i="2" s="1"/>
  <c r="K1118" i="2"/>
  <c r="J1118" i="2"/>
  <c r="I1118" i="2"/>
  <c r="H1118" i="2"/>
  <c r="F1118" i="2"/>
  <c r="D1118" i="2"/>
  <c r="C1118" i="2"/>
  <c r="B1118" i="2"/>
  <c r="A1118" i="2"/>
  <c r="AP1117" i="2"/>
  <c r="AO1117" i="2"/>
  <c r="W1117" i="2"/>
  <c r="U1117" i="2"/>
  <c r="M1117" i="2"/>
  <c r="N1117" i="2" s="1"/>
  <c r="AQ1117" i="2" s="1"/>
  <c r="K1117" i="2"/>
  <c r="J1117" i="2"/>
  <c r="I1117" i="2"/>
  <c r="H1117" i="2"/>
  <c r="F1117" i="2"/>
  <c r="G1117" i="2" s="1"/>
  <c r="D1117" i="2"/>
  <c r="C1117" i="2"/>
  <c r="B1117" i="2"/>
  <c r="A1117" i="2"/>
  <c r="AP1116" i="2"/>
  <c r="AO1116" i="2"/>
  <c r="W1116" i="2"/>
  <c r="U1116" i="2"/>
  <c r="M1116" i="2"/>
  <c r="N1116" i="2" s="1"/>
  <c r="AQ1116" i="2" s="1"/>
  <c r="K1116" i="2"/>
  <c r="J1116" i="2"/>
  <c r="I1116" i="2"/>
  <c r="H1116" i="2"/>
  <c r="F1116" i="2"/>
  <c r="G1116" i="2" s="1"/>
  <c r="D1116" i="2"/>
  <c r="C1116" i="2"/>
  <c r="B1116" i="2"/>
  <c r="A1116" i="2"/>
  <c r="AP1115" i="2"/>
  <c r="AO1115" i="2"/>
  <c r="AH1115" i="2"/>
  <c r="W1115" i="2"/>
  <c r="AI1115" i="2" s="1"/>
  <c r="U1115" i="2"/>
  <c r="M1115" i="2"/>
  <c r="N1115" i="2" s="1"/>
  <c r="AQ1115" i="2" s="1"/>
  <c r="K1115" i="2"/>
  <c r="J1115" i="2"/>
  <c r="I1115" i="2"/>
  <c r="H1115" i="2"/>
  <c r="F1115" i="2"/>
  <c r="D1115" i="2"/>
  <c r="C1115" i="2"/>
  <c r="B1115" i="2"/>
  <c r="A1115" i="2"/>
  <c r="AP1114" i="2"/>
  <c r="AO1114" i="2"/>
  <c r="AH1114" i="2"/>
  <c r="W1114" i="2"/>
  <c r="AI1114" i="2" s="1"/>
  <c r="U1114" i="2"/>
  <c r="M1114" i="2"/>
  <c r="N1114" i="2" s="1"/>
  <c r="AQ1114" i="2" s="1"/>
  <c r="K1114" i="2"/>
  <c r="J1114" i="2"/>
  <c r="I1114" i="2"/>
  <c r="H1114" i="2"/>
  <c r="F1114" i="2"/>
  <c r="D1114" i="2"/>
  <c r="C1114" i="2"/>
  <c r="B1114" i="2"/>
  <c r="A1114" i="2"/>
  <c r="AP1113" i="2"/>
  <c r="AO1113" i="2"/>
  <c r="AH1113" i="2"/>
  <c r="W1113" i="2"/>
  <c r="AI1113" i="2" s="1"/>
  <c r="U1113" i="2"/>
  <c r="M1113" i="2"/>
  <c r="N1113" i="2" s="1"/>
  <c r="AQ1113" i="2" s="1"/>
  <c r="K1113" i="2"/>
  <c r="J1113" i="2"/>
  <c r="I1113" i="2"/>
  <c r="H1113" i="2"/>
  <c r="F1113" i="2"/>
  <c r="D1113" i="2"/>
  <c r="C1113" i="2"/>
  <c r="B1113" i="2"/>
  <c r="A1113" i="2"/>
  <c r="AP1112" i="2"/>
  <c r="AO1112" i="2"/>
  <c r="AH1112" i="2"/>
  <c r="W1112" i="2"/>
  <c r="AI1112" i="2" s="1"/>
  <c r="U1112" i="2"/>
  <c r="M1112" i="2"/>
  <c r="N1112" i="2" s="1"/>
  <c r="AQ1112" i="2" s="1"/>
  <c r="K1112" i="2"/>
  <c r="J1112" i="2"/>
  <c r="I1112" i="2"/>
  <c r="H1112" i="2"/>
  <c r="F1112" i="2"/>
  <c r="D1112" i="2"/>
  <c r="C1112" i="2"/>
  <c r="B1112" i="2"/>
  <c r="A1112" i="2"/>
  <c r="AP1111" i="2"/>
  <c r="AO1111" i="2"/>
  <c r="AH1111" i="2"/>
  <c r="W1111" i="2"/>
  <c r="AI1111" i="2" s="1"/>
  <c r="U1111" i="2"/>
  <c r="M1111" i="2"/>
  <c r="N1111" i="2" s="1"/>
  <c r="AQ1111" i="2" s="1"/>
  <c r="K1111" i="2"/>
  <c r="J1111" i="2"/>
  <c r="I1111" i="2"/>
  <c r="H1111" i="2"/>
  <c r="F1111" i="2"/>
  <c r="D1111" i="2"/>
  <c r="C1111" i="2"/>
  <c r="B1111" i="2"/>
  <c r="A1111" i="2"/>
  <c r="AP1110" i="2"/>
  <c r="AO1110" i="2"/>
  <c r="W1110" i="2"/>
  <c r="U1110" i="2"/>
  <c r="M1110" i="2"/>
  <c r="N1110" i="2" s="1"/>
  <c r="AQ1110" i="2" s="1"/>
  <c r="K1110" i="2"/>
  <c r="J1110" i="2"/>
  <c r="I1110" i="2"/>
  <c r="H1110" i="2"/>
  <c r="F1110" i="2"/>
  <c r="G1110" i="2" s="1"/>
  <c r="D1110" i="2"/>
  <c r="C1110" i="2"/>
  <c r="B1110" i="2"/>
  <c r="A1110" i="2"/>
  <c r="AP1109" i="2"/>
  <c r="AO1109" i="2"/>
  <c r="W1109" i="2"/>
  <c r="U1109" i="2"/>
  <c r="M1109" i="2"/>
  <c r="N1109" i="2" s="1"/>
  <c r="AQ1109" i="2" s="1"/>
  <c r="K1109" i="2"/>
  <c r="J1109" i="2"/>
  <c r="I1109" i="2"/>
  <c r="H1109" i="2"/>
  <c r="F1109" i="2"/>
  <c r="G1109" i="2" s="1"/>
  <c r="D1109" i="2"/>
  <c r="C1109" i="2"/>
  <c r="B1109" i="2"/>
  <c r="A1109" i="2"/>
  <c r="AP1108" i="2"/>
  <c r="AO1108" i="2"/>
  <c r="W1108" i="2"/>
  <c r="U1108" i="2"/>
  <c r="M1108" i="2"/>
  <c r="N1108" i="2" s="1"/>
  <c r="AQ1108" i="2" s="1"/>
  <c r="K1108" i="2"/>
  <c r="J1108" i="2"/>
  <c r="I1108" i="2"/>
  <c r="H1108" i="2"/>
  <c r="F1108" i="2"/>
  <c r="G1108" i="2" s="1"/>
  <c r="D1108" i="2"/>
  <c r="C1108" i="2"/>
  <c r="B1108" i="2"/>
  <c r="A1108" i="2"/>
  <c r="AP1107" i="2"/>
  <c r="AO1107" i="2"/>
  <c r="W1107" i="2"/>
  <c r="U1107" i="2"/>
  <c r="M1107" i="2"/>
  <c r="N1107" i="2" s="1"/>
  <c r="AQ1107" i="2" s="1"/>
  <c r="K1107" i="2"/>
  <c r="J1107" i="2"/>
  <c r="I1107" i="2"/>
  <c r="H1107" i="2"/>
  <c r="F1107" i="2"/>
  <c r="G1107" i="2" s="1"/>
  <c r="D1107" i="2"/>
  <c r="C1107" i="2"/>
  <c r="B1107" i="2"/>
  <c r="A1107" i="2"/>
  <c r="AP1106" i="2"/>
  <c r="AO1106" i="2"/>
  <c r="AH1106" i="2"/>
  <c r="W1106" i="2"/>
  <c r="AI1106" i="2" s="1"/>
  <c r="U1106" i="2"/>
  <c r="M1106" i="2"/>
  <c r="N1106" i="2" s="1"/>
  <c r="AQ1106" i="2" s="1"/>
  <c r="K1106" i="2"/>
  <c r="J1106" i="2"/>
  <c r="I1106" i="2"/>
  <c r="H1106" i="2"/>
  <c r="F1106" i="2"/>
  <c r="D1106" i="2"/>
  <c r="C1106" i="2"/>
  <c r="B1106" i="2"/>
  <c r="A1106" i="2"/>
  <c r="AP1105" i="2"/>
  <c r="AO1105" i="2"/>
  <c r="W1105" i="2"/>
  <c r="AH1105" i="2" s="1"/>
  <c r="U1105" i="2"/>
  <c r="M1105" i="2"/>
  <c r="N1105" i="2" s="1"/>
  <c r="AQ1105" i="2" s="1"/>
  <c r="K1105" i="2"/>
  <c r="J1105" i="2"/>
  <c r="I1105" i="2"/>
  <c r="H1105" i="2"/>
  <c r="F1105" i="2"/>
  <c r="G1105" i="2" s="1"/>
  <c r="D1105" i="2"/>
  <c r="C1105" i="2"/>
  <c r="B1105" i="2"/>
  <c r="A1105" i="2"/>
  <c r="AP1104" i="2"/>
  <c r="AO1104" i="2"/>
  <c r="W1104" i="2"/>
  <c r="U1104" i="2"/>
  <c r="M1104" i="2"/>
  <c r="N1104" i="2" s="1"/>
  <c r="AQ1104" i="2" s="1"/>
  <c r="K1104" i="2"/>
  <c r="J1104" i="2"/>
  <c r="I1104" i="2"/>
  <c r="H1104" i="2"/>
  <c r="F1104" i="2"/>
  <c r="G1104" i="2" s="1"/>
  <c r="D1104" i="2"/>
  <c r="C1104" i="2"/>
  <c r="B1104" i="2"/>
  <c r="A1104" i="2"/>
  <c r="AP1103" i="2"/>
  <c r="AO1103" i="2"/>
  <c r="W1103" i="2"/>
  <c r="U1103" i="2"/>
  <c r="M1103" i="2"/>
  <c r="N1103" i="2" s="1"/>
  <c r="AQ1103" i="2" s="1"/>
  <c r="K1103" i="2"/>
  <c r="J1103" i="2"/>
  <c r="I1103" i="2"/>
  <c r="H1103" i="2"/>
  <c r="F1103" i="2"/>
  <c r="G1103" i="2" s="1"/>
  <c r="D1103" i="2"/>
  <c r="C1103" i="2"/>
  <c r="B1103" i="2"/>
  <c r="A1103" i="2"/>
  <c r="AP1102" i="2"/>
  <c r="AO1102" i="2"/>
  <c r="W1102" i="2"/>
  <c r="AH1102" i="2" s="1"/>
  <c r="U1102" i="2"/>
  <c r="M1102" i="2"/>
  <c r="N1102" i="2" s="1"/>
  <c r="AQ1102" i="2" s="1"/>
  <c r="K1102" i="2"/>
  <c r="J1102" i="2"/>
  <c r="I1102" i="2"/>
  <c r="H1102" i="2"/>
  <c r="F1102" i="2"/>
  <c r="G1102" i="2" s="1"/>
  <c r="D1102" i="2"/>
  <c r="C1102" i="2"/>
  <c r="B1102" i="2"/>
  <c r="A1102" i="2"/>
  <c r="AP1101" i="2"/>
  <c r="AO1101" i="2"/>
  <c r="AH1101" i="2"/>
  <c r="W1101" i="2"/>
  <c r="AI1101" i="2" s="1"/>
  <c r="U1101" i="2"/>
  <c r="M1101" i="2"/>
  <c r="N1101" i="2" s="1"/>
  <c r="AQ1101" i="2" s="1"/>
  <c r="K1101" i="2"/>
  <c r="J1101" i="2"/>
  <c r="I1101" i="2"/>
  <c r="H1101" i="2"/>
  <c r="F1101" i="2"/>
  <c r="D1101" i="2"/>
  <c r="C1101" i="2"/>
  <c r="B1101" i="2"/>
  <c r="A1101" i="2"/>
  <c r="AP1100" i="2"/>
  <c r="AO1100" i="2"/>
  <c r="AH1100" i="2"/>
  <c r="W1100" i="2"/>
  <c r="AI1100" i="2" s="1"/>
  <c r="U1100" i="2"/>
  <c r="M1100" i="2"/>
  <c r="N1100" i="2" s="1"/>
  <c r="AQ1100" i="2" s="1"/>
  <c r="K1100" i="2"/>
  <c r="J1100" i="2"/>
  <c r="I1100" i="2"/>
  <c r="H1100" i="2"/>
  <c r="F1100" i="2"/>
  <c r="D1100" i="2"/>
  <c r="C1100" i="2"/>
  <c r="B1100" i="2"/>
  <c r="A1100" i="2"/>
  <c r="AP1099" i="2"/>
  <c r="AO1099" i="2"/>
  <c r="AH1099" i="2"/>
  <c r="W1099" i="2"/>
  <c r="AI1099" i="2" s="1"/>
  <c r="U1099" i="2"/>
  <c r="M1099" i="2"/>
  <c r="N1099" i="2" s="1"/>
  <c r="AQ1099" i="2" s="1"/>
  <c r="K1099" i="2"/>
  <c r="J1099" i="2"/>
  <c r="I1099" i="2"/>
  <c r="H1099" i="2"/>
  <c r="F1099" i="2"/>
  <c r="D1099" i="2"/>
  <c r="C1099" i="2"/>
  <c r="B1099" i="2"/>
  <c r="A1099" i="2"/>
  <c r="AP1098" i="2"/>
  <c r="AO1098" i="2"/>
  <c r="W1098" i="2"/>
  <c r="U1098" i="2"/>
  <c r="M1098" i="2"/>
  <c r="N1098" i="2" s="1"/>
  <c r="AQ1098" i="2" s="1"/>
  <c r="K1098" i="2"/>
  <c r="J1098" i="2"/>
  <c r="I1098" i="2"/>
  <c r="H1098" i="2"/>
  <c r="F1098" i="2"/>
  <c r="G1098" i="2" s="1"/>
  <c r="D1098" i="2"/>
  <c r="C1098" i="2"/>
  <c r="B1098" i="2"/>
  <c r="A1098" i="2"/>
  <c r="AP1097" i="2"/>
  <c r="AO1097" i="2"/>
  <c r="W1097" i="2"/>
  <c r="AI1097" i="2" s="1"/>
  <c r="U1097" i="2"/>
  <c r="M1097" i="2"/>
  <c r="N1097" i="2" s="1"/>
  <c r="AQ1097" i="2" s="1"/>
  <c r="K1097" i="2"/>
  <c r="J1097" i="2"/>
  <c r="I1097" i="2"/>
  <c r="H1097" i="2"/>
  <c r="F1097" i="2"/>
  <c r="G1097" i="2" s="1"/>
  <c r="D1097" i="2"/>
  <c r="C1097" i="2"/>
  <c r="B1097" i="2"/>
  <c r="A1097" i="2"/>
  <c r="AP1096" i="2"/>
  <c r="AO1096" i="2"/>
  <c r="W1096" i="2"/>
  <c r="AH1096" i="2" s="1"/>
  <c r="U1096" i="2"/>
  <c r="M1096" i="2"/>
  <c r="N1096" i="2" s="1"/>
  <c r="AQ1096" i="2" s="1"/>
  <c r="K1096" i="2"/>
  <c r="J1096" i="2"/>
  <c r="I1096" i="2"/>
  <c r="H1096" i="2"/>
  <c r="F1096" i="2"/>
  <c r="G1096" i="2" s="1"/>
  <c r="D1096" i="2"/>
  <c r="C1096" i="2"/>
  <c r="B1096" i="2"/>
  <c r="A1096" i="2"/>
  <c r="AP1095" i="2"/>
  <c r="AO1095" i="2"/>
  <c r="W1095" i="2"/>
  <c r="AI1095" i="2" s="1"/>
  <c r="U1095" i="2"/>
  <c r="M1095" i="2"/>
  <c r="N1095" i="2" s="1"/>
  <c r="AQ1095" i="2" s="1"/>
  <c r="K1095" i="2"/>
  <c r="J1095" i="2"/>
  <c r="I1095" i="2"/>
  <c r="H1095" i="2"/>
  <c r="F1095" i="2"/>
  <c r="G1095" i="2" s="1"/>
  <c r="D1095" i="2"/>
  <c r="C1095" i="2"/>
  <c r="B1095" i="2"/>
  <c r="A1095" i="2"/>
  <c r="AP1094" i="2"/>
  <c r="AO1094" i="2"/>
  <c r="AH1094" i="2"/>
  <c r="W1094" i="2"/>
  <c r="AI1094" i="2" s="1"/>
  <c r="U1094" i="2"/>
  <c r="M1094" i="2"/>
  <c r="N1094" i="2" s="1"/>
  <c r="AQ1094" i="2" s="1"/>
  <c r="K1094" i="2"/>
  <c r="J1094" i="2"/>
  <c r="I1094" i="2"/>
  <c r="H1094" i="2"/>
  <c r="F1094" i="2"/>
  <c r="D1094" i="2"/>
  <c r="C1094" i="2"/>
  <c r="B1094" i="2"/>
  <c r="A1094" i="2"/>
  <c r="AP1093" i="2"/>
  <c r="AO1093" i="2"/>
  <c r="AH1093" i="2"/>
  <c r="W1093" i="2"/>
  <c r="AI1093" i="2" s="1"/>
  <c r="U1093" i="2"/>
  <c r="M1093" i="2"/>
  <c r="N1093" i="2" s="1"/>
  <c r="AQ1093" i="2" s="1"/>
  <c r="K1093" i="2"/>
  <c r="J1093" i="2"/>
  <c r="I1093" i="2"/>
  <c r="H1093" i="2"/>
  <c r="F1093" i="2"/>
  <c r="D1093" i="2"/>
  <c r="C1093" i="2"/>
  <c r="B1093" i="2"/>
  <c r="A1093" i="2"/>
  <c r="AP1092" i="2"/>
  <c r="AO1092" i="2"/>
  <c r="W1092" i="2"/>
  <c r="U1092" i="2"/>
  <c r="M1092" i="2"/>
  <c r="N1092" i="2" s="1"/>
  <c r="AQ1092" i="2" s="1"/>
  <c r="K1092" i="2"/>
  <c r="J1092" i="2"/>
  <c r="I1092" i="2"/>
  <c r="H1092" i="2"/>
  <c r="F1092" i="2"/>
  <c r="G1092" i="2" s="1"/>
  <c r="D1092" i="2"/>
  <c r="C1092" i="2"/>
  <c r="B1092" i="2"/>
  <c r="A1092" i="2"/>
  <c r="AP1091" i="2"/>
  <c r="AO1091" i="2"/>
  <c r="W1091" i="2"/>
  <c r="U1091" i="2"/>
  <c r="M1091" i="2"/>
  <c r="N1091" i="2" s="1"/>
  <c r="AQ1091" i="2" s="1"/>
  <c r="K1091" i="2"/>
  <c r="J1091" i="2"/>
  <c r="I1091" i="2"/>
  <c r="H1091" i="2"/>
  <c r="F1091" i="2"/>
  <c r="G1091" i="2" s="1"/>
  <c r="D1091" i="2"/>
  <c r="C1091" i="2"/>
  <c r="B1091" i="2"/>
  <c r="A1091" i="2"/>
  <c r="AP1090" i="2"/>
  <c r="AO1090" i="2"/>
  <c r="W1090" i="2"/>
  <c r="U1090" i="2"/>
  <c r="M1090" i="2"/>
  <c r="N1090" i="2" s="1"/>
  <c r="AQ1090" i="2" s="1"/>
  <c r="K1090" i="2"/>
  <c r="J1090" i="2"/>
  <c r="I1090" i="2"/>
  <c r="H1090" i="2"/>
  <c r="F1090" i="2"/>
  <c r="G1090" i="2" s="1"/>
  <c r="D1090" i="2"/>
  <c r="C1090" i="2"/>
  <c r="B1090" i="2"/>
  <c r="A1090" i="2"/>
  <c r="AP1089" i="2"/>
  <c r="AO1089" i="2"/>
  <c r="W1089" i="2"/>
  <c r="U1089" i="2"/>
  <c r="M1089" i="2"/>
  <c r="N1089" i="2" s="1"/>
  <c r="AQ1089" i="2" s="1"/>
  <c r="K1089" i="2"/>
  <c r="J1089" i="2"/>
  <c r="I1089" i="2"/>
  <c r="H1089" i="2"/>
  <c r="F1089" i="2"/>
  <c r="G1089" i="2" s="1"/>
  <c r="D1089" i="2"/>
  <c r="C1089" i="2"/>
  <c r="B1089" i="2"/>
  <c r="A1089" i="2"/>
  <c r="AP1088" i="2"/>
  <c r="AO1088" i="2"/>
  <c r="W1088" i="2"/>
  <c r="U1088" i="2"/>
  <c r="M1088" i="2"/>
  <c r="N1088" i="2" s="1"/>
  <c r="AQ1088" i="2" s="1"/>
  <c r="K1088" i="2"/>
  <c r="J1088" i="2"/>
  <c r="I1088" i="2"/>
  <c r="H1088" i="2"/>
  <c r="F1088" i="2"/>
  <c r="G1088" i="2" s="1"/>
  <c r="D1088" i="2"/>
  <c r="C1088" i="2"/>
  <c r="B1088" i="2"/>
  <c r="A1088" i="2"/>
  <c r="AP1087" i="2"/>
  <c r="AO1087" i="2"/>
  <c r="W1087" i="2"/>
  <c r="U1087" i="2"/>
  <c r="M1087" i="2"/>
  <c r="N1087" i="2" s="1"/>
  <c r="AQ1087" i="2" s="1"/>
  <c r="K1087" i="2"/>
  <c r="J1087" i="2"/>
  <c r="I1087" i="2"/>
  <c r="H1087" i="2"/>
  <c r="F1087" i="2"/>
  <c r="G1087" i="2" s="1"/>
  <c r="D1087" i="2"/>
  <c r="C1087" i="2"/>
  <c r="B1087" i="2"/>
  <c r="A1087" i="2"/>
  <c r="AP1086" i="2"/>
  <c r="AO1086" i="2"/>
  <c r="AH1086" i="2"/>
  <c r="W1086" i="2"/>
  <c r="AI1086" i="2" s="1"/>
  <c r="U1086" i="2"/>
  <c r="M1086" i="2"/>
  <c r="N1086" i="2" s="1"/>
  <c r="AQ1086" i="2" s="1"/>
  <c r="K1086" i="2"/>
  <c r="J1086" i="2"/>
  <c r="I1086" i="2"/>
  <c r="H1086" i="2"/>
  <c r="F1086" i="2"/>
  <c r="D1086" i="2"/>
  <c r="C1086" i="2"/>
  <c r="B1086" i="2"/>
  <c r="A1086" i="2"/>
  <c r="AP1085" i="2"/>
  <c r="AO1085" i="2"/>
  <c r="AH1085" i="2"/>
  <c r="W1085" i="2"/>
  <c r="AI1085" i="2" s="1"/>
  <c r="U1085" i="2"/>
  <c r="M1085" i="2"/>
  <c r="N1085" i="2" s="1"/>
  <c r="AQ1085" i="2" s="1"/>
  <c r="K1085" i="2"/>
  <c r="J1085" i="2"/>
  <c r="I1085" i="2"/>
  <c r="H1085" i="2"/>
  <c r="F1085" i="2"/>
  <c r="D1085" i="2"/>
  <c r="C1085" i="2"/>
  <c r="B1085" i="2"/>
  <c r="A1085" i="2"/>
  <c r="AP1084" i="2"/>
  <c r="AO1084" i="2"/>
  <c r="AH1084" i="2"/>
  <c r="W1084" i="2"/>
  <c r="AI1084" i="2" s="1"/>
  <c r="U1084" i="2"/>
  <c r="M1084" i="2"/>
  <c r="N1084" i="2" s="1"/>
  <c r="AQ1084" i="2" s="1"/>
  <c r="K1084" i="2"/>
  <c r="J1084" i="2"/>
  <c r="I1084" i="2"/>
  <c r="H1084" i="2"/>
  <c r="F1084" i="2"/>
  <c r="D1084" i="2"/>
  <c r="C1084" i="2"/>
  <c r="B1084" i="2"/>
  <c r="A1084" i="2"/>
  <c r="AP1083" i="2"/>
  <c r="AO1083" i="2"/>
  <c r="AH1083" i="2"/>
  <c r="W1083" i="2"/>
  <c r="AI1083" i="2" s="1"/>
  <c r="U1083" i="2"/>
  <c r="M1083" i="2"/>
  <c r="N1083" i="2" s="1"/>
  <c r="AQ1083" i="2" s="1"/>
  <c r="K1083" i="2"/>
  <c r="J1083" i="2"/>
  <c r="I1083" i="2"/>
  <c r="H1083" i="2"/>
  <c r="F1083" i="2"/>
  <c r="D1083" i="2"/>
  <c r="C1083" i="2"/>
  <c r="B1083" i="2"/>
  <c r="A1083" i="2"/>
  <c r="AP1082" i="2"/>
  <c r="AO1082" i="2"/>
  <c r="AH1082" i="2"/>
  <c r="W1082" i="2"/>
  <c r="AI1082" i="2" s="1"/>
  <c r="U1082" i="2"/>
  <c r="M1082" i="2"/>
  <c r="N1082" i="2" s="1"/>
  <c r="AQ1082" i="2" s="1"/>
  <c r="K1082" i="2"/>
  <c r="J1082" i="2"/>
  <c r="I1082" i="2"/>
  <c r="H1082" i="2"/>
  <c r="F1082" i="2"/>
  <c r="G1082" i="2" s="1"/>
  <c r="D1082" i="2"/>
  <c r="C1082" i="2"/>
  <c r="B1082" i="2"/>
  <c r="A1082" i="2"/>
  <c r="AP1081" i="2"/>
  <c r="AO1081" i="2"/>
  <c r="AH1081" i="2"/>
  <c r="W1081" i="2"/>
  <c r="AI1081" i="2" s="1"/>
  <c r="U1081" i="2"/>
  <c r="M1081" i="2"/>
  <c r="N1081" i="2" s="1"/>
  <c r="AQ1081" i="2" s="1"/>
  <c r="K1081" i="2"/>
  <c r="J1081" i="2"/>
  <c r="I1081" i="2"/>
  <c r="H1081" i="2"/>
  <c r="F1081" i="2"/>
  <c r="D1081" i="2"/>
  <c r="C1081" i="2"/>
  <c r="B1081" i="2"/>
  <c r="A1081" i="2"/>
  <c r="AP1080" i="2"/>
  <c r="AO1080" i="2"/>
  <c r="AH1080" i="2"/>
  <c r="W1080" i="2"/>
  <c r="AI1080" i="2" s="1"/>
  <c r="U1080" i="2"/>
  <c r="M1080" i="2"/>
  <c r="N1080" i="2" s="1"/>
  <c r="AQ1080" i="2" s="1"/>
  <c r="K1080" i="2"/>
  <c r="J1080" i="2"/>
  <c r="I1080" i="2"/>
  <c r="H1080" i="2"/>
  <c r="F1080" i="2"/>
  <c r="D1080" i="2"/>
  <c r="C1080" i="2"/>
  <c r="B1080" i="2"/>
  <c r="A1080" i="2"/>
  <c r="AP1079" i="2"/>
  <c r="AO1079" i="2"/>
  <c r="W1079" i="2"/>
  <c r="AI1079" i="2" s="1"/>
  <c r="U1079" i="2"/>
  <c r="M1079" i="2"/>
  <c r="N1079" i="2" s="1"/>
  <c r="AQ1079" i="2" s="1"/>
  <c r="K1079" i="2"/>
  <c r="J1079" i="2"/>
  <c r="I1079" i="2"/>
  <c r="H1079" i="2"/>
  <c r="F1079" i="2"/>
  <c r="G1079" i="2" s="1"/>
  <c r="D1079" i="2"/>
  <c r="C1079" i="2"/>
  <c r="B1079" i="2"/>
  <c r="A1079" i="2"/>
  <c r="AP1078" i="2"/>
  <c r="AO1078" i="2"/>
  <c r="AH1078" i="2"/>
  <c r="W1078" i="2"/>
  <c r="AI1078" i="2" s="1"/>
  <c r="U1078" i="2"/>
  <c r="M1078" i="2"/>
  <c r="N1078" i="2" s="1"/>
  <c r="AQ1078" i="2" s="1"/>
  <c r="K1078" i="2"/>
  <c r="J1078" i="2"/>
  <c r="I1078" i="2"/>
  <c r="H1078" i="2"/>
  <c r="F1078" i="2"/>
  <c r="G1078" i="2" s="1"/>
  <c r="D1078" i="2"/>
  <c r="C1078" i="2"/>
  <c r="B1078" i="2"/>
  <c r="A1078" i="2"/>
  <c r="AP1077" i="2"/>
  <c r="AO1077" i="2"/>
  <c r="AH1077" i="2"/>
  <c r="W1077" i="2"/>
  <c r="AI1077" i="2" s="1"/>
  <c r="U1077" i="2"/>
  <c r="M1077" i="2"/>
  <c r="N1077" i="2" s="1"/>
  <c r="AQ1077" i="2" s="1"/>
  <c r="K1077" i="2"/>
  <c r="J1077" i="2"/>
  <c r="I1077" i="2"/>
  <c r="H1077" i="2"/>
  <c r="F1077" i="2"/>
  <c r="G1077" i="2" s="1"/>
  <c r="D1077" i="2"/>
  <c r="C1077" i="2"/>
  <c r="B1077" i="2"/>
  <c r="A1077" i="2"/>
  <c r="AP1076" i="2"/>
  <c r="AO1076" i="2"/>
  <c r="W1076" i="2"/>
  <c r="AH1076" i="2" s="1"/>
  <c r="U1076" i="2"/>
  <c r="M1076" i="2"/>
  <c r="N1076" i="2" s="1"/>
  <c r="AQ1076" i="2" s="1"/>
  <c r="K1076" i="2"/>
  <c r="J1076" i="2"/>
  <c r="I1076" i="2"/>
  <c r="H1076" i="2"/>
  <c r="F1076" i="2"/>
  <c r="G1076" i="2" s="1"/>
  <c r="D1076" i="2"/>
  <c r="C1076" i="2"/>
  <c r="B1076" i="2"/>
  <c r="A1076" i="2"/>
  <c r="AP1075" i="2"/>
  <c r="AO1075" i="2"/>
  <c r="W1075" i="2"/>
  <c r="U1075" i="2"/>
  <c r="M1075" i="2"/>
  <c r="N1075" i="2" s="1"/>
  <c r="AQ1075" i="2" s="1"/>
  <c r="K1075" i="2"/>
  <c r="J1075" i="2"/>
  <c r="I1075" i="2"/>
  <c r="H1075" i="2"/>
  <c r="F1075" i="2"/>
  <c r="G1075" i="2" s="1"/>
  <c r="D1075" i="2"/>
  <c r="C1075" i="2"/>
  <c r="B1075" i="2"/>
  <c r="A1075" i="2"/>
  <c r="AP1074" i="2"/>
  <c r="AO1074" i="2"/>
  <c r="AH1074" i="2"/>
  <c r="W1074" i="2"/>
  <c r="AI1074" i="2" s="1"/>
  <c r="U1074" i="2"/>
  <c r="M1074" i="2"/>
  <c r="N1074" i="2" s="1"/>
  <c r="AQ1074" i="2" s="1"/>
  <c r="K1074" i="2"/>
  <c r="J1074" i="2"/>
  <c r="I1074" i="2"/>
  <c r="H1074" i="2"/>
  <c r="F1074" i="2"/>
  <c r="G1074" i="2" s="1"/>
  <c r="D1074" i="2"/>
  <c r="C1074" i="2"/>
  <c r="B1074" i="2"/>
  <c r="A1074" i="2"/>
  <c r="AP1073" i="2"/>
  <c r="AO1073" i="2"/>
  <c r="AH1073" i="2"/>
  <c r="W1073" i="2"/>
  <c r="AI1073" i="2" s="1"/>
  <c r="U1073" i="2"/>
  <c r="N1073" i="2"/>
  <c r="AQ1073" i="2" s="1"/>
  <c r="M1073" i="2"/>
  <c r="K1073" i="2"/>
  <c r="J1073" i="2"/>
  <c r="I1073" i="2"/>
  <c r="H1073" i="2"/>
  <c r="F1073" i="2"/>
  <c r="D1073" i="2"/>
  <c r="C1073" i="2"/>
  <c r="B1073" i="2"/>
  <c r="A1073" i="2"/>
  <c r="AP1072" i="2"/>
  <c r="AO1072" i="2"/>
  <c r="AH1072" i="2"/>
  <c r="W1072" i="2"/>
  <c r="AI1072" i="2" s="1"/>
  <c r="U1072" i="2"/>
  <c r="M1072" i="2"/>
  <c r="N1072" i="2" s="1"/>
  <c r="AQ1072" i="2" s="1"/>
  <c r="K1072" i="2"/>
  <c r="J1072" i="2"/>
  <c r="I1072" i="2"/>
  <c r="H1072" i="2"/>
  <c r="F1072" i="2"/>
  <c r="D1072" i="2"/>
  <c r="C1072" i="2"/>
  <c r="B1072" i="2"/>
  <c r="A1072" i="2"/>
  <c r="AP1071" i="2"/>
  <c r="AO1071" i="2"/>
  <c r="AI1071" i="2"/>
  <c r="W1071" i="2"/>
  <c r="AH1071" i="2" s="1"/>
  <c r="U1071" i="2"/>
  <c r="M1071" i="2"/>
  <c r="N1071" i="2" s="1"/>
  <c r="AQ1071" i="2" s="1"/>
  <c r="K1071" i="2"/>
  <c r="J1071" i="2"/>
  <c r="I1071" i="2"/>
  <c r="H1071" i="2"/>
  <c r="F1071" i="2"/>
  <c r="G1071" i="2" s="1"/>
  <c r="D1071" i="2"/>
  <c r="C1071" i="2"/>
  <c r="B1071" i="2"/>
  <c r="A1071" i="2"/>
  <c r="AP1070" i="2"/>
  <c r="AO1070" i="2"/>
  <c r="W1070" i="2"/>
  <c r="U1070" i="2"/>
  <c r="M1070" i="2"/>
  <c r="N1070" i="2" s="1"/>
  <c r="AQ1070" i="2" s="1"/>
  <c r="K1070" i="2"/>
  <c r="J1070" i="2"/>
  <c r="I1070" i="2"/>
  <c r="H1070" i="2"/>
  <c r="F1070" i="2"/>
  <c r="G1070" i="2" s="1"/>
  <c r="D1070" i="2"/>
  <c r="C1070" i="2"/>
  <c r="B1070" i="2"/>
  <c r="A1070" i="2"/>
  <c r="AP1069" i="2"/>
  <c r="AO1069" i="2"/>
  <c r="W1069" i="2"/>
  <c r="U1069" i="2"/>
  <c r="M1069" i="2"/>
  <c r="N1069" i="2" s="1"/>
  <c r="AQ1069" i="2" s="1"/>
  <c r="K1069" i="2"/>
  <c r="J1069" i="2"/>
  <c r="I1069" i="2"/>
  <c r="H1069" i="2"/>
  <c r="F1069" i="2"/>
  <c r="G1069" i="2" s="1"/>
  <c r="D1069" i="2"/>
  <c r="C1069" i="2"/>
  <c r="B1069" i="2"/>
  <c r="A1069" i="2"/>
  <c r="AP1068" i="2"/>
  <c r="AO1068" i="2"/>
  <c r="W1068" i="2"/>
  <c r="U1068" i="2"/>
  <c r="M1068" i="2"/>
  <c r="N1068" i="2" s="1"/>
  <c r="AQ1068" i="2" s="1"/>
  <c r="K1068" i="2"/>
  <c r="J1068" i="2"/>
  <c r="I1068" i="2"/>
  <c r="H1068" i="2"/>
  <c r="F1068" i="2"/>
  <c r="G1068" i="2" s="1"/>
  <c r="D1068" i="2"/>
  <c r="C1068" i="2"/>
  <c r="B1068" i="2"/>
  <c r="A1068" i="2"/>
  <c r="AP1067" i="2"/>
  <c r="AO1067" i="2"/>
  <c r="W1067" i="2"/>
  <c r="AI1067" i="2" s="1"/>
  <c r="U1067" i="2"/>
  <c r="M1067" i="2"/>
  <c r="N1067" i="2" s="1"/>
  <c r="AQ1067" i="2" s="1"/>
  <c r="K1067" i="2"/>
  <c r="J1067" i="2"/>
  <c r="I1067" i="2"/>
  <c r="H1067" i="2"/>
  <c r="F1067" i="2"/>
  <c r="G1067" i="2" s="1"/>
  <c r="D1067" i="2"/>
  <c r="C1067" i="2"/>
  <c r="B1067" i="2"/>
  <c r="A1067" i="2"/>
  <c r="AP1066" i="2"/>
  <c r="AO1066" i="2"/>
  <c r="W1066" i="2"/>
  <c r="AI1066" i="2" s="1"/>
  <c r="U1066" i="2"/>
  <c r="M1066" i="2"/>
  <c r="N1066" i="2" s="1"/>
  <c r="AQ1066" i="2" s="1"/>
  <c r="K1066" i="2"/>
  <c r="J1066" i="2"/>
  <c r="I1066" i="2"/>
  <c r="H1066" i="2"/>
  <c r="F1066" i="2"/>
  <c r="G1066" i="2" s="1"/>
  <c r="D1066" i="2"/>
  <c r="C1066" i="2"/>
  <c r="B1066" i="2"/>
  <c r="A1066" i="2"/>
  <c r="AP1065" i="2"/>
  <c r="AO1065" i="2"/>
  <c r="AH1065" i="2"/>
  <c r="W1065" i="2"/>
  <c r="AI1065" i="2" s="1"/>
  <c r="U1065" i="2"/>
  <c r="M1065" i="2"/>
  <c r="N1065" i="2" s="1"/>
  <c r="AQ1065" i="2" s="1"/>
  <c r="K1065" i="2"/>
  <c r="J1065" i="2"/>
  <c r="I1065" i="2"/>
  <c r="H1065" i="2"/>
  <c r="F1065" i="2"/>
  <c r="D1065" i="2"/>
  <c r="C1065" i="2"/>
  <c r="B1065" i="2"/>
  <c r="A1065" i="2"/>
  <c r="AP1064" i="2"/>
  <c r="AO1064" i="2"/>
  <c r="AH1064" i="2"/>
  <c r="W1064" i="2"/>
  <c r="AI1064" i="2" s="1"/>
  <c r="U1064" i="2"/>
  <c r="M1064" i="2"/>
  <c r="N1064" i="2" s="1"/>
  <c r="AQ1064" i="2" s="1"/>
  <c r="K1064" i="2"/>
  <c r="J1064" i="2"/>
  <c r="I1064" i="2"/>
  <c r="H1064" i="2"/>
  <c r="F1064" i="2"/>
  <c r="D1064" i="2"/>
  <c r="C1064" i="2"/>
  <c r="B1064" i="2"/>
  <c r="A1064" i="2"/>
  <c r="AP1063" i="2"/>
  <c r="AO1063" i="2"/>
  <c r="W1063" i="2"/>
  <c r="AI1063" i="2" s="1"/>
  <c r="U1063" i="2"/>
  <c r="M1063" i="2"/>
  <c r="N1063" i="2" s="1"/>
  <c r="AQ1063" i="2" s="1"/>
  <c r="K1063" i="2"/>
  <c r="J1063" i="2"/>
  <c r="I1063" i="2"/>
  <c r="H1063" i="2"/>
  <c r="F1063" i="2"/>
  <c r="G1063" i="2" s="1"/>
  <c r="D1063" i="2"/>
  <c r="C1063" i="2"/>
  <c r="B1063" i="2"/>
  <c r="A1063" i="2"/>
  <c r="AP1062" i="2"/>
  <c r="AO1062" i="2"/>
  <c r="W1062" i="2"/>
  <c r="U1062" i="2"/>
  <c r="M1062" i="2"/>
  <c r="N1062" i="2" s="1"/>
  <c r="AQ1062" i="2" s="1"/>
  <c r="K1062" i="2"/>
  <c r="J1062" i="2"/>
  <c r="I1062" i="2"/>
  <c r="H1062" i="2"/>
  <c r="F1062" i="2"/>
  <c r="G1062" i="2" s="1"/>
  <c r="D1062" i="2"/>
  <c r="C1062" i="2"/>
  <c r="B1062" i="2"/>
  <c r="A1062" i="2"/>
  <c r="AP1061" i="2"/>
  <c r="AO1061" i="2"/>
  <c r="AH1061" i="2"/>
  <c r="W1061" i="2"/>
  <c r="AI1061" i="2" s="1"/>
  <c r="U1061" i="2"/>
  <c r="M1061" i="2"/>
  <c r="N1061" i="2" s="1"/>
  <c r="AQ1061" i="2" s="1"/>
  <c r="K1061" i="2"/>
  <c r="J1061" i="2"/>
  <c r="I1061" i="2"/>
  <c r="H1061" i="2"/>
  <c r="F1061" i="2"/>
  <c r="D1061" i="2"/>
  <c r="C1061" i="2"/>
  <c r="B1061" i="2"/>
  <c r="A1061" i="2"/>
  <c r="AP1060" i="2"/>
  <c r="AO1060" i="2"/>
  <c r="W1060" i="2"/>
  <c r="U1060" i="2"/>
  <c r="M1060" i="2"/>
  <c r="N1060" i="2" s="1"/>
  <c r="AQ1060" i="2" s="1"/>
  <c r="K1060" i="2"/>
  <c r="J1060" i="2"/>
  <c r="I1060" i="2"/>
  <c r="H1060" i="2"/>
  <c r="F1060" i="2"/>
  <c r="G1060" i="2" s="1"/>
  <c r="D1060" i="2"/>
  <c r="C1060" i="2"/>
  <c r="B1060" i="2"/>
  <c r="A1060" i="2"/>
  <c r="AP1059" i="2"/>
  <c r="AO1059" i="2"/>
  <c r="AH1059" i="2"/>
  <c r="W1059" i="2"/>
  <c r="AI1059" i="2" s="1"/>
  <c r="U1059" i="2"/>
  <c r="M1059" i="2"/>
  <c r="N1059" i="2" s="1"/>
  <c r="AQ1059" i="2" s="1"/>
  <c r="K1059" i="2"/>
  <c r="J1059" i="2"/>
  <c r="I1059" i="2"/>
  <c r="H1059" i="2"/>
  <c r="F1059" i="2"/>
  <c r="G1059" i="2" s="1"/>
  <c r="D1059" i="2"/>
  <c r="C1059" i="2"/>
  <c r="B1059" i="2"/>
  <c r="A1059" i="2"/>
  <c r="AP1058" i="2"/>
  <c r="AO1058" i="2"/>
  <c r="AH1058" i="2"/>
  <c r="W1058" i="2"/>
  <c r="AI1058" i="2" s="1"/>
  <c r="U1058" i="2"/>
  <c r="M1058" i="2"/>
  <c r="N1058" i="2" s="1"/>
  <c r="AQ1058" i="2" s="1"/>
  <c r="K1058" i="2"/>
  <c r="J1058" i="2"/>
  <c r="I1058" i="2"/>
  <c r="H1058" i="2"/>
  <c r="F1058" i="2"/>
  <c r="D1058" i="2"/>
  <c r="C1058" i="2"/>
  <c r="B1058" i="2"/>
  <c r="A1058" i="2"/>
  <c r="AP1057" i="2"/>
  <c r="AO1057" i="2"/>
  <c r="AH1057" i="2"/>
  <c r="W1057" i="2"/>
  <c r="AI1057" i="2" s="1"/>
  <c r="U1057" i="2"/>
  <c r="M1057" i="2"/>
  <c r="N1057" i="2" s="1"/>
  <c r="AQ1057" i="2" s="1"/>
  <c r="K1057" i="2"/>
  <c r="J1057" i="2"/>
  <c r="I1057" i="2"/>
  <c r="H1057" i="2"/>
  <c r="F1057" i="2"/>
  <c r="D1057" i="2"/>
  <c r="C1057" i="2"/>
  <c r="B1057" i="2"/>
  <c r="A1057" i="2"/>
  <c r="AP1056" i="2"/>
  <c r="AO1056" i="2"/>
  <c r="W1056" i="2"/>
  <c r="U1056" i="2"/>
  <c r="M1056" i="2"/>
  <c r="N1056" i="2" s="1"/>
  <c r="AQ1056" i="2" s="1"/>
  <c r="K1056" i="2"/>
  <c r="J1056" i="2"/>
  <c r="I1056" i="2"/>
  <c r="H1056" i="2"/>
  <c r="F1056" i="2"/>
  <c r="G1056" i="2" s="1"/>
  <c r="D1056" i="2"/>
  <c r="C1056" i="2"/>
  <c r="B1056" i="2"/>
  <c r="A1056" i="2"/>
  <c r="AP1055" i="2"/>
  <c r="AO1055" i="2"/>
  <c r="W1055" i="2"/>
  <c r="U1055" i="2"/>
  <c r="M1055" i="2"/>
  <c r="N1055" i="2" s="1"/>
  <c r="AQ1055" i="2" s="1"/>
  <c r="K1055" i="2"/>
  <c r="J1055" i="2"/>
  <c r="I1055" i="2"/>
  <c r="H1055" i="2"/>
  <c r="F1055" i="2"/>
  <c r="G1055" i="2" s="1"/>
  <c r="D1055" i="2"/>
  <c r="C1055" i="2"/>
  <c r="B1055" i="2"/>
  <c r="A1055" i="2"/>
  <c r="AP1054" i="2"/>
  <c r="AO1054" i="2"/>
  <c r="AH1054" i="2"/>
  <c r="W1054" i="2"/>
  <c r="AI1054" i="2" s="1"/>
  <c r="U1054" i="2"/>
  <c r="M1054" i="2"/>
  <c r="N1054" i="2" s="1"/>
  <c r="AQ1054" i="2" s="1"/>
  <c r="K1054" i="2"/>
  <c r="J1054" i="2"/>
  <c r="I1054" i="2"/>
  <c r="H1054" i="2"/>
  <c r="F1054" i="2"/>
  <c r="D1054" i="2"/>
  <c r="C1054" i="2"/>
  <c r="B1054" i="2"/>
  <c r="A1054" i="2"/>
  <c r="AP1053" i="2"/>
  <c r="AO1053" i="2"/>
  <c r="W1053" i="2"/>
  <c r="U1053" i="2"/>
  <c r="M1053" i="2"/>
  <c r="N1053" i="2" s="1"/>
  <c r="AQ1053" i="2" s="1"/>
  <c r="K1053" i="2"/>
  <c r="J1053" i="2"/>
  <c r="I1053" i="2"/>
  <c r="H1053" i="2"/>
  <c r="F1053" i="2"/>
  <c r="G1053" i="2" s="1"/>
  <c r="D1053" i="2"/>
  <c r="C1053" i="2"/>
  <c r="B1053" i="2"/>
  <c r="A1053" i="2"/>
  <c r="AP1052" i="2"/>
  <c r="AO1052" i="2"/>
  <c r="W1052" i="2"/>
  <c r="AH1052" i="2" s="1"/>
  <c r="U1052" i="2"/>
  <c r="M1052" i="2"/>
  <c r="N1052" i="2" s="1"/>
  <c r="AQ1052" i="2" s="1"/>
  <c r="K1052" i="2"/>
  <c r="J1052" i="2"/>
  <c r="I1052" i="2"/>
  <c r="H1052" i="2"/>
  <c r="F1052" i="2"/>
  <c r="G1052" i="2" s="1"/>
  <c r="D1052" i="2"/>
  <c r="C1052" i="2"/>
  <c r="B1052" i="2"/>
  <c r="A1052" i="2"/>
  <c r="AP1051" i="2"/>
  <c r="AO1051" i="2"/>
  <c r="AH1051" i="2"/>
  <c r="W1051" i="2"/>
  <c r="AI1051" i="2" s="1"/>
  <c r="U1051" i="2"/>
  <c r="M1051" i="2"/>
  <c r="N1051" i="2" s="1"/>
  <c r="AQ1051" i="2" s="1"/>
  <c r="K1051" i="2"/>
  <c r="J1051" i="2"/>
  <c r="I1051" i="2"/>
  <c r="H1051" i="2"/>
  <c r="F1051" i="2"/>
  <c r="D1051" i="2"/>
  <c r="C1051" i="2"/>
  <c r="B1051" i="2"/>
  <c r="A1051" i="2"/>
  <c r="AP1050" i="2"/>
  <c r="AO1050" i="2"/>
  <c r="AH1050" i="2"/>
  <c r="W1050" i="2"/>
  <c r="AI1050" i="2" s="1"/>
  <c r="U1050" i="2"/>
  <c r="M1050" i="2"/>
  <c r="N1050" i="2" s="1"/>
  <c r="AQ1050" i="2" s="1"/>
  <c r="K1050" i="2"/>
  <c r="J1050" i="2"/>
  <c r="I1050" i="2"/>
  <c r="H1050" i="2"/>
  <c r="F1050" i="2"/>
  <c r="D1050" i="2"/>
  <c r="C1050" i="2"/>
  <c r="B1050" i="2"/>
  <c r="A1050" i="2"/>
  <c r="AP1049" i="2"/>
  <c r="AO1049" i="2"/>
  <c r="W1049" i="2"/>
  <c r="U1049" i="2"/>
  <c r="M1049" i="2"/>
  <c r="N1049" i="2" s="1"/>
  <c r="AQ1049" i="2" s="1"/>
  <c r="K1049" i="2"/>
  <c r="J1049" i="2"/>
  <c r="I1049" i="2"/>
  <c r="H1049" i="2"/>
  <c r="F1049" i="2"/>
  <c r="G1049" i="2" s="1"/>
  <c r="D1049" i="2"/>
  <c r="C1049" i="2"/>
  <c r="B1049" i="2"/>
  <c r="A1049" i="2"/>
  <c r="AP1048" i="2"/>
  <c r="AO1048" i="2"/>
  <c r="AH1048" i="2"/>
  <c r="W1048" i="2"/>
  <c r="AI1048" i="2" s="1"/>
  <c r="U1048" i="2"/>
  <c r="M1048" i="2"/>
  <c r="N1048" i="2" s="1"/>
  <c r="AQ1048" i="2" s="1"/>
  <c r="K1048" i="2"/>
  <c r="J1048" i="2"/>
  <c r="I1048" i="2"/>
  <c r="H1048" i="2"/>
  <c r="F1048" i="2"/>
  <c r="G1048" i="2" s="1"/>
  <c r="D1048" i="2"/>
  <c r="C1048" i="2"/>
  <c r="B1048" i="2"/>
  <c r="A1048" i="2"/>
  <c r="AP1047" i="2"/>
  <c r="AO1047" i="2"/>
  <c r="W1047" i="2"/>
  <c r="U1047" i="2"/>
  <c r="M1047" i="2"/>
  <c r="N1047" i="2" s="1"/>
  <c r="AQ1047" i="2" s="1"/>
  <c r="K1047" i="2"/>
  <c r="J1047" i="2"/>
  <c r="I1047" i="2"/>
  <c r="H1047" i="2"/>
  <c r="F1047" i="2"/>
  <c r="G1047" i="2" s="1"/>
  <c r="D1047" i="2"/>
  <c r="C1047" i="2"/>
  <c r="B1047" i="2"/>
  <c r="A1047" i="2"/>
  <c r="AP1046" i="2"/>
  <c r="AO1046" i="2"/>
  <c r="AH1046" i="2"/>
  <c r="W1046" i="2"/>
  <c r="AI1046" i="2" s="1"/>
  <c r="U1046" i="2"/>
  <c r="M1046" i="2"/>
  <c r="N1046" i="2" s="1"/>
  <c r="AQ1046" i="2" s="1"/>
  <c r="K1046" i="2"/>
  <c r="J1046" i="2"/>
  <c r="I1046" i="2"/>
  <c r="H1046" i="2"/>
  <c r="F1046" i="2"/>
  <c r="D1046" i="2"/>
  <c r="C1046" i="2"/>
  <c r="B1046" i="2"/>
  <c r="A1046" i="2"/>
  <c r="AP1045" i="2"/>
  <c r="AO1045" i="2"/>
  <c r="W1045" i="2"/>
  <c r="U1045" i="2"/>
  <c r="M1045" i="2"/>
  <c r="N1045" i="2" s="1"/>
  <c r="AQ1045" i="2" s="1"/>
  <c r="K1045" i="2"/>
  <c r="J1045" i="2"/>
  <c r="I1045" i="2"/>
  <c r="H1045" i="2"/>
  <c r="F1045" i="2"/>
  <c r="G1045" i="2" s="1"/>
  <c r="D1045" i="2"/>
  <c r="C1045" i="2"/>
  <c r="B1045" i="2"/>
  <c r="A1045" i="2"/>
  <c r="AP1044" i="2"/>
  <c r="AO1044" i="2"/>
  <c r="AH1044" i="2"/>
  <c r="W1044" i="2"/>
  <c r="AI1044" i="2" s="1"/>
  <c r="U1044" i="2"/>
  <c r="M1044" i="2"/>
  <c r="N1044" i="2" s="1"/>
  <c r="AQ1044" i="2" s="1"/>
  <c r="K1044" i="2"/>
  <c r="J1044" i="2"/>
  <c r="I1044" i="2"/>
  <c r="H1044" i="2"/>
  <c r="F1044" i="2"/>
  <c r="D1044" i="2"/>
  <c r="C1044" i="2"/>
  <c r="B1044" i="2"/>
  <c r="A1044" i="2"/>
  <c r="AP1043" i="2"/>
  <c r="AO1043" i="2"/>
  <c r="W1043" i="2"/>
  <c r="U1043" i="2"/>
  <c r="M1043" i="2"/>
  <c r="N1043" i="2" s="1"/>
  <c r="AQ1043" i="2" s="1"/>
  <c r="K1043" i="2"/>
  <c r="J1043" i="2"/>
  <c r="I1043" i="2"/>
  <c r="H1043" i="2"/>
  <c r="F1043" i="2"/>
  <c r="G1043" i="2" s="1"/>
  <c r="D1043" i="2"/>
  <c r="C1043" i="2"/>
  <c r="B1043" i="2"/>
  <c r="A1043" i="2"/>
  <c r="AP1042" i="2"/>
  <c r="AO1042" i="2"/>
  <c r="W1042" i="2"/>
  <c r="U1042" i="2"/>
  <c r="M1042" i="2"/>
  <c r="N1042" i="2" s="1"/>
  <c r="AQ1042" i="2" s="1"/>
  <c r="K1042" i="2"/>
  <c r="J1042" i="2"/>
  <c r="I1042" i="2"/>
  <c r="H1042" i="2"/>
  <c r="F1042" i="2"/>
  <c r="G1042" i="2" s="1"/>
  <c r="D1042" i="2"/>
  <c r="C1042" i="2"/>
  <c r="B1042" i="2"/>
  <c r="A1042" i="2"/>
  <c r="AP1041" i="2"/>
  <c r="AO1041" i="2"/>
  <c r="AH1041" i="2"/>
  <c r="W1041" i="2"/>
  <c r="AI1041" i="2" s="1"/>
  <c r="U1041" i="2"/>
  <c r="M1041" i="2"/>
  <c r="N1041" i="2" s="1"/>
  <c r="AQ1041" i="2" s="1"/>
  <c r="K1041" i="2"/>
  <c r="J1041" i="2"/>
  <c r="I1041" i="2"/>
  <c r="H1041" i="2"/>
  <c r="F1041" i="2"/>
  <c r="D1041" i="2"/>
  <c r="C1041" i="2"/>
  <c r="B1041" i="2"/>
  <c r="A1041" i="2"/>
  <c r="AP1040" i="2"/>
  <c r="AO1040" i="2"/>
  <c r="W1040" i="2"/>
  <c r="U1040" i="2"/>
  <c r="M1040" i="2"/>
  <c r="N1040" i="2" s="1"/>
  <c r="AQ1040" i="2" s="1"/>
  <c r="K1040" i="2"/>
  <c r="J1040" i="2"/>
  <c r="I1040" i="2"/>
  <c r="H1040" i="2"/>
  <c r="F1040" i="2"/>
  <c r="G1040" i="2" s="1"/>
  <c r="D1040" i="2"/>
  <c r="C1040" i="2"/>
  <c r="B1040" i="2"/>
  <c r="A1040" i="2"/>
  <c r="AP1039" i="2"/>
  <c r="AO1039" i="2"/>
  <c r="W1039" i="2"/>
  <c r="U1039" i="2"/>
  <c r="M1039" i="2"/>
  <c r="N1039" i="2" s="1"/>
  <c r="AQ1039" i="2" s="1"/>
  <c r="K1039" i="2"/>
  <c r="J1039" i="2"/>
  <c r="I1039" i="2"/>
  <c r="H1039" i="2"/>
  <c r="F1039" i="2"/>
  <c r="G1039" i="2" s="1"/>
  <c r="D1039" i="2"/>
  <c r="C1039" i="2"/>
  <c r="B1039" i="2"/>
  <c r="A1039" i="2"/>
  <c r="AP1038" i="2"/>
  <c r="AO1038" i="2"/>
  <c r="W1038" i="2"/>
  <c r="U1038" i="2"/>
  <c r="M1038" i="2"/>
  <c r="N1038" i="2" s="1"/>
  <c r="AQ1038" i="2" s="1"/>
  <c r="K1038" i="2"/>
  <c r="J1038" i="2"/>
  <c r="I1038" i="2"/>
  <c r="H1038" i="2"/>
  <c r="F1038" i="2"/>
  <c r="G1038" i="2" s="1"/>
  <c r="D1038" i="2"/>
  <c r="C1038" i="2"/>
  <c r="B1038" i="2"/>
  <c r="A1038" i="2"/>
  <c r="AP1037" i="2"/>
  <c r="AO1037" i="2"/>
  <c r="W1037" i="2"/>
  <c r="AH1037" i="2" s="1"/>
  <c r="U1037" i="2"/>
  <c r="M1037" i="2"/>
  <c r="N1037" i="2" s="1"/>
  <c r="AQ1037" i="2" s="1"/>
  <c r="K1037" i="2"/>
  <c r="J1037" i="2"/>
  <c r="I1037" i="2"/>
  <c r="H1037" i="2"/>
  <c r="F1037" i="2"/>
  <c r="G1037" i="2" s="1"/>
  <c r="D1037" i="2"/>
  <c r="C1037" i="2"/>
  <c r="B1037" i="2"/>
  <c r="A1037" i="2"/>
  <c r="AP1036" i="2"/>
  <c r="AO1036" i="2"/>
  <c r="W1036" i="2"/>
  <c r="AI1036" i="2" s="1"/>
  <c r="U1036" i="2"/>
  <c r="M1036" i="2"/>
  <c r="N1036" i="2" s="1"/>
  <c r="AQ1036" i="2" s="1"/>
  <c r="K1036" i="2"/>
  <c r="J1036" i="2"/>
  <c r="I1036" i="2"/>
  <c r="H1036" i="2"/>
  <c r="F1036" i="2"/>
  <c r="G1036" i="2" s="1"/>
  <c r="D1036" i="2"/>
  <c r="C1036" i="2"/>
  <c r="B1036" i="2"/>
  <c r="A1036" i="2"/>
  <c r="AP1035" i="2"/>
  <c r="AO1035" i="2"/>
  <c r="W1035" i="2"/>
  <c r="U1035" i="2"/>
  <c r="M1035" i="2"/>
  <c r="N1035" i="2" s="1"/>
  <c r="AQ1035" i="2" s="1"/>
  <c r="K1035" i="2"/>
  <c r="J1035" i="2"/>
  <c r="I1035" i="2"/>
  <c r="H1035" i="2"/>
  <c r="F1035" i="2"/>
  <c r="G1035" i="2" s="1"/>
  <c r="D1035" i="2"/>
  <c r="C1035" i="2"/>
  <c r="B1035" i="2"/>
  <c r="A1035" i="2"/>
  <c r="AP1034" i="2"/>
  <c r="AO1034" i="2"/>
  <c r="W1034" i="2"/>
  <c r="U1034" i="2"/>
  <c r="M1034" i="2"/>
  <c r="N1034" i="2" s="1"/>
  <c r="AQ1034" i="2" s="1"/>
  <c r="K1034" i="2"/>
  <c r="J1034" i="2"/>
  <c r="I1034" i="2"/>
  <c r="H1034" i="2"/>
  <c r="F1034" i="2"/>
  <c r="G1034" i="2" s="1"/>
  <c r="D1034" i="2"/>
  <c r="C1034" i="2"/>
  <c r="B1034" i="2"/>
  <c r="A1034" i="2"/>
  <c r="AP1033" i="2"/>
  <c r="AO1033" i="2"/>
  <c r="AH1033" i="2"/>
  <c r="W1033" i="2"/>
  <c r="AI1033" i="2" s="1"/>
  <c r="U1033" i="2"/>
  <c r="M1033" i="2"/>
  <c r="N1033" i="2" s="1"/>
  <c r="AQ1033" i="2" s="1"/>
  <c r="K1033" i="2"/>
  <c r="J1033" i="2"/>
  <c r="I1033" i="2"/>
  <c r="H1033" i="2"/>
  <c r="F1033" i="2"/>
  <c r="G1033" i="2" s="1"/>
  <c r="D1033" i="2"/>
  <c r="C1033" i="2"/>
  <c r="B1033" i="2"/>
  <c r="A1033" i="2"/>
  <c r="AP1032" i="2"/>
  <c r="AO1032" i="2"/>
  <c r="AH1032" i="2"/>
  <c r="W1032" i="2"/>
  <c r="AI1032" i="2" s="1"/>
  <c r="U1032" i="2"/>
  <c r="M1032" i="2"/>
  <c r="N1032" i="2" s="1"/>
  <c r="AQ1032" i="2" s="1"/>
  <c r="K1032" i="2"/>
  <c r="J1032" i="2"/>
  <c r="I1032" i="2"/>
  <c r="H1032" i="2"/>
  <c r="F1032" i="2"/>
  <c r="G1032" i="2" s="1"/>
  <c r="D1032" i="2"/>
  <c r="C1032" i="2"/>
  <c r="B1032" i="2"/>
  <c r="A1032" i="2"/>
  <c r="AP1031" i="2"/>
  <c r="AO1031" i="2"/>
  <c r="AH1031" i="2"/>
  <c r="W1031" i="2"/>
  <c r="AI1031" i="2" s="1"/>
  <c r="U1031" i="2"/>
  <c r="M1031" i="2"/>
  <c r="N1031" i="2" s="1"/>
  <c r="AQ1031" i="2" s="1"/>
  <c r="K1031" i="2"/>
  <c r="J1031" i="2"/>
  <c r="I1031" i="2"/>
  <c r="H1031" i="2"/>
  <c r="F1031" i="2"/>
  <c r="D1031" i="2"/>
  <c r="C1031" i="2"/>
  <c r="B1031" i="2"/>
  <c r="A1031" i="2"/>
  <c r="AP1030" i="2"/>
  <c r="AO1030" i="2"/>
  <c r="W1030" i="2"/>
  <c r="U1030" i="2"/>
  <c r="M1030" i="2"/>
  <c r="N1030" i="2" s="1"/>
  <c r="AQ1030" i="2" s="1"/>
  <c r="K1030" i="2"/>
  <c r="J1030" i="2"/>
  <c r="I1030" i="2"/>
  <c r="H1030" i="2"/>
  <c r="F1030" i="2"/>
  <c r="G1030" i="2" s="1"/>
  <c r="D1030" i="2"/>
  <c r="C1030" i="2"/>
  <c r="B1030" i="2"/>
  <c r="A1030" i="2"/>
  <c r="AP1029" i="2"/>
  <c r="AO1029" i="2"/>
  <c r="AH1029" i="2"/>
  <c r="W1029" i="2"/>
  <c r="AI1029" i="2" s="1"/>
  <c r="U1029" i="2"/>
  <c r="M1029" i="2"/>
  <c r="N1029" i="2" s="1"/>
  <c r="AQ1029" i="2" s="1"/>
  <c r="K1029" i="2"/>
  <c r="J1029" i="2"/>
  <c r="I1029" i="2"/>
  <c r="H1029" i="2"/>
  <c r="F1029" i="2"/>
  <c r="D1029" i="2"/>
  <c r="C1029" i="2"/>
  <c r="B1029" i="2"/>
  <c r="A1029" i="2"/>
  <c r="AP1028" i="2"/>
  <c r="AO1028" i="2"/>
  <c r="W1028" i="2"/>
  <c r="U1028" i="2"/>
  <c r="M1028" i="2"/>
  <c r="N1028" i="2" s="1"/>
  <c r="AQ1028" i="2" s="1"/>
  <c r="K1028" i="2"/>
  <c r="J1028" i="2"/>
  <c r="I1028" i="2"/>
  <c r="H1028" i="2"/>
  <c r="F1028" i="2"/>
  <c r="G1028" i="2" s="1"/>
  <c r="D1028" i="2"/>
  <c r="C1028" i="2"/>
  <c r="B1028" i="2"/>
  <c r="A1028" i="2"/>
  <c r="AP1027" i="2"/>
  <c r="AO1027" i="2"/>
  <c r="AH1027" i="2"/>
  <c r="W1027" i="2"/>
  <c r="AI1027" i="2" s="1"/>
  <c r="U1027" i="2"/>
  <c r="M1027" i="2"/>
  <c r="N1027" i="2" s="1"/>
  <c r="AQ1027" i="2" s="1"/>
  <c r="K1027" i="2"/>
  <c r="J1027" i="2"/>
  <c r="I1027" i="2"/>
  <c r="H1027" i="2"/>
  <c r="F1027" i="2"/>
  <c r="D1027" i="2"/>
  <c r="C1027" i="2"/>
  <c r="B1027" i="2"/>
  <c r="A1027" i="2"/>
  <c r="AP1026" i="2"/>
  <c r="AO1026" i="2"/>
  <c r="AH1026" i="2"/>
  <c r="W1026" i="2"/>
  <c r="AI1026" i="2" s="1"/>
  <c r="U1026" i="2"/>
  <c r="M1026" i="2"/>
  <c r="N1026" i="2" s="1"/>
  <c r="AQ1026" i="2" s="1"/>
  <c r="K1026" i="2"/>
  <c r="J1026" i="2"/>
  <c r="I1026" i="2"/>
  <c r="H1026" i="2"/>
  <c r="F1026" i="2"/>
  <c r="D1026" i="2"/>
  <c r="C1026" i="2"/>
  <c r="B1026" i="2"/>
  <c r="A1026" i="2"/>
  <c r="AP1025" i="2"/>
  <c r="AO1025" i="2"/>
  <c r="W1025" i="2"/>
  <c r="U1025" i="2"/>
  <c r="M1025" i="2"/>
  <c r="N1025" i="2" s="1"/>
  <c r="AQ1025" i="2" s="1"/>
  <c r="K1025" i="2"/>
  <c r="J1025" i="2"/>
  <c r="I1025" i="2"/>
  <c r="H1025" i="2"/>
  <c r="F1025" i="2"/>
  <c r="G1025" i="2" s="1"/>
  <c r="D1025" i="2"/>
  <c r="C1025" i="2"/>
  <c r="B1025" i="2"/>
  <c r="A1025" i="2"/>
  <c r="AP1024" i="2"/>
  <c r="AO1024" i="2"/>
  <c r="W1024" i="2"/>
  <c r="U1024" i="2"/>
  <c r="M1024" i="2"/>
  <c r="N1024" i="2" s="1"/>
  <c r="AQ1024" i="2" s="1"/>
  <c r="K1024" i="2"/>
  <c r="J1024" i="2"/>
  <c r="I1024" i="2"/>
  <c r="H1024" i="2"/>
  <c r="F1024" i="2"/>
  <c r="G1024" i="2" s="1"/>
  <c r="D1024" i="2"/>
  <c r="C1024" i="2"/>
  <c r="B1024" i="2"/>
  <c r="A1024" i="2"/>
  <c r="AP1023" i="2"/>
  <c r="AO1023" i="2"/>
  <c r="W1023" i="2"/>
  <c r="U1023" i="2"/>
  <c r="M1023" i="2"/>
  <c r="N1023" i="2" s="1"/>
  <c r="AQ1023" i="2" s="1"/>
  <c r="K1023" i="2"/>
  <c r="J1023" i="2"/>
  <c r="I1023" i="2"/>
  <c r="H1023" i="2"/>
  <c r="F1023" i="2"/>
  <c r="G1023" i="2" s="1"/>
  <c r="D1023" i="2"/>
  <c r="C1023" i="2"/>
  <c r="B1023" i="2"/>
  <c r="A1023" i="2"/>
  <c r="AP1022" i="2"/>
  <c r="AO1022" i="2"/>
  <c r="AH1022" i="2"/>
  <c r="W1022" i="2"/>
  <c r="AI1022" i="2" s="1"/>
  <c r="U1022" i="2"/>
  <c r="M1022" i="2"/>
  <c r="N1022" i="2" s="1"/>
  <c r="AQ1022" i="2" s="1"/>
  <c r="K1022" i="2"/>
  <c r="J1022" i="2"/>
  <c r="I1022" i="2"/>
  <c r="H1022" i="2"/>
  <c r="F1022" i="2"/>
  <c r="D1022" i="2"/>
  <c r="C1022" i="2"/>
  <c r="B1022" i="2"/>
  <c r="A1022" i="2"/>
  <c r="AP1021" i="2"/>
  <c r="AO1021" i="2"/>
  <c r="W1021" i="2"/>
  <c r="AI1021" i="2" s="1"/>
  <c r="U1021" i="2"/>
  <c r="M1021" i="2"/>
  <c r="N1021" i="2" s="1"/>
  <c r="AQ1021" i="2" s="1"/>
  <c r="K1021" i="2"/>
  <c r="J1021" i="2"/>
  <c r="I1021" i="2"/>
  <c r="H1021" i="2"/>
  <c r="F1021" i="2"/>
  <c r="G1021" i="2" s="1"/>
  <c r="D1021" i="2"/>
  <c r="C1021" i="2"/>
  <c r="B1021" i="2"/>
  <c r="A1021" i="2"/>
  <c r="AP1020" i="2"/>
  <c r="AO1020" i="2"/>
  <c r="AH1020" i="2"/>
  <c r="W1020" i="2"/>
  <c r="AI1020" i="2" s="1"/>
  <c r="U1020" i="2"/>
  <c r="M1020" i="2"/>
  <c r="N1020" i="2" s="1"/>
  <c r="AQ1020" i="2" s="1"/>
  <c r="K1020" i="2"/>
  <c r="J1020" i="2"/>
  <c r="I1020" i="2"/>
  <c r="H1020" i="2"/>
  <c r="F1020" i="2"/>
  <c r="G1020" i="2" s="1"/>
  <c r="D1020" i="2"/>
  <c r="C1020" i="2"/>
  <c r="B1020" i="2"/>
  <c r="A1020" i="2"/>
  <c r="AP1019" i="2"/>
  <c r="AO1019" i="2"/>
  <c r="W1019" i="2"/>
  <c r="U1019" i="2"/>
  <c r="M1019" i="2"/>
  <c r="N1019" i="2" s="1"/>
  <c r="AQ1019" i="2" s="1"/>
  <c r="K1019" i="2"/>
  <c r="J1019" i="2"/>
  <c r="I1019" i="2"/>
  <c r="H1019" i="2"/>
  <c r="F1019" i="2"/>
  <c r="G1019" i="2" s="1"/>
  <c r="D1019" i="2"/>
  <c r="C1019" i="2"/>
  <c r="B1019" i="2"/>
  <c r="A1019" i="2"/>
  <c r="AP1018" i="2"/>
  <c r="AO1018" i="2"/>
  <c r="AH1018" i="2"/>
  <c r="W1018" i="2"/>
  <c r="AI1018" i="2" s="1"/>
  <c r="U1018" i="2"/>
  <c r="M1018" i="2"/>
  <c r="N1018" i="2" s="1"/>
  <c r="AQ1018" i="2" s="1"/>
  <c r="K1018" i="2"/>
  <c r="J1018" i="2"/>
  <c r="I1018" i="2"/>
  <c r="H1018" i="2"/>
  <c r="F1018" i="2"/>
  <c r="D1018" i="2"/>
  <c r="C1018" i="2"/>
  <c r="B1018" i="2"/>
  <c r="A1018" i="2"/>
  <c r="AP1017" i="2"/>
  <c r="AO1017" i="2"/>
  <c r="AH1017" i="2"/>
  <c r="W1017" i="2"/>
  <c r="AI1017" i="2" s="1"/>
  <c r="U1017" i="2"/>
  <c r="M1017" i="2"/>
  <c r="N1017" i="2" s="1"/>
  <c r="AQ1017" i="2" s="1"/>
  <c r="K1017" i="2"/>
  <c r="J1017" i="2"/>
  <c r="I1017" i="2"/>
  <c r="H1017" i="2"/>
  <c r="F1017" i="2"/>
  <c r="D1017" i="2"/>
  <c r="C1017" i="2"/>
  <c r="B1017" i="2"/>
  <c r="A1017" i="2"/>
  <c r="AP1016" i="2"/>
  <c r="AO1016" i="2"/>
  <c r="W1016" i="2"/>
  <c r="U1016" i="2"/>
  <c r="M1016" i="2"/>
  <c r="N1016" i="2" s="1"/>
  <c r="AQ1016" i="2" s="1"/>
  <c r="K1016" i="2"/>
  <c r="J1016" i="2"/>
  <c r="I1016" i="2"/>
  <c r="H1016" i="2"/>
  <c r="F1016" i="2"/>
  <c r="G1016" i="2" s="1"/>
  <c r="D1016" i="2"/>
  <c r="C1016" i="2"/>
  <c r="B1016" i="2"/>
  <c r="A1016" i="2"/>
  <c r="AP1015" i="2"/>
  <c r="AO1015" i="2"/>
  <c r="W1015" i="2"/>
  <c r="U1015" i="2"/>
  <c r="M1015" i="2"/>
  <c r="N1015" i="2" s="1"/>
  <c r="AQ1015" i="2" s="1"/>
  <c r="K1015" i="2"/>
  <c r="J1015" i="2"/>
  <c r="I1015" i="2"/>
  <c r="H1015" i="2"/>
  <c r="F1015" i="2"/>
  <c r="G1015" i="2" s="1"/>
  <c r="D1015" i="2"/>
  <c r="C1015" i="2"/>
  <c r="B1015" i="2"/>
  <c r="A1015" i="2"/>
  <c r="AP1014" i="2"/>
  <c r="AO1014" i="2"/>
  <c r="W1014" i="2"/>
  <c r="U1014" i="2"/>
  <c r="M1014" i="2"/>
  <c r="N1014" i="2" s="1"/>
  <c r="AQ1014" i="2" s="1"/>
  <c r="K1014" i="2"/>
  <c r="J1014" i="2"/>
  <c r="I1014" i="2"/>
  <c r="H1014" i="2"/>
  <c r="F1014" i="2"/>
  <c r="G1014" i="2" s="1"/>
  <c r="D1014" i="2"/>
  <c r="C1014" i="2"/>
  <c r="B1014" i="2"/>
  <c r="A1014" i="2"/>
  <c r="AP1013" i="2"/>
  <c r="AO1013" i="2"/>
  <c r="AH1013" i="2"/>
  <c r="W1013" i="2"/>
  <c r="AI1013" i="2" s="1"/>
  <c r="U1013" i="2"/>
  <c r="M1013" i="2"/>
  <c r="N1013" i="2" s="1"/>
  <c r="AQ1013" i="2" s="1"/>
  <c r="K1013" i="2"/>
  <c r="J1013" i="2"/>
  <c r="I1013" i="2"/>
  <c r="H1013" i="2"/>
  <c r="F1013" i="2"/>
  <c r="D1013" i="2"/>
  <c r="C1013" i="2"/>
  <c r="B1013" i="2"/>
  <c r="A1013" i="2"/>
  <c r="AP1012" i="2"/>
  <c r="AO1012" i="2"/>
  <c r="W1012" i="2"/>
  <c r="U1012" i="2"/>
  <c r="M1012" i="2"/>
  <c r="N1012" i="2" s="1"/>
  <c r="AQ1012" i="2" s="1"/>
  <c r="K1012" i="2"/>
  <c r="J1012" i="2"/>
  <c r="I1012" i="2"/>
  <c r="H1012" i="2"/>
  <c r="F1012" i="2"/>
  <c r="G1012" i="2" s="1"/>
  <c r="D1012" i="2"/>
  <c r="C1012" i="2"/>
  <c r="B1012" i="2"/>
  <c r="A1012" i="2"/>
  <c r="AP1011" i="2"/>
  <c r="AO1011" i="2"/>
  <c r="AH1011" i="2"/>
  <c r="W1011" i="2"/>
  <c r="AI1011" i="2" s="1"/>
  <c r="U1011" i="2"/>
  <c r="M1011" i="2"/>
  <c r="N1011" i="2" s="1"/>
  <c r="AQ1011" i="2" s="1"/>
  <c r="K1011" i="2"/>
  <c r="J1011" i="2"/>
  <c r="I1011" i="2"/>
  <c r="H1011" i="2"/>
  <c r="F1011" i="2"/>
  <c r="D1011" i="2"/>
  <c r="C1011" i="2"/>
  <c r="B1011" i="2"/>
  <c r="A1011" i="2"/>
  <c r="AP1010" i="2"/>
  <c r="AO1010" i="2"/>
  <c r="AH1010" i="2"/>
  <c r="W1010" i="2"/>
  <c r="AI1010" i="2" s="1"/>
  <c r="U1010" i="2"/>
  <c r="M1010" i="2"/>
  <c r="N1010" i="2" s="1"/>
  <c r="AQ1010" i="2" s="1"/>
  <c r="K1010" i="2"/>
  <c r="J1010" i="2"/>
  <c r="I1010" i="2"/>
  <c r="H1010" i="2"/>
  <c r="F1010" i="2"/>
  <c r="D1010" i="2"/>
  <c r="C1010" i="2"/>
  <c r="B1010" i="2"/>
  <c r="A1010" i="2"/>
  <c r="AP1009" i="2"/>
  <c r="AO1009" i="2"/>
  <c r="AH1009" i="2"/>
  <c r="W1009" i="2"/>
  <c r="AI1009" i="2" s="1"/>
  <c r="U1009" i="2"/>
  <c r="M1009" i="2"/>
  <c r="N1009" i="2" s="1"/>
  <c r="AQ1009" i="2" s="1"/>
  <c r="K1009" i="2"/>
  <c r="J1009" i="2"/>
  <c r="I1009" i="2"/>
  <c r="H1009" i="2"/>
  <c r="F1009" i="2"/>
  <c r="D1009" i="2"/>
  <c r="C1009" i="2"/>
  <c r="B1009" i="2"/>
  <c r="A1009" i="2"/>
  <c r="AP1008" i="2"/>
  <c r="AO1008" i="2"/>
  <c r="AH1008" i="2"/>
  <c r="W1008" i="2"/>
  <c r="AI1008" i="2" s="1"/>
  <c r="U1008" i="2"/>
  <c r="M1008" i="2"/>
  <c r="N1008" i="2" s="1"/>
  <c r="AQ1008" i="2" s="1"/>
  <c r="K1008" i="2"/>
  <c r="J1008" i="2"/>
  <c r="I1008" i="2"/>
  <c r="H1008" i="2"/>
  <c r="F1008" i="2"/>
  <c r="D1008" i="2"/>
  <c r="C1008" i="2"/>
  <c r="B1008" i="2"/>
  <c r="A1008" i="2"/>
  <c r="AP1007" i="2"/>
  <c r="AO1007" i="2"/>
  <c r="AH1007" i="2"/>
  <c r="W1007" i="2"/>
  <c r="AI1007" i="2" s="1"/>
  <c r="U1007" i="2"/>
  <c r="M1007" i="2"/>
  <c r="N1007" i="2" s="1"/>
  <c r="AQ1007" i="2" s="1"/>
  <c r="K1007" i="2"/>
  <c r="J1007" i="2"/>
  <c r="I1007" i="2"/>
  <c r="H1007" i="2"/>
  <c r="F1007" i="2"/>
  <c r="D1007" i="2"/>
  <c r="C1007" i="2"/>
  <c r="B1007" i="2"/>
  <c r="A1007" i="2"/>
  <c r="AP1006" i="2"/>
  <c r="AO1006" i="2"/>
  <c r="AH1006" i="2"/>
  <c r="W1006" i="2"/>
  <c r="AI1006" i="2" s="1"/>
  <c r="U1006" i="2"/>
  <c r="M1006" i="2"/>
  <c r="N1006" i="2" s="1"/>
  <c r="AQ1006" i="2" s="1"/>
  <c r="K1006" i="2"/>
  <c r="J1006" i="2"/>
  <c r="I1006" i="2"/>
  <c r="H1006" i="2"/>
  <c r="F1006" i="2"/>
  <c r="D1006" i="2"/>
  <c r="C1006" i="2"/>
  <c r="B1006" i="2"/>
  <c r="A1006" i="2"/>
  <c r="AP1005" i="2"/>
  <c r="AO1005" i="2"/>
  <c r="AH1005" i="2"/>
  <c r="W1005" i="2"/>
  <c r="AI1005" i="2" s="1"/>
  <c r="U1005" i="2"/>
  <c r="M1005" i="2"/>
  <c r="N1005" i="2" s="1"/>
  <c r="AQ1005" i="2" s="1"/>
  <c r="K1005" i="2"/>
  <c r="J1005" i="2"/>
  <c r="I1005" i="2"/>
  <c r="H1005" i="2"/>
  <c r="F1005" i="2"/>
  <c r="D1005" i="2"/>
  <c r="C1005" i="2"/>
  <c r="B1005" i="2"/>
  <c r="A1005" i="2"/>
  <c r="AP1004" i="2"/>
  <c r="AO1004" i="2"/>
  <c r="W1004" i="2"/>
  <c r="U1004" i="2"/>
  <c r="M1004" i="2"/>
  <c r="N1004" i="2" s="1"/>
  <c r="AQ1004" i="2" s="1"/>
  <c r="K1004" i="2"/>
  <c r="J1004" i="2"/>
  <c r="I1004" i="2"/>
  <c r="H1004" i="2"/>
  <c r="F1004" i="2"/>
  <c r="G1004" i="2" s="1"/>
  <c r="D1004" i="2"/>
  <c r="C1004" i="2"/>
  <c r="B1004" i="2"/>
  <c r="A1004" i="2"/>
  <c r="AP1003" i="2"/>
  <c r="AO1003" i="2"/>
  <c r="W1003" i="2"/>
  <c r="U1003" i="2"/>
  <c r="M1003" i="2"/>
  <c r="N1003" i="2" s="1"/>
  <c r="AQ1003" i="2" s="1"/>
  <c r="K1003" i="2"/>
  <c r="J1003" i="2"/>
  <c r="I1003" i="2"/>
  <c r="H1003" i="2"/>
  <c r="F1003" i="2"/>
  <c r="G1003" i="2" s="1"/>
  <c r="D1003" i="2"/>
  <c r="C1003" i="2"/>
  <c r="B1003" i="2"/>
  <c r="A1003" i="2"/>
  <c r="AP1002" i="2"/>
  <c r="AO1002" i="2"/>
  <c r="W1002" i="2"/>
  <c r="U1002" i="2"/>
  <c r="M1002" i="2"/>
  <c r="N1002" i="2" s="1"/>
  <c r="AQ1002" i="2" s="1"/>
  <c r="K1002" i="2"/>
  <c r="J1002" i="2"/>
  <c r="I1002" i="2"/>
  <c r="H1002" i="2"/>
  <c r="F1002" i="2"/>
  <c r="D1002" i="2"/>
  <c r="C1002" i="2"/>
  <c r="B1002" i="2"/>
  <c r="A1002" i="2"/>
  <c r="AP1001" i="2"/>
  <c r="AO1001" i="2"/>
  <c r="AH1001" i="2"/>
  <c r="W1001" i="2"/>
  <c r="AI1001" i="2" s="1"/>
  <c r="U1001" i="2"/>
  <c r="M1001" i="2"/>
  <c r="N1001" i="2" s="1"/>
  <c r="AQ1001" i="2" s="1"/>
  <c r="K1001" i="2"/>
  <c r="J1001" i="2"/>
  <c r="I1001" i="2"/>
  <c r="H1001" i="2"/>
  <c r="F1001" i="2"/>
  <c r="D1001" i="2"/>
  <c r="C1001" i="2"/>
  <c r="B1001" i="2"/>
  <c r="A1001" i="2"/>
  <c r="AP1000" i="2"/>
  <c r="AO1000" i="2"/>
  <c r="W1000" i="2"/>
  <c r="U1000" i="2"/>
  <c r="M1000" i="2"/>
  <c r="N1000" i="2" s="1"/>
  <c r="AQ1000" i="2" s="1"/>
  <c r="K1000" i="2"/>
  <c r="J1000" i="2"/>
  <c r="I1000" i="2"/>
  <c r="H1000" i="2"/>
  <c r="F1000" i="2"/>
  <c r="G1000" i="2" s="1"/>
  <c r="D1000" i="2"/>
  <c r="C1000" i="2"/>
  <c r="B1000" i="2"/>
  <c r="A1000" i="2"/>
  <c r="AP999" i="2"/>
  <c r="AO999" i="2"/>
  <c r="AH999" i="2"/>
  <c r="W999" i="2"/>
  <c r="AI999" i="2" s="1"/>
  <c r="U999" i="2"/>
  <c r="M999" i="2"/>
  <c r="N999" i="2" s="1"/>
  <c r="AQ999" i="2" s="1"/>
  <c r="K999" i="2"/>
  <c r="J999" i="2"/>
  <c r="I999" i="2"/>
  <c r="H999" i="2"/>
  <c r="F999" i="2"/>
  <c r="D999" i="2"/>
  <c r="C999" i="2"/>
  <c r="B999" i="2"/>
  <c r="A999" i="2"/>
  <c r="AP998" i="2"/>
  <c r="AO998" i="2"/>
  <c r="W998" i="2"/>
  <c r="AI998" i="2" s="1"/>
  <c r="U998" i="2"/>
  <c r="M998" i="2"/>
  <c r="N998" i="2" s="1"/>
  <c r="AQ998" i="2" s="1"/>
  <c r="K998" i="2"/>
  <c r="J998" i="2"/>
  <c r="I998" i="2"/>
  <c r="H998" i="2"/>
  <c r="F998" i="2"/>
  <c r="G998" i="2" s="1"/>
  <c r="D998" i="2"/>
  <c r="C998" i="2"/>
  <c r="B998" i="2"/>
  <c r="A998" i="2"/>
  <c r="AP997" i="2"/>
  <c r="AO997" i="2"/>
  <c r="W997" i="2"/>
  <c r="U997" i="2"/>
  <c r="M997" i="2"/>
  <c r="N997" i="2" s="1"/>
  <c r="AQ997" i="2" s="1"/>
  <c r="K997" i="2"/>
  <c r="J997" i="2"/>
  <c r="I997" i="2"/>
  <c r="H997" i="2"/>
  <c r="F997" i="2"/>
  <c r="G997" i="2" s="1"/>
  <c r="D997" i="2"/>
  <c r="C997" i="2"/>
  <c r="B997" i="2"/>
  <c r="A997" i="2"/>
  <c r="AP996" i="2"/>
  <c r="AO996" i="2"/>
  <c r="W996" i="2"/>
  <c r="AH996" i="2" s="1"/>
  <c r="U996" i="2"/>
  <c r="M996" i="2"/>
  <c r="N996" i="2" s="1"/>
  <c r="AQ996" i="2" s="1"/>
  <c r="K996" i="2"/>
  <c r="J996" i="2"/>
  <c r="I996" i="2"/>
  <c r="H996" i="2"/>
  <c r="F996" i="2"/>
  <c r="G996" i="2" s="1"/>
  <c r="D996" i="2"/>
  <c r="C996" i="2"/>
  <c r="B996" i="2"/>
  <c r="A996" i="2"/>
  <c r="AP995" i="2"/>
  <c r="AO995" i="2"/>
  <c r="W995" i="2"/>
  <c r="AI995" i="2" s="1"/>
  <c r="U995" i="2"/>
  <c r="M995" i="2"/>
  <c r="N995" i="2" s="1"/>
  <c r="AQ995" i="2" s="1"/>
  <c r="K995" i="2"/>
  <c r="J995" i="2"/>
  <c r="I995" i="2"/>
  <c r="H995" i="2"/>
  <c r="F995" i="2"/>
  <c r="G995" i="2" s="1"/>
  <c r="D995" i="2"/>
  <c r="C995" i="2"/>
  <c r="B995" i="2"/>
  <c r="A995" i="2"/>
  <c r="AP994" i="2"/>
  <c r="AO994" i="2"/>
  <c r="W994" i="2"/>
  <c r="AI994" i="2" s="1"/>
  <c r="U994" i="2"/>
  <c r="M994" i="2"/>
  <c r="N994" i="2" s="1"/>
  <c r="AQ994" i="2" s="1"/>
  <c r="K994" i="2"/>
  <c r="J994" i="2"/>
  <c r="I994" i="2"/>
  <c r="H994" i="2"/>
  <c r="F994" i="2"/>
  <c r="G994" i="2" s="1"/>
  <c r="D994" i="2"/>
  <c r="C994" i="2"/>
  <c r="B994" i="2"/>
  <c r="A994" i="2"/>
  <c r="AP993" i="2"/>
  <c r="AO993" i="2"/>
  <c r="W993" i="2"/>
  <c r="U993" i="2"/>
  <c r="M993" i="2"/>
  <c r="N993" i="2" s="1"/>
  <c r="AQ993" i="2" s="1"/>
  <c r="K993" i="2"/>
  <c r="J993" i="2"/>
  <c r="I993" i="2"/>
  <c r="H993" i="2"/>
  <c r="F993" i="2"/>
  <c r="G993" i="2" s="1"/>
  <c r="D993" i="2"/>
  <c r="C993" i="2"/>
  <c r="B993" i="2"/>
  <c r="A993" i="2"/>
  <c r="AP992" i="2"/>
  <c r="AO992" i="2"/>
  <c r="W992" i="2"/>
  <c r="AH992" i="2" s="1"/>
  <c r="U992" i="2"/>
  <c r="M992" i="2"/>
  <c r="N992" i="2" s="1"/>
  <c r="AQ992" i="2" s="1"/>
  <c r="K992" i="2"/>
  <c r="J992" i="2"/>
  <c r="I992" i="2"/>
  <c r="H992" i="2"/>
  <c r="F992" i="2"/>
  <c r="G992" i="2" s="1"/>
  <c r="D992" i="2"/>
  <c r="C992" i="2"/>
  <c r="B992" i="2"/>
  <c r="A992" i="2"/>
  <c r="AP991" i="2"/>
  <c r="AO991" i="2"/>
  <c r="AH991" i="2"/>
  <c r="W991" i="2"/>
  <c r="AI991" i="2" s="1"/>
  <c r="U991" i="2"/>
  <c r="M991" i="2"/>
  <c r="N991" i="2" s="1"/>
  <c r="AQ991" i="2" s="1"/>
  <c r="K991" i="2"/>
  <c r="J991" i="2"/>
  <c r="I991" i="2"/>
  <c r="H991" i="2"/>
  <c r="F991" i="2"/>
  <c r="D991" i="2"/>
  <c r="C991" i="2"/>
  <c r="B991" i="2"/>
  <c r="A991" i="2"/>
  <c r="AP990" i="2"/>
  <c r="AO990" i="2"/>
  <c r="W990" i="2"/>
  <c r="U990" i="2"/>
  <c r="M990" i="2"/>
  <c r="N990" i="2" s="1"/>
  <c r="AQ990" i="2" s="1"/>
  <c r="K990" i="2"/>
  <c r="J990" i="2"/>
  <c r="I990" i="2"/>
  <c r="H990" i="2"/>
  <c r="F990" i="2"/>
  <c r="D990" i="2"/>
  <c r="C990" i="2"/>
  <c r="B990" i="2"/>
  <c r="A990" i="2"/>
  <c r="AP989" i="2"/>
  <c r="AO989" i="2"/>
  <c r="AH989" i="2"/>
  <c r="W989" i="2"/>
  <c r="AI989" i="2" s="1"/>
  <c r="U989" i="2"/>
  <c r="M989" i="2"/>
  <c r="N989" i="2" s="1"/>
  <c r="AQ989" i="2" s="1"/>
  <c r="K989" i="2"/>
  <c r="J989" i="2"/>
  <c r="I989" i="2"/>
  <c r="H989" i="2"/>
  <c r="F989" i="2"/>
  <c r="D989" i="2"/>
  <c r="C989" i="2"/>
  <c r="B989" i="2"/>
  <c r="A989" i="2"/>
  <c r="AP988" i="2"/>
  <c r="AO988" i="2"/>
  <c r="W988" i="2"/>
  <c r="U988" i="2"/>
  <c r="M988" i="2"/>
  <c r="N988" i="2" s="1"/>
  <c r="AQ988" i="2" s="1"/>
  <c r="K988" i="2"/>
  <c r="J988" i="2"/>
  <c r="I988" i="2"/>
  <c r="H988" i="2"/>
  <c r="F988" i="2"/>
  <c r="G988" i="2" s="1"/>
  <c r="D988" i="2"/>
  <c r="C988" i="2"/>
  <c r="B988" i="2"/>
  <c r="A988" i="2"/>
  <c r="AP987" i="2"/>
  <c r="AO987" i="2"/>
  <c r="AH987" i="2"/>
  <c r="W987" i="2"/>
  <c r="AI987" i="2" s="1"/>
  <c r="U987" i="2"/>
  <c r="M987" i="2"/>
  <c r="N987" i="2" s="1"/>
  <c r="AQ987" i="2" s="1"/>
  <c r="K987" i="2"/>
  <c r="J987" i="2"/>
  <c r="I987" i="2"/>
  <c r="H987" i="2"/>
  <c r="F987" i="2"/>
  <c r="D987" i="2"/>
  <c r="C987" i="2"/>
  <c r="B987" i="2"/>
  <c r="A987" i="2"/>
  <c r="AP986" i="2"/>
  <c r="AO986" i="2"/>
  <c r="AH986" i="2"/>
  <c r="W986" i="2"/>
  <c r="AI986" i="2" s="1"/>
  <c r="U986" i="2"/>
  <c r="M986" i="2"/>
  <c r="N986" i="2" s="1"/>
  <c r="AQ986" i="2" s="1"/>
  <c r="K986" i="2"/>
  <c r="J986" i="2"/>
  <c r="I986" i="2"/>
  <c r="H986" i="2"/>
  <c r="F986" i="2"/>
  <c r="D986" i="2"/>
  <c r="C986" i="2"/>
  <c r="B986" i="2"/>
  <c r="A986" i="2"/>
  <c r="AP985" i="2"/>
  <c r="AO985" i="2"/>
  <c r="AH985" i="2"/>
  <c r="W985" i="2"/>
  <c r="AI985" i="2" s="1"/>
  <c r="U985" i="2"/>
  <c r="M985" i="2"/>
  <c r="N985" i="2" s="1"/>
  <c r="AQ985" i="2" s="1"/>
  <c r="K985" i="2"/>
  <c r="J985" i="2"/>
  <c r="I985" i="2"/>
  <c r="H985" i="2"/>
  <c r="F985" i="2"/>
  <c r="D985" i="2"/>
  <c r="C985" i="2"/>
  <c r="B985" i="2"/>
  <c r="A985" i="2"/>
  <c r="AP984" i="2"/>
  <c r="AO984" i="2"/>
  <c r="AH984" i="2"/>
  <c r="W984" i="2"/>
  <c r="AI984" i="2" s="1"/>
  <c r="U984" i="2"/>
  <c r="M984" i="2"/>
  <c r="N984" i="2" s="1"/>
  <c r="AQ984" i="2" s="1"/>
  <c r="K984" i="2"/>
  <c r="J984" i="2"/>
  <c r="I984" i="2"/>
  <c r="H984" i="2"/>
  <c r="F984" i="2"/>
  <c r="D984" i="2"/>
  <c r="C984" i="2"/>
  <c r="B984" i="2"/>
  <c r="A984" i="2"/>
  <c r="AP983" i="2"/>
  <c r="AO983" i="2"/>
  <c r="W983" i="2"/>
  <c r="U983" i="2"/>
  <c r="M983" i="2"/>
  <c r="N983" i="2" s="1"/>
  <c r="AQ983" i="2" s="1"/>
  <c r="K983" i="2"/>
  <c r="J983" i="2"/>
  <c r="I983" i="2"/>
  <c r="H983" i="2"/>
  <c r="F983" i="2"/>
  <c r="G983" i="2" s="1"/>
  <c r="D983" i="2"/>
  <c r="C983" i="2"/>
  <c r="B983" i="2"/>
  <c r="A983" i="2"/>
  <c r="AP982" i="2"/>
  <c r="AO982" i="2"/>
  <c r="AH982" i="2"/>
  <c r="W982" i="2"/>
  <c r="AI982" i="2" s="1"/>
  <c r="U982" i="2"/>
  <c r="M982" i="2"/>
  <c r="N982" i="2" s="1"/>
  <c r="AQ982" i="2" s="1"/>
  <c r="K982" i="2"/>
  <c r="J982" i="2"/>
  <c r="I982" i="2"/>
  <c r="H982" i="2"/>
  <c r="F982" i="2"/>
  <c r="D982" i="2"/>
  <c r="C982" i="2"/>
  <c r="B982" i="2"/>
  <c r="A982" i="2"/>
  <c r="AP981" i="2"/>
  <c r="AO981" i="2"/>
  <c r="W981" i="2"/>
  <c r="U981" i="2"/>
  <c r="M981" i="2"/>
  <c r="N981" i="2" s="1"/>
  <c r="AQ981" i="2" s="1"/>
  <c r="K981" i="2"/>
  <c r="J981" i="2"/>
  <c r="I981" i="2"/>
  <c r="H981" i="2"/>
  <c r="F981" i="2"/>
  <c r="G981" i="2" s="1"/>
  <c r="D981" i="2"/>
  <c r="C981" i="2"/>
  <c r="B981" i="2"/>
  <c r="A981" i="2"/>
  <c r="AP980" i="2"/>
  <c r="AO980" i="2"/>
  <c r="AH980" i="2"/>
  <c r="W980" i="2"/>
  <c r="AI980" i="2" s="1"/>
  <c r="U980" i="2"/>
  <c r="M980" i="2"/>
  <c r="N980" i="2" s="1"/>
  <c r="AQ980" i="2" s="1"/>
  <c r="K980" i="2"/>
  <c r="J980" i="2"/>
  <c r="I980" i="2"/>
  <c r="H980" i="2"/>
  <c r="F980" i="2"/>
  <c r="D980" i="2"/>
  <c r="C980" i="2"/>
  <c r="B980" i="2"/>
  <c r="A980" i="2"/>
  <c r="AP979" i="2"/>
  <c r="AO979" i="2"/>
  <c r="W979" i="2"/>
  <c r="AI979" i="2" s="1"/>
  <c r="U979" i="2"/>
  <c r="M979" i="2"/>
  <c r="N979" i="2" s="1"/>
  <c r="AQ979" i="2" s="1"/>
  <c r="K979" i="2"/>
  <c r="J979" i="2"/>
  <c r="I979" i="2"/>
  <c r="H979" i="2"/>
  <c r="F979" i="2"/>
  <c r="G979" i="2" s="1"/>
  <c r="D979" i="2"/>
  <c r="C979" i="2"/>
  <c r="B979" i="2"/>
  <c r="A979" i="2"/>
  <c r="AP978" i="2"/>
  <c r="AO978" i="2"/>
  <c r="W978" i="2"/>
  <c r="U978" i="2"/>
  <c r="M978" i="2"/>
  <c r="N978" i="2" s="1"/>
  <c r="AQ978" i="2" s="1"/>
  <c r="K978" i="2"/>
  <c r="J978" i="2"/>
  <c r="I978" i="2"/>
  <c r="H978" i="2"/>
  <c r="F978" i="2"/>
  <c r="G978" i="2" s="1"/>
  <c r="D978" i="2"/>
  <c r="C978" i="2"/>
  <c r="B978" i="2"/>
  <c r="A978" i="2"/>
  <c r="AP977" i="2"/>
  <c r="AO977" i="2"/>
  <c r="W977" i="2"/>
  <c r="AI977" i="2" s="1"/>
  <c r="U977" i="2"/>
  <c r="M977" i="2"/>
  <c r="N977" i="2" s="1"/>
  <c r="AQ977" i="2" s="1"/>
  <c r="K977" i="2"/>
  <c r="J977" i="2"/>
  <c r="I977" i="2"/>
  <c r="H977" i="2"/>
  <c r="F977" i="2"/>
  <c r="G977" i="2" s="1"/>
  <c r="D977" i="2"/>
  <c r="C977" i="2"/>
  <c r="B977" i="2"/>
  <c r="A977" i="2"/>
  <c r="AP976" i="2"/>
  <c r="AO976" i="2"/>
  <c r="W976" i="2"/>
  <c r="U976" i="2"/>
  <c r="M976" i="2"/>
  <c r="N976" i="2" s="1"/>
  <c r="AQ976" i="2" s="1"/>
  <c r="K976" i="2"/>
  <c r="J976" i="2"/>
  <c r="I976" i="2"/>
  <c r="H976" i="2"/>
  <c r="F976" i="2"/>
  <c r="G976" i="2" s="1"/>
  <c r="D976" i="2"/>
  <c r="C976" i="2"/>
  <c r="B976" i="2"/>
  <c r="A976" i="2"/>
  <c r="AP975" i="2"/>
  <c r="AO975" i="2"/>
  <c r="W975" i="2"/>
  <c r="U975" i="2"/>
  <c r="M975" i="2"/>
  <c r="N975" i="2" s="1"/>
  <c r="AQ975" i="2" s="1"/>
  <c r="K975" i="2"/>
  <c r="J975" i="2"/>
  <c r="I975" i="2"/>
  <c r="H975" i="2"/>
  <c r="F975" i="2"/>
  <c r="G975" i="2" s="1"/>
  <c r="D975" i="2"/>
  <c r="C975" i="2"/>
  <c r="B975" i="2"/>
  <c r="A975" i="2"/>
  <c r="AP974" i="2"/>
  <c r="AO974" i="2"/>
  <c r="W974" i="2"/>
  <c r="U974" i="2"/>
  <c r="M974" i="2"/>
  <c r="N974" i="2" s="1"/>
  <c r="AQ974" i="2" s="1"/>
  <c r="K974" i="2"/>
  <c r="J974" i="2"/>
  <c r="I974" i="2"/>
  <c r="H974" i="2"/>
  <c r="F974" i="2"/>
  <c r="G974" i="2" s="1"/>
  <c r="D974" i="2"/>
  <c r="C974" i="2"/>
  <c r="B974" i="2"/>
  <c r="A974" i="2"/>
  <c r="AP973" i="2"/>
  <c r="AO973" i="2"/>
  <c r="W973" i="2"/>
  <c r="U973" i="2"/>
  <c r="M973" i="2"/>
  <c r="N973" i="2" s="1"/>
  <c r="AQ973" i="2" s="1"/>
  <c r="K973" i="2"/>
  <c r="J973" i="2"/>
  <c r="I973" i="2"/>
  <c r="H973" i="2"/>
  <c r="F973" i="2"/>
  <c r="G973" i="2" s="1"/>
  <c r="D973" i="2"/>
  <c r="C973" i="2"/>
  <c r="B973" i="2"/>
  <c r="A973" i="2"/>
  <c r="AP972" i="2"/>
  <c r="AO972" i="2"/>
  <c r="AH972" i="2"/>
  <c r="W972" i="2"/>
  <c r="AI972" i="2" s="1"/>
  <c r="U972" i="2"/>
  <c r="M972" i="2"/>
  <c r="N972" i="2" s="1"/>
  <c r="AQ972" i="2" s="1"/>
  <c r="K972" i="2"/>
  <c r="J972" i="2"/>
  <c r="I972" i="2"/>
  <c r="H972" i="2"/>
  <c r="F972" i="2"/>
  <c r="D972" i="2"/>
  <c r="C972" i="2"/>
  <c r="B972" i="2"/>
  <c r="A972" i="2"/>
  <c r="AP971" i="2"/>
  <c r="AO971" i="2"/>
  <c r="AH971" i="2"/>
  <c r="W971" i="2"/>
  <c r="AI971" i="2" s="1"/>
  <c r="U971" i="2"/>
  <c r="M971" i="2"/>
  <c r="N971" i="2" s="1"/>
  <c r="AQ971" i="2" s="1"/>
  <c r="K971" i="2"/>
  <c r="J971" i="2"/>
  <c r="I971" i="2"/>
  <c r="H971" i="2"/>
  <c r="F971" i="2"/>
  <c r="D971" i="2"/>
  <c r="C971" i="2"/>
  <c r="B971" i="2"/>
  <c r="A971" i="2"/>
  <c r="AP970" i="2"/>
  <c r="AO970" i="2"/>
  <c r="AH970" i="2"/>
  <c r="W970" i="2"/>
  <c r="AI970" i="2" s="1"/>
  <c r="U970" i="2"/>
  <c r="M970" i="2"/>
  <c r="N970" i="2" s="1"/>
  <c r="AQ970" i="2" s="1"/>
  <c r="K970" i="2"/>
  <c r="J970" i="2"/>
  <c r="I970" i="2"/>
  <c r="H970" i="2"/>
  <c r="F970" i="2"/>
  <c r="G970" i="2" s="1"/>
  <c r="D970" i="2"/>
  <c r="C970" i="2"/>
  <c r="B970" i="2"/>
  <c r="A970" i="2"/>
  <c r="AP969" i="2"/>
  <c r="AO969" i="2"/>
  <c r="W969" i="2"/>
  <c r="U969" i="2"/>
  <c r="M969" i="2"/>
  <c r="N969" i="2" s="1"/>
  <c r="AQ969" i="2" s="1"/>
  <c r="K969" i="2"/>
  <c r="J969" i="2"/>
  <c r="I969" i="2"/>
  <c r="H969" i="2"/>
  <c r="F969" i="2"/>
  <c r="G969" i="2" s="1"/>
  <c r="D969" i="2"/>
  <c r="C969" i="2"/>
  <c r="B969" i="2"/>
  <c r="A969" i="2"/>
  <c r="AP968" i="2"/>
  <c r="AO968" i="2"/>
  <c r="AH968" i="2"/>
  <c r="W968" i="2"/>
  <c r="AI968" i="2" s="1"/>
  <c r="U968" i="2"/>
  <c r="M968" i="2"/>
  <c r="N968" i="2" s="1"/>
  <c r="AQ968" i="2" s="1"/>
  <c r="K968" i="2"/>
  <c r="J968" i="2"/>
  <c r="I968" i="2"/>
  <c r="H968" i="2"/>
  <c r="F968" i="2"/>
  <c r="D968" i="2"/>
  <c r="C968" i="2"/>
  <c r="B968" i="2"/>
  <c r="A968" i="2"/>
  <c r="AP967" i="2"/>
  <c r="AO967" i="2"/>
  <c r="AH967" i="2"/>
  <c r="W967" i="2"/>
  <c r="AI967" i="2" s="1"/>
  <c r="U967" i="2"/>
  <c r="M967" i="2"/>
  <c r="N967" i="2" s="1"/>
  <c r="AQ967" i="2" s="1"/>
  <c r="K967" i="2"/>
  <c r="J967" i="2"/>
  <c r="I967" i="2"/>
  <c r="H967" i="2"/>
  <c r="F967" i="2"/>
  <c r="D967" i="2"/>
  <c r="C967" i="2"/>
  <c r="B967" i="2"/>
  <c r="A967" i="2"/>
  <c r="AP966" i="2"/>
  <c r="AO966" i="2"/>
  <c r="AH966" i="2"/>
  <c r="W966" i="2"/>
  <c r="AI966" i="2" s="1"/>
  <c r="U966" i="2"/>
  <c r="M966" i="2"/>
  <c r="N966" i="2" s="1"/>
  <c r="AQ966" i="2" s="1"/>
  <c r="K966" i="2"/>
  <c r="J966" i="2"/>
  <c r="I966" i="2"/>
  <c r="H966" i="2"/>
  <c r="F966" i="2"/>
  <c r="D966" i="2"/>
  <c r="C966" i="2"/>
  <c r="B966" i="2"/>
  <c r="A966" i="2"/>
  <c r="AP965" i="2"/>
  <c r="AO965" i="2"/>
  <c r="W965" i="2"/>
  <c r="AI965" i="2" s="1"/>
  <c r="U965" i="2"/>
  <c r="M965" i="2"/>
  <c r="N965" i="2" s="1"/>
  <c r="AQ965" i="2" s="1"/>
  <c r="K965" i="2"/>
  <c r="J965" i="2"/>
  <c r="I965" i="2"/>
  <c r="H965" i="2"/>
  <c r="F965" i="2"/>
  <c r="G965" i="2" s="1"/>
  <c r="D965" i="2"/>
  <c r="C965" i="2"/>
  <c r="B965" i="2"/>
  <c r="A965" i="2"/>
  <c r="AP964" i="2"/>
  <c r="AO964" i="2"/>
  <c r="AH964" i="2"/>
  <c r="W964" i="2"/>
  <c r="AI964" i="2" s="1"/>
  <c r="U964" i="2"/>
  <c r="M964" i="2"/>
  <c r="N964" i="2" s="1"/>
  <c r="AQ964" i="2" s="1"/>
  <c r="K964" i="2"/>
  <c r="J964" i="2"/>
  <c r="I964" i="2"/>
  <c r="H964" i="2"/>
  <c r="F964" i="2"/>
  <c r="D964" i="2"/>
  <c r="C964" i="2"/>
  <c r="B964" i="2"/>
  <c r="A964" i="2"/>
  <c r="AP963" i="2"/>
  <c r="AO963" i="2"/>
  <c r="W963" i="2"/>
  <c r="AI963" i="2" s="1"/>
  <c r="U963" i="2"/>
  <c r="M963" i="2"/>
  <c r="N963" i="2" s="1"/>
  <c r="AQ963" i="2" s="1"/>
  <c r="K963" i="2"/>
  <c r="J963" i="2"/>
  <c r="I963" i="2"/>
  <c r="H963" i="2"/>
  <c r="F963" i="2"/>
  <c r="G963" i="2" s="1"/>
  <c r="D963" i="2"/>
  <c r="C963" i="2"/>
  <c r="B963" i="2"/>
  <c r="A963" i="2"/>
  <c r="AP962" i="2"/>
  <c r="AO962" i="2"/>
  <c r="AH962" i="2"/>
  <c r="W962" i="2"/>
  <c r="AI962" i="2" s="1"/>
  <c r="U962" i="2"/>
  <c r="M962" i="2"/>
  <c r="N962" i="2" s="1"/>
  <c r="AQ962" i="2" s="1"/>
  <c r="K962" i="2"/>
  <c r="J962" i="2"/>
  <c r="I962" i="2"/>
  <c r="H962" i="2"/>
  <c r="F962" i="2"/>
  <c r="G962" i="2" s="1"/>
  <c r="D962" i="2"/>
  <c r="C962" i="2"/>
  <c r="B962" i="2"/>
  <c r="A962" i="2"/>
  <c r="AP961" i="2"/>
  <c r="AO961" i="2"/>
  <c r="W961" i="2"/>
  <c r="U961" i="2"/>
  <c r="M961" i="2"/>
  <c r="N961" i="2" s="1"/>
  <c r="AQ961" i="2" s="1"/>
  <c r="K961" i="2"/>
  <c r="J961" i="2"/>
  <c r="I961" i="2"/>
  <c r="H961" i="2"/>
  <c r="F961" i="2"/>
  <c r="G961" i="2" s="1"/>
  <c r="D961" i="2"/>
  <c r="C961" i="2"/>
  <c r="B961" i="2"/>
  <c r="A961" i="2"/>
  <c r="AP960" i="2"/>
  <c r="AO960" i="2"/>
  <c r="W960" i="2"/>
  <c r="U960" i="2"/>
  <c r="M960" i="2"/>
  <c r="N960" i="2" s="1"/>
  <c r="AQ960" i="2" s="1"/>
  <c r="K960" i="2"/>
  <c r="J960" i="2"/>
  <c r="I960" i="2"/>
  <c r="H960" i="2"/>
  <c r="F960" i="2"/>
  <c r="G960" i="2" s="1"/>
  <c r="D960" i="2"/>
  <c r="C960" i="2"/>
  <c r="B960" i="2"/>
  <c r="A960" i="2"/>
  <c r="AP959" i="2"/>
  <c r="AO959" i="2"/>
  <c r="AH959" i="2"/>
  <c r="W959" i="2"/>
  <c r="AI959" i="2" s="1"/>
  <c r="U959" i="2"/>
  <c r="M959" i="2"/>
  <c r="N959" i="2" s="1"/>
  <c r="AQ959" i="2" s="1"/>
  <c r="K959" i="2"/>
  <c r="J959" i="2"/>
  <c r="I959" i="2"/>
  <c r="H959" i="2"/>
  <c r="F959" i="2"/>
  <c r="D959" i="2"/>
  <c r="C959" i="2"/>
  <c r="B959" i="2"/>
  <c r="A959" i="2"/>
  <c r="AP958" i="2"/>
  <c r="AO958" i="2"/>
  <c r="AH958" i="2"/>
  <c r="W958" i="2"/>
  <c r="AI958" i="2" s="1"/>
  <c r="U958" i="2"/>
  <c r="M958" i="2"/>
  <c r="N958" i="2" s="1"/>
  <c r="AQ958" i="2" s="1"/>
  <c r="K958" i="2"/>
  <c r="J958" i="2"/>
  <c r="I958" i="2"/>
  <c r="H958" i="2"/>
  <c r="F958" i="2"/>
  <c r="G958" i="2" s="1"/>
  <c r="D958" i="2"/>
  <c r="C958" i="2"/>
  <c r="B958" i="2"/>
  <c r="A958" i="2"/>
  <c r="AP957" i="2"/>
  <c r="AO957" i="2"/>
  <c r="W957" i="2"/>
  <c r="U957" i="2"/>
  <c r="M957" i="2"/>
  <c r="N957" i="2" s="1"/>
  <c r="AQ957" i="2" s="1"/>
  <c r="K957" i="2"/>
  <c r="J957" i="2"/>
  <c r="I957" i="2"/>
  <c r="H957" i="2"/>
  <c r="F957" i="2"/>
  <c r="G957" i="2" s="1"/>
  <c r="D957" i="2"/>
  <c r="C957" i="2"/>
  <c r="B957" i="2"/>
  <c r="A957" i="2"/>
  <c r="AP956" i="2"/>
  <c r="AO956" i="2"/>
  <c r="AH956" i="2"/>
  <c r="W956" i="2"/>
  <c r="AI956" i="2" s="1"/>
  <c r="U956" i="2"/>
  <c r="M956" i="2"/>
  <c r="N956" i="2" s="1"/>
  <c r="AQ956" i="2" s="1"/>
  <c r="K956" i="2"/>
  <c r="J956" i="2"/>
  <c r="I956" i="2"/>
  <c r="H956" i="2"/>
  <c r="F956" i="2"/>
  <c r="D956" i="2"/>
  <c r="C956" i="2"/>
  <c r="B956" i="2"/>
  <c r="A956" i="2"/>
  <c r="AP955" i="2"/>
  <c r="AO955" i="2"/>
  <c r="AH955" i="2"/>
  <c r="W955" i="2"/>
  <c r="AI955" i="2" s="1"/>
  <c r="U955" i="2"/>
  <c r="M955" i="2"/>
  <c r="N955" i="2" s="1"/>
  <c r="AQ955" i="2" s="1"/>
  <c r="K955" i="2"/>
  <c r="J955" i="2"/>
  <c r="I955" i="2"/>
  <c r="H955" i="2"/>
  <c r="F955" i="2"/>
  <c r="D955" i="2"/>
  <c r="C955" i="2"/>
  <c r="B955" i="2"/>
  <c r="A955" i="2"/>
  <c r="AP954" i="2"/>
  <c r="AO954" i="2"/>
  <c r="W954" i="2"/>
  <c r="U954" i="2"/>
  <c r="M954" i="2"/>
  <c r="N954" i="2" s="1"/>
  <c r="AQ954" i="2" s="1"/>
  <c r="K954" i="2"/>
  <c r="J954" i="2"/>
  <c r="I954" i="2"/>
  <c r="H954" i="2"/>
  <c r="F954" i="2"/>
  <c r="G954" i="2" s="1"/>
  <c r="D954" i="2"/>
  <c r="C954" i="2"/>
  <c r="B954" i="2"/>
  <c r="A954" i="2"/>
  <c r="AP953" i="2"/>
  <c r="AO953" i="2"/>
  <c r="W953" i="2"/>
  <c r="U953" i="2"/>
  <c r="M953" i="2"/>
  <c r="N953" i="2" s="1"/>
  <c r="AQ953" i="2" s="1"/>
  <c r="K953" i="2"/>
  <c r="J953" i="2"/>
  <c r="I953" i="2"/>
  <c r="H953" i="2"/>
  <c r="F953" i="2"/>
  <c r="D953" i="2"/>
  <c r="C953" i="2"/>
  <c r="B953" i="2"/>
  <c r="A953" i="2"/>
  <c r="AP952" i="2"/>
  <c r="AO952" i="2"/>
  <c r="AH952" i="2"/>
  <c r="W952" i="2"/>
  <c r="AI952" i="2" s="1"/>
  <c r="U952" i="2"/>
  <c r="M952" i="2"/>
  <c r="N952" i="2" s="1"/>
  <c r="AQ952" i="2" s="1"/>
  <c r="K952" i="2"/>
  <c r="J952" i="2"/>
  <c r="I952" i="2"/>
  <c r="H952" i="2"/>
  <c r="F952" i="2"/>
  <c r="D952" i="2"/>
  <c r="C952" i="2"/>
  <c r="B952" i="2"/>
  <c r="A952" i="2"/>
  <c r="AP951" i="2"/>
  <c r="AO951" i="2"/>
  <c r="W951" i="2"/>
  <c r="AI951" i="2" s="1"/>
  <c r="U951" i="2"/>
  <c r="M951" i="2"/>
  <c r="N951" i="2" s="1"/>
  <c r="AQ951" i="2" s="1"/>
  <c r="K951" i="2"/>
  <c r="J951" i="2"/>
  <c r="I951" i="2"/>
  <c r="H951" i="2"/>
  <c r="F951" i="2"/>
  <c r="G951" i="2" s="1"/>
  <c r="D951" i="2"/>
  <c r="C951" i="2"/>
  <c r="B951" i="2"/>
  <c r="A951" i="2"/>
  <c r="AP950" i="2"/>
  <c r="AO950" i="2"/>
  <c r="W950" i="2"/>
  <c r="AI950" i="2" s="1"/>
  <c r="U950" i="2"/>
  <c r="M950" i="2"/>
  <c r="N950" i="2" s="1"/>
  <c r="AQ950" i="2" s="1"/>
  <c r="K950" i="2"/>
  <c r="J950" i="2"/>
  <c r="I950" i="2"/>
  <c r="H950" i="2"/>
  <c r="F950" i="2"/>
  <c r="G950" i="2" s="1"/>
  <c r="D950" i="2"/>
  <c r="C950" i="2"/>
  <c r="B950" i="2"/>
  <c r="A950" i="2"/>
  <c r="AP949" i="2"/>
  <c r="AO949" i="2"/>
  <c r="W949" i="2"/>
  <c r="U949" i="2"/>
  <c r="M949" i="2"/>
  <c r="N949" i="2" s="1"/>
  <c r="AQ949" i="2" s="1"/>
  <c r="K949" i="2"/>
  <c r="J949" i="2"/>
  <c r="I949" i="2"/>
  <c r="H949" i="2"/>
  <c r="F949" i="2"/>
  <c r="G949" i="2" s="1"/>
  <c r="D949" i="2"/>
  <c r="C949" i="2"/>
  <c r="B949" i="2"/>
  <c r="A949" i="2"/>
  <c r="AP948" i="2"/>
  <c r="AO948" i="2"/>
  <c r="W948" i="2"/>
  <c r="U948" i="2"/>
  <c r="M948" i="2"/>
  <c r="N948" i="2" s="1"/>
  <c r="AQ948" i="2" s="1"/>
  <c r="K948" i="2"/>
  <c r="J948" i="2"/>
  <c r="I948" i="2"/>
  <c r="H948" i="2"/>
  <c r="F948" i="2"/>
  <c r="G948" i="2" s="1"/>
  <c r="D948" i="2"/>
  <c r="C948" i="2"/>
  <c r="B948" i="2"/>
  <c r="A948" i="2"/>
  <c r="AP947" i="2"/>
  <c r="AO947" i="2"/>
  <c r="W947" i="2"/>
  <c r="AH947" i="2" s="1"/>
  <c r="U947" i="2"/>
  <c r="M947" i="2"/>
  <c r="N947" i="2" s="1"/>
  <c r="AQ947" i="2" s="1"/>
  <c r="K947" i="2"/>
  <c r="J947" i="2"/>
  <c r="I947" i="2"/>
  <c r="H947" i="2"/>
  <c r="F947" i="2"/>
  <c r="G947" i="2" s="1"/>
  <c r="D947" i="2"/>
  <c r="C947" i="2"/>
  <c r="B947" i="2"/>
  <c r="A947" i="2"/>
  <c r="AP946" i="2"/>
  <c r="AO946" i="2"/>
  <c r="W946" i="2"/>
  <c r="U946" i="2"/>
  <c r="M946" i="2"/>
  <c r="N946" i="2" s="1"/>
  <c r="AQ946" i="2" s="1"/>
  <c r="K946" i="2"/>
  <c r="J946" i="2"/>
  <c r="I946" i="2"/>
  <c r="H946" i="2"/>
  <c r="F946" i="2"/>
  <c r="G946" i="2" s="1"/>
  <c r="D946" i="2"/>
  <c r="C946" i="2"/>
  <c r="B946" i="2"/>
  <c r="A946" i="2"/>
  <c r="AP945" i="2"/>
  <c r="AO945" i="2"/>
  <c r="W945" i="2"/>
  <c r="U945" i="2"/>
  <c r="M945" i="2"/>
  <c r="N945" i="2" s="1"/>
  <c r="AQ945" i="2" s="1"/>
  <c r="K945" i="2"/>
  <c r="J945" i="2"/>
  <c r="I945" i="2"/>
  <c r="H945" i="2"/>
  <c r="F945" i="2"/>
  <c r="G945" i="2" s="1"/>
  <c r="D945" i="2"/>
  <c r="C945" i="2"/>
  <c r="B945" i="2"/>
  <c r="A945" i="2"/>
  <c r="AP944" i="2"/>
  <c r="AO944" i="2"/>
  <c r="W944" i="2"/>
  <c r="AH944" i="2" s="1"/>
  <c r="U944" i="2"/>
  <c r="M944" i="2"/>
  <c r="N944" i="2" s="1"/>
  <c r="AQ944" i="2" s="1"/>
  <c r="K944" i="2"/>
  <c r="J944" i="2"/>
  <c r="I944" i="2"/>
  <c r="H944" i="2"/>
  <c r="F944" i="2"/>
  <c r="G944" i="2" s="1"/>
  <c r="D944" i="2"/>
  <c r="C944" i="2"/>
  <c r="B944" i="2"/>
  <c r="A944" i="2"/>
  <c r="AP943" i="2"/>
  <c r="AO943" i="2"/>
  <c r="W943" i="2"/>
  <c r="U943" i="2"/>
  <c r="M943" i="2"/>
  <c r="N943" i="2" s="1"/>
  <c r="AQ943" i="2" s="1"/>
  <c r="K943" i="2"/>
  <c r="J943" i="2"/>
  <c r="I943" i="2"/>
  <c r="H943" i="2"/>
  <c r="F943" i="2"/>
  <c r="G943" i="2" s="1"/>
  <c r="D943" i="2"/>
  <c r="C943" i="2"/>
  <c r="B943" i="2"/>
  <c r="A943" i="2"/>
  <c r="AP942" i="2"/>
  <c r="AO942" i="2"/>
  <c r="W942" i="2"/>
  <c r="U942" i="2"/>
  <c r="M942" i="2"/>
  <c r="N942" i="2" s="1"/>
  <c r="AQ942" i="2" s="1"/>
  <c r="K942" i="2"/>
  <c r="J942" i="2"/>
  <c r="I942" i="2"/>
  <c r="H942" i="2"/>
  <c r="F942" i="2"/>
  <c r="G942" i="2" s="1"/>
  <c r="D942" i="2"/>
  <c r="C942" i="2"/>
  <c r="B942" i="2"/>
  <c r="A942" i="2"/>
  <c r="AP941" i="2"/>
  <c r="AO941" i="2"/>
  <c r="W941" i="2"/>
  <c r="U941" i="2"/>
  <c r="M941" i="2"/>
  <c r="N941" i="2" s="1"/>
  <c r="AQ941" i="2" s="1"/>
  <c r="K941" i="2"/>
  <c r="J941" i="2"/>
  <c r="I941" i="2"/>
  <c r="H941" i="2"/>
  <c r="F941" i="2"/>
  <c r="G941" i="2" s="1"/>
  <c r="D941" i="2"/>
  <c r="C941" i="2"/>
  <c r="B941" i="2"/>
  <c r="A941" i="2"/>
  <c r="AP940" i="2"/>
  <c r="AO940" i="2"/>
  <c r="W940" i="2"/>
  <c r="U940" i="2"/>
  <c r="M940" i="2"/>
  <c r="N940" i="2" s="1"/>
  <c r="AQ940" i="2" s="1"/>
  <c r="K940" i="2"/>
  <c r="J940" i="2"/>
  <c r="I940" i="2"/>
  <c r="H940" i="2"/>
  <c r="F940" i="2"/>
  <c r="G940" i="2" s="1"/>
  <c r="D940" i="2"/>
  <c r="C940" i="2"/>
  <c r="B940" i="2"/>
  <c r="A940" i="2"/>
  <c r="AP939" i="2"/>
  <c r="AO939" i="2"/>
  <c r="W939" i="2"/>
  <c r="U939" i="2"/>
  <c r="M939" i="2"/>
  <c r="N939" i="2" s="1"/>
  <c r="AQ939" i="2" s="1"/>
  <c r="K939" i="2"/>
  <c r="J939" i="2"/>
  <c r="I939" i="2"/>
  <c r="H939" i="2"/>
  <c r="F939" i="2"/>
  <c r="G939" i="2" s="1"/>
  <c r="D939" i="2"/>
  <c r="C939" i="2"/>
  <c r="B939" i="2"/>
  <c r="A939" i="2"/>
  <c r="AP938" i="2"/>
  <c r="AO938" i="2"/>
  <c r="W938" i="2"/>
  <c r="AI938" i="2" s="1"/>
  <c r="U938" i="2"/>
  <c r="M938" i="2"/>
  <c r="N938" i="2" s="1"/>
  <c r="AQ938" i="2" s="1"/>
  <c r="K938" i="2"/>
  <c r="J938" i="2"/>
  <c r="I938" i="2"/>
  <c r="H938" i="2"/>
  <c r="F938" i="2"/>
  <c r="G938" i="2" s="1"/>
  <c r="D938" i="2"/>
  <c r="C938" i="2"/>
  <c r="B938" i="2"/>
  <c r="A938" i="2"/>
  <c r="AP937" i="2"/>
  <c r="AO937" i="2"/>
  <c r="AH937" i="2"/>
  <c r="W937" i="2"/>
  <c r="AI937" i="2" s="1"/>
  <c r="U937" i="2"/>
  <c r="M937" i="2"/>
  <c r="N937" i="2" s="1"/>
  <c r="AQ937" i="2" s="1"/>
  <c r="K937" i="2"/>
  <c r="J937" i="2"/>
  <c r="I937" i="2"/>
  <c r="H937" i="2"/>
  <c r="F937" i="2"/>
  <c r="D937" i="2"/>
  <c r="C937" i="2"/>
  <c r="B937" i="2"/>
  <c r="A937" i="2"/>
  <c r="AP936" i="2"/>
  <c r="AO936" i="2"/>
  <c r="W936" i="2"/>
  <c r="U936" i="2"/>
  <c r="M936" i="2"/>
  <c r="N936" i="2" s="1"/>
  <c r="AQ936" i="2" s="1"/>
  <c r="K936" i="2"/>
  <c r="J936" i="2"/>
  <c r="I936" i="2"/>
  <c r="H936" i="2"/>
  <c r="F936" i="2"/>
  <c r="G936" i="2" s="1"/>
  <c r="D936" i="2"/>
  <c r="C936" i="2"/>
  <c r="B936" i="2"/>
  <c r="A936" i="2"/>
  <c r="AP935" i="2"/>
  <c r="AO935" i="2"/>
  <c r="AH935" i="2"/>
  <c r="W935" i="2"/>
  <c r="AI935" i="2" s="1"/>
  <c r="U935" i="2"/>
  <c r="M935" i="2"/>
  <c r="N935" i="2" s="1"/>
  <c r="AQ935" i="2" s="1"/>
  <c r="K935" i="2"/>
  <c r="J935" i="2"/>
  <c r="I935" i="2"/>
  <c r="H935" i="2"/>
  <c r="F935" i="2"/>
  <c r="G935" i="2" s="1"/>
  <c r="D935" i="2"/>
  <c r="C935" i="2"/>
  <c r="B935" i="2"/>
  <c r="A935" i="2"/>
  <c r="AP934" i="2"/>
  <c r="AO934" i="2"/>
  <c r="W934" i="2"/>
  <c r="U934" i="2"/>
  <c r="M934" i="2"/>
  <c r="N934" i="2" s="1"/>
  <c r="AQ934" i="2" s="1"/>
  <c r="K934" i="2"/>
  <c r="J934" i="2"/>
  <c r="I934" i="2"/>
  <c r="H934" i="2"/>
  <c r="F934" i="2"/>
  <c r="G934" i="2" s="1"/>
  <c r="D934" i="2"/>
  <c r="C934" i="2"/>
  <c r="B934" i="2"/>
  <c r="A934" i="2"/>
  <c r="AP933" i="2"/>
  <c r="AO933" i="2"/>
  <c r="W933" i="2"/>
  <c r="U933" i="2"/>
  <c r="M933" i="2"/>
  <c r="N933" i="2" s="1"/>
  <c r="AQ933" i="2" s="1"/>
  <c r="K933" i="2"/>
  <c r="J933" i="2"/>
  <c r="I933" i="2"/>
  <c r="H933" i="2"/>
  <c r="F933" i="2"/>
  <c r="G933" i="2" s="1"/>
  <c r="D933" i="2"/>
  <c r="C933" i="2"/>
  <c r="B933" i="2"/>
  <c r="A933" i="2"/>
  <c r="AP932" i="2"/>
  <c r="AO932" i="2"/>
  <c r="W932" i="2"/>
  <c r="U932" i="2"/>
  <c r="M932" i="2"/>
  <c r="N932" i="2" s="1"/>
  <c r="AQ932" i="2" s="1"/>
  <c r="K932" i="2"/>
  <c r="J932" i="2"/>
  <c r="I932" i="2"/>
  <c r="H932" i="2"/>
  <c r="F932" i="2"/>
  <c r="G932" i="2" s="1"/>
  <c r="D932" i="2"/>
  <c r="C932" i="2"/>
  <c r="B932" i="2"/>
  <c r="A932" i="2"/>
  <c r="AP931" i="2"/>
  <c r="AO931" i="2"/>
  <c r="W931" i="2"/>
  <c r="AI931" i="2" s="1"/>
  <c r="U931" i="2"/>
  <c r="M931" i="2"/>
  <c r="N931" i="2" s="1"/>
  <c r="AQ931" i="2" s="1"/>
  <c r="K931" i="2"/>
  <c r="J931" i="2"/>
  <c r="I931" i="2"/>
  <c r="H931" i="2"/>
  <c r="F931" i="2"/>
  <c r="G931" i="2" s="1"/>
  <c r="D931" i="2"/>
  <c r="C931" i="2"/>
  <c r="B931" i="2"/>
  <c r="A931" i="2"/>
  <c r="AP930" i="2"/>
  <c r="AO930" i="2"/>
  <c r="AH930" i="2"/>
  <c r="W930" i="2"/>
  <c r="AI930" i="2" s="1"/>
  <c r="U930" i="2"/>
  <c r="M930" i="2"/>
  <c r="N930" i="2" s="1"/>
  <c r="AQ930" i="2" s="1"/>
  <c r="K930" i="2"/>
  <c r="J930" i="2"/>
  <c r="I930" i="2"/>
  <c r="H930" i="2"/>
  <c r="F930" i="2"/>
  <c r="D930" i="2"/>
  <c r="C930" i="2"/>
  <c r="B930" i="2"/>
  <c r="A930" i="2"/>
  <c r="AP929" i="2"/>
  <c r="AO929" i="2"/>
  <c r="AH929" i="2"/>
  <c r="W929" i="2"/>
  <c r="AI929" i="2" s="1"/>
  <c r="U929" i="2"/>
  <c r="M929" i="2"/>
  <c r="N929" i="2" s="1"/>
  <c r="AQ929" i="2" s="1"/>
  <c r="K929" i="2"/>
  <c r="J929" i="2"/>
  <c r="I929" i="2"/>
  <c r="H929" i="2"/>
  <c r="F929" i="2"/>
  <c r="D929" i="2"/>
  <c r="C929" i="2"/>
  <c r="B929" i="2"/>
  <c r="A929" i="2"/>
  <c r="AP928" i="2"/>
  <c r="AO928" i="2"/>
  <c r="W928" i="2"/>
  <c r="U928" i="2"/>
  <c r="M928" i="2"/>
  <c r="N928" i="2" s="1"/>
  <c r="AQ928" i="2" s="1"/>
  <c r="K928" i="2"/>
  <c r="J928" i="2"/>
  <c r="I928" i="2"/>
  <c r="H928" i="2"/>
  <c r="F928" i="2"/>
  <c r="G928" i="2" s="1"/>
  <c r="D928" i="2"/>
  <c r="C928" i="2"/>
  <c r="B928" i="2"/>
  <c r="A928" i="2"/>
  <c r="AP927" i="2"/>
  <c r="AO927" i="2"/>
  <c r="W927" i="2"/>
  <c r="AH927" i="2" s="1"/>
  <c r="U927" i="2"/>
  <c r="M927" i="2"/>
  <c r="N927" i="2" s="1"/>
  <c r="AQ927" i="2" s="1"/>
  <c r="K927" i="2"/>
  <c r="J927" i="2"/>
  <c r="I927" i="2"/>
  <c r="H927" i="2"/>
  <c r="F927" i="2"/>
  <c r="G927" i="2" s="1"/>
  <c r="D927" i="2"/>
  <c r="C927" i="2"/>
  <c r="B927" i="2"/>
  <c r="A927" i="2"/>
  <c r="AP926" i="2"/>
  <c r="AO926" i="2"/>
  <c r="AH926" i="2"/>
  <c r="W926" i="2"/>
  <c r="AI926" i="2" s="1"/>
  <c r="U926" i="2"/>
  <c r="M926" i="2"/>
  <c r="N926" i="2" s="1"/>
  <c r="AQ926" i="2" s="1"/>
  <c r="K926" i="2"/>
  <c r="J926" i="2"/>
  <c r="I926" i="2"/>
  <c r="H926" i="2"/>
  <c r="F926" i="2"/>
  <c r="D926" i="2"/>
  <c r="C926" i="2"/>
  <c r="B926" i="2"/>
  <c r="A926" i="2"/>
  <c r="AP925" i="2"/>
  <c r="AO925" i="2"/>
  <c r="W925" i="2"/>
  <c r="U925" i="2"/>
  <c r="M925" i="2"/>
  <c r="N925" i="2" s="1"/>
  <c r="AQ925" i="2" s="1"/>
  <c r="K925" i="2"/>
  <c r="J925" i="2"/>
  <c r="I925" i="2"/>
  <c r="H925" i="2"/>
  <c r="F925" i="2"/>
  <c r="G925" i="2" s="1"/>
  <c r="D925" i="2"/>
  <c r="C925" i="2"/>
  <c r="B925" i="2"/>
  <c r="A925" i="2"/>
  <c r="AP924" i="2"/>
  <c r="AO924" i="2"/>
  <c r="AH924" i="2"/>
  <c r="W924" i="2"/>
  <c r="AI924" i="2" s="1"/>
  <c r="U924" i="2"/>
  <c r="M924" i="2"/>
  <c r="N924" i="2" s="1"/>
  <c r="AQ924" i="2" s="1"/>
  <c r="K924" i="2"/>
  <c r="J924" i="2"/>
  <c r="I924" i="2"/>
  <c r="H924" i="2"/>
  <c r="F924" i="2"/>
  <c r="G924" i="2" s="1"/>
  <c r="D924" i="2"/>
  <c r="C924" i="2"/>
  <c r="B924" i="2"/>
  <c r="A924" i="2"/>
  <c r="AP923" i="2"/>
  <c r="AO923" i="2"/>
  <c r="W923" i="2"/>
  <c r="U923" i="2"/>
  <c r="M923" i="2"/>
  <c r="N923" i="2" s="1"/>
  <c r="AQ923" i="2" s="1"/>
  <c r="K923" i="2"/>
  <c r="J923" i="2"/>
  <c r="I923" i="2"/>
  <c r="H923" i="2"/>
  <c r="F923" i="2"/>
  <c r="G923" i="2" s="1"/>
  <c r="D923" i="2"/>
  <c r="C923" i="2"/>
  <c r="B923" i="2"/>
  <c r="A923" i="2"/>
  <c r="AP922" i="2"/>
  <c r="AO922" i="2"/>
  <c r="W922" i="2"/>
  <c r="U922" i="2"/>
  <c r="M922" i="2"/>
  <c r="N922" i="2" s="1"/>
  <c r="AQ922" i="2" s="1"/>
  <c r="K922" i="2"/>
  <c r="J922" i="2"/>
  <c r="I922" i="2"/>
  <c r="H922" i="2"/>
  <c r="G922" i="2"/>
  <c r="F922" i="2"/>
  <c r="D922" i="2"/>
  <c r="C922" i="2"/>
  <c r="B922" i="2"/>
  <c r="A922" i="2"/>
  <c r="AP921" i="2"/>
  <c r="AO921" i="2"/>
  <c r="W921" i="2"/>
  <c r="U921" i="2"/>
  <c r="M921" i="2"/>
  <c r="N921" i="2" s="1"/>
  <c r="AQ921" i="2" s="1"/>
  <c r="K921" i="2"/>
  <c r="J921" i="2"/>
  <c r="I921" i="2"/>
  <c r="H921" i="2"/>
  <c r="F921" i="2"/>
  <c r="G921" i="2" s="1"/>
  <c r="D921" i="2"/>
  <c r="C921" i="2"/>
  <c r="B921" i="2"/>
  <c r="A921" i="2"/>
  <c r="AP920" i="2"/>
  <c r="AO920" i="2"/>
  <c r="W920" i="2"/>
  <c r="U920" i="2"/>
  <c r="M920" i="2"/>
  <c r="N920" i="2" s="1"/>
  <c r="AQ920" i="2" s="1"/>
  <c r="K920" i="2"/>
  <c r="J920" i="2"/>
  <c r="I920" i="2"/>
  <c r="H920" i="2"/>
  <c r="F920" i="2"/>
  <c r="G920" i="2" s="1"/>
  <c r="D920" i="2"/>
  <c r="C920" i="2"/>
  <c r="B920" i="2"/>
  <c r="A920" i="2"/>
  <c r="AP919" i="2"/>
  <c r="AO919" i="2"/>
  <c r="AI919" i="2"/>
  <c r="W919" i="2"/>
  <c r="AH919" i="2" s="1"/>
  <c r="U919" i="2"/>
  <c r="M919" i="2"/>
  <c r="N919" i="2" s="1"/>
  <c r="AQ919" i="2" s="1"/>
  <c r="K919" i="2"/>
  <c r="J919" i="2"/>
  <c r="I919" i="2"/>
  <c r="H919" i="2"/>
  <c r="F919" i="2"/>
  <c r="G919" i="2" s="1"/>
  <c r="D919" i="2"/>
  <c r="C919" i="2"/>
  <c r="B919" i="2"/>
  <c r="A919" i="2"/>
  <c r="AP918" i="2"/>
  <c r="AO918" i="2"/>
  <c r="W918" i="2"/>
  <c r="U918" i="2"/>
  <c r="M918" i="2"/>
  <c r="N918" i="2" s="1"/>
  <c r="AQ918" i="2" s="1"/>
  <c r="K918" i="2"/>
  <c r="J918" i="2"/>
  <c r="I918" i="2"/>
  <c r="H918" i="2"/>
  <c r="F918" i="2"/>
  <c r="G918" i="2" s="1"/>
  <c r="D918" i="2"/>
  <c r="C918" i="2"/>
  <c r="B918" i="2"/>
  <c r="A918" i="2"/>
  <c r="AP917" i="2"/>
  <c r="AO917" i="2"/>
  <c r="W917" i="2"/>
  <c r="U917" i="2"/>
  <c r="M917" i="2"/>
  <c r="N917" i="2" s="1"/>
  <c r="AQ917" i="2" s="1"/>
  <c r="K917" i="2"/>
  <c r="J917" i="2"/>
  <c r="I917" i="2"/>
  <c r="H917" i="2"/>
  <c r="F917" i="2"/>
  <c r="G917" i="2" s="1"/>
  <c r="D917" i="2"/>
  <c r="C917" i="2"/>
  <c r="B917" i="2"/>
  <c r="A917" i="2"/>
  <c r="AP916" i="2"/>
  <c r="AO916" i="2"/>
  <c r="W916" i="2"/>
  <c r="U916" i="2"/>
  <c r="M916" i="2"/>
  <c r="N916" i="2" s="1"/>
  <c r="AQ916" i="2" s="1"/>
  <c r="K916" i="2"/>
  <c r="J916" i="2"/>
  <c r="I916" i="2"/>
  <c r="H916" i="2"/>
  <c r="F916" i="2"/>
  <c r="G916" i="2" s="1"/>
  <c r="D916" i="2"/>
  <c r="C916" i="2"/>
  <c r="B916" i="2"/>
  <c r="A916" i="2"/>
  <c r="AP915" i="2"/>
  <c r="AO915" i="2"/>
  <c r="W915" i="2"/>
  <c r="AI915" i="2" s="1"/>
  <c r="U915" i="2"/>
  <c r="M915" i="2"/>
  <c r="N915" i="2" s="1"/>
  <c r="AQ915" i="2" s="1"/>
  <c r="K915" i="2"/>
  <c r="J915" i="2"/>
  <c r="I915" i="2"/>
  <c r="H915" i="2"/>
  <c r="F915" i="2"/>
  <c r="G915" i="2" s="1"/>
  <c r="D915" i="2"/>
  <c r="C915" i="2"/>
  <c r="B915" i="2"/>
  <c r="A915" i="2"/>
  <c r="AP914" i="2"/>
  <c r="AO914" i="2"/>
  <c r="AH914" i="2"/>
  <c r="W914" i="2"/>
  <c r="AI914" i="2" s="1"/>
  <c r="U914" i="2"/>
  <c r="M914" i="2"/>
  <c r="N914" i="2" s="1"/>
  <c r="AQ914" i="2" s="1"/>
  <c r="K914" i="2"/>
  <c r="J914" i="2"/>
  <c r="I914" i="2"/>
  <c r="H914" i="2"/>
  <c r="F914" i="2"/>
  <c r="D914" i="2"/>
  <c r="C914" i="2"/>
  <c r="B914" i="2"/>
  <c r="A914" i="2"/>
  <c r="AP913" i="2"/>
  <c r="AO913" i="2"/>
  <c r="AH913" i="2"/>
  <c r="W913" i="2"/>
  <c r="AI913" i="2" s="1"/>
  <c r="U913" i="2"/>
  <c r="M913" i="2"/>
  <c r="N913" i="2" s="1"/>
  <c r="AQ913" i="2" s="1"/>
  <c r="K913" i="2"/>
  <c r="J913" i="2"/>
  <c r="I913" i="2"/>
  <c r="H913" i="2"/>
  <c r="F913" i="2"/>
  <c r="D913" i="2"/>
  <c r="C913" i="2"/>
  <c r="B913" i="2"/>
  <c r="A913" i="2"/>
  <c r="AP912" i="2"/>
  <c r="AO912" i="2"/>
  <c r="W912" i="2"/>
  <c r="U912" i="2"/>
  <c r="M912" i="2"/>
  <c r="N912" i="2" s="1"/>
  <c r="AQ912" i="2" s="1"/>
  <c r="K912" i="2"/>
  <c r="J912" i="2"/>
  <c r="I912" i="2"/>
  <c r="H912" i="2"/>
  <c r="F912" i="2"/>
  <c r="G912" i="2" s="1"/>
  <c r="D912" i="2"/>
  <c r="C912" i="2"/>
  <c r="B912" i="2"/>
  <c r="A912" i="2"/>
  <c r="AP911" i="2"/>
  <c r="AO911" i="2"/>
  <c r="W911" i="2"/>
  <c r="U911" i="2"/>
  <c r="M911" i="2"/>
  <c r="N911" i="2" s="1"/>
  <c r="AQ911" i="2" s="1"/>
  <c r="K911" i="2"/>
  <c r="J911" i="2"/>
  <c r="I911" i="2"/>
  <c r="H911" i="2"/>
  <c r="F911" i="2"/>
  <c r="G911" i="2" s="1"/>
  <c r="D911" i="2"/>
  <c r="C911" i="2"/>
  <c r="B911" i="2"/>
  <c r="A911" i="2"/>
  <c r="AP910" i="2"/>
  <c r="AO910" i="2"/>
  <c r="AH910" i="2"/>
  <c r="W910" i="2"/>
  <c r="AI910" i="2" s="1"/>
  <c r="U910" i="2"/>
  <c r="M910" i="2"/>
  <c r="N910" i="2" s="1"/>
  <c r="AQ910" i="2" s="1"/>
  <c r="K910" i="2"/>
  <c r="J910" i="2"/>
  <c r="I910" i="2"/>
  <c r="H910" i="2"/>
  <c r="F910" i="2"/>
  <c r="D910" i="2"/>
  <c r="C910" i="2"/>
  <c r="B910" i="2"/>
  <c r="A910" i="2"/>
  <c r="AP909" i="2"/>
  <c r="AO909" i="2"/>
  <c r="AH909" i="2"/>
  <c r="W909" i="2"/>
  <c r="AI909" i="2" s="1"/>
  <c r="U909" i="2"/>
  <c r="M909" i="2"/>
  <c r="N909" i="2" s="1"/>
  <c r="AQ909" i="2" s="1"/>
  <c r="K909" i="2"/>
  <c r="J909" i="2"/>
  <c r="I909" i="2"/>
  <c r="H909" i="2"/>
  <c r="F909" i="2"/>
  <c r="D909" i="2"/>
  <c r="C909" i="2"/>
  <c r="B909" i="2"/>
  <c r="A909" i="2"/>
  <c r="AP908" i="2"/>
  <c r="AO908" i="2"/>
  <c r="W908" i="2"/>
  <c r="U908" i="2"/>
  <c r="M908" i="2"/>
  <c r="N908" i="2" s="1"/>
  <c r="AQ908" i="2" s="1"/>
  <c r="K908" i="2"/>
  <c r="J908" i="2"/>
  <c r="I908" i="2"/>
  <c r="H908" i="2"/>
  <c r="F908" i="2"/>
  <c r="G908" i="2" s="1"/>
  <c r="D908" i="2"/>
  <c r="C908" i="2"/>
  <c r="B908" i="2"/>
  <c r="A908" i="2"/>
  <c r="AP907" i="2"/>
  <c r="AO907" i="2"/>
  <c r="AH907" i="2"/>
  <c r="W907" i="2"/>
  <c r="AI907" i="2" s="1"/>
  <c r="U907" i="2"/>
  <c r="M907" i="2"/>
  <c r="N907" i="2" s="1"/>
  <c r="AQ907" i="2" s="1"/>
  <c r="K907" i="2"/>
  <c r="J907" i="2"/>
  <c r="I907" i="2"/>
  <c r="H907" i="2"/>
  <c r="F907" i="2"/>
  <c r="D907" i="2"/>
  <c r="C907" i="2"/>
  <c r="B907" i="2"/>
  <c r="A907" i="2"/>
  <c r="AP906" i="2"/>
  <c r="AO906" i="2"/>
  <c r="AH906" i="2"/>
  <c r="W906" i="2"/>
  <c r="AI906" i="2" s="1"/>
  <c r="U906" i="2"/>
  <c r="M906" i="2"/>
  <c r="N906" i="2" s="1"/>
  <c r="AQ906" i="2" s="1"/>
  <c r="K906" i="2"/>
  <c r="J906" i="2"/>
  <c r="I906" i="2"/>
  <c r="H906" i="2"/>
  <c r="F906" i="2"/>
  <c r="D906" i="2"/>
  <c r="C906" i="2"/>
  <c r="B906" i="2"/>
  <c r="A906" i="2"/>
  <c r="AP905" i="2"/>
  <c r="AO905" i="2"/>
  <c r="AH905" i="2"/>
  <c r="W905" i="2"/>
  <c r="AI905" i="2" s="1"/>
  <c r="U905" i="2"/>
  <c r="M905" i="2"/>
  <c r="N905" i="2" s="1"/>
  <c r="AQ905" i="2" s="1"/>
  <c r="K905" i="2"/>
  <c r="J905" i="2"/>
  <c r="I905" i="2"/>
  <c r="H905" i="2"/>
  <c r="F905" i="2"/>
  <c r="D905" i="2"/>
  <c r="C905" i="2"/>
  <c r="B905" i="2"/>
  <c r="A905" i="2"/>
  <c r="AP904" i="2"/>
  <c r="AO904" i="2"/>
  <c r="AH904" i="2"/>
  <c r="W904" i="2"/>
  <c r="AI904" i="2" s="1"/>
  <c r="U904" i="2"/>
  <c r="M904" i="2"/>
  <c r="N904" i="2" s="1"/>
  <c r="AQ904" i="2" s="1"/>
  <c r="K904" i="2"/>
  <c r="J904" i="2"/>
  <c r="I904" i="2"/>
  <c r="H904" i="2"/>
  <c r="F904" i="2"/>
  <c r="D904" i="2"/>
  <c r="C904" i="2"/>
  <c r="B904" i="2"/>
  <c r="A904" i="2"/>
  <c r="AP903" i="2"/>
  <c r="AO903" i="2"/>
  <c r="AH903" i="2"/>
  <c r="W903" i="2"/>
  <c r="AI903" i="2" s="1"/>
  <c r="U903" i="2"/>
  <c r="M903" i="2"/>
  <c r="N903" i="2" s="1"/>
  <c r="AQ903" i="2" s="1"/>
  <c r="K903" i="2"/>
  <c r="J903" i="2"/>
  <c r="I903" i="2"/>
  <c r="H903" i="2"/>
  <c r="F903" i="2"/>
  <c r="D903" i="2"/>
  <c r="C903" i="2"/>
  <c r="B903" i="2"/>
  <c r="A903" i="2"/>
  <c r="AP902" i="2"/>
  <c r="AO902" i="2"/>
  <c r="AH902" i="2"/>
  <c r="W902" i="2"/>
  <c r="AI902" i="2" s="1"/>
  <c r="U902" i="2"/>
  <c r="M902" i="2"/>
  <c r="N902" i="2" s="1"/>
  <c r="AQ902" i="2" s="1"/>
  <c r="K902" i="2"/>
  <c r="J902" i="2"/>
  <c r="I902" i="2"/>
  <c r="H902" i="2"/>
  <c r="F902" i="2"/>
  <c r="D902" i="2"/>
  <c r="C902" i="2"/>
  <c r="B902" i="2"/>
  <c r="A902" i="2"/>
  <c r="AP901" i="2"/>
  <c r="AO901" i="2"/>
  <c r="AH901" i="2"/>
  <c r="W901" i="2"/>
  <c r="AI901" i="2" s="1"/>
  <c r="U901" i="2"/>
  <c r="M901" i="2"/>
  <c r="N901" i="2" s="1"/>
  <c r="AQ901" i="2" s="1"/>
  <c r="K901" i="2"/>
  <c r="J901" i="2"/>
  <c r="I901" i="2"/>
  <c r="H901" i="2"/>
  <c r="F901" i="2"/>
  <c r="D901" i="2"/>
  <c r="C901" i="2"/>
  <c r="B901" i="2"/>
  <c r="A901" i="2"/>
  <c r="AP900" i="2"/>
  <c r="AO900" i="2"/>
  <c r="AH900" i="2"/>
  <c r="W900" i="2"/>
  <c r="AI900" i="2" s="1"/>
  <c r="U900" i="2"/>
  <c r="M900" i="2"/>
  <c r="N900" i="2" s="1"/>
  <c r="AQ900" i="2" s="1"/>
  <c r="K900" i="2"/>
  <c r="J900" i="2"/>
  <c r="I900" i="2"/>
  <c r="H900" i="2"/>
  <c r="F900" i="2"/>
  <c r="D900" i="2"/>
  <c r="C900" i="2"/>
  <c r="B900" i="2"/>
  <c r="A900" i="2"/>
  <c r="AP899" i="2"/>
  <c r="AO899" i="2"/>
  <c r="AH899" i="2"/>
  <c r="W899" i="2"/>
  <c r="AI899" i="2" s="1"/>
  <c r="U899" i="2"/>
  <c r="M899" i="2"/>
  <c r="N899" i="2" s="1"/>
  <c r="AQ899" i="2" s="1"/>
  <c r="K899" i="2"/>
  <c r="J899" i="2"/>
  <c r="I899" i="2"/>
  <c r="H899" i="2"/>
  <c r="F899" i="2"/>
  <c r="D899" i="2"/>
  <c r="C899" i="2"/>
  <c r="B899" i="2"/>
  <c r="A899" i="2"/>
  <c r="AP898" i="2"/>
  <c r="AO898" i="2"/>
  <c r="W898" i="2"/>
  <c r="U898" i="2"/>
  <c r="M898" i="2"/>
  <c r="N898" i="2" s="1"/>
  <c r="AQ898" i="2" s="1"/>
  <c r="K898" i="2"/>
  <c r="J898" i="2"/>
  <c r="I898" i="2"/>
  <c r="H898" i="2"/>
  <c r="F898" i="2"/>
  <c r="G898" i="2" s="1"/>
  <c r="D898" i="2"/>
  <c r="C898" i="2"/>
  <c r="B898" i="2"/>
  <c r="A898" i="2"/>
  <c r="AP897" i="2"/>
  <c r="AO897" i="2"/>
  <c r="W897" i="2"/>
  <c r="U897" i="2"/>
  <c r="M897" i="2"/>
  <c r="N897" i="2" s="1"/>
  <c r="AQ897" i="2" s="1"/>
  <c r="K897" i="2"/>
  <c r="J897" i="2"/>
  <c r="I897" i="2"/>
  <c r="H897" i="2"/>
  <c r="F897" i="2"/>
  <c r="G897" i="2" s="1"/>
  <c r="D897" i="2"/>
  <c r="C897" i="2"/>
  <c r="B897" i="2"/>
  <c r="A897" i="2"/>
  <c r="AP896" i="2"/>
  <c r="AO896" i="2"/>
  <c r="W896" i="2"/>
  <c r="AI896" i="2" s="1"/>
  <c r="U896" i="2"/>
  <c r="M896" i="2"/>
  <c r="N896" i="2" s="1"/>
  <c r="AQ896" i="2" s="1"/>
  <c r="K896" i="2"/>
  <c r="J896" i="2"/>
  <c r="I896" i="2"/>
  <c r="H896" i="2"/>
  <c r="F896" i="2"/>
  <c r="G896" i="2" s="1"/>
  <c r="D896" i="2"/>
  <c r="C896" i="2"/>
  <c r="B896" i="2"/>
  <c r="A896" i="2"/>
  <c r="AP895" i="2"/>
  <c r="AO895" i="2"/>
  <c r="W895" i="2"/>
  <c r="U895" i="2"/>
  <c r="M895" i="2"/>
  <c r="N895" i="2" s="1"/>
  <c r="AQ895" i="2" s="1"/>
  <c r="K895" i="2"/>
  <c r="J895" i="2"/>
  <c r="I895" i="2"/>
  <c r="H895" i="2"/>
  <c r="F895" i="2"/>
  <c r="G895" i="2" s="1"/>
  <c r="D895" i="2"/>
  <c r="C895" i="2"/>
  <c r="B895" i="2"/>
  <c r="A895" i="2"/>
  <c r="AP894" i="2"/>
  <c r="AO894" i="2"/>
  <c r="W894" i="2"/>
  <c r="U894" i="2"/>
  <c r="M894" i="2"/>
  <c r="N894" i="2" s="1"/>
  <c r="AQ894" i="2" s="1"/>
  <c r="K894" i="2"/>
  <c r="J894" i="2"/>
  <c r="I894" i="2"/>
  <c r="H894" i="2"/>
  <c r="F894" i="2"/>
  <c r="G894" i="2" s="1"/>
  <c r="D894" i="2"/>
  <c r="C894" i="2"/>
  <c r="B894" i="2"/>
  <c r="A894" i="2"/>
  <c r="AP893" i="2"/>
  <c r="AO893" i="2"/>
  <c r="W893" i="2"/>
  <c r="AI893" i="2" s="1"/>
  <c r="U893" i="2"/>
  <c r="M893" i="2"/>
  <c r="N893" i="2" s="1"/>
  <c r="AQ893" i="2" s="1"/>
  <c r="K893" i="2"/>
  <c r="J893" i="2"/>
  <c r="I893" i="2"/>
  <c r="H893" i="2"/>
  <c r="F893" i="2"/>
  <c r="G893" i="2" s="1"/>
  <c r="D893" i="2"/>
  <c r="C893" i="2"/>
  <c r="B893" i="2"/>
  <c r="A893" i="2"/>
  <c r="AP892" i="2"/>
  <c r="AO892" i="2"/>
  <c r="AH892" i="2"/>
  <c r="W892" i="2"/>
  <c r="AI892" i="2" s="1"/>
  <c r="U892" i="2"/>
  <c r="M892" i="2"/>
  <c r="N892" i="2" s="1"/>
  <c r="AQ892" i="2" s="1"/>
  <c r="K892" i="2"/>
  <c r="J892" i="2"/>
  <c r="I892" i="2"/>
  <c r="H892" i="2"/>
  <c r="F892" i="2"/>
  <c r="D892" i="2"/>
  <c r="C892" i="2"/>
  <c r="B892" i="2"/>
  <c r="A892" i="2"/>
  <c r="AP891" i="2"/>
  <c r="AO891" i="2"/>
  <c r="AH891" i="2"/>
  <c r="W891" i="2"/>
  <c r="AI891" i="2" s="1"/>
  <c r="U891" i="2"/>
  <c r="M891" i="2"/>
  <c r="N891" i="2" s="1"/>
  <c r="AQ891" i="2" s="1"/>
  <c r="K891" i="2"/>
  <c r="J891" i="2"/>
  <c r="I891" i="2"/>
  <c r="H891" i="2"/>
  <c r="F891" i="2"/>
  <c r="D891" i="2"/>
  <c r="C891" i="2"/>
  <c r="B891" i="2"/>
  <c r="A891" i="2"/>
  <c r="AP890" i="2"/>
  <c r="AO890" i="2"/>
  <c r="W890" i="2"/>
  <c r="U890" i="2"/>
  <c r="M890" i="2"/>
  <c r="N890" i="2" s="1"/>
  <c r="AQ890" i="2" s="1"/>
  <c r="K890" i="2"/>
  <c r="J890" i="2"/>
  <c r="I890" i="2"/>
  <c r="H890" i="2"/>
  <c r="F890" i="2"/>
  <c r="G890" i="2" s="1"/>
  <c r="D890" i="2"/>
  <c r="C890" i="2"/>
  <c r="B890" i="2"/>
  <c r="A890" i="2"/>
  <c r="AP889" i="2"/>
  <c r="AO889" i="2"/>
  <c r="W889" i="2"/>
  <c r="U889" i="2"/>
  <c r="M889" i="2"/>
  <c r="N889" i="2" s="1"/>
  <c r="AQ889" i="2" s="1"/>
  <c r="K889" i="2"/>
  <c r="J889" i="2"/>
  <c r="I889" i="2"/>
  <c r="H889" i="2"/>
  <c r="F889" i="2"/>
  <c r="G889" i="2" s="1"/>
  <c r="D889" i="2"/>
  <c r="C889" i="2"/>
  <c r="B889" i="2"/>
  <c r="A889" i="2"/>
  <c r="AP888" i="2"/>
  <c r="AO888" i="2"/>
  <c r="W888" i="2"/>
  <c r="U888" i="2"/>
  <c r="M888" i="2"/>
  <c r="N888" i="2" s="1"/>
  <c r="AQ888" i="2" s="1"/>
  <c r="K888" i="2"/>
  <c r="J888" i="2"/>
  <c r="I888" i="2"/>
  <c r="H888" i="2"/>
  <c r="F888" i="2"/>
  <c r="G888" i="2" s="1"/>
  <c r="D888" i="2"/>
  <c r="C888" i="2"/>
  <c r="B888" i="2"/>
  <c r="A888" i="2"/>
  <c r="AP887" i="2"/>
  <c r="AO887" i="2"/>
  <c r="AH887" i="2"/>
  <c r="W887" i="2"/>
  <c r="AI887" i="2" s="1"/>
  <c r="U887" i="2"/>
  <c r="M887" i="2"/>
  <c r="N887" i="2" s="1"/>
  <c r="AQ887" i="2" s="1"/>
  <c r="K887" i="2"/>
  <c r="J887" i="2"/>
  <c r="I887" i="2"/>
  <c r="H887" i="2"/>
  <c r="F887" i="2"/>
  <c r="G887" i="2" s="1"/>
  <c r="D887" i="2"/>
  <c r="C887" i="2"/>
  <c r="B887" i="2"/>
  <c r="A887" i="2"/>
  <c r="AP886" i="2"/>
  <c r="AO886" i="2"/>
  <c r="AH886" i="2"/>
  <c r="W886" i="2"/>
  <c r="AI886" i="2" s="1"/>
  <c r="U886" i="2"/>
  <c r="M886" i="2"/>
  <c r="N886" i="2" s="1"/>
  <c r="AQ886" i="2" s="1"/>
  <c r="K886" i="2"/>
  <c r="J886" i="2"/>
  <c r="I886" i="2"/>
  <c r="H886" i="2"/>
  <c r="F886" i="2"/>
  <c r="D886" i="2"/>
  <c r="C886" i="2"/>
  <c r="B886" i="2"/>
  <c r="A886" i="2"/>
  <c r="AP885" i="2"/>
  <c r="AO885" i="2"/>
  <c r="W885" i="2"/>
  <c r="U885" i="2"/>
  <c r="N885" i="2"/>
  <c r="AQ885" i="2" s="1"/>
  <c r="M885" i="2"/>
  <c r="K885" i="2"/>
  <c r="J885" i="2"/>
  <c r="I885" i="2"/>
  <c r="H885" i="2"/>
  <c r="F885" i="2"/>
  <c r="G885" i="2" s="1"/>
  <c r="D885" i="2"/>
  <c r="C885" i="2"/>
  <c r="B885" i="2"/>
  <c r="A885" i="2"/>
  <c r="AP884" i="2"/>
  <c r="AO884" i="2"/>
  <c r="AH884" i="2"/>
  <c r="W884" i="2"/>
  <c r="AI884" i="2" s="1"/>
  <c r="U884" i="2"/>
  <c r="M884" i="2"/>
  <c r="N884" i="2" s="1"/>
  <c r="AQ884" i="2" s="1"/>
  <c r="K884" i="2"/>
  <c r="J884" i="2"/>
  <c r="I884" i="2"/>
  <c r="H884" i="2"/>
  <c r="F884" i="2"/>
  <c r="D884" i="2"/>
  <c r="C884" i="2"/>
  <c r="B884" i="2"/>
  <c r="A884" i="2"/>
  <c r="AP883" i="2"/>
  <c r="AO883" i="2"/>
  <c r="W883" i="2"/>
  <c r="U883" i="2"/>
  <c r="M883" i="2"/>
  <c r="N883" i="2" s="1"/>
  <c r="AQ883" i="2" s="1"/>
  <c r="K883" i="2"/>
  <c r="J883" i="2"/>
  <c r="I883" i="2"/>
  <c r="H883" i="2"/>
  <c r="F883" i="2"/>
  <c r="G883" i="2" s="1"/>
  <c r="D883" i="2"/>
  <c r="C883" i="2"/>
  <c r="B883" i="2"/>
  <c r="A883" i="2"/>
  <c r="AP882" i="2"/>
  <c r="AO882" i="2"/>
  <c r="AH882" i="2"/>
  <c r="W882" i="2"/>
  <c r="AI882" i="2" s="1"/>
  <c r="U882" i="2"/>
  <c r="M882" i="2"/>
  <c r="N882" i="2" s="1"/>
  <c r="AQ882" i="2" s="1"/>
  <c r="K882" i="2"/>
  <c r="J882" i="2"/>
  <c r="I882" i="2"/>
  <c r="H882" i="2"/>
  <c r="F882" i="2"/>
  <c r="D882" i="2"/>
  <c r="C882" i="2"/>
  <c r="B882" i="2"/>
  <c r="A882" i="2"/>
  <c r="AP881" i="2"/>
  <c r="AO881" i="2"/>
  <c r="W881" i="2"/>
  <c r="U881" i="2"/>
  <c r="M881" i="2"/>
  <c r="N881" i="2" s="1"/>
  <c r="AQ881" i="2" s="1"/>
  <c r="K881" i="2"/>
  <c r="J881" i="2"/>
  <c r="I881" i="2"/>
  <c r="H881" i="2"/>
  <c r="F881" i="2"/>
  <c r="G881" i="2" s="1"/>
  <c r="D881" i="2"/>
  <c r="C881" i="2"/>
  <c r="B881" i="2"/>
  <c r="A881" i="2"/>
  <c r="AP880" i="2"/>
  <c r="AO880" i="2"/>
  <c r="W880" i="2"/>
  <c r="U880" i="2"/>
  <c r="M880" i="2"/>
  <c r="N880" i="2" s="1"/>
  <c r="AQ880" i="2" s="1"/>
  <c r="K880" i="2"/>
  <c r="J880" i="2"/>
  <c r="I880" i="2"/>
  <c r="H880" i="2"/>
  <c r="F880" i="2"/>
  <c r="G880" i="2" s="1"/>
  <c r="D880" i="2"/>
  <c r="C880" i="2"/>
  <c r="B880" i="2"/>
  <c r="A880" i="2"/>
  <c r="AP879" i="2"/>
  <c r="AO879" i="2"/>
  <c r="AH879" i="2"/>
  <c r="W879" i="2"/>
  <c r="AI879" i="2" s="1"/>
  <c r="U879" i="2"/>
  <c r="M879" i="2"/>
  <c r="N879" i="2" s="1"/>
  <c r="AQ879" i="2" s="1"/>
  <c r="K879" i="2"/>
  <c r="J879" i="2"/>
  <c r="I879" i="2"/>
  <c r="H879" i="2"/>
  <c r="F879" i="2"/>
  <c r="D879" i="2"/>
  <c r="C879" i="2"/>
  <c r="B879" i="2"/>
  <c r="A879" i="2"/>
  <c r="AP878" i="2"/>
  <c r="AO878" i="2"/>
  <c r="W878" i="2"/>
  <c r="U878" i="2"/>
  <c r="M878" i="2"/>
  <c r="N878" i="2" s="1"/>
  <c r="AQ878" i="2" s="1"/>
  <c r="K878" i="2"/>
  <c r="J878" i="2"/>
  <c r="I878" i="2"/>
  <c r="H878" i="2"/>
  <c r="F878" i="2"/>
  <c r="G878" i="2" s="1"/>
  <c r="D878" i="2"/>
  <c r="C878" i="2"/>
  <c r="B878" i="2"/>
  <c r="A878" i="2"/>
  <c r="AP877" i="2"/>
  <c r="AO877" i="2"/>
  <c r="W877" i="2"/>
  <c r="U877" i="2"/>
  <c r="M877" i="2"/>
  <c r="N877" i="2" s="1"/>
  <c r="AQ877" i="2" s="1"/>
  <c r="K877" i="2"/>
  <c r="J877" i="2"/>
  <c r="I877" i="2"/>
  <c r="H877" i="2"/>
  <c r="F877" i="2"/>
  <c r="G877" i="2" s="1"/>
  <c r="D877" i="2"/>
  <c r="C877" i="2"/>
  <c r="B877" i="2"/>
  <c r="A877" i="2"/>
  <c r="AP876" i="2"/>
  <c r="AO876" i="2"/>
  <c r="AH876" i="2"/>
  <c r="W876" i="2"/>
  <c r="AI876" i="2" s="1"/>
  <c r="U876" i="2"/>
  <c r="M876" i="2"/>
  <c r="N876" i="2" s="1"/>
  <c r="AQ876" i="2" s="1"/>
  <c r="K876" i="2"/>
  <c r="J876" i="2"/>
  <c r="I876" i="2"/>
  <c r="H876" i="2"/>
  <c r="F876" i="2"/>
  <c r="D876" i="2"/>
  <c r="C876" i="2"/>
  <c r="B876" i="2"/>
  <c r="A876" i="2"/>
  <c r="AP875" i="2"/>
  <c r="AO875" i="2"/>
  <c r="W875" i="2"/>
  <c r="U875" i="2"/>
  <c r="M875" i="2"/>
  <c r="N875" i="2" s="1"/>
  <c r="AQ875" i="2" s="1"/>
  <c r="K875" i="2"/>
  <c r="J875" i="2"/>
  <c r="I875" i="2"/>
  <c r="H875" i="2"/>
  <c r="F875" i="2"/>
  <c r="G875" i="2" s="1"/>
  <c r="D875" i="2"/>
  <c r="C875" i="2"/>
  <c r="B875" i="2"/>
  <c r="A875" i="2"/>
  <c r="AP874" i="2"/>
  <c r="AO874" i="2"/>
  <c r="W874" i="2"/>
  <c r="U874" i="2"/>
  <c r="M874" i="2"/>
  <c r="N874" i="2" s="1"/>
  <c r="AQ874" i="2" s="1"/>
  <c r="K874" i="2"/>
  <c r="J874" i="2"/>
  <c r="I874" i="2"/>
  <c r="H874" i="2"/>
  <c r="F874" i="2"/>
  <c r="G874" i="2" s="1"/>
  <c r="D874" i="2"/>
  <c r="C874" i="2"/>
  <c r="B874" i="2"/>
  <c r="A874" i="2"/>
  <c r="AP873" i="2"/>
  <c r="AO873" i="2"/>
  <c r="W873" i="2"/>
  <c r="U873" i="2"/>
  <c r="M873" i="2"/>
  <c r="N873" i="2" s="1"/>
  <c r="AQ873" i="2" s="1"/>
  <c r="K873" i="2"/>
  <c r="J873" i="2"/>
  <c r="I873" i="2"/>
  <c r="H873" i="2"/>
  <c r="F873" i="2"/>
  <c r="G873" i="2" s="1"/>
  <c r="D873" i="2"/>
  <c r="C873" i="2"/>
  <c r="B873" i="2"/>
  <c r="A873" i="2"/>
  <c r="AP872" i="2"/>
  <c r="AO872" i="2"/>
  <c r="W872" i="2"/>
  <c r="U872" i="2"/>
  <c r="M872" i="2"/>
  <c r="N872" i="2" s="1"/>
  <c r="AQ872" i="2" s="1"/>
  <c r="K872" i="2"/>
  <c r="J872" i="2"/>
  <c r="I872" i="2"/>
  <c r="H872" i="2"/>
  <c r="F872" i="2"/>
  <c r="G872" i="2" s="1"/>
  <c r="D872" i="2"/>
  <c r="C872" i="2"/>
  <c r="B872" i="2"/>
  <c r="A872" i="2"/>
  <c r="AP871" i="2"/>
  <c r="AO871" i="2"/>
  <c r="AH871" i="2"/>
  <c r="W871" i="2"/>
  <c r="AI871" i="2" s="1"/>
  <c r="U871" i="2"/>
  <c r="M871" i="2"/>
  <c r="N871" i="2" s="1"/>
  <c r="AQ871" i="2" s="1"/>
  <c r="K871" i="2"/>
  <c r="J871" i="2"/>
  <c r="I871" i="2"/>
  <c r="H871" i="2"/>
  <c r="F871" i="2"/>
  <c r="D871" i="2"/>
  <c r="C871" i="2"/>
  <c r="B871" i="2"/>
  <c r="A871" i="2"/>
  <c r="AP870" i="2"/>
  <c r="AO870" i="2"/>
  <c r="AH870" i="2"/>
  <c r="W870" i="2"/>
  <c r="AI870" i="2" s="1"/>
  <c r="U870" i="2"/>
  <c r="M870" i="2"/>
  <c r="N870" i="2" s="1"/>
  <c r="AQ870" i="2" s="1"/>
  <c r="K870" i="2"/>
  <c r="J870" i="2"/>
  <c r="I870" i="2"/>
  <c r="H870" i="2"/>
  <c r="F870" i="2"/>
  <c r="D870" i="2"/>
  <c r="C870" i="2"/>
  <c r="B870" i="2"/>
  <c r="A870" i="2"/>
  <c r="AP869" i="2"/>
  <c r="AO869" i="2"/>
  <c r="W869" i="2"/>
  <c r="AI869" i="2" s="1"/>
  <c r="U869" i="2"/>
  <c r="M869" i="2"/>
  <c r="N869" i="2" s="1"/>
  <c r="AQ869" i="2" s="1"/>
  <c r="K869" i="2"/>
  <c r="J869" i="2"/>
  <c r="I869" i="2"/>
  <c r="H869" i="2"/>
  <c r="F869" i="2"/>
  <c r="G869" i="2" s="1"/>
  <c r="D869" i="2"/>
  <c r="C869" i="2"/>
  <c r="B869" i="2"/>
  <c r="A869" i="2"/>
  <c r="AP868" i="2"/>
  <c r="AO868" i="2"/>
  <c r="W868" i="2"/>
  <c r="AI868" i="2" s="1"/>
  <c r="U868" i="2"/>
  <c r="M868" i="2"/>
  <c r="N868" i="2" s="1"/>
  <c r="AQ868" i="2" s="1"/>
  <c r="K868" i="2"/>
  <c r="J868" i="2"/>
  <c r="I868" i="2"/>
  <c r="H868" i="2"/>
  <c r="F868" i="2"/>
  <c r="G868" i="2" s="1"/>
  <c r="D868" i="2"/>
  <c r="C868" i="2"/>
  <c r="B868" i="2"/>
  <c r="A868" i="2"/>
  <c r="AP867" i="2"/>
  <c r="AO867" i="2"/>
  <c r="W867" i="2"/>
  <c r="U867" i="2"/>
  <c r="M867" i="2"/>
  <c r="N867" i="2" s="1"/>
  <c r="AQ867" i="2" s="1"/>
  <c r="K867" i="2"/>
  <c r="J867" i="2"/>
  <c r="I867" i="2"/>
  <c r="H867" i="2"/>
  <c r="F867" i="2"/>
  <c r="G867" i="2" s="1"/>
  <c r="D867" i="2"/>
  <c r="C867" i="2"/>
  <c r="B867" i="2"/>
  <c r="A867" i="2"/>
  <c r="AP866" i="2"/>
  <c r="AO866" i="2"/>
  <c r="AH866" i="2"/>
  <c r="W866" i="2"/>
  <c r="AI866" i="2" s="1"/>
  <c r="U866" i="2"/>
  <c r="M866" i="2"/>
  <c r="N866" i="2" s="1"/>
  <c r="AQ866" i="2" s="1"/>
  <c r="K866" i="2"/>
  <c r="J866" i="2"/>
  <c r="I866" i="2"/>
  <c r="H866" i="2"/>
  <c r="F866" i="2"/>
  <c r="D866" i="2"/>
  <c r="C866" i="2"/>
  <c r="B866" i="2"/>
  <c r="A866" i="2"/>
  <c r="AP865" i="2"/>
  <c r="AO865" i="2"/>
  <c r="W865" i="2"/>
  <c r="U865" i="2"/>
  <c r="M865" i="2"/>
  <c r="N865" i="2" s="1"/>
  <c r="AQ865" i="2" s="1"/>
  <c r="K865" i="2"/>
  <c r="J865" i="2"/>
  <c r="I865" i="2"/>
  <c r="H865" i="2"/>
  <c r="F865" i="2"/>
  <c r="D865" i="2"/>
  <c r="C865" i="2"/>
  <c r="B865" i="2"/>
  <c r="A865" i="2"/>
  <c r="AP864" i="2"/>
  <c r="AO864" i="2"/>
  <c r="W864" i="2"/>
  <c r="AI864" i="2" s="1"/>
  <c r="U864" i="2"/>
  <c r="M864" i="2"/>
  <c r="N864" i="2" s="1"/>
  <c r="AQ864" i="2" s="1"/>
  <c r="K864" i="2"/>
  <c r="J864" i="2"/>
  <c r="I864" i="2"/>
  <c r="H864" i="2"/>
  <c r="F864" i="2"/>
  <c r="D864" i="2"/>
  <c r="C864" i="2"/>
  <c r="B864" i="2"/>
  <c r="A864" i="2"/>
  <c r="AP863" i="2"/>
  <c r="AO863" i="2"/>
  <c r="AH863" i="2"/>
  <c r="W863" i="2"/>
  <c r="AI863" i="2" s="1"/>
  <c r="U863" i="2"/>
  <c r="M863" i="2"/>
  <c r="N863" i="2" s="1"/>
  <c r="AQ863" i="2" s="1"/>
  <c r="K863" i="2"/>
  <c r="J863" i="2"/>
  <c r="I863" i="2"/>
  <c r="H863" i="2"/>
  <c r="F863" i="2"/>
  <c r="D863" i="2"/>
  <c r="C863" i="2"/>
  <c r="B863" i="2"/>
  <c r="A863" i="2"/>
  <c r="AP862" i="2"/>
  <c r="AO862" i="2"/>
  <c r="W862" i="2"/>
  <c r="U862" i="2"/>
  <c r="M862" i="2"/>
  <c r="N862" i="2" s="1"/>
  <c r="AQ862" i="2" s="1"/>
  <c r="K862" i="2"/>
  <c r="J862" i="2"/>
  <c r="I862" i="2"/>
  <c r="H862" i="2"/>
  <c r="F862" i="2"/>
  <c r="G862" i="2" s="1"/>
  <c r="D862" i="2"/>
  <c r="C862" i="2"/>
  <c r="B862" i="2"/>
  <c r="A862" i="2"/>
  <c r="AP861" i="2"/>
  <c r="AO861" i="2"/>
  <c r="AH861" i="2"/>
  <c r="W861" i="2"/>
  <c r="AI861" i="2" s="1"/>
  <c r="U861" i="2"/>
  <c r="M861" i="2"/>
  <c r="N861" i="2" s="1"/>
  <c r="AQ861" i="2" s="1"/>
  <c r="K861" i="2"/>
  <c r="J861" i="2"/>
  <c r="I861" i="2"/>
  <c r="H861" i="2"/>
  <c r="F861" i="2"/>
  <c r="D861" i="2"/>
  <c r="C861" i="2"/>
  <c r="B861" i="2"/>
  <c r="A861" i="2"/>
  <c r="AP860" i="2"/>
  <c r="AO860" i="2"/>
  <c r="W860" i="2"/>
  <c r="U860" i="2"/>
  <c r="M860" i="2"/>
  <c r="N860" i="2" s="1"/>
  <c r="AQ860" i="2" s="1"/>
  <c r="K860" i="2"/>
  <c r="J860" i="2"/>
  <c r="I860" i="2"/>
  <c r="H860" i="2"/>
  <c r="F860" i="2"/>
  <c r="G860" i="2" s="1"/>
  <c r="D860" i="2"/>
  <c r="C860" i="2"/>
  <c r="B860" i="2"/>
  <c r="A860" i="2"/>
  <c r="AP859" i="2"/>
  <c r="AO859" i="2"/>
  <c r="W859" i="2"/>
  <c r="U859" i="2"/>
  <c r="M859" i="2"/>
  <c r="N859" i="2" s="1"/>
  <c r="AQ859" i="2" s="1"/>
  <c r="K859" i="2"/>
  <c r="J859" i="2"/>
  <c r="I859" i="2"/>
  <c r="H859" i="2"/>
  <c r="F859" i="2"/>
  <c r="G859" i="2" s="1"/>
  <c r="D859" i="2"/>
  <c r="C859" i="2"/>
  <c r="B859" i="2"/>
  <c r="A859" i="2"/>
  <c r="AP858" i="2"/>
  <c r="AO858" i="2"/>
  <c r="W858" i="2"/>
  <c r="U858" i="2"/>
  <c r="M858" i="2"/>
  <c r="N858" i="2" s="1"/>
  <c r="AQ858" i="2" s="1"/>
  <c r="K858" i="2"/>
  <c r="J858" i="2"/>
  <c r="I858" i="2"/>
  <c r="H858" i="2"/>
  <c r="F858" i="2"/>
  <c r="G858" i="2" s="1"/>
  <c r="D858" i="2"/>
  <c r="C858" i="2"/>
  <c r="B858" i="2"/>
  <c r="A858" i="2"/>
  <c r="AP857" i="2"/>
  <c r="AO857" i="2"/>
  <c r="W857" i="2"/>
  <c r="U857" i="2"/>
  <c r="M857" i="2"/>
  <c r="N857" i="2" s="1"/>
  <c r="AQ857" i="2" s="1"/>
  <c r="K857" i="2"/>
  <c r="J857" i="2"/>
  <c r="I857" i="2"/>
  <c r="H857" i="2"/>
  <c r="F857" i="2"/>
  <c r="G857" i="2" s="1"/>
  <c r="D857" i="2"/>
  <c r="C857" i="2"/>
  <c r="B857" i="2"/>
  <c r="A857" i="2"/>
  <c r="AP856" i="2"/>
  <c r="AO856" i="2"/>
  <c r="W856" i="2"/>
  <c r="U856" i="2"/>
  <c r="M856" i="2"/>
  <c r="N856" i="2" s="1"/>
  <c r="AQ856" i="2" s="1"/>
  <c r="K856" i="2"/>
  <c r="J856" i="2"/>
  <c r="I856" i="2"/>
  <c r="H856" i="2"/>
  <c r="F856" i="2"/>
  <c r="D856" i="2"/>
  <c r="C856" i="2"/>
  <c r="B856" i="2"/>
  <c r="A856" i="2"/>
  <c r="AP855" i="2"/>
  <c r="AO855" i="2"/>
  <c r="W855" i="2"/>
  <c r="AI855" i="2" s="1"/>
  <c r="U855" i="2"/>
  <c r="M855" i="2"/>
  <c r="N855" i="2" s="1"/>
  <c r="AQ855" i="2" s="1"/>
  <c r="K855" i="2"/>
  <c r="J855" i="2"/>
  <c r="I855" i="2"/>
  <c r="H855" i="2"/>
  <c r="F855" i="2"/>
  <c r="G855" i="2" s="1"/>
  <c r="D855" i="2"/>
  <c r="C855" i="2"/>
  <c r="B855" i="2"/>
  <c r="A855" i="2"/>
  <c r="AP854" i="2"/>
  <c r="AO854" i="2"/>
  <c r="W854" i="2"/>
  <c r="U854" i="2"/>
  <c r="M854" i="2"/>
  <c r="N854" i="2" s="1"/>
  <c r="AQ854" i="2" s="1"/>
  <c r="K854" i="2"/>
  <c r="J854" i="2"/>
  <c r="I854" i="2"/>
  <c r="H854" i="2"/>
  <c r="F854" i="2"/>
  <c r="G854" i="2" s="1"/>
  <c r="D854" i="2"/>
  <c r="C854" i="2"/>
  <c r="B854" i="2"/>
  <c r="A854" i="2"/>
  <c r="AP853" i="2"/>
  <c r="AO853" i="2"/>
  <c r="W853" i="2"/>
  <c r="U853" i="2"/>
  <c r="M853" i="2"/>
  <c r="N853" i="2" s="1"/>
  <c r="AQ853" i="2" s="1"/>
  <c r="K853" i="2"/>
  <c r="J853" i="2"/>
  <c r="I853" i="2"/>
  <c r="H853" i="2"/>
  <c r="F853" i="2"/>
  <c r="G853" i="2" s="1"/>
  <c r="D853" i="2"/>
  <c r="C853" i="2"/>
  <c r="B853" i="2"/>
  <c r="A853" i="2"/>
  <c r="AP852" i="2"/>
  <c r="AO852" i="2"/>
  <c r="W852" i="2"/>
  <c r="U852" i="2"/>
  <c r="M852" i="2"/>
  <c r="N852" i="2" s="1"/>
  <c r="AQ852" i="2" s="1"/>
  <c r="K852" i="2"/>
  <c r="J852" i="2"/>
  <c r="I852" i="2"/>
  <c r="H852" i="2"/>
  <c r="F852" i="2"/>
  <c r="G852" i="2" s="1"/>
  <c r="D852" i="2"/>
  <c r="C852" i="2"/>
  <c r="B852" i="2"/>
  <c r="A852" i="2"/>
  <c r="AP851" i="2"/>
  <c r="AO851" i="2"/>
  <c r="AH851" i="2"/>
  <c r="W851" i="2"/>
  <c r="AI851" i="2" s="1"/>
  <c r="U851" i="2"/>
  <c r="M851" i="2"/>
  <c r="N851" i="2" s="1"/>
  <c r="AQ851" i="2" s="1"/>
  <c r="K851" i="2"/>
  <c r="J851" i="2"/>
  <c r="I851" i="2"/>
  <c r="H851" i="2"/>
  <c r="F851" i="2"/>
  <c r="D851" i="2"/>
  <c r="C851" i="2"/>
  <c r="B851" i="2"/>
  <c r="A851" i="2"/>
  <c r="AP850" i="2"/>
  <c r="AO850" i="2"/>
  <c r="W850" i="2"/>
  <c r="U850" i="2"/>
  <c r="M850" i="2"/>
  <c r="N850" i="2" s="1"/>
  <c r="AQ850" i="2" s="1"/>
  <c r="K850" i="2"/>
  <c r="J850" i="2"/>
  <c r="I850" i="2"/>
  <c r="H850" i="2"/>
  <c r="F850" i="2"/>
  <c r="D850" i="2"/>
  <c r="C850" i="2"/>
  <c r="B850" i="2"/>
  <c r="A850" i="2"/>
  <c r="AP849" i="2"/>
  <c r="AO849" i="2"/>
  <c r="W849" i="2"/>
  <c r="U849" i="2"/>
  <c r="M849" i="2"/>
  <c r="N849" i="2" s="1"/>
  <c r="AQ849" i="2" s="1"/>
  <c r="K849" i="2"/>
  <c r="J849" i="2"/>
  <c r="I849" i="2"/>
  <c r="H849" i="2"/>
  <c r="F849" i="2"/>
  <c r="G849" i="2" s="1"/>
  <c r="D849" i="2"/>
  <c r="C849" i="2"/>
  <c r="B849" i="2"/>
  <c r="A849" i="2"/>
  <c r="AP848" i="2"/>
  <c r="AO848" i="2"/>
  <c r="W848" i="2"/>
  <c r="U848" i="2"/>
  <c r="M848" i="2"/>
  <c r="N848" i="2" s="1"/>
  <c r="AQ848" i="2" s="1"/>
  <c r="K848" i="2"/>
  <c r="J848" i="2"/>
  <c r="I848" i="2"/>
  <c r="H848" i="2"/>
  <c r="F848" i="2"/>
  <c r="G848" i="2" s="1"/>
  <c r="D848" i="2"/>
  <c r="C848" i="2"/>
  <c r="B848" i="2"/>
  <c r="A848" i="2"/>
  <c r="AP847" i="2"/>
  <c r="AO847" i="2"/>
  <c r="W847" i="2"/>
  <c r="U847" i="2"/>
  <c r="M847" i="2"/>
  <c r="N847" i="2" s="1"/>
  <c r="AQ847" i="2" s="1"/>
  <c r="K847" i="2"/>
  <c r="J847" i="2"/>
  <c r="I847" i="2"/>
  <c r="H847" i="2"/>
  <c r="F847" i="2"/>
  <c r="G847" i="2" s="1"/>
  <c r="D847" i="2"/>
  <c r="C847" i="2"/>
  <c r="B847" i="2"/>
  <c r="A847" i="2"/>
  <c r="AP846" i="2"/>
  <c r="AO846" i="2"/>
  <c r="W846" i="2"/>
  <c r="U846" i="2"/>
  <c r="M846" i="2"/>
  <c r="N846" i="2" s="1"/>
  <c r="AQ846" i="2" s="1"/>
  <c r="K846" i="2"/>
  <c r="J846" i="2"/>
  <c r="I846" i="2"/>
  <c r="H846" i="2"/>
  <c r="F846" i="2"/>
  <c r="G846" i="2" s="1"/>
  <c r="D846" i="2"/>
  <c r="C846" i="2"/>
  <c r="B846" i="2"/>
  <c r="A846" i="2"/>
  <c r="AP845" i="2"/>
  <c r="AO845" i="2"/>
  <c r="W845" i="2"/>
  <c r="AH845" i="2" s="1"/>
  <c r="U845" i="2"/>
  <c r="M845" i="2"/>
  <c r="N845" i="2" s="1"/>
  <c r="AQ845" i="2" s="1"/>
  <c r="K845" i="2"/>
  <c r="J845" i="2"/>
  <c r="I845" i="2"/>
  <c r="H845" i="2"/>
  <c r="F845" i="2"/>
  <c r="G845" i="2" s="1"/>
  <c r="D845" i="2"/>
  <c r="C845" i="2"/>
  <c r="B845" i="2"/>
  <c r="A845" i="2"/>
  <c r="AP844" i="2"/>
  <c r="AO844" i="2"/>
  <c r="AH844" i="2"/>
  <c r="W844" i="2"/>
  <c r="AI844" i="2" s="1"/>
  <c r="U844" i="2"/>
  <c r="M844" i="2"/>
  <c r="N844" i="2" s="1"/>
  <c r="AQ844" i="2" s="1"/>
  <c r="K844" i="2"/>
  <c r="J844" i="2"/>
  <c r="I844" i="2"/>
  <c r="H844" i="2"/>
  <c r="F844" i="2"/>
  <c r="D844" i="2"/>
  <c r="C844" i="2"/>
  <c r="B844" i="2"/>
  <c r="A844" i="2"/>
  <c r="AP843" i="2"/>
  <c r="AO843" i="2"/>
  <c r="AH843" i="2"/>
  <c r="W843" i="2"/>
  <c r="AI843" i="2" s="1"/>
  <c r="U843" i="2"/>
  <c r="M843" i="2"/>
  <c r="N843" i="2" s="1"/>
  <c r="AQ843" i="2" s="1"/>
  <c r="K843" i="2"/>
  <c r="J843" i="2"/>
  <c r="I843" i="2"/>
  <c r="H843" i="2"/>
  <c r="F843" i="2"/>
  <c r="G843" i="2" s="1"/>
  <c r="D843" i="2"/>
  <c r="C843" i="2"/>
  <c r="B843" i="2"/>
  <c r="A843" i="2"/>
  <c r="AP842" i="2"/>
  <c r="AO842" i="2"/>
  <c r="AH842" i="2"/>
  <c r="W842" i="2"/>
  <c r="AI842" i="2" s="1"/>
  <c r="U842" i="2"/>
  <c r="M842" i="2"/>
  <c r="N842" i="2" s="1"/>
  <c r="AQ842" i="2" s="1"/>
  <c r="K842" i="2"/>
  <c r="J842" i="2"/>
  <c r="I842" i="2"/>
  <c r="H842" i="2"/>
  <c r="F842" i="2"/>
  <c r="G842" i="2" s="1"/>
  <c r="D842" i="2"/>
  <c r="C842" i="2"/>
  <c r="B842" i="2"/>
  <c r="A842" i="2"/>
  <c r="AP841" i="2"/>
  <c r="AO841" i="2"/>
  <c r="AH841" i="2"/>
  <c r="W841" i="2"/>
  <c r="AI841" i="2" s="1"/>
  <c r="U841" i="2"/>
  <c r="M841" i="2"/>
  <c r="N841" i="2" s="1"/>
  <c r="AQ841" i="2" s="1"/>
  <c r="K841" i="2"/>
  <c r="J841" i="2"/>
  <c r="I841" i="2"/>
  <c r="H841" i="2"/>
  <c r="F841" i="2"/>
  <c r="D841" i="2"/>
  <c r="C841" i="2"/>
  <c r="B841" i="2"/>
  <c r="A841" i="2"/>
  <c r="AP840" i="2"/>
  <c r="AO840" i="2"/>
  <c r="W840" i="2"/>
  <c r="U840" i="2"/>
  <c r="M840" i="2"/>
  <c r="N840" i="2" s="1"/>
  <c r="AQ840" i="2" s="1"/>
  <c r="K840" i="2"/>
  <c r="J840" i="2"/>
  <c r="I840" i="2"/>
  <c r="H840" i="2"/>
  <c r="F840" i="2"/>
  <c r="G840" i="2" s="1"/>
  <c r="D840" i="2"/>
  <c r="C840" i="2"/>
  <c r="B840" i="2"/>
  <c r="A840" i="2"/>
  <c r="AP839" i="2"/>
  <c r="AO839" i="2"/>
  <c r="AH839" i="2"/>
  <c r="W839" i="2"/>
  <c r="AI839" i="2" s="1"/>
  <c r="U839" i="2"/>
  <c r="M839" i="2"/>
  <c r="N839" i="2" s="1"/>
  <c r="AQ839" i="2" s="1"/>
  <c r="K839" i="2"/>
  <c r="J839" i="2"/>
  <c r="I839" i="2"/>
  <c r="H839" i="2"/>
  <c r="F839" i="2"/>
  <c r="G839" i="2" s="1"/>
  <c r="D839" i="2"/>
  <c r="C839" i="2"/>
  <c r="B839" i="2"/>
  <c r="A839" i="2"/>
  <c r="AP838" i="2"/>
  <c r="AO838" i="2"/>
  <c r="W838" i="2"/>
  <c r="AI838" i="2" s="1"/>
  <c r="U838" i="2"/>
  <c r="M838" i="2"/>
  <c r="N838" i="2" s="1"/>
  <c r="AQ838" i="2" s="1"/>
  <c r="K838" i="2"/>
  <c r="J838" i="2"/>
  <c r="I838" i="2"/>
  <c r="H838" i="2"/>
  <c r="F838" i="2"/>
  <c r="G838" i="2" s="1"/>
  <c r="D838" i="2"/>
  <c r="C838" i="2"/>
  <c r="B838" i="2"/>
  <c r="A838" i="2"/>
  <c r="AP837" i="2"/>
  <c r="AO837" i="2"/>
  <c r="W837" i="2"/>
  <c r="U837" i="2"/>
  <c r="M837" i="2"/>
  <c r="N837" i="2" s="1"/>
  <c r="AQ837" i="2" s="1"/>
  <c r="K837" i="2"/>
  <c r="J837" i="2"/>
  <c r="I837" i="2"/>
  <c r="H837" i="2"/>
  <c r="F837" i="2"/>
  <c r="G837" i="2" s="1"/>
  <c r="D837" i="2"/>
  <c r="C837" i="2"/>
  <c r="B837" i="2"/>
  <c r="A837" i="2"/>
  <c r="AP836" i="2"/>
  <c r="AO836" i="2"/>
  <c r="AH836" i="2"/>
  <c r="W836" i="2"/>
  <c r="AI836" i="2" s="1"/>
  <c r="U836" i="2"/>
  <c r="M836" i="2"/>
  <c r="N836" i="2" s="1"/>
  <c r="AQ836" i="2" s="1"/>
  <c r="K836" i="2"/>
  <c r="J836" i="2"/>
  <c r="I836" i="2"/>
  <c r="H836" i="2"/>
  <c r="F836" i="2"/>
  <c r="D836" i="2"/>
  <c r="C836" i="2"/>
  <c r="B836" i="2"/>
  <c r="A836" i="2"/>
  <c r="AP835" i="2"/>
  <c r="AO835" i="2"/>
  <c r="W835" i="2"/>
  <c r="U835" i="2"/>
  <c r="M835" i="2"/>
  <c r="N835" i="2" s="1"/>
  <c r="AQ835" i="2" s="1"/>
  <c r="K835" i="2"/>
  <c r="J835" i="2"/>
  <c r="I835" i="2"/>
  <c r="H835" i="2"/>
  <c r="F835" i="2"/>
  <c r="G835" i="2" s="1"/>
  <c r="D835" i="2"/>
  <c r="C835" i="2"/>
  <c r="B835" i="2"/>
  <c r="A835" i="2"/>
  <c r="AP834" i="2"/>
  <c r="AO834" i="2"/>
  <c r="AH834" i="2"/>
  <c r="W834" i="2"/>
  <c r="AI834" i="2" s="1"/>
  <c r="U834" i="2"/>
  <c r="M834" i="2"/>
  <c r="N834" i="2" s="1"/>
  <c r="AQ834" i="2" s="1"/>
  <c r="K834" i="2"/>
  <c r="J834" i="2"/>
  <c r="I834" i="2"/>
  <c r="H834" i="2"/>
  <c r="F834" i="2"/>
  <c r="D834" i="2"/>
  <c r="C834" i="2"/>
  <c r="B834" i="2"/>
  <c r="A834" i="2"/>
  <c r="AP833" i="2"/>
  <c r="AO833" i="2"/>
  <c r="W833" i="2"/>
  <c r="AI833" i="2" s="1"/>
  <c r="U833" i="2"/>
  <c r="M833" i="2"/>
  <c r="N833" i="2" s="1"/>
  <c r="AQ833" i="2" s="1"/>
  <c r="K833" i="2"/>
  <c r="J833" i="2"/>
  <c r="I833" i="2"/>
  <c r="H833" i="2"/>
  <c r="F833" i="2"/>
  <c r="G833" i="2" s="1"/>
  <c r="D833" i="2"/>
  <c r="C833" i="2"/>
  <c r="B833" i="2"/>
  <c r="A833" i="2"/>
  <c r="AP832" i="2"/>
  <c r="AO832" i="2"/>
  <c r="W832" i="2"/>
  <c r="U832" i="2"/>
  <c r="M832" i="2"/>
  <c r="N832" i="2" s="1"/>
  <c r="AQ832" i="2" s="1"/>
  <c r="K832" i="2"/>
  <c r="J832" i="2"/>
  <c r="I832" i="2"/>
  <c r="H832" i="2"/>
  <c r="F832" i="2"/>
  <c r="G832" i="2" s="1"/>
  <c r="D832" i="2"/>
  <c r="C832" i="2"/>
  <c r="B832" i="2"/>
  <c r="A832" i="2"/>
  <c r="AP831" i="2"/>
  <c r="AO831" i="2"/>
  <c r="W831" i="2"/>
  <c r="U831" i="2"/>
  <c r="M831" i="2"/>
  <c r="N831" i="2" s="1"/>
  <c r="AQ831" i="2" s="1"/>
  <c r="K831" i="2"/>
  <c r="J831" i="2"/>
  <c r="I831" i="2"/>
  <c r="H831" i="2"/>
  <c r="F831" i="2"/>
  <c r="G831" i="2" s="1"/>
  <c r="D831" i="2"/>
  <c r="C831" i="2"/>
  <c r="B831" i="2"/>
  <c r="A831" i="2"/>
  <c r="AP830" i="2"/>
  <c r="AO830" i="2"/>
  <c r="AH830" i="2"/>
  <c r="W830" i="2"/>
  <c r="AI830" i="2" s="1"/>
  <c r="U830" i="2"/>
  <c r="M830" i="2"/>
  <c r="N830" i="2" s="1"/>
  <c r="AQ830" i="2" s="1"/>
  <c r="K830" i="2"/>
  <c r="J830" i="2"/>
  <c r="I830" i="2"/>
  <c r="H830" i="2"/>
  <c r="F830" i="2"/>
  <c r="D830" i="2"/>
  <c r="C830" i="2"/>
  <c r="B830" i="2"/>
  <c r="A830" i="2"/>
  <c r="AP829" i="2"/>
  <c r="AO829" i="2"/>
  <c r="AH829" i="2"/>
  <c r="W829" i="2"/>
  <c r="AI829" i="2" s="1"/>
  <c r="U829" i="2"/>
  <c r="M829" i="2"/>
  <c r="N829" i="2" s="1"/>
  <c r="AQ829" i="2" s="1"/>
  <c r="K829" i="2"/>
  <c r="J829" i="2"/>
  <c r="I829" i="2"/>
  <c r="H829" i="2"/>
  <c r="F829" i="2"/>
  <c r="D829" i="2"/>
  <c r="C829" i="2"/>
  <c r="B829" i="2"/>
  <c r="A829" i="2"/>
  <c r="AP828" i="2"/>
  <c r="AO828" i="2"/>
  <c r="AH828" i="2"/>
  <c r="W828" i="2"/>
  <c r="AI828" i="2" s="1"/>
  <c r="U828" i="2"/>
  <c r="M828" i="2"/>
  <c r="N828" i="2" s="1"/>
  <c r="AQ828" i="2" s="1"/>
  <c r="K828" i="2"/>
  <c r="J828" i="2"/>
  <c r="I828" i="2"/>
  <c r="H828" i="2"/>
  <c r="F828" i="2"/>
  <c r="D828" i="2"/>
  <c r="C828" i="2"/>
  <c r="B828" i="2"/>
  <c r="A828" i="2"/>
  <c r="AP827" i="2"/>
  <c r="AO827" i="2"/>
  <c r="AH827" i="2"/>
  <c r="W827" i="2"/>
  <c r="AI827" i="2" s="1"/>
  <c r="U827" i="2"/>
  <c r="M827" i="2"/>
  <c r="N827" i="2" s="1"/>
  <c r="AQ827" i="2" s="1"/>
  <c r="K827" i="2"/>
  <c r="J827" i="2"/>
  <c r="I827" i="2"/>
  <c r="H827" i="2"/>
  <c r="F827" i="2"/>
  <c r="D827" i="2"/>
  <c r="C827" i="2"/>
  <c r="B827" i="2"/>
  <c r="A827" i="2"/>
  <c r="AP826" i="2"/>
  <c r="AO826" i="2"/>
  <c r="AH826" i="2"/>
  <c r="W826" i="2"/>
  <c r="AI826" i="2" s="1"/>
  <c r="U826" i="2"/>
  <c r="M826" i="2"/>
  <c r="N826" i="2" s="1"/>
  <c r="AQ826" i="2" s="1"/>
  <c r="K826" i="2"/>
  <c r="J826" i="2"/>
  <c r="I826" i="2"/>
  <c r="H826" i="2"/>
  <c r="F826" i="2"/>
  <c r="D826" i="2"/>
  <c r="C826" i="2"/>
  <c r="B826" i="2"/>
  <c r="A826" i="2"/>
  <c r="AP825" i="2"/>
  <c r="AO825" i="2"/>
  <c r="W825" i="2"/>
  <c r="U825" i="2"/>
  <c r="M825" i="2"/>
  <c r="N825" i="2" s="1"/>
  <c r="AQ825" i="2" s="1"/>
  <c r="K825" i="2"/>
  <c r="J825" i="2"/>
  <c r="I825" i="2"/>
  <c r="H825" i="2"/>
  <c r="F825" i="2"/>
  <c r="G825" i="2" s="1"/>
  <c r="D825" i="2"/>
  <c r="C825" i="2"/>
  <c r="B825" i="2"/>
  <c r="A825" i="2"/>
  <c r="AP824" i="2"/>
  <c r="AO824" i="2"/>
  <c r="W824" i="2"/>
  <c r="U824" i="2"/>
  <c r="M824" i="2"/>
  <c r="N824" i="2" s="1"/>
  <c r="AQ824" i="2" s="1"/>
  <c r="K824" i="2"/>
  <c r="J824" i="2"/>
  <c r="I824" i="2"/>
  <c r="H824" i="2"/>
  <c r="F824" i="2"/>
  <c r="G824" i="2" s="1"/>
  <c r="D824" i="2"/>
  <c r="C824" i="2"/>
  <c r="B824" i="2"/>
  <c r="A824" i="2"/>
  <c r="AP823" i="2"/>
  <c r="AO823" i="2"/>
  <c r="W823" i="2"/>
  <c r="U823" i="2"/>
  <c r="M823" i="2"/>
  <c r="N823" i="2" s="1"/>
  <c r="AQ823" i="2" s="1"/>
  <c r="K823" i="2"/>
  <c r="J823" i="2"/>
  <c r="I823" i="2"/>
  <c r="H823" i="2"/>
  <c r="F823" i="2"/>
  <c r="G823" i="2" s="1"/>
  <c r="D823" i="2"/>
  <c r="C823" i="2"/>
  <c r="B823" i="2"/>
  <c r="A823" i="2"/>
  <c r="AP822" i="2"/>
  <c r="AO822" i="2"/>
  <c r="W822" i="2"/>
  <c r="U822" i="2"/>
  <c r="M822" i="2"/>
  <c r="N822" i="2" s="1"/>
  <c r="AQ822" i="2" s="1"/>
  <c r="K822" i="2"/>
  <c r="J822" i="2"/>
  <c r="I822" i="2"/>
  <c r="H822" i="2"/>
  <c r="F822" i="2"/>
  <c r="G822" i="2" s="1"/>
  <c r="D822" i="2"/>
  <c r="C822" i="2"/>
  <c r="B822" i="2"/>
  <c r="A822" i="2"/>
  <c r="AP821" i="2"/>
  <c r="AO821" i="2"/>
  <c r="W821" i="2"/>
  <c r="U821" i="2"/>
  <c r="M821" i="2"/>
  <c r="N821" i="2" s="1"/>
  <c r="AQ821" i="2" s="1"/>
  <c r="K821" i="2"/>
  <c r="J821" i="2"/>
  <c r="I821" i="2"/>
  <c r="H821" i="2"/>
  <c r="F821" i="2"/>
  <c r="G821" i="2" s="1"/>
  <c r="D821" i="2"/>
  <c r="C821" i="2"/>
  <c r="B821" i="2"/>
  <c r="A821" i="2"/>
  <c r="AP820" i="2"/>
  <c r="AO820" i="2"/>
  <c r="W820" i="2"/>
  <c r="U820" i="2"/>
  <c r="M820" i="2"/>
  <c r="N820" i="2" s="1"/>
  <c r="AQ820" i="2" s="1"/>
  <c r="K820" i="2"/>
  <c r="J820" i="2"/>
  <c r="I820" i="2"/>
  <c r="H820" i="2"/>
  <c r="F820" i="2"/>
  <c r="G820" i="2" s="1"/>
  <c r="D820" i="2"/>
  <c r="C820" i="2"/>
  <c r="B820" i="2"/>
  <c r="A820" i="2"/>
  <c r="AP819" i="2"/>
  <c r="AO819" i="2"/>
  <c r="W819" i="2"/>
  <c r="U819" i="2"/>
  <c r="M819" i="2"/>
  <c r="N819" i="2" s="1"/>
  <c r="AQ819" i="2" s="1"/>
  <c r="K819" i="2"/>
  <c r="J819" i="2"/>
  <c r="I819" i="2"/>
  <c r="H819" i="2"/>
  <c r="F819" i="2"/>
  <c r="G819" i="2" s="1"/>
  <c r="D819" i="2"/>
  <c r="C819" i="2"/>
  <c r="B819" i="2"/>
  <c r="A819" i="2"/>
  <c r="AP818" i="2"/>
  <c r="AO818" i="2"/>
  <c r="W818" i="2"/>
  <c r="U818" i="2"/>
  <c r="M818" i="2"/>
  <c r="N818" i="2" s="1"/>
  <c r="AQ818" i="2" s="1"/>
  <c r="K818" i="2"/>
  <c r="J818" i="2"/>
  <c r="I818" i="2"/>
  <c r="H818" i="2"/>
  <c r="F818" i="2"/>
  <c r="G818" i="2" s="1"/>
  <c r="D818" i="2"/>
  <c r="C818" i="2"/>
  <c r="B818" i="2"/>
  <c r="A818" i="2"/>
  <c r="AP817" i="2"/>
  <c r="AO817" i="2"/>
  <c r="W817" i="2"/>
  <c r="U817" i="2"/>
  <c r="M817" i="2"/>
  <c r="N817" i="2" s="1"/>
  <c r="AQ817" i="2" s="1"/>
  <c r="K817" i="2"/>
  <c r="J817" i="2"/>
  <c r="I817" i="2"/>
  <c r="H817" i="2"/>
  <c r="F817" i="2"/>
  <c r="G817" i="2" s="1"/>
  <c r="D817" i="2"/>
  <c r="C817" i="2"/>
  <c r="B817" i="2"/>
  <c r="A817" i="2"/>
  <c r="AP816" i="2"/>
  <c r="AO816" i="2"/>
  <c r="AH816" i="2"/>
  <c r="W816" i="2"/>
  <c r="AI816" i="2" s="1"/>
  <c r="U816" i="2"/>
  <c r="M816" i="2"/>
  <c r="N816" i="2" s="1"/>
  <c r="AQ816" i="2" s="1"/>
  <c r="K816" i="2"/>
  <c r="J816" i="2"/>
  <c r="I816" i="2"/>
  <c r="H816" i="2"/>
  <c r="F816" i="2"/>
  <c r="D816" i="2"/>
  <c r="C816" i="2"/>
  <c r="B816" i="2"/>
  <c r="A816" i="2"/>
  <c r="AP815" i="2"/>
  <c r="AO815" i="2"/>
  <c r="AH815" i="2"/>
  <c r="W815" i="2"/>
  <c r="AI815" i="2" s="1"/>
  <c r="U815" i="2"/>
  <c r="M815" i="2"/>
  <c r="N815" i="2" s="1"/>
  <c r="AQ815" i="2" s="1"/>
  <c r="K815" i="2"/>
  <c r="J815" i="2"/>
  <c r="I815" i="2"/>
  <c r="H815" i="2"/>
  <c r="F815" i="2"/>
  <c r="D815" i="2"/>
  <c r="C815" i="2"/>
  <c r="B815" i="2"/>
  <c r="A815" i="2"/>
  <c r="AP814" i="2"/>
  <c r="AO814" i="2"/>
  <c r="AH814" i="2"/>
  <c r="W814" i="2"/>
  <c r="AI814" i="2" s="1"/>
  <c r="U814" i="2"/>
  <c r="M814" i="2"/>
  <c r="N814" i="2" s="1"/>
  <c r="AQ814" i="2" s="1"/>
  <c r="K814" i="2"/>
  <c r="J814" i="2"/>
  <c r="I814" i="2"/>
  <c r="H814" i="2"/>
  <c r="F814" i="2"/>
  <c r="D814" i="2"/>
  <c r="C814" i="2"/>
  <c r="B814" i="2"/>
  <c r="A814" i="2"/>
  <c r="AP813" i="2"/>
  <c r="AO813" i="2"/>
  <c r="W813" i="2"/>
  <c r="U813" i="2"/>
  <c r="M813" i="2"/>
  <c r="N813" i="2" s="1"/>
  <c r="AQ813" i="2" s="1"/>
  <c r="K813" i="2"/>
  <c r="J813" i="2"/>
  <c r="I813" i="2"/>
  <c r="H813" i="2"/>
  <c r="F813" i="2"/>
  <c r="G813" i="2" s="1"/>
  <c r="D813" i="2"/>
  <c r="C813" i="2"/>
  <c r="B813" i="2"/>
  <c r="A813" i="2"/>
  <c r="AP812" i="2"/>
  <c r="AO812" i="2"/>
  <c r="W812" i="2"/>
  <c r="U812" i="2"/>
  <c r="M812" i="2"/>
  <c r="N812" i="2" s="1"/>
  <c r="AQ812" i="2" s="1"/>
  <c r="K812" i="2"/>
  <c r="J812" i="2"/>
  <c r="I812" i="2"/>
  <c r="H812" i="2"/>
  <c r="F812" i="2"/>
  <c r="G812" i="2" s="1"/>
  <c r="D812" i="2"/>
  <c r="C812" i="2"/>
  <c r="B812" i="2"/>
  <c r="A812" i="2"/>
  <c r="AP811" i="2"/>
  <c r="AO811" i="2"/>
  <c r="AH811" i="2"/>
  <c r="W811" i="2"/>
  <c r="AI811" i="2" s="1"/>
  <c r="U811" i="2"/>
  <c r="M811" i="2"/>
  <c r="N811" i="2" s="1"/>
  <c r="AQ811" i="2" s="1"/>
  <c r="K811" i="2"/>
  <c r="J811" i="2"/>
  <c r="I811" i="2"/>
  <c r="H811" i="2"/>
  <c r="F811" i="2"/>
  <c r="D811" i="2"/>
  <c r="C811" i="2"/>
  <c r="B811" i="2"/>
  <c r="A811" i="2"/>
  <c r="AP810" i="2"/>
  <c r="AO810" i="2"/>
  <c r="W810" i="2"/>
  <c r="U810" i="2"/>
  <c r="M810" i="2"/>
  <c r="N810" i="2" s="1"/>
  <c r="AQ810" i="2" s="1"/>
  <c r="K810" i="2"/>
  <c r="J810" i="2"/>
  <c r="I810" i="2"/>
  <c r="H810" i="2"/>
  <c r="F810" i="2"/>
  <c r="G810" i="2" s="1"/>
  <c r="D810" i="2"/>
  <c r="C810" i="2"/>
  <c r="B810" i="2"/>
  <c r="A810" i="2"/>
  <c r="AP809" i="2"/>
  <c r="AO809" i="2"/>
  <c r="AH809" i="2"/>
  <c r="W809" i="2"/>
  <c r="AI809" i="2" s="1"/>
  <c r="U809" i="2"/>
  <c r="M809" i="2"/>
  <c r="N809" i="2" s="1"/>
  <c r="AQ809" i="2" s="1"/>
  <c r="K809" i="2"/>
  <c r="J809" i="2"/>
  <c r="I809" i="2"/>
  <c r="H809" i="2"/>
  <c r="F809" i="2"/>
  <c r="D809" i="2"/>
  <c r="C809" i="2"/>
  <c r="B809" i="2"/>
  <c r="A809" i="2"/>
  <c r="AP808" i="2"/>
  <c r="AO808" i="2"/>
  <c r="AH808" i="2"/>
  <c r="W808" i="2"/>
  <c r="AI808" i="2" s="1"/>
  <c r="U808" i="2"/>
  <c r="M808" i="2"/>
  <c r="N808" i="2" s="1"/>
  <c r="AQ808" i="2" s="1"/>
  <c r="K808" i="2"/>
  <c r="J808" i="2"/>
  <c r="I808" i="2"/>
  <c r="H808" i="2"/>
  <c r="F808" i="2"/>
  <c r="D808" i="2"/>
  <c r="C808" i="2"/>
  <c r="B808" i="2"/>
  <c r="A808" i="2"/>
  <c r="AP807" i="2"/>
  <c r="AO807" i="2"/>
  <c r="AH807" i="2"/>
  <c r="W807" i="2"/>
  <c r="AI807" i="2" s="1"/>
  <c r="U807" i="2"/>
  <c r="M807" i="2"/>
  <c r="N807" i="2" s="1"/>
  <c r="AQ807" i="2" s="1"/>
  <c r="K807" i="2"/>
  <c r="J807" i="2"/>
  <c r="I807" i="2"/>
  <c r="H807" i="2"/>
  <c r="F807" i="2"/>
  <c r="D807" i="2"/>
  <c r="C807" i="2"/>
  <c r="B807" i="2"/>
  <c r="A807" i="2"/>
  <c r="AP806" i="2"/>
  <c r="AO806" i="2"/>
  <c r="AH806" i="2"/>
  <c r="W806" i="2"/>
  <c r="AI806" i="2" s="1"/>
  <c r="U806" i="2"/>
  <c r="M806" i="2"/>
  <c r="N806" i="2" s="1"/>
  <c r="AQ806" i="2" s="1"/>
  <c r="K806" i="2"/>
  <c r="J806" i="2"/>
  <c r="I806" i="2"/>
  <c r="H806" i="2"/>
  <c r="F806" i="2"/>
  <c r="D806" i="2"/>
  <c r="C806" i="2"/>
  <c r="B806" i="2"/>
  <c r="A806" i="2"/>
  <c r="AP805" i="2"/>
  <c r="AO805" i="2"/>
  <c r="AH805" i="2"/>
  <c r="W805" i="2"/>
  <c r="AI805" i="2" s="1"/>
  <c r="U805" i="2"/>
  <c r="M805" i="2"/>
  <c r="N805" i="2" s="1"/>
  <c r="AQ805" i="2" s="1"/>
  <c r="K805" i="2"/>
  <c r="J805" i="2"/>
  <c r="I805" i="2"/>
  <c r="H805" i="2"/>
  <c r="F805" i="2"/>
  <c r="D805" i="2"/>
  <c r="C805" i="2"/>
  <c r="B805" i="2"/>
  <c r="A805" i="2"/>
  <c r="AP804" i="2"/>
  <c r="AO804" i="2"/>
  <c r="AH804" i="2"/>
  <c r="W804" i="2"/>
  <c r="AI804" i="2" s="1"/>
  <c r="U804" i="2"/>
  <c r="M804" i="2"/>
  <c r="N804" i="2" s="1"/>
  <c r="AQ804" i="2" s="1"/>
  <c r="K804" i="2"/>
  <c r="J804" i="2"/>
  <c r="I804" i="2"/>
  <c r="H804" i="2"/>
  <c r="F804" i="2"/>
  <c r="D804" i="2"/>
  <c r="C804" i="2"/>
  <c r="B804" i="2"/>
  <c r="A804" i="2"/>
  <c r="AP803" i="2"/>
  <c r="AO803" i="2"/>
  <c r="AH803" i="2"/>
  <c r="W803" i="2"/>
  <c r="AI803" i="2" s="1"/>
  <c r="U803" i="2"/>
  <c r="M803" i="2"/>
  <c r="N803" i="2" s="1"/>
  <c r="AQ803" i="2" s="1"/>
  <c r="K803" i="2"/>
  <c r="J803" i="2"/>
  <c r="I803" i="2"/>
  <c r="H803" i="2"/>
  <c r="F803" i="2"/>
  <c r="D803" i="2"/>
  <c r="C803" i="2"/>
  <c r="B803" i="2"/>
  <c r="A803" i="2"/>
  <c r="AP802" i="2"/>
  <c r="AO802" i="2"/>
  <c r="AH802" i="2"/>
  <c r="W802" i="2"/>
  <c r="AI802" i="2" s="1"/>
  <c r="U802" i="2"/>
  <c r="M802" i="2"/>
  <c r="N802" i="2" s="1"/>
  <c r="AQ802" i="2" s="1"/>
  <c r="K802" i="2"/>
  <c r="J802" i="2"/>
  <c r="I802" i="2"/>
  <c r="H802" i="2"/>
  <c r="F802" i="2"/>
  <c r="D802" i="2"/>
  <c r="C802" i="2"/>
  <c r="B802" i="2"/>
  <c r="A802" i="2"/>
  <c r="AP801" i="2"/>
  <c r="AO801" i="2"/>
  <c r="AH801" i="2"/>
  <c r="W801" i="2"/>
  <c r="AI801" i="2" s="1"/>
  <c r="U801" i="2"/>
  <c r="M801" i="2"/>
  <c r="N801" i="2" s="1"/>
  <c r="AQ801" i="2" s="1"/>
  <c r="K801" i="2"/>
  <c r="J801" i="2"/>
  <c r="I801" i="2"/>
  <c r="H801" i="2"/>
  <c r="F801" i="2"/>
  <c r="D801" i="2"/>
  <c r="C801" i="2"/>
  <c r="B801" i="2"/>
  <c r="A801" i="2"/>
  <c r="AP800" i="2"/>
  <c r="AO800" i="2"/>
  <c r="AH800" i="2"/>
  <c r="W800" i="2"/>
  <c r="AI800" i="2" s="1"/>
  <c r="U800" i="2"/>
  <c r="M800" i="2"/>
  <c r="N800" i="2" s="1"/>
  <c r="AQ800" i="2" s="1"/>
  <c r="K800" i="2"/>
  <c r="J800" i="2"/>
  <c r="I800" i="2"/>
  <c r="H800" i="2"/>
  <c r="F800" i="2"/>
  <c r="D800" i="2"/>
  <c r="C800" i="2"/>
  <c r="B800" i="2"/>
  <c r="A800" i="2"/>
  <c r="AP799" i="2"/>
  <c r="AO799" i="2"/>
  <c r="AH799" i="2"/>
  <c r="W799" i="2"/>
  <c r="AI799" i="2" s="1"/>
  <c r="U799" i="2"/>
  <c r="M799" i="2"/>
  <c r="N799" i="2" s="1"/>
  <c r="AQ799" i="2" s="1"/>
  <c r="K799" i="2"/>
  <c r="J799" i="2"/>
  <c r="I799" i="2"/>
  <c r="H799" i="2"/>
  <c r="F799" i="2"/>
  <c r="D799" i="2"/>
  <c r="C799" i="2"/>
  <c r="B799" i="2"/>
  <c r="A799" i="2"/>
  <c r="AP798" i="2"/>
  <c r="AO798" i="2"/>
  <c r="AH798" i="2"/>
  <c r="W798" i="2"/>
  <c r="AI798" i="2" s="1"/>
  <c r="U798" i="2"/>
  <c r="M798" i="2"/>
  <c r="N798" i="2" s="1"/>
  <c r="AQ798" i="2" s="1"/>
  <c r="K798" i="2"/>
  <c r="J798" i="2"/>
  <c r="I798" i="2"/>
  <c r="H798" i="2"/>
  <c r="F798" i="2"/>
  <c r="D798" i="2"/>
  <c r="C798" i="2"/>
  <c r="B798" i="2"/>
  <c r="A798" i="2"/>
  <c r="AP797" i="2"/>
  <c r="AO797" i="2"/>
  <c r="AH797" i="2"/>
  <c r="W797" i="2"/>
  <c r="AI797" i="2" s="1"/>
  <c r="U797" i="2"/>
  <c r="M797" i="2"/>
  <c r="N797" i="2" s="1"/>
  <c r="AQ797" i="2" s="1"/>
  <c r="K797" i="2"/>
  <c r="J797" i="2"/>
  <c r="I797" i="2"/>
  <c r="H797" i="2"/>
  <c r="F797" i="2"/>
  <c r="D797" i="2"/>
  <c r="C797" i="2"/>
  <c r="B797" i="2"/>
  <c r="A797" i="2"/>
  <c r="AP796" i="2"/>
  <c r="AO796" i="2"/>
  <c r="AH796" i="2"/>
  <c r="W796" i="2"/>
  <c r="AI796" i="2" s="1"/>
  <c r="U796" i="2"/>
  <c r="M796" i="2"/>
  <c r="N796" i="2" s="1"/>
  <c r="AQ796" i="2" s="1"/>
  <c r="K796" i="2"/>
  <c r="J796" i="2"/>
  <c r="I796" i="2"/>
  <c r="H796" i="2"/>
  <c r="F796" i="2"/>
  <c r="D796" i="2"/>
  <c r="C796" i="2"/>
  <c r="B796" i="2"/>
  <c r="A796" i="2"/>
  <c r="AP795" i="2"/>
  <c r="AO795" i="2"/>
  <c r="AH795" i="2"/>
  <c r="W795" i="2"/>
  <c r="AI795" i="2" s="1"/>
  <c r="U795" i="2"/>
  <c r="M795" i="2"/>
  <c r="N795" i="2" s="1"/>
  <c r="AQ795" i="2" s="1"/>
  <c r="K795" i="2"/>
  <c r="J795" i="2"/>
  <c r="I795" i="2"/>
  <c r="H795" i="2"/>
  <c r="F795" i="2"/>
  <c r="D795" i="2"/>
  <c r="C795" i="2"/>
  <c r="B795" i="2"/>
  <c r="A795" i="2"/>
  <c r="AP794" i="2"/>
  <c r="AO794" i="2"/>
  <c r="AH794" i="2"/>
  <c r="W794" i="2"/>
  <c r="AI794" i="2" s="1"/>
  <c r="U794" i="2"/>
  <c r="M794" i="2"/>
  <c r="N794" i="2" s="1"/>
  <c r="AQ794" i="2" s="1"/>
  <c r="K794" i="2"/>
  <c r="J794" i="2"/>
  <c r="I794" i="2"/>
  <c r="H794" i="2"/>
  <c r="F794" i="2"/>
  <c r="D794" i="2"/>
  <c r="C794" i="2"/>
  <c r="B794" i="2"/>
  <c r="A794" i="2"/>
  <c r="AP793" i="2"/>
  <c r="AO793" i="2"/>
  <c r="AH793" i="2"/>
  <c r="W793" i="2"/>
  <c r="AI793" i="2" s="1"/>
  <c r="U793" i="2"/>
  <c r="M793" i="2"/>
  <c r="N793" i="2" s="1"/>
  <c r="AQ793" i="2" s="1"/>
  <c r="K793" i="2"/>
  <c r="J793" i="2"/>
  <c r="I793" i="2"/>
  <c r="H793" i="2"/>
  <c r="F793" i="2"/>
  <c r="D793" i="2"/>
  <c r="C793" i="2"/>
  <c r="B793" i="2"/>
  <c r="A793" i="2"/>
  <c r="AP792" i="2"/>
  <c r="AO792" i="2"/>
  <c r="AH792" i="2"/>
  <c r="W792" i="2"/>
  <c r="AI792" i="2" s="1"/>
  <c r="U792" i="2"/>
  <c r="M792" i="2"/>
  <c r="N792" i="2" s="1"/>
  <c r="AQ792" i="2" s="1"/>
  <c r="K792" i="2"/>
  <c r="J792" i="2"/>
  <c r="I792" i="2"/>
  <c r="H792" i="2"/>
  <c r="F792" i="2"/>
  <c r="D792" i="2"/>
  <c r="C792" i="2"/>
  <c r="B792" i="2"/>
  <c r="A792" i="2"/>
  <c r="AP791" i="2"/>
  <c r="AO791" i="2"/>
  <c r="AH791" i="2"/>
  <c r="W791" i="2"/>
  <c r="AI791" i="2" s="1"/>
  <c r="U791" i="2"/>
  <c r="M791" i="2"/>
  <c r="N791" i="2" s="1"/>
  <c r="AQ791" i="2" s="1"/>
  <c r="K791" i="2"/>
  <c r="J791" i="2"/>
  <c r="I791" i="2"/>
  <c r="H791" i="2"/>
  <c r="F791" i="2"/>
  <c r="D791" i="2"/>
  <c r="C791" i="2"/>
  <c r="B791" i="2"/>
  <c r="A791" i="2"/>
  <c r="AP790" i="2"/>
  <c r="AO790" i="2"/>
  <c r="AH790" i="2"/>
  <c r="W790" i="2"/>
  <c r="AI790" i="2" s="1"/>
  <c r="U790" i="2"/>
  <c r="M790" i="2"/>
  <c r="N790" i="2" s="1"/>
  <c r="AQ790" i="2" s="1"/>
  <c r="K790" i="2"/>
  <c r="J790" i="2"/>
  <c r="I790" i="2"/>
  <c r="H790" i="2"/>
  <c r="F790" i="2"/>
  <c r="D790" i="2"/>
  <c r="C790" i="2"/>
  <c r="B790" i="2"/>
  <c r="A790" i="2"/>
  <c r="AP789" i="2"/>
  <c r="AO789" i="2"/>
  <c r="AH789" i="2"/>
  <c r="W789" i="2"/>
  <c r="AI789" i="2" s="1"/>
  <c r="U789" i="2"/>
  <c r="M789" i="2"/>
  <c r="N789" i="2" s="1"/>
  <c r="AQ789" i="2" s="1"/>
  <c r="K789" i="2"/>
  <c r="J789" i="2"/>
  <c r="I789" i="2"/>
  <c r="H789" i="2"/>
  <c r="F789" i="2"/>
  <c r="D789" i="2"/>
  <c r="C789" i="2"/>
  <c r="B789" i="2"/>
  <c r="A789" i="2"/>
  <c r="AP788" i="2"/>
  <c r="AO788" i="2"/>
  <c r="AH788" i="2"/>
  <c r="W788" i="2"/>
  <c r="AI788" i="2" s="1"/>
  <c r="U788" i="2"/>
  <c r="M788" i="2"/>
  <c r="N788" i="2" s="1"/>
  <c r="AQ788" i="2" s="1"/>
  <c r="K788" i="2"/>
  <c r="J788" i="2"/>
  <c r="I788" i="2"/>
  <c r="H788" i="2"/>
  <c r="F788" i="2"/>
  <c r="D788" i="2"/>
  <c r="C788" i="2"/>
  <c r="B788" i="2"/>
  <c r="A788" i="2"/>
  <c r="AP787" i="2"/>
  <c r="AO787" i="2"/>
  <c r="W787" i="2"/>
  <c r="U787" i="2"/>
  <c r="M787" i="2"/>
  <c r="N787" i="2" s="1"/>
  <c r="AQ787" i="2" s="1"/>
  <c r="K787" i="2"/>
  <c r="J787" i="2"/>
  <c r="I787" i="2"/>
  <c r="H787" i="2"/>
  <c r="F787" i="2"/>
  <c r="G787" i="2" s="1"/>
  <c r="D787" i="2"/>
  <c r="C787" i="2"/>
  <c r="B787" i="2"/>
  <c r="A787" i="2"/>
  <c r="AP786" i="2"/>
  <c r="AO786" i="2"/>
  <c r="AH786" i="2"/>
  <c r="W786" i="2"/>
  <c r="AI786" i="2" s="1"/>
  <c r="U786" i="2"/>
  <c r="M786" i="2"/>
  <c r="N786" i="2" s="1"/>
  <c r="AQ786" i="2" s="1"/>
  <c r="K786" i="2"/>
  <c r="J786" i="2"/>
  <c r="I786" i="2"/>
  <c r="H786" i="2"/>
  <c r="F786" i="2"/>
  <c r="D786" i="2"/>
  <c r="C786" i="2"/>
  <c r="B786" i="2"/>
  <c r="A786" i="2"/>
  <c r="AP785" i="2"/>
  <c r="AO785" i="2"/>
  <c r="AH785" i="2"/>
  <c r="W785" i="2"/>
  <c r="AI785" i="2" s="1"/>
  <c r="U785" i="2"/>
  <c r="M785" i="2"/>
  <c r="N785" i="2" s="1"/>
  <c r="AQ785" i="2" s="1"/>
  <c r="K785" i="2"/>
  <c r="J785" i="2"/>
  <c r="I785" i="2"/>
  <c r="H785" i="2"/>
  <c r="F785" i="2"/>
  <c r="D785" i="2"/>
  <c r="C785" i="2"/>
  <c r="B785" i="2"/>
  <c r="A785" i="2"/>
  <c r="AP784" i="2"/>
  <c r="AO784" i="2"/>
  <c r="AH784" i="2"/>
  <c r="W784" i="2"/>
  <c r="AI784" i="2" s="1"/>
  <c r="U784" i="2"/>
  <c r="M784" i="2"/>
  <c r="N784" i="2" s="1"/>
  <c r="AQ784" i="2" s="1"/>
  <c r="K784" i="2"/>
  <c r="J784" i="2"/>
  <c r="I784" i="2"/>
  <c r="H784" i="2"/>
  <c r="F784" i="2"/>
  <c r="D784" i="2"/>
  <c r="C784" i="2"/>
  <c r="B784" i="2"/>
  <c r="A784" i="2"/>
  <c r="AP783" i="2"/>
  <c r="AO783" i="2"/>
  <c r="W783" i="2"/>
  <c r="U783" i="2"/>
  <c r="M783" i="2"/>
  <c r="N783" i="2" s="1"/>
  <c r="AQ783" i="2" s="1"/>
  <c r="K783" i="2"/>
  <c r="J783" i="2"/>
  <c r="I783" i="2"/>
  <c r="H783" i="2"/>
  <c r="F783" i="2"/>
  <c r="G783" i="2" s="1"/>
  <c r="D783" i="2"/>
  <c r="C783" i="2"/>
  <c r="B783" i="2"/>
  <c r="A783" i="2"/>
  <c r="AP782" i="2"/>
  <c r="AO782" i="2"/>
  <c r="W782" i="2"/>
  <c r="U782" i="2"/>
  <c r="M782" i="2"/>
  <c r="N782" i="2" s="1"/>
  <c r="AQ782" i="2" s="1"/>
  <c r="K782" i="2"/>
  <c r="J782" i="2"/>
  <c r="I782" i="2"/>
  <c r="H782" i="2"/>
  <c r="F782" i="2"/>
  <c r="G782" i="2" s="1"/>
  <c r="D782" i="2"/>
  <c r="C782" i="2"/>
  <c r="B782" i="2"/>
  <c r="A782" i="2"/>
  <c r="AP781" i="2"/>
  <c r="AO781" i="2"/>
  <c r="AH781" i="2"/>
  <c r="W781" i="2"/>
  <c r="AI781" i="2" s="1"/>
  <c r="U781" i="2"/>
  <c r="M781" i="2"/>
  <c r="N781" i="2" s="1"/>
  <c r="AQ781" i="2" s="1"/>
  <c r="K781" i="2"/>
  <c r="J781" i="2"/>
  <c r="I781" i="2"/>
  <c r="H781" i="2"/>
  <c r="F781" i="2"/>
  <c r="D781" i="2"/>
  <c r="C781" i="2"/>
  <c r="B781" i="2"/>
  <c r="A781" i="2"/>
  <c r="AP780" i="2"/>
  <c r="AO780" i="2"/>
  <c r="AH780" i="2"/>
  <c r="W780" i="2"/>
  <c r="AI780" i="2" s="1"/>
  <c r="U780" i="2"/>
  <c r="M780" i="2"/>
  <c r="N780" i="2" s="1"/>
  <c r="AQ780" i="2" s="1"/>
  <c r="K780" i="2"/>
  <c r="J780" i="2"/>
  <c r="I780" i="2"/>
  <c r="H780" i="2"/>
  <c r="F780" i="2"/>
  <c r="D780" i="2"/>
  <c r="C780" i="2"/>
  <c r="B780" i="2"/>
  <c r="A780" i="2"/>
  <c r="AP779" i="2"/>
  <c r="AO779" i="2"/>
  <c r="AH779" i="2"/>
  <c r="W779" i="2"/>
  <c r="AI779" i="2" s="1"/>
  <c r="U779" i="2"/>
  <c r="M779" i="2"/>
  <c r="N779" i="2" s="1"/>
  <c r="AQ779" i="2" s="1"/>
  <c r="K779" i="2"/>
  <c r="J779" i="2"/>
  <c r="I779" i="2"/>
  <c r="H779" i="2"/>
  <c r="F779" i="2"/>
  <c r="D779" i="2"/>
  <c r="C779" i="2"/>
  <c r="B779" i="2"/>
  <c r="A779" i="2"/>
  <c r="AP778" i="2"/>
  <c r="AO778" i="2"/>
  <c r="W778" i="2"/>
  <c r="AI778" i="2" s="1"/>
  <c r="U778" i="2"/>
  <c r="M778" i="2"/>
  <c r="N778" i="2" s="1"/>
  <c r="AQ778" i="2" s="1"/>
  <c r="K778" i="2"/>
  <c r="J778" i="2"/>
  <c r="I778" i="2"/>
  <c r="H778" i="2"/>
  <c r="F778" i="2"/>
  <c r="G778" i="2" s="1"/>
  <c r="D778" i="2"/>
  <c r="C778" i="2"/>
  <c r="B778" i="2"/>
  <c r="A778" i="2"/>
  <c r="AP777" i="2"/>
  <c r="AO777" i="2"/>
  <c r="W777" i="2"/>
  <c r="U777" i="2"/>
  <c r="M777" i="2"/>
  <c r="N777" i="2" s="1"/>
  <c r="AQ777" i="2" s="1"/>
  <c r="K777" i="2"/>
  <c r="J777" i="2"/>
  <c r="I777" i="2"/>
  <c r="H777" i="2"/>
  <c r="F777" i="2"/>
  <c r="G777" i="2" s="1"/>
  <c r="D777" i="2"/>
  <c r="C777" i="2"/>
  <c r="B777" i="2"/>
  <c r="A777" i="2"/>
  <c r="AP776" i="2"/>
  <c r="AO776" i="2"/>
  <c r="W776" i="2"/>
  <c r="U776" i="2"/>
  <c r="M776" i="2"/>
  <c r="N776" i="2" s="1"/>
  <c r="AQ776" i="2" s="1"/>
  <c r="K776" i="2"/>
  <c r="J776" i="2"/>
  <c r="I776" i="2"/>
  <c r="H776" i="2"/>
  <c r="F776" i="2"/>
  <c r="G776" i="2" s="1"/>
  <c r="D776" i="2"/>
  <c r="C776" i="2"/>
  <c r="B776" i="2"/>
  <c r="A776" i="2"/>
  <c r="AP775" i="2"/>
  <c r="AO775" i="2"/>
  <c r="W775" i="2"/>
  <c r="AI775" i="2" s="1"/>
  <c r="U775" i="2"/>
  <c r="M775" i="2"/>
  <c r="N775" i="2" s="1"/>
  <c r="AQ775" i="2" s="1"/>
  <c r="K775" i="2"/>
  <c r="J775" i="2"/>
  <c r="I775" i="2"/>
  <c r="H775" i="2"/>
  <c r="F775" i="2"/>
  <c r="G775" i="2" s="1"/>
  <c r="D775" i="2"/>
  <c r="C775" i="2"/>
  <c r="B775" i="2"/>
  <c r="A775" i="2"/>
  <c r="AP774" i="2"/>
  <c r="AO774" i="2"/>
  <c r="AH774" i="2"/>
  <c r="W774" i="2"/>
  <c r="AI774" i="2" s="1"/>
  <c r="U774" i="2"/>
  <c r="M774" i="2"/>
  <c r="N774" i="2" s="1"/>
  <c r="AQ774" i="2" s="1"/>
  <c r="K774" i="2"/>
  <c r="J774" i="2"/>
  <c r="I774" i="2"/>
  <c r="H774" i="2"/>
  <c r="F774" i="2"/>
  <c r="D774" i="2"/>
  <c r="C774" i="2"/>
  <c r="B774" i="2"/>
  <c r="A774" i="2"/>
  <c r="AP773" i="2"/>
  <c r="AO773" i="2"/>
  <c r="W773" i="2"/>
  <c r="U773" i="2"/>
  <c r="M773" i="2"/>
  <c r="N773" i="2" s="1"/>
  <c r="AQ773" i="2" s="1"/>
  <c r="K773" i="2"/>
  <c r="J773" i="2"/>
  <c r="I773" i="2"/>
  <c r="H773" i="2"/>
  <c r="F773" i="2"/>
  <c r="G773" i="2" s="1"/>
  <c r="D773" i="2"/>
  <c r="C773" i="2"/>
  <c r="B773" i="2"/>
  <c r="A773" i="2"/>
  <c r="AP772" i="2"/>
  <c r="AO772" i="2"/>
  <c r="W772" i="2"/>
  <c r="AI772" i="2" s="1"/>
  <c r="U772" i="2"/>
  <c r="M772" i="2"/>
  <c r="N772" i="2" s="1"/>
  <c r="AQ772" i="2" s="1"/>
  <c r="K772" i="2"/>
  <c r="J772" i="2"/>
  <c r="I772" i="2"/>
  <c r="H772" i="2"/>
  <c r="F772" i="2"/>
  <c r="G772" i="2" s="1"/>
  <c r="D772" i="2"/>
  <c r="C772" i="2"/>
  <c r="B772" i="2"/>
  <c r="A772" i="2"/>
  <c r="AP771" i="2"/>
  <c r="AO771" i="2"/>
  <c r="AH771" i="2"/>
  <c r="W771" i="2"/>
  <c r="AI771" i="2" s="1"/>
  <c r="U771" i="2"/>
  <c r="M771" i="2"/>
  <c r="N771" i="2" s="1"/>
  <c r="AQ771" i="2" s="1"/>
  <c r="K771" i="2"/>
  <c r="J771" i="2"/>
  <c r="I771" i="2"/>
  <c r="H771" i="2"/>
  <c r="F771" i="2"/>
  <c r="G771" i="2" s="1"/>
  <c r="D771" i="2"/>
  <c r="C771" i="2"/>
  <c r="B771" i="2"/>
  <c r="A771" i="2"/>
  <c r="AP770" i="2"/>
  <c r="AO770" i="2"/>
  <c r="AH770" i="2"/>
  <c r="W770" i="2"/>
  <c r="AI770" i="2" s="1"/>
  <c r="U770" i="2"/>
  <c r="M770" i="2"/>
  <c r="N770" i="2" s="1"/>
  <c r="AQ770" i="2" s="1"/>
  <c r="K770" i="2"/>
  <c r="J770" i="2"/>
  <c r="I770" i="2"/>
  <c r="H770" i="2"/>
  <c r="F770" i="2"/>
  <c r="D770" i="2"/>
  <c r="C770" i="2"/>
  <c r="B770" i="2"/>
  <c r="A770" i="2"/>
  <c r="AP769" i="2"/>
  <c r="AO769" i="2"/>
  <c r="W769" i="2"/>
  <c r="U769" i="2"/>
  <c r="M769" i="2"/>
  <c r="N769" i="2" s="1"/>
  <c r="AQ769" i="2" s="1"/>
  <c r="K769" i="2"/>
  <c r="J769" i="2"/>
  <c r="I769" i="2"/>
  <c r="H769" i="2"/>
  <c r="F769" i="2"/>
  <c r="G769" i="2" s="1"/>
  <c r="D769" i="2"/>
  <c r="C769" i="2"/>
  <c r="B769" i="2"/>
  <c r="A769" i="2"/>
  <c r="AP768" i="2"/>
  <c r="AO768" i="2"/>
  <c r="W768" i="2"/>
  <c r="U768" i="2"/>
  <c r="M768" i="2"/>
  <c r="N768" i="2" s="1"/>
  <c r="AQ768" i="2" s="1"/>
  <c r="K768" i="2"/>
  <c r="J768" i="2"/>
  <c r="I768" i="2"/>
  <c r="H768" i="2"/>
  <c r="F768" i="2"/>
  <c r="G768" i="2" s="1"/>
  <c r="D768" i="2"/>
  <c r="C768" i="2"/>
  <c r="B768" i="2"/>
  <c r="A768" i="2"/>
  <c r="AP767" i="2"/>
  <c r="AO767" i="2"/>
  <c r="W767" i="2"/>
  <c r="U767" i="2"/>
  <c r="M767" i="2"/>
  <c r="N767" i="2" s="1"/>
  <c r="AQ767" i="2" s="1"/>
  <c r="K767" i="2"/>
  <c r="J767" i="2"/>
  <c r="I767" i="2"/>
  <c r="H767" i="2"/>
  <c r="F767" i="2"/>
  <c r="G767" i="2" s="1"/>
  <c r="D767" i="2"/>
  <c r="C767" i="2"/>
  <c r="B767" i="2"/>
  <c r="A767" i="2"/>
  <c r="AP766" i="2"/>
  <c r="AO766" i="2"/>
  <c r="AH766" i="2"/>
  <c r="W766" i="2"/>
  <c r="AI766" i="2" s="1"/>
  <c r="U766" i="2"/>
  <c r="M766" i="2"/>
  <c r="N766" i="2" s="1"/>
  <c r="AQ766" i="2" s="1"/>
  <c r="K766" i="2"/>
  <c r="J766" i="2"/>
  <c r="I766" i="2"/>
  <c r="H766" i="2"/>
  <c r="F766" i="2"/>
  <c r="D766" i="2"/>
  <c r="C766" i="2"/>
  <c r="B766" i="2"/>
  <c r="A766" i="2"/>
  <c r="AP765" i="2"/>
  <c r="AO765" i="2"/>
  <c r="AH765" i="2"/>
  <c r="W765" i="2"/>
  <c r="AI765" i="2" s="1"/>
  <c r="U765" i="2"/>
  <c r="M765" i="2"/>
  <c r="N765" i="2" s="1"/>
  <c r="AQ765" i="2" s="1"/>
  <c r="K765" i="2"/>
  <c r="J765" i="2"/>
  <c r="I765" i="2"/>
  <c r="H765" i="2"/>
  <c r="F765" i="2"/>
  <c r="D765" i="2"/>
  <c r="C765" i="2"/>
  <c r="B765" i="2"/>
  <c r="A765" i="2"/>
  <c r="AP764" i="2"/>
  <c r="AO764" i="2"/>
  <c r="AH764" i="2"/>
  <c r="W764" i="2"/>
  <c r="AI764" i="2" s="1"/>
  <c r="U764" i="2"/>
  <c r="M764" i="2"/>
  <c r="N764" i="2" s="1"/>
  <c r="AQ764" i="2" s="1"/>
  <c r="K764" i="2"/>
  <c r="J764" i="2"/>
  <c r="I764" i="2"/>
  <c r="H764" i="2"/>
  <c r="F764" i="2"/>
  <c r="D764" i="2"/>
  <c r="C764" i="2"/>
  <c r="B764" i="2"/>
  <c r="A764" i="2"/>
  <c r="AP763" i="2"/>
  <c r="AO763" i="2"/>
  <c r="W763" i="2"/>
  <c r="AI763" i="2" s="1"/>
  <c r="U763" i="2"/>
  <c r="M763" i="2"/>
  <c r="N763" i="2" s="1"/>
  <c r="AQ763" i="2" s="1"/>
  <c r="K763" i="2"/>
  <c r="J763" i="2"/>
  <c r="I763" i="2"/>
  <c r="H763" i="2"/>
  <c r="F763" i="2"/>
  <c r="G763" i="2" s="1"/>
  <c r="D763" i="2"/>
  <c r="C763" i="2"/>
  <c r="B763" i="2"/>
  <c r="A763" i="2"/>
  <c r="AP762" i="2"/>
  <c r="AO762" i="2"/>
  <c r="W762" i="2"/>
  <c r="U762" i="2"/>
  <c r="M762" i="2"/>
  <c r="N762" i="2" s="1"/>
  <c r="AQ762" i="2" s="1"/>
  <c r="K762" i="2"/>
  <c r="J762" i="2"/>
  <c r="I762" i="2"/>
  <c r="H762" i="2"/>
  <c r="F762" i="2"/>
  <c r="G762" i="2" s="1"/>
  <c r="D762" i="2"/>
  <c r="C762" i="2"/>
  <c r="B762" i="2"/>
  <c r="A762" i="2"/>
  <c r="AP761" i="2"/>
  <c r="AO761" i="2"/>
  <c r="AH761" i="2"/>
  <c r="W761" i="2"/>
  <c r="AI761" i="2" s="1"/>
  <c r="U761" i="2"/>
  <c r="M761" i="2"/>
  <c r="N761" i="2" s="1"/>
  <c r="AQ761" i="2" s="1"/>
  <c r="K761" i="2"/>
  <c r="J761" i="2"/>
  <c r="I761" i="2"/>
  <c r="H761" i="2"/>
  <c r="F761" i="2"/>
  <c r="D761" i="2"/>
  <c r="C761" i="2"/>
  <c r="B761" i="2"/>
  <c r="A761" i="2"/>
  <c r="AP760" i="2"/>
  <c r="AO760" i="2"/>
  <c r="AH760" i="2"/>
  <c r="W760" i="2"/>
  <c r="AI760" i="2" s="1"/>
  <c r="U760" i="2"/>
  <c r="M760" i="2"/>
  <c r="N760" i="2" s="1"/>
  <c r="AQ760" i="2" s="1"/>
  <c r="K760" i="2"/>
  <c r="J760" i="2"/>
  <c r="I760" i="2"/>
  <c r="H760" i="2"/>
  <c r="F760" i="2"/>
  <c r="D760" i="2"/>
  <c r="C760" i="2"/>
  <c r="B760" i="2"/>
  <c r="A760" i="2"/>
  <c r="AP759" i="2"/>
  <c r="AO759" i="2"/>
  <c r="W759" i="2"/>
  <c r="U759" i="2"/>
  <c r="M759" i="2"/>
  <c r="N759" i="2" s="1"/>
  <c r="AQ759" i="2" s="1"/>
  <c r="K759" i="2"/>
  <c r="J759" i="2"/>
  <c r="I759" i="2"/>
  <c r="H759" i="2"/>
  <c r="F759" i="2"/>
  <c r="G759" i="2" s="1"/>
  <c r="D759" i="2"/>
  <c r="C759" i="2"/>
  <c r="B759" i="2"/>
  <c r="A759" i="2"/>
  <c r="AP758" i="2"/>
  <c r="AO758" i="2"/>
  <c r="W758" i="2"/>
  <c r="U758" i="2"/>
  <c r="M758" i="2"/>
  <c r="N758" i="2" s="1"/>
  <c r="AQ758" i="2" s="1"/>
  <c r="K758" i="2"/>
  <c r="J758" i="2"/>
  <c r="I758" i="2"/>
  <c r="H758" i="2"/>
  <c r="F758" i="2"/>
  <c r="G758" i="2" s="1"/>
  <c r="D758" i="2"/>
  <c r="C758" i="2"/>
  <c r="B758" i="2"/>
  <c r="A758" i="2"/>
  <c r="AP757" i="2"/>
  <c r="AO757" i="2"/>
  <c r="W757" i="2"/>
  <c r="U757" i="2"/>
  <c r="M757" i="2"/>
  <c r="N757" i="2" s="1"/>
  <c r="AQ757" i="2" s="1"/>
  <c r="K757" i="2"/>
  <c r="J757" i="2"/>
  <c r="I757" i="2"/>
  <c r="H757" i="2"/>
  <c r="F757" i="2"/>
  <c r="G757" i="2" s="1"/>
  <c r="D757" i="2"/>
  <c r="C757" i="2"/>
  <c r="B757" i="2"/>
  <c r="A757" i="2"/>
  <c r="AP756" i="2"/>
  <c r="AO756" i="2"/>
  <c r="AH756" i="2"/>
  <c r="W756" i="2"/>
  <c r="AI756" i="2" s="1"/>
  <c r="U756" i="2"/>
  <c r="M756" i="2"/>
  <c r="N756" i="2" s="1"/>
  <c r="AQ756" i="2" s="1"/>
  <c r="K756" i="2"/>
  <c r="J756" i="2"/>
  <c r="I756" i="2"/>
  <c r="H756" i="2"/>
  <c r="F756" i="2"/>
  <c r="D756" i="2"/>
  <c r="C756" i="2"/>
  <c r="B756" i="2"/>
  <c r="A756" i="2"/>
  <c r="AP755" i="2"/>
  <c r="AO755" i="2"/>
  <c r="W755" i="2"/>
  <c r="AH755" i="2" s="1"/>
  <c r="U755" i="2"/>
  <c r="M755" i="2"/>
  <c r="N755" i="2" s="1"/>
  <c r="AQ755" i="2" s="1"/>
  <c r="K755" i="2"/>
  <c r="J755" i="2"/>
  <c r="I755" i="2"/>
  <c r="H755" i="2"/>
  <c r="F755" i="2"/>
  <c r="G755" i="2" s="1"/>
  <c r="D755" i="2"/>
  <c r="C755" i="2"/>
  <c r="B755" i="2"/>
  <c r="A755" i="2"/>
  <c r="AP754" i="2"/>
  <c r="AO754" i="2"/>
  <c r="AH754" i="2"/>
  <c r="W754" i="2"/>
  <c r="AI754" i="2" s="1"/>
  <c r="U754" i="2"/>
  <c r="M754" i="2"/>
  <c r="N754" i="2" s="1"/>
  <c r="AQ754" i="2" s="1"/>
  <c r="K754" i="2"/>
  <c r="J754" i="2"/>
  <c r="I754" i="2"/>
  <c r="H754" i="2"/>
  <c r="F754" i="2"/>
  <c r="D754" i="2"/>
  <c r="C754" i="2"/>
  <c r="B754" i="2"/>
  <c r="A754" i="2"/>
  <c r="AP753" i="2"/>
  <c r="AO753" i="2"/>
  <c r="AH753" i="2"/>
  <c r="W753" i="2"/>
  <c r="AI753" i="2" s="1"/>
  <c r="U753" i="2"/>
  <c r="M753" i="2"/>
  <c r="N753" i="2" s="1"/>
  <c r="AQ753" i="2" s="1"/>
  <c r="K753" i="2"/>
  <c r="J753" i="2"/>
  <c r="I753" i="2"/>
  <c r="H753" i="2"/>
  <c r="F753" i="2"/>
  <c r="D753" i="2"/>
  <c r="C753" i="2"/>
  <c r="B753" i="2"/>
  <c r="A753" i="2"/>
  <c r="AP752" i="2"/>
  <c r="AO752" i="2"/>
  <c r="AH752" i="2"/>
  <c r="W752" i="2"/>
  <c r="AI752" i="2" s="1"/>
  <c r="U752" i="2"/>
  <c r="M752" i="2"/>
  <c r="N752" i="2" s="1"/>
  <c r="AQ752" i="2" s="1"/>
  <c r="K752" i="2"/>
  <c r="J752" i="2"/>
  <c r="I752" i="2"/>
  <c r="H752" i="2"/>
  <c r="F752" i="2"/>
  <c r="D752" i="2"/>
  <c r="C752" i="2"/>
  <c r="B752" i="2"/>
  <c r="A752" i="2"/>
  <c r="AP751" i="2"/>
  <c r="AO751" i="2"/>
  <c r="AH751" i="2"/>
  <c r="W751" i="2"/>
  <c r="AI751" i="2" s="1"/>
  <c r="U751" i="2"/>
  <c r="M751" i="2"/>
  <c r="N751" i="2" s="1"/>
  <c r="AQ751" i="2" s="1"/>
  <c r="K751" i="2"/>
  <c r="J751" i="2"/>
  <c r="I751" i="2"/>
  <c r="H751" i="2"/>
  <c r="F751" i="2"/>
  <c r="D751" i="2"/>
  <c r="C751" i="2"/>
  <c r="B751" i="2"/>
  <c r="A751" i="2"/>
  <c r="AP750" i="2"/>
  <c r="AO750" i="2"/>
  <c r="W750" i="2"/>
  <c r="AH750" i="2" s="1"/>
  <c r="U750" i="2"/>
  <c r="M750" i="2"/>
  <c r="N750" i="2" s="1"/>
  <c r="AQ750" i="2" s="1"/>
  <c r="K750" i="2"/>
  <c r="J750" i="2"/>
  <c r="I750" i="2"/>
  <c r="H750" i="2"/>
  <c r="F750" i="2"/>
  <c r="G750" i="2" s="1"/>
  <c r="D750" i="2"/>
  <c r="C750" i="2"/>
  <c r="B750" i="2"/>
  <c r="A750" i="2"/>
  <c r="AP749" i="2"/>
  <c r="AO749" i="2"/>
  <c r="AH749" i="2"/>
  <c r="W749" i="2"/>
  <c r="AI749" i="2" s="1"/>
  <c r="U749" i="2"/>
  <c r="M749" i="2"/>
  <c r="N749" i="2" s="1"/>
  <c r="AQ749" i="2" s="1"/>
  <c r="K749" i="2"/>
  <c r="J749" i="2"/>
  <c r="I749" i="2"/>
  <c r="H749" i="2"/>
  <c r="F749" i="2"/>
  <c r="D749" i="2"/>
  <c r="C749" i="2"/>
  <c r="B749" i="2"/>
  <c r="A749" i="2"/>
  <c r="AP748" i="2"/>
  <c r="AO748" i="2"/>
  <c r="W748" i="2"/>
  <c r="AI748" i="2" s="1"/>
  <c r="U748" i="2"/>
  <c r="M748" i="2"/>
  <c r="N748" i="2" s="1"/>
  <c r="AQ748" i="2" s="1"/>
  <c r="K748" i="2"/>
  <c r="J748" i="2"/>
  <c r="I748" i="2"/>
  <c r="H748" i="2"/>
  <c r="F748" i="2"/>
  <c r="G748" i="2" s="1"/>
  <c r="D748" i="2"/>
  <c r="C748" i="2"/>
  <c r="B748" i="2"/>
  <c r="A748" i="2"/>
  <c r="AP747" i="2"/>
  <c r="AO747" i="2"/>
  <c r="W747" i="2"/>
  <c r="U747" i="2"/>
  <c r="M747" i="2"/>
  <c r="N747" i="2" s="1"/>
  <c r="AQ747" i="2" s="1"/>
  <c r="K747" i="2"/>
  <c r="J747" i="2"/>
  <c r="I747" i="2"/>
  <c r="H747" i="2"/>
  <c r="F747" i="2"/>
  <c r="G747" i="2" s="1"/>
  <c r="D747" i="2"/>
  <c r="C747" i="2"/>
  <c r="B747" i="2"/>
  <c r="A747" i="2"/>
  <c r="AP746" i="2"/>
  <c r="AO746" i="2"/>
  <c r="AH746" i="2"/>
  <c r="W746" i="2"/>
  <c r="AI746" i="2" s="1"/>
  <c r="U746" i="2"/>
  <c r="M746" i="2"/>
  <c r="N746" i="2" s="1"/>
  <c r="AQ746" i="2" s="1"/>
  <c r="K746" i="2"/>
  <c r="J746" i="2"/>
  <c r="I746" i="2"/>
  <c r="H746" i="2"/>
  <c r="F746" i="2"/>
  <c r="D746" i="2"/>
  <c r="C746" i="2"/>
  <c r="B746" i="2"/>
  <c r="A746" i="2"/>
  <c r="AP745" i="2"/>
  <c r="AO745" i="2"/>
  <c r="AH745" i="2"/>
  <c r="W745" i="2"/>
  <c r="AI745" i="2" s="1"/>
  <c r="U745" i="2"/>
  <c r="M745" i="2"/>
  <c r="N745" i="2" s="1"/>
  <c r="AQ745" i="2" s="1"/>
  <c r="K745" i="2"/>
  <c r="J745" i="2"/>
  <c r="I745" i="2"/>
  <c r="H745" i="2"/>
  <c r="F745" i="2"/>
  <c r="D745" i="2"/>
  <c r="C745" i="2"/>
  <c r="B745" i="2"/>
  <c r="A745" i="2"/>
  <c r="AP744" i="2"/>
  <c r="AO744" i="2"/>
  <c r="AH744" i="2"/>
  <c r="W744" i="2"/>
  <c r="AI744" i="2" s="1"/>
  <c r="U744" i="2"/>
  <c r="M744" i="2"/>
  <c r="N744" i="2" s="1"/>
  <c r="AQ744" i="2" s="1"/>
  <c r="K744" i="2"/>
  <c r="J744" i="2"/>
  <c r="I744" i="2"/>
  <c r="H744" i="2"/>
  <c r="F744" i="2"/>
  <c r="D744" i="2"/>
  <c r="C744" i="2"/>
  <c r="B744" i="2"/>
  <c r="A744" i="2"/>
  <c r="AP743" i="2"/>
  <c r="AO743" i="2"/>
  <c r="AH743" i="2"/>
  <c r="W743" i="2"/>
  <c r="AI743" i="2" s="1"/>
  <c r="U743" i="2"/>
  <c r="M743" i="2"/>
  <c r="N743" i="2" s="1"/>
  <c r="AQ743" i="2" s="1"/>
  <c r="K743" i="2"/>
  <c r="J743" i="2"/>
  <c r="I743" i="2"/>
  <c r="H743" i="2"/>
  <c r="F743" i="2"/>
  <c r="D743" i="2"/>
  <c r="C743" i="2"/>
  <c r="B743" i="2"/>
  <c r="A743" i="2"/>
  <c r="AP742" i="2"/>
  <c r="AO742" i="2"/>
  <c r="AH742" i="2"/>
  <c r="W742" i="2"/>
  <c r="AI742" i="2" s="1"/>
  <c r="U742" i="2"/>
  <c r="M742" i="2"/>
  <c r="N742" i="2" s="1"/>
  <c r="AQ742" i="2" s="1"/>
  <c r="K742" i="2"/>
  <c r="J742" i="2"/>
  <c r="I742" i="2"/>
  <c r="H742" i="2"/>
  <c r="F742" i="2"/>
  <c r="D742" i="2"/>
  <c r="C742" i="2"/>
  <c r="B742" i="2"/>
  <c r="A742" i="2"/>
  <c r="AP741" i="2"/>
  <c r="AO741" i="2"/>
  <c r="W741" i="2"/>
  <c r="AI741" i="2" s="1"/>
  <c r="U741" i="2"/>
  <c r="M741" i="2"/>
  <c r="N741" i="2" s="1"/>
  <c r="AQ741" i="2" s="1"/>
  <c r="K741" i="2"/>
  <c r="J741" i="2"/>
  <c r="I741" i="2"/>
  <c r="H741" i="2"/>
  <c r="F741" i="2"/>
  <c r="G741" i="2" s="1"/>
  <c r="D741" i="2"/>
  <c r="C741" i="2"/>
  <c r="B741" i="2"/>
  <c r="A741" i="2"/>
  <c r="AP740" i="2"/>
  <c r="AO740" i="2"/>
  <c r="AH740" i="2"/>
  <c r="W740" i="2"/>
  <c r="AI740" i="2" s="1"/>
  <c r="U740" i="2"/>
  <c r="M740" i="2"/>
  <c r="N740" i="2" s="1"/>
  <c r="AQ740" i="2" s="1"/>
  <c r="K740" i="2"/>
  <c r="J740" i="2"/>
  <c r="I740" i="2"/>
  <c r="H740" i="2"/>
  <c r="F740" i="2"/>
  <c r="D740" i="2"/>
  <c r="C740" i="2"/>
  <c r="B740" i="2"/>
  <c r="A740" i="2"/>
  <c r="AP739" i="2"/>
  <c r="AO739" i="2"/>
  <c r="W739" i="2"/>
  <c r="U739" i="2"/>
  <c r="M739" i="2"/>
  <c r="N739" i="2" s="1"/>
  <c r="AQ739" i="2" s="1"/>
  <c r="K739" i="2"/>
  <c r="J739" i="2"/>
  <c r="I739" i="2"/>
  <c r="H739" i="2"/>
  <c r="F739" i="2"/>
  <c r="G739" i="2" s="1"/>
  <c r="D739" i="2"/>
  <c r="C739" i="2"/>
  <c r="B739" i="2"/>
  <c r="A739" i="2"/>
  <c r="AP738" i="2"/>
  <c r="AO738" i="2"/>
  <c r="AH738" i="2"/>
  <c r="W738" i="2"/>
  <c r="AI738" i="2" s="1"/>
  <c r="U738" i="2"/>
  <c r="M738" i="2"/>
  <c r="N738" i="2" s="1"/>
  <c r="AQ738" i="2" s="1"/>
  <c r="K738" i="2"/>
  <c r="J738" i="2"/>
  <c r="I738" i="2"/>
  <c r="H738" i="2"/>
  <c r="F738" i="2"/>
  <c r="D738" i="2"/>
  <c r="C738" i="2"/>
  <c r="B738" i="2"/>
  <c r="A738" i="2"/>
  <c r="AP737" i="2"/>
  <c r="AO737" i="2"/>
  <c r="AH737" i="2"/>
  <c r="W737" i="2"/>
  <c r="AI737" i="2" s="1"/>
  <c r="U737" i="2"/>
  <c r="M737" i="2"/>
  <c r="N737" i="2" s="1"/>
  <c r="AQ737" i="2" s="1"/>
  <c r="K737" i="2"/>
  <c r="J737" i="2"/>
  <c r="I737" i="2"/>
  <c r="H737" i="2"/>
  <c r="F737" i="2"/>
  <c r="D737" i="2"/>
  <c r="C737" i="2"/>
  <c r="B737" i="2"/>
  <c r="A737" i="2"/>
  <c r="AP736" i="2"/>
  <c r="AO736" i="2"/>
  <c r="AH736" i="2"/>
  <c r="W736" i="2"/>
  <c r="AI736" i="2" s="1"/>
  <c r="U736" i="2"/>
  <c r="M736" i="2"/>
  <c r="N736" i="2" s="1"/>
  <c r="AQ736" i="2" s="1"/>
  <c r="K736" i="2"/>
  <c r="J736" i="2"/>
  <c r="I736" i="2"/>
  <c r="H736" i="2"/>
  <c r="F736" i="2"/>
  <c r="D736" i="2"/>
  <c r="C736" i="2"/>
  <c r="B736" i="2"/>
  <c r="A736" i="2"/>
  <c r="AP735" i="2"/>
  <c r="AO735" i="2"/>
  <c r="W735" i="2"/>
  <c r="U735" i="2"/>
  <c r="M735" i="2"/>
  <c r="N735" i="2" s="1"/>
  <c r="AQ735" i="2" s="1"/>
  <c r="K735" i="2"/>
  <c r="J735" i="2"/>
  <c r="I735" i="2"/>
  <c r="H735" i="2"/>
  <c r="F735" i="2"/>
  <c r="G735" i="2" s="1"/>
  <c r="D735" i="2"/>
  <c r="C735" i="2"/>
  <c r="B735" i="2"/>
  <c r="A735" i="2"/>
  <c r="AP734" i="2"/>
  <c r="AO734" i="2"/>
  <c r="AH734" i="2"/>
  <c r="W734" i="2"/>
  <c r="AI734" i="2" s="1"/>
  <c r="U734" i="2"/>
  <c r="M734" i="2"/>
  <c r="N734" i="2" s="1"/>
  <c r="AQ734" i="2" s="1"/>
  <c r="K734" i="2"/>
  <c r="J734" i="2"/>
  <c r="I734" i="2"/>
  <c r="H734" i="2"/>
  <c r="F734" i="2"/>
  <c r="D734" i="2"/>
  <c r="C734" i="2"/>
  <c r="B734" i="2"/>
  <c r="A734" i="2"/>
  <c r="AP733" i="2"/>
  <c r="AO733" i="2"/>
  <c r="W733" i="2"/>
  <c r="U733" i="2"/>
  <c r="M733" i="2"/>
  <c r="N733" i="2" s="1"/>
  <c r="AQ733" i="2" s="1"/>
  <c r="K733" i="2"/>
  <c r="J733" i="2"/>
  <c r="I733" i="2"/>
  <c r="H733" i="2"/>
  <c r="F733" i="2"/>
  <c r="G733" i="2" s="1"/>
  <c r="D733" i="2"/>
  <c r="C733" i="2"/>
  <c r="B733" i="2"/>
  <c r="A733" i="2"/>
  <c r="AP732" i="2"/>
  <c r="AO732" i="2"/>
  <c r="AH732" i="2"/>
  <c r="W732" i="2"/>
  <c r="AI732" i="2" s="1"/>
  <c r="U732" i="2"/>
  <c r="M732" i="2"/>
  <c r="N732" i="2" s="1"/>
  <c r="AQ732" i="2" s="1"/>
  <c r="K732" i="2"/>
  <c r="J732" i="2"/>
  <c r="I732" i="2"/>
  <c r="H732" i="2"/>
  <c r="F732" i="2"/>
  <c r="D732" i="2"/>
  <c r="C732" i="2"/>
  <c r="B732" i="2"/>
  <c r="A732" i="2"/>
  <c r="AP731" i="2"/>
  <c r="AO731" i="2"/>
  <c r="W731" i="2"/>
  <c r="U731" i="2"/>
  <c r="M731" i="2"/>
  <c r="N731" i="2" s="1"/>
  <c r="AQ731" i="2" s="1"/>
  <c r="K731" i="2"/>
  <c r="J731" i="2"/>
  <c r="I731" i="2"/>
  <c r="H731" i="2"/>
  <c r="F731" i="2"/>
  <c r="G731" i="2" s="1"/>
  <c r="D731" i="2"/>
  <c r="C731" i="2"/>
  <c r="B731" i="2"/>
  <c r="A731" i="2"/>
  <c r="AP730" i="2"/>
  <c r="AO730" i="2"/>
  <c r="AH730" i="2"/>
  <c r="W730" i="2"/>
  <c r="AI730" i="2" s="1"/>
  <c r="U730" i="2"/>
  <c r="M730" i="2"/>
  <c r="N730" i="2" s="1"/>
  <c r="AQ730" i="2" s="1"/>
  <c r="K730" i="2"/>
  <c r="J730" i="2"/>
  <c r="I730" i="2"/>
  <c r="H730" i="2"/>
  <c r="F730" i="2"/>
  <c r="D730" i="2"/>
  <c r="C730" i="2"/>
  <c r="B730" i="2"/>
  <c r="A730" i="2"/>
  <c r="AP729" i="2"/>
  <c r="AO729" i="2"/>
  <c r="AH729" i="2"/>
  <c r="W729" i="2"/>
  <c r="AI729" i="2" s="1"/>
  <c r="U729" i="2"/>
  <c r="M729" i="2"/>
  <c r="N729" i="2" s="1"/>
  <c r="AQ729" i="2" s="1"/>
  <c r="K729" i="2"/>
  <c r="J729" i="2"/>
  <c r="I729" i="2"/>
  <c r="H729" i="2"/>
  <c r="F729" i="2"/>
  <c r="D729" i="2"/>
  <c r="C729" i="2"/>
  <c r="B729" i="2"/>
  <c r="A729" i="2"/>
  <c r="AP728" i="2"/>
  <c r="AO728" i="2"/>
  <c r="W728" i="2"/>
  <c r="U728" i="2"/>
  <c r="M728" i="2"/>
  <c r="N728" i="2" s="1"/>
  <c r="AQ728" i="2" s="1"/>
  <c r="K728" i="2"/>
  <c r="J728" i="2"/>
  <c r="I728" i="2"/>
  <c r="H728" i="2"/>
  <c r="F728" i="2"/>
  <c r="G728" i="2" s="1"/>
  <c r="D728" i="2"/>
  <c r="C728" i="2"/>
  <c r="B728" i="2"/>
  <c r="A728" i="2"/>
  <c r="AP727" i="2"/>
  <c r="AO727" i="2"/>
  <c r="W727" i="2"/>
  <c r="U727" i="2"/>
  <c r="M727" i="2"/>
  <c r="N727" i="2" s="1"/>
  <c r="AQ727" i="2" s="1"/>
  <c r="K727" i="2"/>
  <c r="J727" i="2"/>
  <c r="I727" i="2"/>
  <c r="H727" i="2"/>
  <c r="F727" i="2"/>
  <c r="G727" i="2" s="1"/>
  <c r="D727" i="2"/>
  <c r="C727" i="2"/>
  <c r="B727" i="2"/>
  <c r="A727" i="2"/>
  <c r="AP726" i="2"/>
  <c r="AO726" i="2"/>
  <c r="W726" i="2"/>
  <c r="U726" i="2"/>
  <c r="M726" i="2"/>
  <c r="N726" i="2" s="1"/>
  <c r="AQ726" i="2" s="1"/>
  <c r="K726" i="2"/>
  <c r="J726" i="2"/>
  <c r="I726" i="2"/>
  <c r="H726" i="2"/>
  <c r="F726" i="2"/>
  <c r="G726" i="2" s="1"/>
  <c r="D726" i="2"/>
  <c r="C726" i="2"/>
  <c r="B726" i="2"/>
  <c r="A726" i="2"/>
  <c r="AP725" i="2"/>
  <c r="AO725" i="2"/>
  <c r="AH725" i="2"/>
  <c r="W725" i="2"/>
  <c r="AI725" i="2" s="1"/>
  <c r="U725" i="2"/>
  <c r="M725" i="2"/>
  <c r="N725" i="2" s="1"/>
  <c r="AQ725" i="2" s="1"/>
  <c r="K725" i="2"/>
  <c r="J725" i="2"/>
  <c r="I725" i="2"/>
  <c r="H725" i="2"/>
  <c r="F725" i="2"/>
  <c r="D725" i="2"/>
  <c r="C725" i="2"/>
  <c r="B725" i="2"/>
  <c r="A725" i="2"/>
  <c r="AP724" i="2"/>
  <c r="AO724" i="2"/>
  <c r="AH724" i="2"/>
  <c r="W724" i="2"/>
  <c r="AI724" i="2" s="1"/>
  <c r="U724" i="2"/>
  <c r="M724" i="2"/>
  <c r="N724" i="2" s="1"/>
  <c r="AQ724" i="2" s="1"/>
  <c r="K724" i="2"/>
  <c r="J724" i="2"/>
  <c r="I724" i="2"/>
  <c r="H724" i="2"/>
  <c r="F724" i="2"/>
  <c r="D724" i="2"/>
  <c r="C724" i="2"/>
  <c r="B724" i="2"/>
  <c r="A724" i="2"/>
  <c r="AP723" i="2"/>
  <c r="AO723" i="2"/>
  <c r="AH723" i="2"/>
  <c r="W723" i="2"/>
  <c r="AI723" i="2" s="1"/>
  <c r="U723" i="2"/>
  <c r="M723" i="2"/>
  <c r="N723" i="2" s="1"/>
  <c r="AQ723" i="2" s="1"/>
  <c r="K723" i="2"/>
  <c r="J723" i="2"/>
  <c r="I723" i="2"/>
  <c r="H723" i="2"/>
  <c r="F723" i="2"/>
  <c r="D723" i="2"/>
  <c r="C723" i="2"/>
  <c r="B723" i="2"/>
  <c r="A723" i="2"/>
  <c r="AP722" i="2"/>
  <c r="AO722" i="2"/>
  <c r="W722" i="2"/>
  <c r="AI722" i="2" s="1"/>
  <c r="U722" i="2"/>
  <c r="M722" i="2"/>
  <c r="N722" i="2" s="1"/>
  <c r="AQ722" i="2" s="1"/>
  <c r="K722" i="2"/>
  <c r="J722" i="2"/>
  <c r="I722" i="2"/>
  <c r="H722" i="2"/>
  <c r="F722" i="2"/>
  <c r="G722" i="2" s="1"/>
  <c r="D722" i="2"/>
  <c r="C722" i="2"/>
  <c r="B722" i="2"/>
  <c r="A722" i="2"/>
  <c r="AP721" i="2"/>
  <c r="AO721" i="2"/>
  <c r="AH721" i="2"/>
  <c r="W721" i="2"/>
  <c r="AI721" i="2" s="1"/>
  <c r="U721" i="2"/>
  <c r="N721" i="2"/>
  <c r="AQ721" i="2" s="1"/>
  <c r="M721" i="2"/>
  <c r="K721" i="2"/>
  <c r="J721" i="2"/>
  <c r="I721" i="2"/>
  <c r="H721" i="2"/>
  <c r="F721" i="2"/>
  <c r="D721" i="2"/>
  <c r="C721" i="2"/>
  <c r="B721" i="2"/>
  <c r="A721" i="2"/>
  <c r="AP720" i="2"/>
  <c r="AO720" i="2"/>
  <c r="AH720" i="2"/>
  <c r="W720" i="2"/>
  <c r="AI720" i="2" s="1"/>
  <c r="U720" i="2"/>
  <c r="M720" i="2"/>
  <c r="N720" i="2" s="1"/>
  <c r="AQ720" i="2" s="1"/>
  <c r="K720" i="2"/>
  <c r="J720" i="2"/>
  <c r="I720" i="2"/>
  <c r="H720" i="2"/>
  <c r="F720" i="2"/>
  <c r="D720" i="2"/>
  <c r="C720" i="2"/>
  <c r="B720" i="2"/>
  <c r="A720" i="2"/>
  <c r="AP719" i="2"/>
  <c r="AO719" i="2"/>
  <c r="W719" i="2"/>
  <c r="U719" i="2"/>
  <c r="M719" i="2"/>
  <c r="N719" i="2" s="1"/>
  <c r="AQ719" i="2" s="1"/>
  <c r="K719" i="2"/>
  <c r="J719" i="2"/>
  <c r="I719" i="2"/>
  <c r="H719" i="2"/>
  <c r="F719" i="2"/>
  <c r="G719" i="2" s="1"/>
  <c r="D719" i="2"/>
  <c r="C719" i="2"/>
  <c r="B719" i="2"/>
  <c r="A719" i="2"/>
  <c r="AP718" i="2"/>
  <c r="AO718" i="2"/>
  <c r="AH718" i="2"/>
  <c r="W718" i="2"/>
  <c r="AI718" i="2" s="1"/>
  <c r="U718" i="2"/>
  <c r="M718" i="2"/>
  <c r="N718" i="2" s="1"/>
  <c r="AQ718" i="2" s="1"/>
  <c r="K718" i="2"/>
  <c r="J718" i="2"/>
  <c r="I718" i="2"/>
  <c r="H718" i="2"/>
  <c r="F718" i="2"/>
  <c r="D718" i="2"/>
  <c r="C718" i="2"/>
  <c r="B718" i="2"/>
  <c r="A718" i="2"/>
  <c r="AP717" i="2"/>
  <c r="AO717" i="2"/>
  <c r="AH717" i="2"/>
  <c r="W717" i="2"/>
  <c r="AI717" i="2" s="1"/>
  <c r="U717" i="2"/>
  <c r="M717" i="2"/>
  <c r="N717" i="2" s="1"/>
  <c r="AQ717" i="2" s="1"/>
  <c r="K717" i="2"/>
  <c r="J717" i="2"/>
  <c r="I717" i="2"/>
  <c r="H717" i="2"/>
  <c r="F717" i="2"/>
  <c r="D717" i="2"/>
  <c r="C717" i="2"/>
  <c r="B717" i="2"/>
  <c r="A717" i="2"/>
  <c r="AP716" i="2"/>
  <c r="AO716" i="2"/>
  <c r="W716" i="2"/>
  <c r="AI716" i="2" s="1"/>
  <c r="U716" i="2"/>
  <c r="M716" i="2"/>
  <c r="N716" i="2" s="1"/>
  <c r="AQ716" i="2" s="1"/>
  <c r="K716" i="2"/>
  <c r="J716" i="2"/>
  <c r="I716" i="2"/>
  <c r="H716" i="2"/>
  <c r="F716" i="2"/>
  <c r="G716" i="2" s="1"/>
  <c r="D716" i="2"/>
  <c r="C716" i="2"/>
  <c r="B716" i="2"/>
  <c r="A716" i="2"/>
  <c r="AP715" i="2"/>
  <c r="AO715" i="2"/>
  <c r="AH715" i="2"/>
  <c r="W715" i="2"/>
  <c r="AI715" i="2" s="1"/>
  <c r="U715" i="2"/>
  <c r="M715" i="2"/>
  <c r="N715" i="2" s="1"/>
  <c r="AQ715" i="2" s="1"/>
  <c r="K715" i="2"/>
  <c r="J715" i="2"/>
  <c r="I715" i="2"/>
  <c r="H715" i="2"/>
  <c r="F715" i="2"/>
  <c r="D715" i="2"/>
  <c r="C715" i="2"/>
  <c r="B715" i="2"/>
  <c r="A715" i="2"/>
  <c r="AP714" i="2"/>
  <c r="AO714" i="2"/>
  <c r="AH714" i="2"/>
  <c r="W714" i="2"/>
  <c r="AI714" i="2" s="1"/>
  <c r="U714" i="2"/>
  <c r="M714" i="2"/>
  <c r="N714" i="2" s="1"/>
  <c r="AQ714" i="2" s="1"/>
  <c r="K714" i="2"/>
  <c r="J714" i="2"/>
  <c r="I714" i="2"/>
  <c r="H714" i="2"/>
  <c r="F714" i="2"/>
  <c r="D714" i="2"/>
  <c r="C714" i="2"/>
  <c r="B714" i="2"/>
  <c r="A714" i="2"/>
  <c r="AP713" i="2"/>
  <c r="AO713" i="2"/>
  <c r="W713" i="2"/>
  <c r="U713" i="2"/>
  <c r="M713" i="2"/>
  <c r="N713" i="2" s="1"/>
  <c r="AQ713" i="2" s="1"/>
  <c r="K713" i="2"/>
  <c r="J713" i="2"/>
  <c r="I713" i="2"/>
  <c r="H713" i="2"/>
  <c r="F713" i="2"/>
  <c r="G713" i="2" s="1"/>
  <c r="D713" i="2"/>
  <c r="C713" i="2"/>
  <c r="B713" i="2"/>
  <c r="A713" i="2"/>
  <c r="AP712" i="2"/>
  <c r="AO712" i="2"/>
  <c r="AH712" i="2"/>
  <c r="W712" i="2"/>
  <c r="AI712" i="2" s="1"/>
  <c r="U712" i="2"/>
  <c r="M712" i="2"/>
  <c r="N712" i="2" s="1"/>
  <c r="AQ712" i="2" s="1"/>
  <c r="K712" i="2"/>
  <c r="J712" i="2"/>
  <c r="I712" i="2"/>
  <c r="H712" i="2"/>
  <c r="F712" i="2"/>
  <c r="D712" i="2"/>
  <c r="C712" i="2"/>
  <c r="B712" i="2"/>
  <c r="A712" i="2"/>
  <c r="AP711" i="2"/>
  <c r="AO711" i="2"/>
  <c r="AH711" i="2"/>
  <c r="W711" i="2"/>
  <c r="AI711" i="2" s="1"/>
  <c r="U711" i="2"/>
  <c r="M711" i="2"/>
  <c r="N711" i="2" s="1"/>
  <c r="AQ711" i="2" s="1"/>
  <c r="K711" i="2"/>
  <c r="J711" i="2"/>
  <c r="I711" i="2"/>
  <c r="H711" i="2"/>
  <c r="F711" i="2"/>
  <c r="G711" i="2" s="1"/>
  <c r="D711" i="2"/>
  <c r="C711" i="2"/>
  <c r="B711" i="2"/>
  <c r="A711" i="2"/>
  <c r="AP710" i="2"/>
  <c r="AO710" i="2"/>
  <c r="AH710" i="2"/>
  <c r="W710" i="2"/>
  <c r="AI710" i="2" s="1"/>
  <c r="U710" i="2"/>
  <c r="M710" i="2"/>
  <c r="N710" i="2" s="1"/>
  <c r="AQ710" i="2" s="1"/>
  <c r="K710" i="2"/>
  <c r="J710" i="2"/>
  <c r="I710" i="2"/>
  <c r="H710" i="2"/>
  <c r="F710" i="2"/>
  <c r="D710" i="2"/>
  <c r="C710" i="2"/>
  <c r="B710" i="2"/>
  <c r="A710" i="2"/>
  <c r="AP709" i="2"/>
  <c r="AO709" i="2"/>
  <c r="AH709" i="2"/>
  <c r="W709" i="2"/>
  <c r="AI709" i="2" s="1"/>
  <c r="U709" i="2"/>
  <c r="M709" i="2"/>
  <c r="N709" i="2" s="1"/>
  <c r="AQ709" i="2" s="1"/>
  <c r="K709" i="2"/>
  <c r="J709" i="2"/>
  <c r="I709" i="2"/>
  <c r="H709" i="2"/>
  <c r="F709" i="2"/>
  <c r="D709" i="2"/>
  <c r="C709" i="2"/>
  <c r="B709" i="2"/>
  <c r="A709" i="2"/>
  <c r="AP708" i="2"/>
  <c r="AO708" i="2"/>
  <c r="W708" i="2"/>
  <c r="U708" i="2"/>
  <c r="M708" i="2"/>
  <c r="N708" i="2" s="1"/>
  <c r="AQ708" i="2" s="1"/>
  <c r="K708" i="2"/>
  <c r="J708" i="2"/>
  <c r="I708" i="2"/>
  <c r="H708" i="2"/>
  <c r="F708" i="2"/>
  <c r="G708" i="2" s="1"/>
  <c r="D708" i="2"/>
  <c r="C708" i="2"/>
  <c r="B708" i="2"/>
  <c r="A708" i="2"/>
  <c r="AP707" i="2"/>
  <c r="AO707" i="2"/>
  <c r="W707" i="2"/>
  <c r="U707" i="2"/>
  <c r="M707" i="2"/>
  <c r="N707" i="2" s="1"/>
  <c r="AQ707" i="2" s="1"/>
  <c r="K707" i="2"/>
  <c r="J707" i="2"/>
  <c r="I707" i="2"/>
  <c r="H707" i="2"/>
  <c r="F707" i="2"/>
  <c r="G707" i="2" s="1"/>
  <c r="D707" i="2"/>
  <c r="C707" i="2"/>
  <c r="B707" i="2"/>
  <c r="A707" i="2"/>
  <c r="AP706" i="2"/>
  <c r="AO706" i="2"/>
  <c r="W706" i="2"/>
  <c r="U706" i="2"/>
  <c r="M706" i="2"/>
  <c r="N706" i="2" s="1"/>
  <c r="AQ706" i="2" s="1"/>
  <c r="K706" i="2"/>
  <c r="J706" i="2"/>
  <c r="I706" i="2"/>
  <c r="H706" i="2"/>
  <c r="F706" i="2"/>
  <c r="G706" i="2" s="1"/>
  <c r="D706" i="2"/>
  <c r="C706" i="2"/>
  <c r="B706" i="2"/>
  <c r="A706" i="2"/>
  <c r="AP705" i="2"/>
  <c r="AO705" i="2"/>
  <c r="W705" i="2"/>
  <c r="U705" i="2"/>
  <c r="M705" i="2"/>
  <c r="N705" i="2" s="1"/>
  <c r="AQ705" i="2" s="1"/>
  <c r="K705" i="2"/>
  <c r="J705" i="2"/>
  <c r="I705" i="2"/>
  <c r="H705" i="2"/>
  <c r="F705" i="2"/>
  <c r="G705" i="2" s="1"/>
  <c r="D705" i="2"/>
  <c r="C705" i="2"/>
  <c r="B705" i="2"/>
  <c r="A705" i="2"/>
  <c r="AP704" i="2"/>
  <c r="AO704" i="2"/>
  <c r="AH704" i="2"/>
  <c r="W704" i="2"/>
  <c r="AI704" i="2" s="1"/>
  <c r="U704" i="2"/>
  <c r="M704" i="2"/>
  <c r="N704" i="2" s="1"/>
  <c r="AQ704" i="2" s="1"/>
  <c r="K704" i="2"/>
  <c r="J704" i="2"/>
  <c r="I704" i="2"/>
  <c r="H704" i="2"/>
  <c r="F704" i="2"/>
  <c r="D704" i="2"/>
  <c r="C704" i="2"/>
  <c r="B704" i="2"/>
  <c r="A704" i="2"/>
  <c r="AP703" i="2"/>
  <c r="AO703" i="2"/>
  <c r="W703" i="2"/>
  <c r="AH703" i="2" s="1"/>
  <c r="U703" i="2"/>
  <c r="M703" i="2"/>
  <c r="N703" i="2" s="1"/>
  <c r="AQ703" i="2" s="1"/>
  <c r="K703" i="2"/>
  <c r="J703" i="2"/>
  <c r="I703" i="2"/>
  <c r="H703" i="2"/>
  <c r="F703" i="2"/>
  <c r="G703" i="2" s="1"/>
  <c r="D703" i="2"/>
  <c r="C703" i="2"/>
  <c r="B703" i="2"/>
  <c r="A703" i="2"/>
  <c r="AP702" i="2"/>
  <c r="AO702" i="2"/>
  <c r="W702" i="2"/>
  <c r="AH702" i="2" s="1"/>
  <c r="U702" i="2"/>
  <c r="M702" i="2"/>
  <c r="N702" i="2" s="1"/>
  <c r="AQ702" i="2" s="1"/>
  <c r="K702" i="2"/>
  <c r="J702" i="2"/>
  <c r="I702" i="2"/>
  <c r="H702" i="2"/>
  <c r="F702" i="2"/>
  <c r="G702" i="2" s="1"/>
  <c r="D702" i="2"/>
  <c r="C702" i="2"/>
  <c r="B702" i="2"/>
  <c r="A702" i="2"/>
  <c r="AP701" i="2"/>
  <c r="AO701" i="2"/>
  <c r="AH701" i="2"/>
  <c r="W701" i="2"/>
  <c r="AI701" i="2" s="1"/>
  <c r="U701" i="2"/>
  <c r="M701" i="2"/>
  <c r="N701" i="2" s="1"/>
  <c r="AQ701" i="2" s="1"/>
  <c r="K701" i="2"/>
  <c r="J701" i="2"/>
  <c r="I701" i="2"/>
  <c r="H701" i="2"/>
  <c r="F701" i="2"/>
  <c r="D701" i="2"/>
  <c r="C701" i="2"/>
  <c r="B701" i="2"/>
  <c r="A701" i="2"/>
  <c r="AP700" i="2"/>
  <c r="AO700" i="2"/>
  <c r="W700" i="2"/>
  <c r="U700" i="2"/>
  <c r="M700" i="2"/>
  <c r="N700" i="2" s="1"/>
  <c r="AQ700" i="2" s="1"/>
  <c r="K700" i="2"/>
  <c r="J700" i="2"/>
  <c r="I700" i="2"/>
  <c r="H700" i="2"/>
  <c r="F700" i="2"/>
  <c r="G700" i="2" s="1"/>
  <c r="D700" i="2"/>
  <c r="C700" i="2"/>
  <c r="B700" i="2"/>
  <c r="A700" i="2"/>
  <c r="AP699" i="2"/>
  <c r="AO699" i="2"/>
  <c r="W699" i="2"/>
  <c r="U699" i="2"/>
  <c r="M699" i="2"/>
  <c r="N699" i="2" s="1"/>
  <c r="AQ699" i="2" s="1"/>
  <c r="K699" i="2"/>
  <c r="J699" i="2"/>
  <c r="I699" i="2"/>
  <c r="H699" i="2"/>
  <c r="F699" i="2"/>
  <c r="G699" i="2" s="1"/>
  <c r="D699" i="2"/>
  <c r="C699" i="2"/>
  <c r="B699" i="2"/>
  <c r="A699" i="2"/>
  <c r="AP698" i="2"/>
  <c r="AO698" i="2"/>
  <c r="W698" i="2"/>
  <c r="U698" i="2"/>
  <c r="M698" i="2"/>
  <c r="N698" i="2" s="1"/>
  <c r="AQ698" i="2" s="1"/>
  <c r="K698" i="2"/>
  <c r="J698" i="2"/>
  <c r="I698" i="2"/>
  <c r="H698" i="2"/>
  <c r="F698" i="2"/>
  <c r="G698" i="2" s="1"/>
  <c r="D698" i="2"/>
  <c r="C698" i="2"/>
  <c r="B698" i="2"/>
  <c r="A698" i="2"/>
  <c r="AP697" i="2"/>
  <c r="AO697" i="2"/>
  <c r="AH697" i="2"/>
  <c r="W697" i="2"/>
  <c r="AI697" i="2" s="1"/>
  <c r="U697" i="2"/>
  <c r="M697" i="2"/>
  <c r="N697" i="2" s="1"/>
  <c r="AQ697" i="2" s="1"/>
  <c r="K697" i="2"/>
  <c r="J697" i="2"/>
  <c r="I697" i="2"/>
  <c r="H697" i="2"/>
  <c r="F697" i="2"/>
  <c r="D697" i="2"/>
  <c r="C697" i="2"/>
  <c r="B697" i="2"/>
  <c r="A697" i="2"/>
  <c r="AP696" i="2"/>
  <c r="AO696" i="2"/>
  <c r="AH696" i="2"/>
  <c r="W696" i="2"/>
  <c r="AI696" i="2" s="1"/>
  <c r="U696" i="2"/>
  <c r="M696" i="2"/>
  <c r="N696" i="2" s="1"/>
  <c r="AQ696" i="2" s="1"/>
  <c r="K696" i="2"/>
  <c r="J696" i="2"/>
  <c r="I696" i="2"/>
  <c r="H696" i="2"/>
  <c r="F696" i="2"/>
  <c r="D696" i="2"/>
  <c r="C696" i="2"/>
  <c r="B696" i="2"/>
  <c r="A696" i="2"/>
  <c r="AP695" i="2"/>
  <c r="AO695" i="2"/>
  <c r="AH695" i="2"/>
  <c r="W695" i="2"/>
  <c r="AI695" i="2" s="1"/>
  <c r="U695" i="2"/>
  <c r="M695" i="2"/>
  <c r="N695" i="2" s="1"/>
  <c r="AQ695" i="2" s="1"/>
  <c r="K695" i="2"/>
  <c r="J695" i="2"/>
  <c r="I695" i="2"/>
  <c r="H695" i="2"/>
  <c r="F695" i="2"/>
  <c r="D695" i="2"/>
  <c r="C695" i="2"/>
  <c r="B695" i="2"/>
  <c r="A695" i="2"/>
  <c r="AP694" i="2"/>
  <c r="AO694" i="2"/>
  <c r="W694" i="2"/>
  <c r="U694" i="2"/>
  <c r="M694" i="2"/>
  <c r="N694" i="2" s="1"/>
  <c r="AQ694" i="2" s="1"/>
  <c r="K694" i="2"/>
  <c r="J694" i="2"/>
  <c r="I694" i="2"/>
  <c r="H694" i="2"/>
  <c r="F694" i="2"/>
  <c r="G694" i="2" s="1"/>
  <c r="D694" i="2"/>
  <c r="C694" i="2"/>
  <c r="B694" i="2"/>
  <c r="A694" i="2"/>
  <c r="AP693" i="2"/>
  <c r="AO693" i="2"/>
  <c r="W693" i="2"/>
  <c r="U693" i="2"/>
  <c r="M693" i="2"/>
  <c r="N693" i="2" s="1"/>
  <c r="AQ693" i="2" s="1"/>
  <c r="K693" i="2"/>
  <c r="J693" i="2"/>
  <c r="I693" i="2"/>
  <c r="H693" i="2"/>
  <c r="F693" i="2"/>
  <c r="G693" i="2" s="1"/>
  <c r="D693" i="2"/>
  <c r="C693" i="2"/>
  <c r="B693" i="2"/>
  <c r="A693" i="2"/>
  <c r="AP692" i="2"/>
  <c r="AO692" i="2"/>
  <c r="W692" i="2"/>
  <c r="U692" i="2"/>
  <c r="M692" i="2"/>
  <c r="N692" i="2" s="1"/>
  <c r="AQ692" i="2" s="1"/>
  <c r="K692" i="2"/>
  <c r="J692" i="2"/>
  <c r="I692" i="2"/>
  <c r="H692" i="2"/>
  <c r="F692" i="2"/>
  <c r="G692" i="2" s="1"/>
  <c r="D692" i="2"/>
  <c r="C692" i="2"/>
  <c r="B692" i="2"/>
  <c r="A692" i="2"/>
  <c r="AP691" i="2"/>
  <c r="AO691" i="2"/>
  <c r="W691" i="2"/>
  <c r="U691" i="2"/>
  <c r="M691" i="2"/>
  <c r="N691" i="2" s="1"/>
  <c r="AQ691" i="2" s="1"/>
  <c r="K691" i="2"/>
  <c r="J691" i="2"/>
  <c r="I691" i="2"/>
  <c r="H691" i="2"/>
  <c r="F691" i="2"/>
  <c r="G691" i="2" s="1"/>
  <c r="D691" i="2"/>
  <c r="C691" i="2"/>
  <c r="B691" i="2"/>
  <c r="A691" i="2"/>
  <c r="AP690" i="2"/>
  <c r="AO690" i="2"/>
  <c r="W690" i="2"/>
  <c r="AI690" i="2" s="1"/>
  <c r="U690" i="2"/>
  <c r="M690" i="2"/>
  <c r="N690" i="2" s="1"/>
  <c r="AQ690" i="2" s="1"/>
  <c r="K690" i="2"/>
  <c r="J690" i="2"/>
  <c r="I690" i="2"/>
  <c r="H690" i="2"/>
  <c r="F690" i="2"/>
  <c r="G690" i="2" s="1"/>
  <c r="D690" i="2"/>
  <c r="C690" i="2"/>
  <c r="B690" i="2"/>
  <c r="A690" i="2"/>
  <c r="AP689" i="2"/>
  <c r="AO689" i="2"/>
  <c r="W689" i="2"/>
  <c r="AH689" i="2" s="1"/>
  <c r="U689" i="2"/>
  <c r="M689" i="2"/>
  <c r="N689" i="2" s="1"/>
  <c r="AQ689" i="2" s="1"/>
  <c r="K689" i="2"/>
  <c r="J689" i="2"/>
  <c r="I689" i="2"/>
  <c r="H689" i="2"/>
  <c r="F689" i="2"/>
  <c r="G689" i="2" s="1"/>
  <c r="D689" i="2"/>
  <c r="C689" i="2"/>
  <c r="B689" i="2"/>
  <c r="A689" i="2"/>
  <c r="AP688" i="2"/>
  <c r="AO688" i="2"/>
  <c r="AH688" i="2"/>
  <c r="W688" i="2"/>
  <c r="AI688" i="2" s="1"/>
  <c r="U688" i="2"/>
  <c r="M688" i="2"/>
  <c r="N688" i="2" s="1"/>
  <c r="AQ688" i="2" s="1"/>
  <c r="K688" i="2"/>
  <c r="J688" i="2"/>
  <c r="I688" i="2"/>
  <c r="H688" i="2"/>
  <c r="F688" i="2"/>
  <c r="D688" i="2"/>
  <c r="C688" i="2"/>
  <c r="B688" i="2"/>
  <c r="A688" i="2"/>
  <c r="AP687" i="2"/>
  <c r="AO687" i="2"/>
  <c r="W687" i="2"/>
  <c r="U687" i="2"/>
  <c r="M687" i="2"/>
  <c r="N687" i="2" s="1"/>
  <c r="AQ687" i="2" s="1"/>
  <c r="K687" i="2"/>
  <c r="J687" i="2"/>
  <c r="I687" i="2"/>
  <c r="H687" i="2"/>
  <c r="F687" i="2"/>
  <c r="G687" i="2" s="1"/>
  <c r="D687" i="2"/>
  <c r="C687" i="2"/>
  <c r="B687" i="2"/>
  <c r="A687" i="2"/>
  <c r="AP686" i="2"/>
  <c r="AO686" i="2"/>
  <c r="W686" i="2"/>
  <c r="U686" i="2"/>
  <c r="M686" i="2"/>
  <c r="N686" i="2" s="1"/>
  <c r="AQ686" i="2" s="1"/>
  <c r="K686" i="2"/>
  <c r="J686" i="2"/>
  <c r="I686" i="2"/>
  <c r="H686" i="2"/>
  <c r="F686" i="2"/>
  <c r="G686" i="2" s="1"/>
  <c r="D686" i="2"/>
  <c r="C686" i="2"/>
  <c r="B686" i="2"/>
  <c r="A686" i="2"/>
  <c r="AP685" i="2"/>
  <c r="AO685" i="2"/>
  <c r="W685" i="2"/>
  <c r="U685" i="2"/>
  <c r="M685" i="2"/>
  <c r="N685" i="2" s="1"/>
  <c r="AQ685" i="2" s="1"/>
  <c r="K685" i="2"/>
  <c r="J685" i="2"/>
  <c r="I685" i="2"/>
  <c r="H685" i="2"/>
  <c r="F685" i="2"/>
  <c r="G685" i="2" s="1"/>
  <c r="D685" i="2"/>
  <c r="C685" i="2"/>
  <c r="B685" i="2"/>
  <c r="A685" i="2"/>
  <c r="AP684" i="2"/>
  <c r="AO684" i="2"/>
  <c r="W684" i="2"/>
  <c r="U684" i="2"/>
  <c r="N684" i="2"/>
  <c r="AQ684" i="2" s="1"/>
  <c r="M684" i="2"/>
  <c r="K684" i="2"/>
  <c r="J684" i="2"/>
  <c r="I684" i="2"/>
  <c r="H684" i="2"/>
  <c r="F684" i="2"/>
  <c r="G684" i="2" s="1"/>
  <c r="D684" i="2"/>
  <c r="C684" i="2"/>
  <c r="B684" i="2"/>
  <c r="A684" i="2"/>
  <c r="AP683" i="2"/>
  <c r="AO683" i="2"/>
  <c r="W683" i="2"/>
  <c r="AI683" i="2" s="1"/>
  <c r="U683" i="2"/>
  <c r="M683" i="2"/>
  <c r="N683" i="2" s="1"/>
  <c r="AQ683" i="2" s="1"/>
  <c r="K683" i="2"/>
  <c r="J683" i="2"/>
  <c r="I683" i="2"/>
  <c r="H683" i="2"/>
  <c r="F683" i="2"/>
  <c r="G683" i="2" s="1"/>
  <c r="D683" i="2"/>
  <c r="C683" i="2"/>
  <c r="B683" i="2"/>
  <c r="A683" i="2"/>
  <c r="AP682" i="2"/>
  <c r="AO682" i="2"/>
  <c r="AH682" i="2"/>
  <c r="W682" i="2"/>
  <c r="AI682" i="2" s="1"/>
  <c r="U682" i="2"/>
  <c r="M682" i="2"/>
  <c r="N682" i="2" s="1"/>
  <c r="AQ682" i="2" s="1"/>
  <c r="K682" i="2"/>
  <c r="J682" i="2"/>
  <c r="I682" i="2"/>
  <c r="H682" i="2"/>
  <c r="F682" i="2"/>
  <c r="G682" i="2" s="1"/>
  <c r="D682" i="2"/>
  <c r="C682" i="2"/>
  <c r="B682" i="2"/>
  <c r="A682" i="2"/>
  <c r="AP681" i="2"/>
  <c r="AO681" i="2"/>
  <c r="AH681" i="2"/>
  <c r="W681" i="2"/>
  <c r="AI681" i="2" s="1"/>
  <c r="U681" i="2"/>
  <c r="M681" i="2"/>
  <c r="N681" i="2" s="1"/>
  <c r="AQ681" i="2" s="1"/>
  <c r="K681" i="2"/>
  <c r="J681" i="2"/>
  <c r="I681" i="2"/>
  <c r="H681" i="2"/>
  <c r="F681" i="2"/>
  <c r="D681" i="2"/>
  <c r="C681" i="2"/>
  <c r="B681" i="2"/>
  <c r="A681" i="2"/>
  <c r="AP680" i="2"/>
  <c r="AO680" i="2"/>
  <c r="W680" i="2"/>
  <c r="AI680" i="2" s="1"/>
  <c r="U680" i="2"/>
  <c r="M680" i="2"/>
  <c r="N680" i="2" s="1"/>
  <c r="AQ680" i="2" s="1"/>
  <c r="K680" i="2"/>
  <c r="J680" i="2"/>
  <c r="I680" i="2"/>
  <c r="H680" i="2"/>
  <c r="F680" i="2"/>
  <c r="G680" i="2" s="1"/>
  <c r="D680" i="2"/>
  <c r="C680" i="2"/>
  <c r="B680" i="2"/>
  <c r="A680" i="2"/>
  <c r="AP679" i="2"/>
  <c r="AO679" i="2"/>
  <c r="W679" i="2"/>
  <c r="U679" i="2"/>
  <c r="M679" i="2"/>
  <c r="N679" i="2" s="1"/>
  <c r="AQ679" i="2" s="1"/>
  <c r="K679" i="2"/>
  <c r="J679" i="2"/>
  <c r="I679" i="2"/>
  <c r="H679" i="2"/>
  <c r="F679" i="2"/>
  <c r="D679" i="2"/>
  <c r="C679" i="2"/>
  <c r="B679" i="2"/>
  <c r="A679" i="2"/>
  <c r="AP678" i="2"/>
  <c r="AO678" i="2"/>
  <c r="W678" i="2"/>
  <c r="U678" i="2"/>
  <c r="M678" i="2"/>
  <c r="N678" i="2" s="1"/>
  <c r="AQ678" i="2" s="1"/>
  <c r="K678" i="2"/>
  <c r="J678" i="2"/>
  <c r="I678" i="2"/>
  <c r="H678" i="2"/>
  <c r="F678" i="2"/>
  <c r="G678" i="2" s="1"/>
  <c r="D678" i="2"/>
  <c r="C678" i="2"/>
  <c r="B678" i="2"/>
  <c r="A678" i="2"/>
  <c r="AP677" i="2"/>
  <c r="AO677" i="2"/>
  <c r="W677" i="2"/>
  <c r="U677" i="2"/>
  <c r="M677" i="2"/>
  <c r="N677" i="2" s="1"/>
  <c r="AQ677" i="2" s="1"/>
  <c r="K677" i="2"/>
  <c r="J677" i="2"/>
  <c r="I677" i="2"/>
  <c r="H677" i="2"/>
  <c r="F677" i="2"/>
  <c r="G677" i="2" s="1"/>
  <c r="D677" i="2"/>
  <c r="C677" i="2"/>
  <c r="B677" i="2"/>
  <c r="A677" i="2"/>
  <c r="AP676" i="2"/>
  <c r="AO676" i="2"/>
  <c r="AH676" i="2"/>
  <c r="W676" i="2"/>
  <c r="AI676" i="2" s="1"/>
  <c r="U676" i="2"/>
  <c r="M676" i="2"/>
  <c r="N676" i="2" s="1"/>
  <c r="AQ676" i="2" s="1"/>
  <c r="K676" i="2"/>
  <c r="J676" i="2"/>
  <c r="I676" i="2"/>
  <c r="H676" i="2"/>
  <c r="F676" i="2"/>
  <c r="G676" i="2" s="1"/>
  <c r="D676" i="2"/>
  <c r="C676" i="2"/>
  <c r="B676" i="2"/>
  <c r="A676" i="2"/>
  <c r="AP675" i="2"/>
  <c r="AO675" i="2"/>
  <c r="W675" i="2"/>
  <c r="U675" i="2"/>
  <c r="M675" i="2"/>
  <c r="N675" i="2" s="1"/>
  <c r="AQ675" i="2" s="1"/>
  <c r="K675" i="2"/>
  <c r="J675" i="2"/>
  <c r="I675" i="2"/>
  <c r="H675" i="2"/>
  <c r="F675" i="2"/>
  <c r="G675" i="2" s="1"/>
  <c r="D675" i="2"/>
  <c r="C675" i="2"/>
  <c r="B675" i="2"/>
  <c r="A675" i="2"/>
  <c r="AP674" i="2"/>
  <c r="AO674" i="2"/>
  <c r="AH674" i="2"/>
  <c r="W674" i="2"/>
  <c r="AI674" i="2" s="1"/>
  <c r="U674" i="2"/>
  <c r="M674" i="2"/>
  <c r="N674" i="2" s="1"/>
  <c r="AQ674" i="2" s="1"/>
  <c r="K674" i="2"/>
  <c r="J674" i="2"/>
  <c r="I674" i="2"/>
  <c r="H674" i="2"/>
  <c r="F674" i="2"/>
  <c r="D674" i="2"/>
  <c r="C674" i="2"/>
  <c r="B674" i="2"/>
  <c r="A674" i="2"/>
  <c r="AP673" i="2"/>
  <c r="AO673" i="2"/>
  <c r="W673" i="2"/>
  <c r="U673" i="2"/>
  <c r="M673" i="2"/>
  <c r="N673" i="2" s="1"/>
  <c r="AQ673" i="2" s="1"/>
  <c r="K673" i="2"/>
  <c r="J673" i="2"/>
  <c r="I673" i="2"/>
  <c r="H673" i="2"/>
  <c r="F673" i="2"/>
  <c r="G673" i="2" s="1"/>
  <c r="D673" i="2"/>
  <c r="C673" i="2"/>
  <c r="B673" i="2"/>
  <c r="A673" i="2"/>
  <c r="AP672" i="2"/>
  <c r="AO672" i="2"/>
  <c r="W672" i="2"/>
  <c r="U672" i="2"/>
  <c r="M672" i="2"/>
  <c r="N672" i="2" s="1"/>
  <c r="AQ672" i="2" s="1"/>
  <c r="K672" i="2"/>
  <c r="J672" i="2"/>
  <c r="I672" i="2"/>
  <c r="H672" i="2"/>
  <c r="F672" i="2"/>
  <c r="G672" i="2" s="1"/>
  <c r="D672" i="2"/>
  <c r="C672" i="2"/>
  <c r="B672" i="2"/>
  <c r="A672" i="2"/>
  <c r="AP671" i="2"/>
  <c r="AO671" i="2"/>
  <c r="W671" i="2"/>
  <c r="U671" i="2"/>
  <c r="M671" i="2"/>
  <c r="N671" i="2" s="1"/>
  <c r="AQ671" i="2" s="1"/>
  <c r="K671" i="2"/>
  <c r="J671" i="2"/>
  <c r="I671" i="2"/>
  <c r="H671" i="2"/>
  <c r="F671" i="2"/>
  <c r="G671" i="2" s="1"/>
  <c r="D671" i="2"/>
  <c r="C671" i="2"/>
  <c r="B671" i="2"/>
  <c r="A671" i="2"/>
  <c r="AP670" i="2"/>
  <c r="AO670" i="2"/>
  <c r="W670" i="2"/>
  <c r="U670" i="2"/>
  <c r="M670" i="2"/>
  <c r="N670" i="2" s="1"/>
  <c r="AQ670" i="2" s="1"/>
  <c r="K670" i="2"/>
  <c r="J670" i="2"/>
  <c r="I670" i="2"/>
  <c r="H670" i="2"/>
  <c r="F670" i="2"/>
  <c r="G670" i="2" s="1"/>
  <c r="D670" i="2"/>
  <c r="C670" i="2"/>
  <c r="B670" i="2"/>
  <c r="A670" i="2"/>
  <c r="AP669" i="2"/>
  <c r="AO669" i="2"/>
  <c r="W669" i="2"/>
  <c r="AI669" i="2" s="1"/>
  <c r="U669" i="2"/>
  <c r="M669" i="2"/>
  <c r="N669" i="2" s="1"/>
  <c r="AQ669" i="2" s="1"/>
  <c r="K669" i="2"/>
  <c r="J669" i="2"/>
  <c r="I669" i="2"/>
  <c r="H669" i="2"/>
  <c r="F669" i="2"/>
  <c r="G669" i="2" s="1"/>
  <c r="D669" i="2"/>
  <c r="C669" i="2"/>
  <c r="B669" i="2"/>
  <c r="A669" i="2"/>
  <c r="AP668" i="2"/>
  <c r="AO668" i="2"/>
  <c r="W668" i="2"/>
  <c r="U668" i="2"/>
  <c r="N668" i="2"/>
  <c r="AQ668" i="2" s="1"/>
  <c r="M668" i="2"/>
  <c r="K668" i="2"/>
  <c r="J668" i="2"/>
  <c r="I668" i="2"/>
  <c r="H668" i="2"/>
  <c r="F668" i="2"/>
  <c r="G668" i="2" s="1"/>
  <c r="D668" i="2"/>
  <c r="C668" i="2"/>
  <c r="B668" i="2"/>
  <c r="A668" i="2"/>
  <c r="AP667" i="2"/>
  <c r="AO667" i="2"/>
  <c r="AH667" i="2"/>
  <c r="W667" i="2"/>
  <c r="AI667" i="2" s="1"/>
  <c r="U667" i="2"/>
  <c r="M667" i="2"/>
  <c r="N667" i="2" s="1"/>
  <c r="AQ667" i="2" s="1"/>
  <c r="K667" i="2"/>
  <c r="J667" i="2"/>
  <c r="I667" i="2"/>
  <c r="H667" i="2"/>
  <c r="F667" i="2"/>
  <c r="D667" i="2"/>
  <c r="C667" i="2"/>
  <c r="B667" i="2"/>
  <c r="A667" i="2"/>
  <c r="AP666" i="2"/>
  <c r="AO666" i="2"/>
  <c r="AH666" i="2"/>
  <c r="W666" i="2"/>
  <c r="AI666" i="2" s="1"/>
  <c r="U666" i="2"/>
  <c r="M666" i="2"/>
  <c r="N666" i="2" s="1"/>
  <c r="AQ666" i="2" s="1"/>
  <c r="K666" i="2"/>
  <c r="J666" i="2"/>
  <c r="I666" i="2"/>
  <c r="H666" i="2"/>
  <c r="F666" i="2"/>
  <c r="D666" i="2"/>
  <c r="C666" i="2"/>
  <c r="B666" i="2"/>
  <c r="A666" i="2"/>
  <c r="AP665" i="2"/>
  <c r="AO665" i="2"/>
  <c r="AH665" i="2"/>
  <c r="W665" i="2"/>
  <c r="AI665" i="2" s="1"/>
  <c r="U665" i="2"/>
  <c r="M665" i="2"/>
  <c r="N665" i="2" s="1"/>
  <c r="AQ665" i="2" s="1"/>
  <c r="K665" i="2"/>
  <c r="J665" i="2"/>
  <c r="I665" i="2"/>
  <c r="H665" i="2"/>
  <c r="F665" i="2"/>
  <c r="D665" i="2"/>
  <c r="C665" i="2"/>
  <c r="B665" i="2"/>
  <c r="A665" i="2"/>
  <c r="AP664" i="2"/>
  <c r="AO664" i="2"/>
  <c r="W664" i="2"/>
  <c r="U664" i="2"/>
  <c r="M664" i="2"/>
  <c r="N664" i="2" s="1"/>
  <c r="AQ664" i="2" s="1"/>
  <c r="K664" i="2"/>
  <c r="J664" i="2"/>
  <c r="I664" i="2"/>
  <c r="H664" i="2"/>
  <c r="F664" i="2"/>
  <c r="G664" i="2" s="1"/>
  <c r="D664" i="2"/>
  <c r="C664" i="2"/>
  <c r="B664" i="2"/>
  <c r="A664" i="2"/>
  <c r="AP663" i="2"/>
  <c r="AO663" i="2"/>
  <c r="AH663" i="2"/>
  <c r="W663" i="2"/>
  <c r="AI663" i="2" s="1"/>
  <c r="U663" i="2"/>
  <c r="M663" i="2"/>
  <c r="N663" i="2" s="1"/>
  <c r="AQ663" i="2" s="1"/>
  <c r="K663" i="2"/>
  <c r="J663" i="2"/>
  <c r="I663" i="2"/>
  <c r="H663" i="2"/>
  <c r="F663" i="2"/>
  <c r="D663" i="2"/>
  <c r="C663" i="2"/>
  <c r="B663" i="2"/>
  <c r="A663" i="2"/>
  <c r="AP662" i="2"/>
  <c r="AO662" i="2"/>
  <c r="AH662" i="2"/>
  <c r="W662" i="2"/>
  <c r="AI662" i="2" s="1"/>
  <c r="U662" i="2"/>
  <c r="M662" i="2"/>
  <c r="N662" i="2" s="1"/>
  <c r="AQ662" i="2" s="1"/>
  <c r="K662" i="2"/>
  <c r="J662" i="2"/>
  <c r="I662" i="2"/>
  <c r="H662" i="2"/>
  <c r="F662" i="2"/>
  <c r="D662" i="2"/>
  <c r="C662" i="2"/>
  <c r="B662" i="2"/>
  <c r="A662" i="2"/>
  <c r="AP661" i="2"/>
  <c r="AO661" i="2"/>
  <c r="AH661" i="2"/>
  <c r="W661" i="2"/>
  <c r="AI661" i="2" s="1"/>
  <c r="U661" i="2"/>
  <c r="M661" i="2"/>
  <c r="N661" i="2" s="1"/>
  <c r="AQ661" i="2" s="1"/>
  <c r="K661" i="2"/>
  <c r="J661" i="2"/>
  <c r="I661" i="2"/>
  <c r="H661" i="2"/>
  <c r="F661" i="2"/>
  <c r="D661" i="2"/>
  <c r="C661" i="2"/>
  <c r="B661" i="2"/>
  <c r="A661" i="2"/>
  <c r="AP660" i="2"/>
  <c r="AO660" i="2"/>
  <c r="AH660" i="2"/>
  <c r="W660" i="2"/>
  <c r="AI660" i="2" s="1"/>
  <c r="U660" i="2"/>
  <c r="M660" i="2"/>
  <c r="N660" i="2" s="1"/>
  <c r="AQ660" i="2" s="1"/>
  <c r="K660" i="2"/>
  <c r="J660" i="2"/>
  <c r="I660" i="2"/>
  <c r="H660" i="2"/>
  <c r="F660" i="2"/>
  <c r="D660" i="2"/>
  <c r="C660" i="2"/>
  <c r="B660" i="2"/>
  <c r="A660" i="2"/>
  <c r="AP659" i="2"/>
  <c r="AO659" i="2"/>
  <c r="AH659" i="2"/>
  <c r="W659" i="2"/>
  <c r="AI659" i="2" s="1"/>
  <c r="U659" i="2"/>
  <c r="M659" i="2"/>
  <c r="N659" i="2" s="1"/>
  <c r="AQ659" i="2" s="1"/>
  <c r="K659" i="2"/>
  <c r="J659" i="2"/>
  <c r="I659" i="2"/>
  <c r="H659" i="2"/>
  <c r="F659" i="2"/>
  <c r="D659" i="2"/>
  <c r="C659" i="2"/>
  <c r="B659" i="2"/>
  <c r="A659" i="2"/>
  <c r="AP658" i="2"/>
  <c r="AO658" i="2"/>
  <c r="AH658" i="2"/>
  <c r="W658" i="2"/>
  <c r="AI658" i="2" s="1"/>
  <c r="U658" i="2"/>
  <c r="M658" i="2"/>
  <c r="N658" i="2" s="1"/>
  <c r="AQ658" i="2" s="1"/>
  <c r="K658" i="2"/>
  <c r="J658" i="2"/>
  <c r="I658" i="2"/>
  <c r="H658" i="2"/>
  <c r="F658" i="2"/>
  <c r="D658" i="2"/>
  <c r="C658" i="2"/>
  <c r="B658" i="2"/>
  <c r="A658" i="2"/>
  <c r="AP657" i="2"/>
  <c r="AO657" i="2"/>
  <c r="AH657" i="2"/>
  <c r="W657" i="2"/>
  <c r="AI657" i="2" s="1"/>
  <c r="U657" i="2"/>
  <c r="M657" i="2"/>
  <c r="N657" i="2" s="1"/>
  <c r="AQ657" i="2" s="1"/>
  <c r="K657" i="2"/>
  <c r="J657" i="2"/>
  <c r="I657" i="2"/>
  <c r="H657" i="2"/>
  <c r="F657" i="2"/>
  <c r="D657" i="2"/>
  <c r="C657" i="2"/>
  <c r="B657" i="2"/>
  <c r="A657" i="2"/>
  <c r="AP656" i="2"/>
  <c r="AO656" i="2"/>
  <c r="AH656" i="2"/>
  <c r="W656" i="2"/>
  <c r="AI656" i="2" s="1"/>
  <c r="U656" i="2"/>
  <c r="M656" i="2"/>
  <c r="N656" i="2" s="1"/>
  <c r="AQ656" i="2" s="1"/>
  <c r="K656" i="2"/>
  <c r="J656" i="2"/>
  <c r="I656" i="2"/>
  <c r="H656" i="2"/>
  <c r="F656" i="2"/>
  <c r="D656" i="2"/>
  <c r="C656" i="2"/>
  <c r="B656" i="2"/>
  <c r="A656" i="2"/>
  <c r="AP655" i="2"/>
  <c r="AO655" i="2"/>
  <c r="AH655" i="2"/>
  <c r="W655" i="2"/>
  <c r="AI655" i="2" s="1"/>
  <c r="U655" i="2"/>
  <c r="M655" i="2"/>
  <c r="N655" i="2" s="1"/>
  <c r="AQ655" i="2" s="1"/>
  <c r="K655" i="2"/>
  <c r="J655" i="2"/>
  <c r="I655" i="2"/>
  <c r="H655" i="2"/>
  <c r="F655" i="2"/>
  <c r="D655" i="2"/>
  <c r="C655" i="2"/>
  <c r="B655" i="2"/>
  <c r="A655" i="2"/>
  <c r="AP654" i="2"/>
  <c r="AO654" i="2"/>
  <c r="AH654" i="2"/>
  <c r="W654" i="2"/>
  <c r="AI654" i="2" s="1"/>
  <c r="U654" i="2"/>
  <c r="M654" i="2"/>
  <c r="N654" i="2" s="1"/>
  <c r="AQ654" i="2" s="1"/>
  <c r="K654" i="2"/>
  <c r="J654" i="2"/>
  <c r="I654" i="2"/>
  <c r="H654" i="2"/>
  <c r="F654" i="2"/>
  <c r="D654" i="2"/>
  <c r="C654" i="2"/>
  <c r="B654" i="2"/>
  <c r="A654" i="2"/>
  <c r="AP653" i="2"/>
  <c r="AO653" i="2"/>
  <c r="W653" i="2"/>
  <c r="U653" i="2"/>
  <c r="M653" i="2"/>
  <c r="N653" i="2" s="1"/>
  <c r="AQ653" i="2" s="1"/>
  <c r="K653" i="2"/>
  <c r="J653" i="2"/>
  <c r="I653" i="2"/>
  <c r="H653" i="2"/>
  <c r="F653" i="2"/>
  <c r="D653" i="2"/>
  <c r="C653" i="2"/>
  <c r="B653" i="2"/>
  <c r="A653" i="2"/>
  <c r="AP652" i="2"/>
  <c r="AO652" i="2"/>
  <c r="W652" i="2"/>
  <c r="AI652" i="2" s="1"/>
  <c r="U652" i="2"/>
  <c r="M652" i="2"/>
  <c r="N652" i="2" s="1"/>
  <c r="AQ652" i="2" s="1"/>
  <c r="K652" i="2"/>
  <c r="J652" i="2"/>
  <c r="I652" i="2"/>
  <c r="H652" i="2"/>
  <c r="F652" i="2"/>
  <c r="D652" i="2"/>
  <c r="C652" i="2"/>
  <c r="B652" i="2"/>
  <c r="A652" i="2"/>
  <c r="AP651" i="2"/>
  <c r="AO651" i="2"/>
  <c r="W651" i="2"/>
  <c r="U651" i="2"/>
  <c r="M651" i="2"/>
  <c r="N651" i="2" s="1"/>
  <c r="AQ651" i="2" s="1"/>
  <c r="K651" i="2"/>
  <c r="J651" i="2"/>
  <c r="I651" i="2"/>
  <c r="H651" i="2"/>
  <c r="F651" i="2"/>
  <c r="G651" i="2" s="1"/>
  <c r="D651" i="2"/>
  <c r="C651" i="2"/>
  <c r="B651" i="2"/>
  <c r="A651" i="2"/>
  <c r="AP650" i="2"/>
  <c r="AO650" i="2"/>
  <c r="AH650" i="2"/>
  <c r="W650" i="2"/>
  <c r="AI650" i="2" s="1"/>
  <c r="U650" i="2"/>
  <c r="M650" i="2"/>
  <c r="N650" i="2" s="1"/>
  <c r="AQ650" i="2" s="1"/>
  <c r="K650" i="2"/>
  <c r="J650" i="2"/>
  <c r="I650" i="2"/>
  <c r="H650" i="2"/>
  <c r="F650" i="2"/>
  <c r="D650" i="2"/>
  <c r="C650" i="2"/>
  <c r="B650" i="2"/>
  <c r="A650" i="2"/>
  <c r="AP649" i="2"/>
  <c r="AO649" i="2"/>
  <c r="W649" i="2"/>
  <c r="U649" i="2"/>
  <c r="M649" i="2"/>
  <c r="N649" i="2" s="1"/>
  <c r="AQ649" i="2" s="1"/>
  <c r="K649" i="2"/>
  <c r="J649" i="2"/>
  <c r="I649" i="2"/>
  <c r="H649" i="2"/>
  <c r="F649" i="2"/>
  <c r="G649" i="2" s="1"/>
  <c r="D649" i="2"/>
  <c r="C649" i="2"/>
  <c r="B649" i="2"/>
  <c r="A649" i="2"/>
  <c r="AP648" i="2"/>
  <c r="AO648" i="2"/>
  <c r="AH648" i="2"/>
  <c r="W648" i="2"/>
  <c r="AI648" i="2" s="1"/>
  <c r="U648" i="2"/>
  <c r="M648" i="2"/>
  <c r="N648" i="2" s="1"/>
  <c r="AQ648" i="2" s="1"/>
  <c r="K648" i="2"/>
  <c r="J648" i="2"/>
  <c r="I648" i="2"/>
  <c r="H648" i="2"/>
  <c r="F648" i="2"/>
  <c r="D648" i="2"/>
  <c r="C648" i="2"/>
  <c r="B648" i="2"/>
  <c r="A648" i="2"/>
  <c r="AP647" i="2"/>
  <c r="AO647" i="2"/>
  <c r="AH647" i="2"/>
  <c r="W647" i="2"/>
  <c r="AI647" i="2" s="1"/>
  <c r="U647" i="2"/>
  <c r="M647" i="2"/>
  <c r="N647" i="2" s="1"/>
  <c r="AQ647" i="2" s="1"/>
  <c r="K647" i="2"/>
  <c r="J647" i="2"/>
  <c r="I647" i="2"/>
  <c r="H647" i="2"/>
  <c r="F647" i="2"/>
  <c r="D647" i="2"/>
  <c r="C647" i="2"/>
  <c r="B647" i="2"/>
  <c r="A647" i="2"/>
  <c r="AP646" i="2"/>
  <c r="AO646" i="2"/>
  <c r="AH646" i="2"/>
  <c r="W646" i="2"/>
  <c r="AI646" i="2" s="1"/>
  <c r="U646" i="2"/>
  <c r="M646" i="2"/>
  <c r="N646" i="2" s="1"/>
  <c r="AQ646" i="2" s="1"/>
  <c r="K646" i="2"/>
  <c r="J646" i="2"/>
  <c r="I646" i="2"/>
  <c r="H646" i="2"/>
  <c r="F646" i="2"/>
  <c r="D646" i="2"/>
  <c r="C646" i="2"/>
  <c r="B646" i="2"/>
  <c r="A646" i="2"/>
  <c r="AP645" i="2"/>
  <c r="AO645" i="2"/>
  <c r="W645" i="2"/>
  <c r="U645" i="2"/>
  <c r="M645" i="2"/>
  <c r="N645" i="2" s="1"/>
  <c r="AQ645" i="2" s="1"/>
  <c r="K645" i="2"/>
  <c r="J645" i="2"/>
  <c r="I645" i="2"/>
  <c r="H645" i="2"/>
  <c r="F645" i="2"/>
  <c r="G645" i="2" s="1"/>
  <c r="D645" i="2"/>
  <c r="C645" i="2"/>
  <c r="B645" i="2"/>
  <c r="A645" i="2"/>
  <c r="AP644" i="2"/>
  <c r="AO644" i="2"/>
  <c r="W644" i="2"/>
  <c r="U644" i="2"/>
  <c r="M644" i="2"/>
  <c r="N644" i="2" s="1"/>
  <c r="AQ644" i="2" s="1"/>
  <c r="K644" i="2"/>
  <c r="J644" i="2"/>
  <c r="I644" i="2"/>
  <c r="H644" i="2"/>
  <c r="F644" i="2"/>
  <c r="G644" i="2" s="1"/>
  <c r="D644" i="2"/>
  <c r="C644" i="2"/>
  <c r="B644" i="2"/>
  <c r="A644" i="2"/>
  <c r="AP643" i="2"/>
  <c r="AO643" i="2"/>
  <c r="W643" i="2"/>
  <c r="U643" i="2"/>
  <c r="M643" i="2"/>
  <c r="N643" i="2" s="1"/>
  <c r="AQ643" i="2" s="1"/>
  <c r="K643" i="2"/>
  <c r="J643" i="2"/>
  <c r="I643" i="2"/>
  <c r="H643" i="2"/>
  <c r="F643" i="2"/>
  <c r="G643" i="2" s="1"/>
  <c r="D643" i="2"/>
  <c r="C643" i="2"/>
  <c r="B643" i="2"/>
  <c r="A643" i="2"/>
  <c r="AP642" i="2"/>
  <c r="AO642" i="2"/>
  <c r="W642" i="2"/>
  <c r="U642" i="2"/>
  <c r="M642" i="2"/>
  <c r="N642" i="2" s="1"/>
  <c r="AQ642" i="2" s="1"/>
  <c r="K642" i="2"/>
  <c r="J642" i="2"/>
  <c r="I642" i="2"/>
  <c r="H642" i="2"/>
  <c r="F642" i="2"/>
  <c r="G642" i="2" s="1"/>
  <c r="D642" i="2"/>
  <c r="C642" i="2"/>
  <c r="B642" i="2"/>
  <c r="A642" i="2"/>
  <c r="AP641" i="2"/>
  <c r="AO641" i="2"/>
  <c r="AH641" i="2"/>
  <c r="W641" i="2"/>
  <c r="AI641" i="2" s="1"/>
  <c r="U641" i="2"/>
  <c r="M641" i="2"/>
  <c r="N641" i="2" s="1"/>
  <c r="AQ641" i="2" s="1"/>
  <c r="K641" i="2"/>
  <c r="J641" i="2"/>
  <c r="I641" i="2"/>
  <c r="H641" i="2"/>
  <c r="F641" i="2"/>
  <c r="D641" i="2"/>
  <c r="C641" i="2"/>
  <c r="B641" i="2"/>
  <c r="A641" i="2"/>
  <c r="AP640" i="2"/>
  <c r="AO640" i="2"/>
  <c r="AH640" i="2"/>
  <c r="W640" i="2"/>
  <c r="AI640" i="2" s="1"/>
  <c r="U640" i="2"/>
  <c r="M640" i="2"/>
  <c r="N640" i="2" s="1"/>
  <c r="AQ640" i="2" s="1"/>
  <c r="K640" i="2"/>
  <c r="J640" i="2"/>
  <c r="I640" i="2"/>
  <c r="H640" i="2"/>
  <c r="F640" i="2"/>
  <c r="D640" i="2"/>
  <c r="C640" i="2"/>
  <c r="B640" i="2"/>
  <c r="A640" i="2"/>
  <c r="AP639" i="2"/>
  <c r="AO639" i="2"/>
  <c r="AH639" i="2"/>
  <c r="W639" i="2"/>
  <c r="AI639" i="2" s="1"/>
  <c r="U639" i="2"/>
  <c r="M639" i="2"/>
  <c r="N639" i="2" s="1"/>
  <c r="AQ639" i="2" s="1"/>
  <c r="K639" i="2"/>
  <c r="J639" i="2"/>
  <c r="I639" i="2"/>
  <c r="H639" i="2"/>
  <c r="F639" i="2"/>
  <c r="D639" i="2"/>
  <c r="C639" i="2"/>
  <c r="B639" i="2"/>
  <c r="A639" i="2"/>
  <c r="AP638" i="2"/>
  <c r="AO638" i="2"/>
  <c r="W638" i="2"/>
  <c r="U638" i="2"/>
  <c r="M638" i="2"/>
  <c r="N638" i="2" s="1"/>
  <c r="AQ638" i="2" s="1"/>
  <c r="K638" i="2"/>
  <c r="J638" i="2"/>
  <c r="I638" i="2"/>
  <c r="H638" i="2"/>
  <c r="F638" i="2"/>
  <c r="G638" i="2" s="1"/>
  <c r="D638" i="2"/>
  <c r="C638" i="2"/>
  <c r="B638" i="2"/>
  <c r="A638" i="2"/>
  <c r="AP637" i="2"/>
  <c r="AO637" i="2"/>
  <c r="AH637" i="2"/>
  <c r="W637" i="2"/>
  <c r="AI637" i="2" s="1"/>
  <c r="U637" i="2"/>
  <c r="M637" i="2"/>
  <c r="N637" i="2" s="1"/>
  <c r="AQ637" i="2" s="1"/>
  <c r="K637" i="2"/>
  <c r="J637" i="2"/>
  <c r="I637" i="2"/>
  <c r="H637" i="2"/>
  <c r="F637" i="2"/>
  <c r="G637" i="2" s="1"/>
  <c r="D637" i="2"/>
  <c r="C637" i="2"/>
  <c r="B637" i="2"/>
  <c r="A637" i="2"/>
  <c r="AP636" i="2"/>
  <c r="AO636" i="2"/>
  <c r="AH636" i="2"/>
  <c r="W636" i="2"/>
  <c r="AI636" i="2" s="1"/>
  <c r="U636" i="2"/>
  <c r="M636" i="2"/>
  <c r="N636" i="2" s="1"/>
  <c r="AQ636" i="2" s="1"/>
  <c r="K636" i="2"/>
  <c r="J636" i="2"/>
  <c r="I636" i="2"/>
  <c r="H636" i="2"/>
  <c r="F636" i="2"/>
  <c r="G636" i="2" s="1"/>
  <c r="D636" i="2"/>
  <c r="C636" i="2"/>
  <c r="B636" i="2"/>
  <c r="A636" i="2"/>
  <c r="W635" i="2"/>
  <c r="AH635" i="2" s="1"/>
  <c r="D635" i="2"/>
  <c r="B635" i="2"/>
  <c r="AI634" i="2"/>
  <c r="AH634" i="2"/>
  <c r="D634" i="2"/>
  <c r="B634" i="2"/>
  <c r="AP633" i="2"/>
  <c r="AO633" i="2"/>
  <c r="W633" i="2"/>
  <c r="AI633" i="2" s="1"/>
  <c r="U633" i="2"/>
  <c r="M633" i="2"/>
  <c r="N633" i="2" s="1"/>
  <c r="AQ633" i="2" s="1"/>
  <c r="K633" i="2"/>
  <c r="J633" i="2"/>
  <c r="I633" i="2"/>
  <c r="H633" i="2"/>
  <c r="F633" i="2"/>
  <c r="D633" i="2"/>
  <c r="C633" i="2"/>
  <c r="B633" i="2"/>
  <c r="A633" i="2"/>
  <c r="AP632" i="2"/>
  <c r="AO632" i="2"/>
  <c r="AH632" i="2"/>
  <c r="W632" i="2"/>
  <c r="AI632" i="2" s="1"/>
  <c r="U632" i="2"/>
  <c r="M632" i="2"/>
  <c r="N632" i="2" s="1"/>
  <c r="AQ632" i="2" s="1"/>
  <c r="K632" i="2"/>
  <c r="J632" i="2"/>
  <c r="I632" i="2"/>
  <c r="H632" i="2"/>
  <c r="F632" i="2"/>
  <c r="D632" i="2"/>
  <c r="C632" i="2"/>
  <c r="B632" i="2"/>
  <c r="A632" i="2"/>
  <c r="AP631" i="2"/>
  <c r="AO631" i="2"/>
  <c r="W631" i="2"/>
  <c r="U631" i="2"/>
  <c r="M631" i="2"/>
  <c r="N631" i="2" s="1"/>
  <c r="AQ631" i="2" s="1"/>
  <c r="K631" i="2"/>
  <c r="J631" i="2"/>
  <c r="I631" i="2"/>
  <c r="H631" i="2"/>
  <c r="F631" i="2"/>
  <c r="G631" i="2" s="1"/>
  <c r="D631" i="2"/>
  <c r="C631" i="2"/>
  <c r="B631" i="2"/>
  <c r="A631" i="2"/>
  <c r="AP630" i="2"/>
  <c r="AO630" i="2"/>
  <c r="W630" i="2"/>
  <c r="U630" i="2"/>
  <c r="M630" i="2"/>
  <c r="N630" i="2" s="1"/>
  <c r="AQ630" i="2" s="1"/>
  <c r="K630" i="2"/>
  <c r="J630" i="2"/>
  <c r="I630" i="2"/>
  <c r="H630" i="2"/>
  <c r="F630" i="2"/>
  <c r="G630" i="2" s="1"/>
  <c r="D630" i="2"/>
  <c r="C630" i="2"/>
  <c r="B630" i="2"/>
  <c r="A630" i="2"/>
  <c r="AP629" i="2"/>
  <c r="AO629" i="2"/>
  <c r="AH629" i="2"/>
  <c r="W629" i="2"/>
  <c r="AI629" i="2" s="1"/>
  <c r="U629" i="2"/>
  <c r="M629" i="2"/>
  <c r="N629" i="2" s="1"/>
  <c r="AQ629" i="2" s="1"/>
  <c r="K629" i="2"/>
  <c r="J629" i="2"/>
  <c r="I629" i="2"/>
  <c r="H629" i="2"/>
  <c r="F629" i="2"/>
  <c r="D629" i="2"/>
  <c r="C629" i="2"/>
  <c r="B629" i="2"/>
  <c r="A629" i="2"/>
  <c r="AP628" i="2"/>
  <c r="AO628" i="2"/>
  <c r="W628" i="2"/>
  <c r="AI628" i="2" s="1"/>
  <c r="U628" i="2"/>
  <c r="M628" i="2"/>
  <c r="N628" i="2" s="1"/>
  <c r="AQ628" i="2" s="1"/>
  <c r="K628" i="2"/>
  <c r="J628" i="2"/>
  <c r="I628" i="2"/>
  <c r="H628" i="2"/>
  <c r="F628" i="2"/>
  <c r="G628" i="2" s="1"/>
  <c r="D628" i="2"/>
  <c r="C628" i="2"/>
  <c r="B628" i="2"/>
  <c r="A628" i="2"/>
  <c r="AP627" i="2"/>
  <c r="AO627" i="2"/>
  <c r="W627" i="2"/>
  <c r="AI627" i="2" s="1"/>
  <c r="U627" i="2"/>
  <c r="M627" i="2"/>
  <c r="N627" i="2" s="1"/>
  <c r="AQ627" i="2" s="1"/>
  <c r="K627" i="2"/>
  <c r="J627" i="2"/>
  <c r="I627" i="2"/>
  <c r="H627" i="2"/>
  <c r="F627" i="2"/>
  <c r="G627" i="2" s="1"/>
  <c r="D627" i="2"/>
  <c r="C627" i="2"/>
  <c r="B627" i="2"/>
  <c r="A627" i="2"/>
  <c r="AP626" i="2"/>
  <c r="AO626" i="2"/>
  <c r="W626" i="2"/>
  <c r="U626" i="2"/>
  <c r="M626" i="2"/>
  <c r="N626" i="2" s="1"/>
  <c r="AQ626" i="2" s="1"/>
  <c r="K626" i="2"/>
  <c r="J626" i="2"/>
  <c r="I626" i="2"/>
  <c r="H626" i="2"/>
  <c r="F626" i="2"/>
  <c r="G626" i="2" s="1"/>
  <c r="D626" i="2"/>
  <c r="C626" i="2"/>
  <c r="B626" i="2"/>
  <c r="A626" i="2"/>
  <c r="AP625" i="2"/>
  <c r="AO625" i="2"/>
  <c r="W625" i="2"/>
  <c r="AI625" i="2" s="1"/>
  <c r="U625" i="2"/>
  <c r="M625" i="2"/>
  <c r="N625" i="2" s="1"/>
  <c r="AQ625" i="2" s="1"/>
  <c r="K625" i="2"/>
  <c r="J625" i="2"/>
  <c r="I625" i="2"/>
  <c r="H625" i="2"/>
  <c r="F625" i="2"/>
  <c r="G625" i="2" s="1"/>
  <c r="D625" i="2"/>
  <c r="C625" i="2"/>
  <c r="B625" i="2"/>
  <c r="A625" i="2"/>
  <c r="AP624" i="2"/>
  <c r="AO624" i="2"/>
  <c r="AH624" i="2"/>
  <c r="W624" i="2"/>
  <c r="AI624" i="2" s="1"/>
  <c r="U624" i="2"/>
  <c r="M624" i="2"/>
  <c r="N624" i="2" s="1"/>
  <c r="AQ624" i="2" s="1"/>
  <c r="K624" i="2"/>
  <c r="J624" i="2"/>
  <c r="I624" i="2"/>
  <c r="H624" i="2"/>
  <c r="F624" i="2"/>
  <c r="D624" i="2"/>
  <c r="C624" i="2"/>
  <c r="B624" i="2"/>
  <c r="A624" i="2"/>
  <c r="AP623" i="2"/>
  <c r="AO623" i="2"/>
  <c r="AH623" i="2"/>
  <c r="W623" i="2"/>
  <c r="AI623" i="2" s="1"/>
  <c r="U623" i="2"/>
  <c r="M623" i="2"/>
  <c r="N623" i="2" s="1"/>
  <c r="AQ623" i="2" s="1"/>
  <c r="K623" i="2"/>
  <c r="J623" i="2"/>
  <c r="I623" i="2"/>
  <c r="H623" i="2"/>
  <c r="F623" i="2"/>
  <c r="D623" i="2"/>
  <c r="C623" i="2"/>
  <c r="B623" i="2"/>
  <c r="A623" i="2"/>
  <c r="AP622" i="2"/>
  <c r="AO622" i="2"/>
  <c r="AH622" i="2"/>
  <c r="W622" i="2"/>
  <c r="AI622" i="2" s="1"/>
  <c r="U622" i="2"/>
  <c r="M622" i="2"/>
  <c r="N622" i="2" s="1"/>
  <c r="AQ622" i="2" s="1"/>
  <c r="K622" i="2"/>
  <c r="J622" i="2"/>
  <c r="I622" i="2"/>
  <c r="H622" i="2"/>
  <c r="F622" i="2"/>
  <c r="D622" i="2"/>
  <c r="C622" i="2"/>
  <c r="B622" i="2"/>
  <c r="A622" i="2"/>
  <c r="AP621" i="2"/>
  <c r="AO621" i="2"/>
  <c r="AH621" i="2"/>
  <c r="W621" i="2"/>
  <c r="AI621" i="2" s="1"/>
  <c r="U621" i="2"/>
  <c r="M621" i="2"/>
  <c r="N621" i="2" s="1"/>
  <c r="AQ621" i="2" s="1"/>
  <c r="K621" i="2"/>
  <c r="J621" i="2"/>
  <c r="I621" i="2"/>
  <c r="H621" i="2"/>
  <c r="F621" i="2"/>
  <c r="D621" i="2"/>
  <c r="C621" i="2"/>
  <c r="B621" i="2"/>
  <c r="A621" i="2"/>
  <c r="AP620" i="2"/>
  <c r="AO620" i="2"/>
  <c r="AH620" i="2"/>
  <c r="W620" i="2"/>
  <c r="AI620" i="2" s="1"/>
  <c r="U620" i="2"/>
  <c r="M620" i="2"/>
  <c r="N620" i="2" s="1"/>
  <c r="AQ620" i="2" s="1"/>
  <c r="K620" i="2"/>
  <c r="J620" i="2"/>
  <c r="I620" i="2"/>
  <c r="H620" i="2"/>
  <c r="F620" i="2"/>
  <c r="D620" i="2"/>
  <c r="C620" i="2"/>
  <c r="B620" i="2"/>
  <c r="A620" i="2"/>
  <c r="AP619" i="2"/>
  <c r="AO619" i="2"/>
  <c r="AH619" i="2"/>
  <c r="W619" i="2"/>
  <c r="AI619" i="2" s="1"/>
  <c r="U619" i="2"/>
  <c r="M619" i="2"/>
  <c r="N619" i="2" s="1"/>
  <c r="AQ619" i="2" s="1"/>
  <c r="K619" i="2"/>
  <c r="J619" i="2"/>
  <c r="I619" i="2"/>
  <c r="H619" i="2"/>
  <c r="F619" i="2"/>
  <c r="D619" i="2"/>
  <c r="C619" i="2"/>
  <c r="B619" i="2"/>
  <c r="A619" i="2"/>
  <c r="AP618" i="2"/>
  <c r="AO618" i="2"/>
  <c r="AH618" i="2"/>
  <c r="W618" i="2"/>
  <c r="AI618" i="2" s="1"/>
  <c r="U618" i="2"/>
  <c r="M618" i="2"/>
  <c r="N618" i="2" s="1"/>
  <c r="AQ618" i="2" s="1"/>
  <c r="K618" i="2"/>
  <c r="J618" i="2"/>
  <c r="I618" i="2"/>
  <c r="H618" i="2"/>
  <c r="F618" i="2"/>
  <c r="D618" i="2"/>
  <c r="C618" i="2"/>
  <c r="B618" i="2"/>
  <c r="A618" i="2"/>
  <c r="AP617" i="2"/>
  <c r="AO617" i="2"/>
  <c r="AH617" i="2"/>
  <c r="W617" i="2"/>
  <c r="AI617" i="2" s="1"/>
  <c r="U617" i="2"/>
  <c r="M617" i="2"/>
  <c r="N617" i="2" s="1"/>
  <c r="AQ617" i="2" s="1"/>
  <c r="K617" i="2"/>
  <c r="J617" i="2"/>
  <c r="I617" i="2"/>
  <c r="H617" i="2"/>
  <c r="F617" i="2"/>
  <c r="D617" i="2"/>
  <c r="C617" i="2"/>
  <c r="B617" i="2"/>
  <c r="A617" i="2"/>
  <c r="AP616" i="2"/>
  <c r="AO616" i="2"/>
  <c r="AH616" i="2"/>
  <c r="W616" i="2"/>
  <c r="AI616" i="2" s="1"/>
  <c r="U616" i="2"/>
  <c r="N616" i="2"/>
  <c r="AQ616" i="2" s="1"/>
  <c r="M616" i="2"/>
  <c r="K616" i="2"/>
  <c r="J616" i="2"/>
  <c r="I616" i="2"/>
  <c r="H616" i="2"/>
  <c r="F616" i="2"/>
  <c r="D616" i="2"/>
  <c r="C616" i="2"/>
  <c r="B616" i="2"/>
  <c r="A616" i="2"/>
  <c r="AP615" i="2"/>
  <c r="AO615" i="2"/>
  <c r="AH615" i="2"/>
  <c r="W615" i="2"/>
  <c r="AI615" i="2" s="1"/>
  <c r="U615" i="2"/>
  <c r="N615" i="2"/>
  <c r="AQ615" i="2" s="1"/>
  <c r="M615" i="2"/>
  <c r="K615" i="2"/>
  <c r="J615" i="2"/>
  <c r="I615" i="2"/>
  <c r="H615" i="2"/>
  <c r="F615" i="2"/>
  <c r="D615" i="2"/>
  <c r="C615" i="2"/>
  <c r="B615" i="2"/>
  <c r="A615" i="2"/>
  <c r="AP614" i="2"/>
  <c r="AO614" i="2"/>
  <c r="AH614" i="2"/>
  <c r="W614" i="2"/>
  <c r="AI614" i="2" s="1"/>
  <c r="U614" i="2"/>
  <c r="N614" i="2"/>
  <c r="AQ614" i="2" s="1"/>
  <c r="M614" i="2"/>
  <c r="K614" i="2"/>
  <c r="J614" i="2"/>
  <c r="I614" i="2"/>
  <c r="H614" i="2"/>
  <c r="F614" i="2"/>
  <c r="D614" i="2"/>
  <c r="C614" i="2"/>
  <c r="B614" i="2"/>
  <c r="A614" i="2"/>
  <c r="AP613" i="2"/>
  <c r="AO613" i="2"/>
  <c r="AH613" i="2"/>
  <c r="W613" i="2"/>
  <c r="AI613" i="2" s="1"/>
  <c r="U613" i="2"/>
  <c r="N613" i="2"/>
  <c r="AQ613" i="2" s="1"/>
  <c r="M613" i="2"/>
  <c r="K613" i="2"/>
  <c r="J613" i="2"/>
  <c r="I613" i="2"/>
  <c r="H613" i="2"/>
  <c r="F613" i="2"/>
  <c r="D613" i="2"/>
  <c r="C613" i="2"/>
  <c r="B613" i="2"/>
  <c r="A613" i="2"/>
  <c r="AP612" i="2"/>
  <c r="AO612" i="2"/>
  <c r="AH612" i="2"/>
  <c r="W612" i="2"/>
  <c r="AI612" i="2" s="1"/>
  <c r="U612" i="2"/>
  <c r="M612" i="2"/>
  <c r="N612" i="2" s="1"/>
  <c r="AQ612" i="2" s="1"/>
  <c r="K612" i="2"/>
  <c r="J612" i="2"/>
  <c r="I612" i="2"/>
  <c r="H612" i="2"/>
  <c r="F612" i="2"/>
  <c r="D612" i="2"/>
  <c r="C612" i="2"/>
  <c r="B612" i="2"/>
  <c r="A612" i="2"/>
  <c r="AP611" i="2"/>
  <c r="AO611" i="2"/>
  <c r="AH611" i="2"/>
  <c r="W611" i="2"/>
  <c r="AI611" i="2" s="1"/>
  <c r="U611" i="2"/>
  <c r="M611" i="2"/>
  <c r="N611" i="2" s="1"/>
  <c r="AQ611" i="2" s="1"/>
  <c r="K611" i="2"/>
  <c r="J611" i="2"/>
  <c r="I611" i="2"/>
  <c r="H611" i="2"/>
  <c r="F611" i="2"/>
  <c r="D611" i="2"/>
  <c r="C611" i="2"/>
  <c r="B611" i="2"/>
  <c r="A611" i="2"/>
  <c r="AP610" i="2"/>
  <c r="AO610" i="2"/>
  <c r="AH610" i="2"/>
  <c r="W610" i="2"/>
  <c r="AI610" i="2" s="1"/>
  <c r="U610" i="2"/>
  <c r="M610" i="2"/>
  <c r="N610" i="2" s="1"/>
  <c r="AQ610" i="2" s="1"/>
  <c r="K610" i="2"/>
  <c r="J610" i="2"/>
  <c r="I610" i="2"/>
  <c r="H610" i="2"/>
  <c r="F610" i="2"/>
  <c r="D610" i="2"/>
  <c r="C610" i="2"/>
  <c r="B610" i="2"/>
  <c r="A610" i="2"/>
  <c r="AP609" i="2"/>
  <c r="AO609" i="2"/>
  <c r="AH609" i="2"/>
  <c r="W609" i="2"/>
  <c r="AI609" i="2" s="1"/>
  <c r="U609" i="2"/>
  <c r="M609" i="2"/>
  <c r="N609" i="2" s="1"/>
  <c r="AQ609" i="2" s="1"/>
  <c r="K609" i="2"/>
  <c r="J609" i="2"/>
  <c r="I609" i="2"/>
  <c r="H609" i="2"/>
  <c r="F609" i="2"/>
  <c r="D609" i="2"/>
  <c r="C609" i="2"/>
  <c r="B609" i="2"/>
  <c r="A609" i="2"/>
  <c r="AP608" i="2"/>
  <c r="AO608" i="2"/>
  <c r="AH608" i="2"/>
  <c r="W608" i="2"/>
  <c r="AI608" i="2" s="1"/>
  <c r="U608" i="2"/>
  <c r="M608" i="2"/>
  <c r="N608" i="2" s="1"/>
  <c r="AQ608" i="2" s="1"/>
  <c r="K608" i="2"/>
  <c r="J608" i="2"/>
  <c r="I608" i="2"/>
  <c r="H608" i="2"/>
  <c r="F608" i="2"/>
  <c r="D608" i="2"/>
  <c r="C608" i="2"/>
  <c r="B608" i="2"/>
  <c r="A608" i="2"/>
  <c r="AP607" i="2"/>
  <c r="AO607" i="2"/>
  <c r="AH607" i="2"/>
  <c r="W607" i="2"/>
  <c r="AI607" i="2" s="1"/>
  <c r="U607" i="2"/>
  <c r="M607" i="2"/>
  <c r="N607" i="2" s="1"/>
  <c r="AQ607" i="2" s="1"/>
  <c r="K607" i="2"/>
  <c r="J607" i="2"/>
  <c r="I607" i="2"/>
  <c r="H607" i="2"/>
  <c r="F607" i="2"/>
  <c r="D607" i="2"/>
  <c r="C607" i="2"/>
  <c r="B607" i="2"/>
  <c r="A607" i="2"/>
  <c r="AP606" i="2"/>
  <c r="AO606" i="2"/>
  <c r="AH606" i="2"/>
  <c r="W606" i="2"/>
  <c r="AI606" i="2" s="1"/>
  <c r="U606" i="2"/>
  <c r="M606" i="2"/>
  <c r="N606" i="2" s="1"/>
  <c r="AQ606" i="2" s="1"/>
  <c r="K606" i="2"/>
  <c r="J606" i="2"/>
  <c r="I606" i="2"/>
  <c r="H606" i="2"/>
  <c r="F606" i="2"/>
  <c r="D606" i="2"/>
  <c r="C606" i="2"/>
  <c r="B606" i="2"/>
  <c r="A606" i="2"/>
  <c r="AP605" i="2"/>
  <c r="AO605" i="2"/>
  <c r="AH605" i="2"/>
  <c r="W605" i="2"/>
  <c r="AI605" i="2" s="1"/>
  <c r="U605" i="2"/>
  <c r="M605" i="2"/>
  <c r="N605" i="2" s="1"/>
  <c r="AQ605" i="2" s="1"/>
  <c r="K605" i="2"/>
  <c r="J605" i="2"/>
  <c r="I605" i="2"/>
  <c r="H605" i="2"/>
  <c r="F605" i="2"/>
  <c r="D605" i="2"/>
  <c r="C605" i="2"/>
  <c r="B605" i="2"/>
  <c r="A605" i="2"/>
  <c r="AP604" i="2"/>
  <c r="AO604" i="2"/>
  <c r="AH604" i="2"/>
  <c r="W604" i="2"/>
  <c r="AI604" i="2" s="1"/>
  <c r="U604" i="2"/>
  <c r="M604" i="2"/>
  <c r="N604" i="2" s="1"/>
  <c r="AQ604" i="2" s="1"/>
  <c r="K604" i="2"/>
  <c r="J604" i="2"/>
  <c r="I604" i="2"/>
  <c r="H604" i="2"/>
  <c r="F604" i="2"/>
  <c r="D604" i="2"/>
  <c r="C604" i="2"/>
  <c r="B604" i="2"/>
  <c r="A604" i="2"/>
  <c r="AP603" i="2"/>
  <c r="AO603" i="2"/>
  <c r="AH603" i="2"/>
  <c r="W603" i="2"/>
  <c r="AI603" i="2" s="1"/>
  <c r="U603" i="2"/>
  <c r="M603" i="2"/>
  <c r="N603" i="2" s="1"/>
  <c r="AQ603" i="2" s="1"/>
  <c r="K603" i="2"/>
  <c r="J603" i="2"/>
  <c r="I603" i="2"/>
  <c r="H603" i="2"/>
  <c r="F603" i="2"/>
  <c r="D603" i="2"/>
  <c r="C603" i="2"/>
  <c r="B603" i="2"/>
  <c r="A603" i="2"/>
  <c r="AP602" i="2"/>
  <c r="AO602" i="2"/>
  <c r="AH602" i="2"/>
  <c r="W602" i="2"/>
  <c r="AI602" i="2" s="1"/>
  <c r="U602" i="2"/>
  <c r="M602" i="2"/>
  <c r="N602" i="2" s="1"/>
  <c r="AQ602" i="2" s="1"/>
  <c r="K602" i="2"/>
  <c r="J602" i="2"/>
  <c r="I602" i="2"/>
  <c r="H602" i="2"/>
  <c r="F602" i="2"/>
  <c r="D602" i="2"/>
  <c r="C602" i="2"/>
  <c r="B602" i="2"/>
  <c r="A602" i="2"/>
  <c r="AP601" i="2"/>
  <c r="AO601" i="2"/>
  <c r="AH601" i="2"/>
  <c r="W601" i="2"/>
  <c r="AI601" i="2" s="1"/>
  <c r="U601" i="2"/>
  <c r="M601" i="2"/>
  <c r="N601" i="2" s="1"/>
  <c r="AQ601" i="2" s="1"/>
  <c r="K601" i="2"/>
  <c r="J601" i="2"/>
  <c r="I601" i="2"/>
  <c r="H601" i="2"/>
  <c r="F601" i="2"/>
  <c r="D601" i="2"/>
  <c r="C601" i="2"/>
  <c r="B601" i="2"/>
  <c r="A601" i="2"/>
  <c r="AP600" i="2"/>
  <c r="AO600" i="2"/>
  <c r="AH600" i="2"/>
  <c r="W600" i="2"/>
  <c r="AI600" i="2" s="1"/>
  <c r="U600" i="2"/>
  <c r="N600" i="2"/>
  <c r="AQ600" i="2" s="1"/>
  <c r="M600" i="2"/>
  <c r="K600" i="2"/>
  <c r="J600" i="2"/>
  <c r="I600" i="2"/>
  <c r="H600" i="2"/>
  <c r="F600" i="2"/>
  <c r="D600" i="2"/>
  <c r="C600" i="2"/>
  <c r="B600" i="2"/>
  <c r="A600" i="2"/>
  <c r="AP599" i="2"/>
  <c r="AO599" i="2"/>
  <c r="AH599" i="2"/>
  <c r="W599" i="2"/>
  <c r="AI599" i="2" s="1"/>
  <c r="U599" i="2"/>
  <c r="N599" i="2"/>
  <c r="AQ599" i="2" s="1"/>
  <c r="M599" i="2"/>
  <c r="K599" i="2"/>
  <c r="J599" i="2"/>
  <c r="I599" i="2"/>
  <c r="H599" i="2"/>
  <c r="F599" i="2"/>
  <c r="D599" i="2"/>
  <c r="C599" i="2"/>
  <c r="B599" i="2"/>
  <c r="A599" i="2"/>
  <c r="AP598" i="2"/>
  <c r="AO598" i="2"/>
  <c r="AH598" i="2"/>
  <c r="W598" i="2"/>
  <c r="AI598" i="2" s="1"/>
  <c r="U598" i="2"/>
  <c r="N598" i="2"/>
  <c r="AQ598" i="2" s="1"/>
  <c r="M598" i="2"/>
  <c r="K598" i="2"/>
  <c r="J598" i="2"/>
  <c r="I598" i="2"/>
  <c r="H598" i="2"/>
  <c r="F598" i="2"/>
  <c r="D598" i="2"/>
  <c r="C598" i="2"/>
  <c r="B598" i="2"/>
  <c r="A598" i="2"/>
  <c r="AP597" i="2"/>
  <c r="AO597" i="2"/>
  <c r="AH597" i="2"/>
  <c r="W597" i="2"/>
  <c r="AI597" i="2" s="1"/>
  <c r="U597" i="2"/>
  <c r="N597" i="2"/>
  <c r="AQ597" i="2" s="1"/>
  <c r="M597" i="2"/>
  <c r="K597" i="2"/>
  <c r="J597" i="2"/>
  <c r="I597" i="2"/>
  <c r="H597" i="2"/>
  <c r="F597" i="2"/>
  <c r="D597" i="2"/>
  <c r="C597" i="2"/>
  <c r="B597" i="2"/>
  <c r="A597" i="2"/>
  <c r="AP596" i="2"/>
  <c r="AO596" i="2"/>
  <c r="AH596" i="2"/>
  <c r="W596" i="2"/>
  <c r="AI596" i="2" s="1"/>
  <c r="U596" i="2"/>
  <c r="M596" i="2"/>
  <c r="N596" i="2" s="1"/>
  <c r="AQ596" i="2" s="1"/>
  <c r="K596" i="2"/>
  <c r="J596" i="2"/>
  <c r="I596" i="2"/>
  <c r="H596" i="2"/>
  <c r="F596" i="2"/>
  <c r="D596" i="2"/>
  <c r="C596" i="2"/>
  <c r="B596" i="2"/>
  <c r="A596" i="2"/>
  <c r="AP595" i="2"/>
  <c r="AO595" i="2"/>
  <c r="AH595" i="2"/>
  <c r="W595" i="2"/>
  <c r="AI595" i="2" s="1"/>
  <c r="U595" i="2"/>
  <c r="M595" i="2"/>
  <c r="N595" i="2" s="1"/>
  <c r="AQ595" i="2" s="1"/>
  <c r="K595" i="2"/>
  <c r="J595" i="2"/>
  <c r="I595" i="2"/>
  <c r="H595" i="2"/>
  <c r="F595" i="2"/>
  <c r="D595" i="2"/>
  <c r="C595" i="2"/>
  <c r="B595" i="2"/>
  <c r="A595" i="2"/>
  <c r="AP594" i="2"/>
  <c r="AO594" i="2"/>
  <c r="AH594" i="2"/>
  <c r="W594" i="2"/>
  <c r="AI594" i="2" s="1"/>
  <c r="U594" i="2"/>
  <c r="M594" i="2"/>
  <c r="N594" i="2" s="1"/>
  <c r="AQ594" i="2" s="1"/>
  <c r="K594" i="2"/>
  <c r="J594" i="2"/>
  <c r="I594" i="2"/>
  <c r="H594" i="2"/>
  <c r="F594" i="2"/>
  <c r="D594" i="2"/>
  <c r="C594" i="2"/>
  <c r="B594" i="2"/>
  <c r="A594" i="2"/>
  <c r="AP593" i="2"/>
  <c r="AO593" i="2"/>
  <c r="AH593" i="2"/>
  <c r="W593" i="2"/>
  <c r="AI593" i="2" s="1"/>
  <c r="U593" i="2"/>
  <c r="M593" i="2"/>
  <c r="N593" i="2" s="1"/>
  <c r="AQ593" i="2" s="1"/>
  <c r="K593" i="2"/>
  <c r="J593" i="2"/>
  <c r="I593" i="2"/>
  <c r="H593" i="2"/>
  <c r="F593" i="2"/>
  <c r="D593" i="2"/>
  <c r="C593" i="2"/>
  <c r="B593" i="2"/>
  <c r="A593" i="2"/>
  <c r="AP592" i="2"/>
  <c r="AO592" i="2"/>
  <c r="AH592" i="2"/>
  <c r="W592" i="2"/>
  <c r="AI592" i="2" s="1"/>
  <c r="U592" i="2"/>
  <c r="M592" i="2"/>
  <c r="N592" i="2" s="1"/>
  <c r="AQ592" i="2" s="1"/>
  <c r="K592" i="2"/>
  <c r="J592" i="2"/>
  <c r="I592" i="2"/>
  <c r="H592" i="2"/>
  <c r="F592" i="2"/>
  <c r="D592" i="2"/>
  <c r="C592" i="2"/>
  <c r="B592" i="2"/>
  <c r="A592" i="2"/>
  <c r="AP591" i="2"/>
  <c r="AO591" i="2"/>
  <c r="AH591" i="2"/>
  <c r="W591" i="2"/>
  <c r="AI591" i="2" s="1"/>
  <c r="U591" i="2"/>
  <c r="M591" i="2"/>
  <c r="N591" i="2" s="1"/>
  <c r="AQ591" i="2" s="1"/>
  <c r="K591" i="2"/>
  <c r="J591" i="2"/>
  <c r="I591" i="2"/>
  <c r="H591" i="2"/>
  <c r="F591" i="2"/>
  <c r="D591" i="2"/>
  <c r="C591" i="2"/>
  <c r="B591" i="2"/>
  <c r="A591" i="2"/>
  <c r="AP590" i="2"/>
  <c r="AO590" i="2"/>
  <c r="AH590" i="2"/>
  <c r="W590" i="2"/>
  <c r="AI590" i="2" s="1"/>
  <c r="U590" i="2"/>
  <c r="M590" i="2"/>
  <c r="N590" i="2" s="1"/>
  <c r="AQ590" i="2" s="1"/>
  <c r="K590" i="2"/>
  <c r="J590" i="2"/>
  <c r="I590" i="2"/>
  <c r="H590" i="2"/>
  <c r="F590" i="2"/>
  <c r="D590" i="2"/>
  <c r="C590" i="2"/>
  <c r="B590" i="2"/>
  <c r="A590" i="2"/>
  <c r="AP589" i="2"/>
  <c r="AO589" i="2"/>
  <c r="AH589" i="2"/>
  <c r="W589" i="2"/>
  <c r="AI589" i="2" s="1"/>
  <c r="U589" i="2"/>
  <c r="M589" i="2"/>
  <c r="N589" i="2" s="1"/>
  <c r="AQ589" i="2" s="1"/>
  <c r="K589" i="2"/>
  <c r="J589" i="2"/>
  <c r="I589" i="2"/>
  <c r="H589" i="2"/>
  <c r="F589" i="2"/>
  <c r="D589" i="2"/>
  <c r="C589" i="2"/>
  <c r="B589" i="2"/>
  <c r="A589" i="2"/>
  <c r="AP588" i="2"/>
  <c r="AO588" i="2"/>
  <c r="AH588" i="2"/>
  <c r="W588" i="2"/>
  <c r="AI588" i="2" s="1"/>
  <c r="U588" i="2"/>
  <c r="M588" i="2"/>
  <c r="N588" i="2" s="1"/>
  <c r="AQ588" i="2" s="1"/>
  <c r="K588" i="2"/>
  <c r="J588" i="2"/>
  <c r="I588" i="2"/>
  <c r="H588" i="2"/>
  <c r="F588" i="2"/>
  <c r="D588" i="2"/>
  <c r="C588" i="2"/>
  <c r="B588" i="2"/>
  <c r="A588" i="2"/>
  <c r="AP587" i="2"/>
  <c r="AO587" i="2"/>
  <c r="AH587" i="2"/>
  <c r="W587" i="2"/>
  <c r="AI587" i="2" s="1"/>
  <c r="U587" i="2"/>
  <c r="M587" i="2"/>
  <c r="N587" i="2" s="1"/>
  <c r="AQ587" i="2" s="1"/>
  <c r="K587" i="2"/>
  <c r="J587" i="2"/>
  <c r="I587" i="2"/>
  <c r="H587" i="2"/>
  <c r="F587" i="2"/>
  <c r="D587" i="2"/>
  <c r="C587" i="2"/>
  <c r="B587" i="2"/>
  <c r="A587" i="2"/>
  <c r="AP586" i="2"/>
  <c r="AO586" i="2"/>
  <c r="AH586" i="2"/>
  <c r="W586" i="2"/>
  <c r="AI586" i="2" s="1"/>
  <c r="U586" i="2"/>
  <c r="M586" i="2"/>
  <c r="N586" i="2" s="1"/>
  <c r="AQ586" i="2" s="1"/>
  <c r="K586" i="2"/>
  <c r="J586" i="2"/>
  <c r="I586" i="2"/>
  <c r="H586" i="2"/>
  <c r="F586" i="2"/>
  <c r="D586" i="2"/>
  <c r="C586" i="2"/>
  <c r="B586" i="2"/>
  <c r="A586" i="2"/>
  <c r="AP585" i="2"/>
  <c r="AO585" i="2"/>
  <c r="AH585" i="2"/>
  <c r="W585" i="2"/>
  <c r="AI585" i="2" s="1"/>
  <c r="U585" i="2"/>
  <c r="M585" i="2"/>
  <c r="N585" i="2" s="1"/>
  <c r="AQ585" i="2" s="1"/>
  <c r="K585" i="2"/>
  <c r="J585" i="2"/>
  <c r="I585" i="2"/>
  <c r="H585" i="2"/>
  <c r="F585" i="2"/>
  <c r="D585" i="2"/>
  <c r="C585" i="2"/>
  <c r="B585" i="2"/>
  <c r="A585" i="2"/>
  <c r="AP584" i="2"/>
  <c r="AO584" i="2"/>
  <c r="AH584" i="2"/>
  <c r="W584" i="2"/>
  <c r="AI584" i="2" s="1"/>
  <c r="U584" i="2"/>
  <c r="M584" i="2"/>
  <c r="N584" i="2" s="1"/>
  <c r="AQ584" i="2" s="1"/>
  <c r="K584" i="2"/>
  <c r="J584" i="2"/>
  <c r="I584" i="2"/>
  <c r="H584" i="2"/>
  <c r="F584" i="2"/>
  <c r="D584" i="2"/>
  <c r="C584" i="2"/>
  <c r="B584" i="2"/>
  <c r="A584" i="2"/>
  <c r="AP583" i="2"/>
  <c r="AO583" i="2"/>
  <c r="AH583" i="2"/>
  <c r="W583" i="2"/>
  <c r="AI583" i="2" s="1"/>
  <c r="U583" i="2"/>
  <c r="M583" i="2"/>
  <c r="N583" i="2" s="1"/>
  <c r="AQ583" i="2" s="1"/>
  <c r="K583" i="2"/>
  <c r="J583" i="2"/>
  <c r="I583" i="2"/>
  <c r="H583" i="2"/>
  <c r="F583" i="2"/>
  <c r="D583" i="2"/>
  <c r="C583" i="2"/>
  <c r="B583" i="2"/>
  <c r="A583" i="2"/>
  <c r="AP582" i="2"/>
  <c r="AO582" i="2"/>
  <c r="AH582" i="2"/>
  <c r="W582" i="2"/>
  <c r="AI582" i="2" s="1"/>
  <c r="U582" i="2"/>
  <c r="M582" i="2"/>
  <c r="N582" i="2" s="1"/>
  <c r="AQ582" i="2" s="1"/>
  <c r="K582" i="2"/>
  <c r="J582" i="2"/>
  <c r="I582" i="2"/>
  <c r="H582" i="2"/>
  <c r="F582" i="2"/>
  <c r="D582" i="2"/>
  <c r="C582" i="2"/>
  <c r="B582" i="2"/>
  <c r="A582" i="2"/>
  <c r="AP581" i="2"/>
  <c r="AO581" i="2"/>
  <c r="AH581" i="2"/>
  <c r="W581" i="2"/>
  <c r="AI581" i="2" s="1"/>
  <c r="U581" i="2"/>
  <c r="M581" i="2"/>
  <c r="N581" i="2" s="1"/>
  <c r="AQ581" i="2" s="1"/>
  <c r="K581" i="2"/>
  <c r="J581" i="2"/>
  <c r="I581" i="2"/>
  <c r="H581" i="2"/>
  <c r="F581" i="2"/>
  <c r="D581" i="2"/>
  <c r="C581" i="2"/>
  <c r="B581" i="2"/>
  <c r="A581" i="2"/>
  <c r="AP580" i="2"/>
  <c r="AO580" i="2"/>
  <c r="AH580" i="2"/>
  <c r="W580" i="2"/>
  <c r="AI580" i="2" s="1"/>
  <c r="U580" i="2"/>
  <c r="M580" i="2"/>
  <c r="N580" i="2" s="1"/>
  <c r="AQ580" i="2" s="1"/>
  <c r="K580" i="2"/>
  <c r="J580" i="2"/>
  <c r="I580" i="2"/>
  <c r="H580" i="2"/>
  <c r="F580" i="2"/>
  <c r="D580" i="2"/>
  <c r="C580" i="2"/>
  <c r="B580" i="2"/>
  <c r="A580" i="2"/>
  <c r="AP579" i="2"/>
  <c r="AO579" i="2"/>
  <c r="AH579" i="2"/>
  <c r="W579" i="2"/>
  <c r="AI579" i="2" s="1"/>
  <c r="U579" i="2"/>
  <c r="M579" i="2"/>
  <c r="N579" i="2" s="1"/>
  <c r="AQ579" i="2" s="1"/>
  <c r="K579" i="2"/>
  <c r="J579" i="2"/>
  <c r="I579" i="2"/>
  <c r="H579" i="2"/>
  <c r="F579" i="2"/>
  <c r="D579" i="2"/>
  <c r="C579" i="2"/>
  <c r="B579" i="2"/>
  <c r="A579" i="2"/>
  <c r="AP578" i="2"/>
  <c r="AO578" i="2"/>
  <c r="AH578" i="2"/>
  <c r="W578" i="2"/>
  <c r="AI578" i="2" s="1"/>
  <c r="U578" i="2"/>
  <c r="M578" i="2"/>
  <c r="N578" i="2" s="1"/>
  <c r="AQ578" i="2" s="1"/>
  <c r="K578" i="2"/>
  <c r="J578" i="2"/>
  <c r="I578" i="2"/>
  <c r="H578" i="2"/>
  <c r="F578" i="2"/>
  <c r="D578" i="2"/>
  <c r="C578" i="2"/>
  <c r="B578" i="2"/>
  <c r="A578" i="2"/>
  <c r="AP577" i="2"/>
  <c r="AO577" i="2"/>
  <c r="AH577" i="2"/>
  <c r="W577" i="2"/>
  <c r="AI577" i="2" s="1"/>
  <c r="U577" i="2"/>
  <c r="M577" i="2"/>
  <c r="N577" i="2" s="1"/>
  <c r="AQ577" i="2" s="1"/>
  <c r="K577" i="2"/>
  <c r="J577" i="2"/>
  <c r="I577" i="2"/>
  <c r="H577" i="2"/>
  <c r="F577" i="2"/>
  <c r="D577" i="2"/>
  <c r="C577" i="2"/>
  <c r="B577" i="2"/>
  <c r="A577" i="2"/>
  <c r="AP576" i="2"/>
  <c r="AO576" i="2"/>
  <c r="AH576" i="2"/>
  <c r="W576" i="2"/>
  <c r="AI576" i="2" s="1"/>
  <c r="U576" i="2"/>
  <c r="M576" i="2"/>
  <c r="N576" i="2" s="1"/>
  <c r="AQ576" i="2" s="1"/>
  <c r="K576" i="2"/>
  <c r="J576" i="2"/>
  <c r="I576" i="2"/>
  <c r="H576" i="2"/>
  <c r="F576" i="2"/>
  <c r="D576" i="2"/>
  <c r="C576" i="2"/>
  <c r="B576" i="2"/>
  <c r="A576" i="2"/>
  <c r="AP575" i="2"/>
  <c r="AO575" i="2"/>
  <c r="AH575" i="2"/>
  <c r="W575" i="2"/>
  <c r="AI575" i="2" s="1"/>
  <c r="U575" i="2"/>
  <c r="M575" i="2"/>
  <c r="N575" i="2" s="1"/>
  <c r="AQ575" i="2" s="1"/>
  <c r="K575" i="2"/>
  <c r="J575" i="2"/>
  <c r="I575" i="2"/>
  <c r="H575" i="2"/>
  <c r="F575" i="2"/>
  <c r="D575" i="2"/>
  <c r="C575" i="2"/>
  <c r="B575" i="2"/>
  <c r="A575" i="2"/>
  <c r="AP574" i="2"/>
  <c r="AO574" i="2"/>
  <c r="AH574" i="2"/>
  <c r="W574" i="2"/>
  <c r="AI574" i="2" s="1"/>
  <c r="U574" i="2"/>
  <c r="M574" i="2"/>
  <c r="N574" i="2" s="1"/>
  <c r="AQ574" i="2" s="1"/>
  <c r="K574" i="2"/>
  <c r="J574" i="2"/>
  <c r="I574" i="2"/>
  <c r="H574" i="2"/>
  <c r="F574" i="2"/>
  <c r="D574" i="2"/>
  <c r="C574" i="2"/>
  <c r="B574" i="2"/>
  <c r="A574" i="2"/>
  <c r="AP573" i="2"/>
  <c r="AO573" i="2"/>
  <c r="AH573" i="2"/>
  <c r="W573" i="2"/>
  <c r="AI573" i="2" s="1"/>
  <c r="U573" i="2"/>
  <c r="M573" i="2"/>
  <c r="N573" i="2" s="1"/>
  <c r="AQ573" i="2" s="1"/>
  <c r="K573" i="2"/>
  <c r="J573" i="2"/>
  <c r="I573" i="2"/>
  <c r="H573" i="2"/>
  <c r="F573" i="2"/>
  <c r="D573" i="2"/>
  <c r="C573" i="2"/>
  <c r="B573" i="2"/>
  <c r="A573" i="2"/>
  <c r="AP572" i="2"/>
  <c r="AO572" i="2"/>
  <c r="AH572" i="2"/>
  <c r="W572" i="2"/>
  <c r="AI572" i="2" s="1"/>
  <c r="U572" i="2"/>
  <c r="M572" i="2"/>
  <c r="N572" i="2" s="1"/>
  <c r="AQ572" i="2" s="1"/>
  <c r="K572" i="2"/>
  <c r="J572" i="2"/>
  <c r="I572" i="2"/>
  <c r="H572" i="2"/>
  <c r="F572" i="2"/>
  <c r="D572" i="2"/>
  <c r="C572" i="2"/>
  <c r="B572" i="2"/>
  <c r="A572" i="2"/>
  <c r="AP571" i="2"/>
  <c r="AO571" i="2"/>
  <c r="AH571" i="2"/>
  <c r="W571" i="2"/>
  <c r="AI571" i="2" s="1"/>
  <c r="U571" i="2"/>
  <c r="M571" i="2"/>
  <c r="N571" i="2" s="1"/>
  <c r="AQ571" i="2" s="1"/>
  <c r="K571" i="2"/>
  <c r="J571" i="2"/>
  <c r="I571" i="2"/>
  <c r="H571" i="2"/>
  <c r="F571" i="2"/>
  <c r="D571" i="2"/>
  <c r="C571" i="2"/>
  <c r="B571" i="2"/>
  <c r="A571" i="2"/>
  <c r="AP570" i="2"/>
  <c r="AO570" i="2"/>
  <c r="AH570" i="2"/>
  <c r="W570" i="2"/>
  <c r="AI570" i="2" s="1"/>
  <c r="U570" i="2"/>
  <c r="M570" i="2"/>
  <c r="N570" i="2" s="1"/>
  <c r="AQ570" i="2" s="1"/>
  <c r="K570" i="2"/>
  <c r="J570" i="2"/>
  <c r="I570" i="2"/>
  <c r="H570" i="2"/>
  <c r="F570" i="2"/>
  <c r="D570" i="2"/>
  <c r="C570" i="2"/>
  <c r="B570" i="2"/>
  <c r="A570" i="2"/>
  <c r="AP569" i="2"/>
  <c r="AO569" i="2"/>
  <c r="AH569" i="2"/>
  <c r="W569" i="2"/>
  <c r="AI569" i="2" s="1"/>
  <c r="U569" i="2"/>
  <c r="M569" i="2"/>
  <c r="N569" i="2" s="1"/>
  <c r="AQ569" i="2" s="1"/>
  <c r="K569" i="2"/>
  <c r="J569" i="2"/>
  <c r="I569" i="2"/>
  <c r="H569" i="2"/>
  <c r="F569" i="2"/>
  <c r="D569" i="2"/>
  <c r="C569" i="2"/>
  <c r="B569" i="2"/>
  <c r="A569" i="2"/>
  <c r="AP568" i="2"/>
  <c r="AO568" i="2"/>
  <c r="AH568" i="2"/>
  <c r="W568" i="2"/>
  <c r="AI568" i="2" s="1"/>
  <c r="U568" i="2"/>
  <c r="M568" i="2"/>
  <c r="N568" i="2" s="1"/>
  <c r="AQ568" i="2" s="1"/>
  <c r="K568" i="2"/>
  <c r="J568" i="2"/>
  <c r="I568" i="2"/>
  <c r="H568" i="2"/>
  <c r="F568" i="2"/>
  <c r="D568" i="2"/>
  <c r="C568" i="2"/>
  <c r="B568" i="2"/>
  <c r="A568" i="2"/>
  <c r="AP567" i="2"/>
  <c r="AO567" i="2"/>
  <c r="AH567" i="2"/>
  <c r="W567" i="2"/>
  <c r="AI567" i="2" s="1"/>
  <c r="U567" i="2"/>
  <c r="M567" i="2"/>
  <c r="N567" i="2" s="1"/>
  <c r="AQ567" i="2" s="1"/>
  <c r="K567" i="2"/>
  <c r="J567" i="2"/>
  <c r="I567" i="2"/>
  <c r="H567" i="2"/>
  <c r="F567" i="2"/>
  <c r="D567" i="2"/>
  <c r="C567" i="2"/>
  <c r="B567" i="2"/>
  <c r="A567" i="2"/>
  <c r="AP566" i="2"/>
  <c r="AO566" i="2"/>
  <c r="AH566" i="2"/>
  <c r="W566" i="2"/>
  <c r="AI566" i="2" s="1"/>
  <c r="U566" i="2"/>
  <c r="M566" i="2"/>
  <c r="N566" i="2" s="1"/>
  <c r="AQ566" i="2" s="1"/>
  <c r="K566" i="2"/>
  <c r="J566" i="2"/>
  <c r="I566" i="2"/>
  <c r="H566" i="2"/>
  <c r="F566" i="2"/>
  <c r="D566" i="2"/>
  <c r="C566" i="2"/>
  <c r="B566" i="2"/>
  <c r="A566" i="2"/>
  <c r="AP565" i="2"/>
  <c r="AO565" i="2"/>
  <c r="AH565" i="2"/>
  <c r="W565" i="2"/>
  <c r="AI565" i="2" s="1"/>
  <c r="U565" i="2"/>
  <c r="M565" i="2"/>
  <c r="N565" i="2" s="1"/>
  <c r="AQ565" i="2" s="1"/>
  <c r="K565" i="2"/>
  <c r="J565" i="2"/>
  <c r="I565" i="2"/>
  <c r="H565" i="2"/>
  <c r="F565" i="2"/>
  <c r="D565" i="2"/>
  <c r="C565" i="2"/>
  <c r="B565" i="2"/>
  <c r="A565" i="2"/>
  <c r="AP564" i="2"/>
  <c r="AO564" i="2"/>
  <c r="AH564" i="2"/>
  <c r="W564" i="2"/>
  <c r="AI564" i="2" s="1"/>
  <c r="U564" i="2"/>
  <c r="M564" i="2"/>
  <c r="N564" i="2" s="1"/>
  <c r="AQ564" i="2" s="1"/>
  <c r="K564" i="2"/>
  <c r="J564" i="2"/>
  <c r="I564" i="2"/>
  <c r="H564" i="2"/>
  <c r="F564" i="2"/>
  <c r="D564" i="2"/>
  <c r="C564" i="2"/>
  <c r="B564" i="2"/>
  <c r="A564" i="2"/>
  <c r="AP563" i="2"/>
  <c r="AO563" i="2"/>
  <c r="AH563" i="2"/>
  <c r="W563" i="2"/>
  <c r="AI563" i="2" s="1"/>
  <c r="U563" i="2"/>
  <c r="M563" i="2"/>
  <c r="N563" i="2" s="1"/>
  <c r="AQ563" i="2" s="1"/>
  <c r="K563" i="2"/>
  <c r="J563" i="2"/>
  <c r="I563" i="2"/>
  <c r="H563" i="2"/>
  <c r="F563" i="2"/>
  <c r="D563" i="2"/>
  <c r="C563" i="2"/>
  <c r="B563" i="2"/>
  <c r="A563" i="2"/>
  <c r="AP562" i="2"/>
  <c r="AO562" i="2"/>
  <c r="AH562" i="2"/>
  <c r="W562" i="2"/>
  <c r="AI562" i="2" s="1"/>
  <c r="U562" i="2"/>
  <c r="M562" i="2"/>
  <c r="N562" i="2" s="1"/>
  <c r="AQ562" i="2" s="1"/>
  <c r="K562" i="2"/>
  <c r="J562" i="2"/>
  <c r="I562" i="2"/>
  <c r="H562" i="2"/>
  <c r="F562" i="2"/>
  <c r="D562" i="2"/>
  <c r="C562" i="2"/>
  <c r="B562" i="2"/>
  <c r="A562" i="2"/>
  <c r="AP561" i="2"/>
  <c r="AO561" i="2"/>
  <c r="AH561" i="2"/>
  <c r="W561" i="2"/>
  <c r="AI561" i="2" s="1"/>
  <c r="U561" i="2"/>
  <c r="M561" i="2"/>
  <c r="N561" i="2" s="1"/>
  <c r="AQ561" i="2" s="1"/>
  <c r="K561" i="2"/>
  <c r="J561" i="2"/>
  <c r="I561" i="2"/>
  <c r="H561" i="2"/>
  <c r="F561" i="2"/>
  <c r="D561" i="2"/>
  <c r="C561" i="2"/>
  <c r="B561" i="2"/>
  <c r="A561" i="2"/>
  <c r="AP560" i="2"/>
  <c r="AO560" i="2"/>
  <c r="AH560" i="2"/>
  <c r="W560" i="2"/>
  <c r="AI560" i="2" s="1"/>
  <c r="U560" i="2"/>
  <c r="M560" i="2"/>
  <c r="N560" i="2" s="1"/>
  <c r="AQ560" i="2" s="1"/>
  <c r="K560" i="2"/>
  <c r="J560" i="2"/>
  <c r="I560" i="2"/>
  <c r="H560" i="2"/>
  <c r="F560" i="2"/>
  <c r="D560" i="2"/>
  <c r="C560" i="2"/>
  <c r="B560" i="2"/>
  <c r="A560" i="2"/>
  <c r="AP559" i="2"/>
  <c r="AO559" i="2"/>
  <c r="AH559" i="2"/>
  <c r="W559" i="2"/>
  <c r="AI559" i="2" s="1"/>
  <c r="U559" i="2"/>
  <c r="M559" i="2"/>
  <c r="N559" i="2" s="1"/>
  <c r="AQ559" i="2" s="1"/>
  <c r="K559" i="2"/>
  <c r="J559" i="2"/>
  <c r="I559" i="2"/>
  <c r="H559" i="2"/>
  <c r="F559" i="2"/>
  <c r="D559" i="2"/>
  <c r="C559" i="2"/>
  <c r="B559" i="2"/>
  <c r="A559" i="2"/>
  <c r="AP558" i="2"/>
  <c r="AO558" i="2"/>
  <c r="AH558" i="2"/>
  <c r="W558" i="2"/>
  <c r="AI558" i="2" s="1"/>
  <c r="U558" i="2"/>
  <c r="M558" i="2"/>
  <c r="N558" i="2" s="1"/>
  <c r="AQ558" i="2" s="1"/>
  <c r="K558" i="2"/>
  <c r="J558" i="2"/>
  <c r="I558" i="2"/>
  <c r="H558" i="2"/>
  <c r="F558" i="2"/>
  <c r="D558" i="2"/>
  <c r="C558" i="2"/>
  <c r="B558" i="2"/>
  <c r="A558" i="2"/>
  <c r="AP557" i="2"/>
  <c r="AO557" i="2"/>
  <c r="AH557" i="2"/>
  <c r="W557" i="2"/>
  <c r="AI557" i="2" s="1"/>
  <c r="U557" i="2"/>
  <c r="M557" i="2"/>
  <c r="N557" i="2" s="1"/>
  <c r="AQ557" i="2" s="1"/>
  <c r="K557" i="2"/>
  <c r="J557" i="2"/>
  <c r="I557" i="2"/>
  <c r="H557" i="2"/>
  <c r="F557" i="2"/>
  <c r="D557" i="2"/>
  <c r="C557" i="2"/>
  <c r="B557" i="2"/>
  <c r="A557" i="2"/>
  <c r="AP556" i="2"/>
  <c r="AO556" i="2"/>
  <c r="AH556" i="2"/>
  <c r="W556" i="2"/>
  <c r="AI556" i="2" s="1"/>
  <c r="U556" i="2"/>
  <c r="M556" i="2"/>
  <c r="N556" i="2" s="1"/>
  <c r="AQ556" i="2" s="1"/>
  <c r="K556" i="2"/>
  <c r="J556" i="2"/>
  <c r="I556" i="2"/>
  <c r="H556" i="2"/>
  <c r="F556" i="2"/>
  <c r="D556" i="2"/>
  <c r="C556" i="2"/>
  <c r="B556" i="2"/>
  <c r="A556" i="2"/>
  <c r="AP555" i="2"/>
  <c r="AO555" i="2"/>
  <c r="AH555" i="2"/>
  <c r="W555" i="2"/>
  <c r="AI555" i="2" s="1"/>
  <c r="U555" i="2"/>
  <c r="M555" i="2"/>
  <c r="N555" i="2" s="1"/>
  <c r="AQ555" i="2" s="1"/>
  <c r="K555" i="2"/>
  <c r="J555" i="2"/>
  <c r="I555" i="2"/>
  <c r="H555" i="2"/>
  <c r="F555" i="2"/>
  <c r="D555" i="2"/>
  <c r="C555" i="2"/>
  <c r="B555" i="2"/>
  <c r="A555" i="2"/>
  <c r="AP554" i="2"/>
  <c r="AO554" i="2"/>
  <c r="AH554" i="2"/>
  <c r="W554" i="2"/>
  <c r="AI554" i="2" s="1"/>
  <c r="U554" i="2"/>
  <c r="M554" i="2"/>
  <c r="N554" i="2" s="1"/>
  <c r="AQ554" i="2" s="1"/>
  <c r="K554" i="2"/>
  <c r="J554" i="2"/>
  <c r="I554" i="2"/>
  <c r="H554" i="2"/>
  <c r="F554" i="2"/>
  <c r="D554" i="2"/>
  <c r="C554" i="2"/>
  <c r="B554" i="2"/>
  <c r="A554" i="2"/>
  <c r="AP553" i="2"/>
  <c r="AO553" i="2"/>
  <c r="AH553" i="2"/>
  <c r="W553" i="2"/>
  <c r="AI553" i="2" s="1"/>
  <c r="U553" i="2"/>
  <c r="M553" i="2"/>
  <c r="N553" i="2" s="1"/>
  <c r="AQ553" i="2" s="1"/>
  <c r="K553" i="2"/>
  <c r="J553" i="2"/>
  <c r="I553" i="2"/>
  <c r="H553" i="2"/>
  <c r="F553" i="2"/>
  <c r="D553" i="2"/>
  <c r="C553" i="2"/>
  <c r="B553" i="2"/>
  <c r="A553" i="2"/>
  <c r="AP552" i="2"/>
  <c r="AO552" i="2"/>
  <c r="AH552" i="2"/>
  <c r="W552" i="2"/>
  <c r="AI552" i="2" s="1"/>
  <c r="U552" i="2"/>
  <c r="M552" i="2"/>
  <c r="N552" i="2" s="1"/>
  <c r="AQ552" i="2" s="1"/>
  <c r="K552" i="2"/>
  <c r="J552" i="2"/>
  <c r="I552" i="2"/>
  <c r="H552" i="2"/>
  <c r="F552" i="2"/>
  <c r="D552" i="2"/>
  <c r="C552" i="2"/>
  <c r="B552" i="2"/>
  <c r="A552" i="2"/>
  <c r="AP551" i="2"/>
  <c r="AO551" i="2"/>
  <c r="AH551" i="2"/>
  <c r="W551" i="2"/>
  <c r="AI551" i="2" s="1"/>
  <c r="U551" i="2"/>
  <c r="M551" i="2"/>
  <c r="N551" i="2" s="1"/>
  <c r="AQ551" i="2" s="1"/>
  <c r="K551" i="2"/>
  <c r="J551" i="2"/>
  <c r="I551" i="2"/>
  <c r="H551" i="2"/>
  <c r="F551" i="2"/>
  <c r="D551" i="2"/>
  <c r="C551" i="2"/>
  <c r="B551" i="2"/>
  <c r="A551" i="2"/>
  <c r="AP550" i="2"/>
  <c r="AO550" i="2"/>
  <c r="AH550" i="2"/>
  <c r="W550" i="2"/>
  <c r="AI550" i="2" s="1"/>
  <c r="U550" i="2"/>
  <c r="M550" i="2"/>
  <c r="N550" i="2" s="1"/>
  <c r="AQ550" i="2" s="1"/>
  <c r="K550" i="2"/>
  <c r="J550" i="2"/>
  <c r="I550" i="2"/>
  <c r="H550" i="2"/>
  <c r="F550" i="2"/>
  <c r="D550" i="2"/>
  <c r="C550" i="2"/>
  <c r="B550" i="2"/>
  <c r="A550" i="2"/>
  <c r="AP549" i="2"/>
  <c r="AO549" i="2"/>
  <c r="AH549" i="2"/>
  <c r="W549" i="2"/>
  <c r="AI549" i="2" s="1"/>
  <c r="U549" i="2"/>
  <c r="M549" i="2"/>
  <c r="N549" i="2" s="1"/>
  <c r="AQ549" i="2" s="1"/>
  <c r="K549" i="2"/>
  <c r="J549" i="2"/>
  <c r="I549" i="2"/>
  <c r="H549" i="2"/>
  <c r="F549" i="2"/>
  <c r="D549" i="2"/>
  <c r="C549" i="2"/>
  <c r="B549" i="2"/>
  <c r="A549" i="2"/>
  <c r="AP548" i="2"/>
  <c r="AO548" i="2"/>
  <c r="AH548" i="2"/>
  <c r="W548" i="2"/>
  <c r="AI548" i="2" s="1"/>
  <c r="U548" i="2"/>
  <c r="M548" i="2"/>
  <c r="N548" i="2" s="1"/>
  <c r="AQ548" i="2" s="1"/>
  <c r="K548" i="2"/>
  <c r="J548" i="2"/>
  <c r="I548" i="2"/>
  <c r="H548" i="2"/>
  <c r="F548" i="2"/>
  <c r="D548" i="2"/>
  <c r="C548" i="2"/>
  <c r="B548" i="2"/>
  <c r="A548" i="2"/>
  <c r="AP547" i="2"/>
  <c r="AO547" i="2"/>
  <c r="AH547" i="2"/>
  <c r="W547" i="2"/>
  <c r="AI547" i="2" s="1"/>
  <c r="U547" i="2"/>
  <c r="M547" i="2"/>
  <c r="N547" i="2" s="1"/>
  <c r="AQ547" i="2" s="1"/>
  <c r="K547" i="2"/>
  <c r="J547" i="2"/>
  <c r="I547" i="2"/>
  <c r="H547" i="2"/>
  <c r="F547" i="2"/>
  <c r="D547" i="2"/>
  <c r="C547" i="2"/>
  <c r="B547" i="2"/>
  <c r="A547" i="2"/>
  <c r="AP546" i="2"/>
  <c r="AO546" i="2"/>
  <c r="AH546" i="2"/>
  <c r="W546" i="2"/>
  <c r="AI546" i="2" s="1"/>
  <c r="U546" i="2"/>
  <c r="M546" i="2"/>
  <c r="N546" i="2" s="1"/>
  <c r="AQ546" i="2" s="1"/>
  <c r="K546" i="2"/>
  <c r="J546" i="2"/>
  <c r="I546" i="2"/>
  <c r="H546" i="2"/>
  <c r="F546" i="2"/>
  <c r="D546" i="2"/>
  <c r="C546" i="2"/>
  <c r="B546" i="2"/>
  <c r="A546" i="2"/>
  <c r="AP545" i="2"/>
  <c r="AO545" i="2"/>
  <c r="AH545" i="2"/>
  <c r="W545" i="2"/>
  <c r="AI545" i="2" s="1"/>
  <c r="U545" i="2"/>
  <c r="M545" i="2"/>
  <c r="N545" i="2" s="1"/>
  <c r="AQ545" i="2" s="1"/>
  <c r="K545" i="2"/>
  <c r="J545" i="2"/>
  <c r="I545" i="2"/>
  <c r="H545" i="2"/>
  <c r="F545" i="2"/>
  <c r="D545" i="2"/>
  <c r="C545" i="2"/>
  <c r="B545" i="2"/>
  <c r="A545" i="2"/>
  <c r="AP544" i="2"/>
  <c r="AO544" i="2"/>
  <c r="AH544" i="2"/>
  <c r="W544" i="2"/>
  <c r="AI544" i="2" s="1"/>
  <c r="U544" i="2"/>
  <c r="M544" i="2"/>
  <c r="N544" i="2" s="1"/>
  <c r="AQ544" i="2" s="1"/>
  <c r="K544" i="2"/>
  <c r="J544" i="2"/>
  <c r="I544" i="2"/>
  <c r="H544" i="2"/>
  <c r="F544" i="2"/>
  <c r="D544" i="2"/>
  <c r="C544" i="2"/>
  <c r="B544" i="2"/>
  <c r="A544" i="2"/>
  <c r="AP543" i="2"/>
  <c r="AO543" i="2"/>
  <c r="AH543" i="2"/>
  <c r="W543" i="2"/>
  <c r="AI543" i="2" s="1"/>
  <c r="U543" i="2"/>
  <c r="M543" i="2"/>
  <c r="N543" i="2" s="1"/>
  <c r="AQ543" i="2" s="1"/>
  <c r="K543" i="2"/>
  <c r="J543" i="2"/>
  <c r="I543" i="2"/>
  <c r="H543" i="2"/>
  <c r="F543" i="2"/>
  <c r="D543" i="2"/>
  <c r="C543" i="2"/>
  <c r="B543" i="2"/>
  <c r="A543" i="2"/>
  <c r="AP542" i="2"/>
  <c r="AO542" i="2"/>
  <c r="AH542" i="2"/>
  <c r="W542" i="2"/>
  <c r="AI542" i="2" s="1"/>
  <c r="U542" i="2"/>
  <c r="M542" i="2"/>
  <c r="N542" i="2" s="1"/>
  <c r="AQ542" i="2" s="1"/>
  <c r="K542" i="2"/>
  <c r="J542" i="2"/>
  <c r="I542" i="2"/>
  <c r="H542" i="2"/>
  <c r="F542" i="2"/>
  <c r="D542" i="2"/>
  <c r="C542" i="2"/>
  <c r="B542" i="2"/>
  <c r="A542" i="2"/>
  <c r="AP541" i="2"/>
  <c r="AO541" i="2"/>
  <c r="AH541" i="2"/>
  <c r="W541" i="2"/>
  <c r="AI541" i="2" s="1"/>
  <c r="U541" i="2"/>
  <c r="M541" i="2"/>
  <c r="N541" i="2" s="1"/>
  <c r="AQ541" i="2" s="1"/>
  <c r="K541" i="2"/>
  <c r="J541" i="2"/>
  <c r="I541" i="2"/>
  <c r="H541" i="2"/>
  <c r="F541" i="2"/>
  <c r="D541" i="2"/>
  <c r="C541" i="2"/>
  <c r="B541" i="2"/>
  <c r="A541" i="2"/>
  <c r="AP540" i="2"/>
  <c r="AO540" i="2"/>
  <c r="AH540" i="2"/>
  <c r="W540" i="2"/>
  <c r="AI540" i="2" s="1"/>
  <c r="U540" i="2"/>
  <c r="M540" i="2"/>
  <c r="N540" i="2" s="1"/>
  <c r="AQ540" i="2" s="1"/>
  <c r="K540" i="2"/>
  <c r="J540" i="2"/>
  <c r="I540" i="2"/>
  <c r="H540" i="2"/>
  <c r="F540" i="2"/>
  <c r="D540" i="2"/>
  <c r="C540" i="2"/>
  <c r="B540" i="2"/>
  <c r="A540" i="2"/>
  <c r="AP539" i="2"/>
  <c r="AO539" i="2"/>
  <c r="AH539" i="2"/>
  <c r="W539" i="2"/>
  <c r="AI539" i="2" s="1"/>
  <c r="U539" i="2"/>
  <c r="M539" i="2"/>
  <c r="N539" i="2" s="1"/>
  <c r="AQ539" i="2" s="1"/>
  <c r="K539" i="2"/>
  <c r="J539" i="2"/>
  <c r="I539" i="2"/>
  <c r="H539" i="2"/>
  <c r="F539" i="2"/>
  <c r="D539" i="2"/>
  <c r="C539" i="2"/>
  <c r="B539" i="2"/>
  <c r="A539" i="2"/>
  <c r="AP538" i="2"/>
  <c r="AO538" i="2"/>
  <c r="AH538" i="2"/>
  <c r="W538" i="2"/>
  <c r="AI538" i="2" s="1"/>
  <c r="U538" i="2"/>
  <c r="M538" i="2"/>
  <c r="N538" i="2" s="1"/>
  <c r="AQ538" i="2" s="1"/>
  <c r="K538" i="2"/>
  <c r="J538" i="2"/>
  <c r="I538" i="2"/>
  <c r="H538" i="2"/>
  <c r="F538" i="2"/>
  <c r="D538" i="2"/>
  <c r="C538" i="2"/>
  <c r="B538" i="2"/>
  <c r="A538" i="2"/>
  <c r="AP537" i="2"/>
  <c r="AO537" i="2"/>
  <c r="AH537" i="2"/>
  <c r="W537" i="2"/>
  <c r="AI537" i="2" s="1"/>
  <c r="U537" i="2"/>
  <c r="M537" i="2"/>
  <c r="N537" i="2" s="1"/>
  <c r="AQ537" i="2" s="1"/>
  <c r="K537" i="2"/>
  <c r="J537" i="2"/>
  <c r="I537" i="2"/>
  <c r="H537" i="2"/>
  <c r="F537" i="2"/>
  <c r="D537" i="2"/>
  <c r="C537" i="2"/>
  <c r="B537" i="2"/>
  <c r="A537" i="2"/>
  <c r="AP536" i="2"/>
  <c r="AO536" i="2"/>
  <c r="AH536" i="2"/>
  <c r="W536" i="2"/>
  <c r="AI536" i="2" s="1"/>
  <c r="U536" i="2"/>
  <c r="N536" i="2"/>
  <c r="AQ536" i="2" s="1"/>
  <c r="M536" i="2"/>
  <c r="K536" i="2"/>
  <c r="J536" i="2"/>
  <c r="I536" i="2"/>
  <c r="H536" i="2"/>
  <c r="F536" i="2"/>
  <c r="D536" i="2"/>
  <c r="C536" i="2"/>
  <c r="B536" i="2"/>
  <c r="A536" i="2"/>
  <c r="AP535" i="2"/>
  <c r="AO535" i="2"/>
  <c r="AH535" i="2"/>
  <c r="W535" i="2"/>
  <c r="AI535" i="2" s="1"/>
  <c r="U535" i="2"/>
  <c r="N535" i="2"/>
  <c r="AQ535" i="2" s="1"/>
  <c r="M535" i="2"/>
  <c r="K535" i="2"/>
  <c r="J535" i="2"/>
  <c r="I535" i="2"/>
  <c r="H535" i="2"/>
  <c r="F535" i="2"/>
  <c r="D535" i="2"/>
  <c r="C535" i="2"/>
  <c r="B535" i="2"/>
  <c r="A535" i="2"/>
  <c r="AP534" i="2"/>
  <c r="AO534" i="2"/>
  <c r="AH534" i="2"/>
  <c r="W534" i="2"/>
  <c r="AI534" i="2" s="1"/>
  <c r="U534" i="2"/>
  <c r="N534" i="2"/>
  <c r="AQ534" i="2" s="1"/>
  <c r="M534" i="2"/>
  <c r="K534" i="2"/>
  <c r="J534" i="2"/>
  <c r="I534" i="2"/>
  <c r="H534" i="2"/>
  <c r="F534" i="2"/>
  <c r="D534" i="2"/>
  <c r="C534" i="2"/>
  <c r="B534" i="2"/>
  <c r="A534" i="2"/>
  <c r="AP533" i="2"/>
  <c r="AO533" i="2"/>
  <c r="AH533" i="2"/>
  <c r="W533" i="2"/>
  <c r="AI533" i="2" s="1"/>
  <c r="U533" i="2"/>
  <c r="N533" i="2"/>
  <c r="AQ533" i="2" s="1"/>
  <c r="M533" i="2"/>
  <c r="K533" i="2"/>
  <c r="J533" i="2"/>
  <c r="I533" i="2"/>
  <c r="H533" i="2"/>
  <c r="F533" i="2"/>
  <c r="D533" i="2"/>
  <c r="C533" i="2"/>
  <c r="B533" i="2"/>
  <c r="A533" i="2"/>
  <c r="AP532" i="2"/>
  <c r="AO532" i="2"/>
  <c r="AH532" i="2"/>
  <c r="W532" i="2"/>
  <c r="AI532" i="2" s="1"/>
  <c r="U532" i="2"/>
  <c r="M532" i="2"/>
  <c r="N532" i="2" s="1"/>
  <c r="AQ532" i="2" s="1"/>
  <c r="K532" i="2"/>
  <c r="J532" i="2"/>
  <c r="I532" i="2"/>
  <c r="H532" i="2"/>
  <c r="F532" i="2"/>
  <c r="D532" i="2"/>
  <c r="C532" i="2"/>
  <c r="B532" i="2"/>
  <c r="A532" i="2"/>
  <c r="AP531" i="2"/>
  <c r="AO531" i="2"/>
  <c r="AH531" i="2"/>
  <c r="W531" i="2"/>
  <c r="AI531" i="2" s="1"/>
  <c r="U531" i="2"/>
  <c r="M531" i="2"/>
  <c r="N531" i="2" s="1"/>
  <c r="AQ531" i="2" s="1"/>
  <c r="K531" i="2"/>
  <c r="J531" i="2"/>
  <c r="I531" i="2"/>
  <c r="H531" i="2"/>
  <c r="F531" i="2"/>
  <c r="D531" i="2"/>
  <c r="C531" i="2"/>
  <c r="B531" i="2"/>
  <c r="A531" i="2"/>
  <c r="AP530" i="2"/>
  <c r="AO530" i="2"/>
  <c r="AH530" i="2"/>
  <c r="W530" i="2"/>
  <c r="AI530" i="2" s="1"/>
  <c r="U530" i="2"/>
  <c r="M530" i="2"/>
  <c r="N530" i="2" s="1"/>
  <c r="AQ530" i="2" s="1"/>
  <c r="K530" i="2"/>
  <c r="J530" i="2"/>
  <c r="I530" i="2"/>
  <c r="H530" i="2"/>
  <c r="F530" i="2"/>
  <c r="D530" i="2"/>
  <c r="C530" i="2"/>
  <c r="B530" i="2"/>
  <c r="A530" i="2"/>
  <c r="AP529" i="2"/>
  <c r="AO529" i="2"/>
  <c r="AH529" i="2"/>
  <c r="W529" i="2"/>
  <c r="AI529" i="2" s="1"/>
  <c r="U529" i="2"/>
  <c r="M529" i="2"/>
  <c r="N529" i="2" s="1"/>
  <c r="AQ529" i="2" s="1"/>
  <c r="K529" i="2"/>
  <c r="J529" i="2"/>
  <c r="I529" i="2"/>
  <c r="H529" i="2"/>
  <c r="F529" i="2"/>
  <c r="D529" i="2"/>
  <c r="C529" i="2"/>
  <c r="B529" i="2"/>
  <c r="A529" i="2"/>
  <c r="AP528" i="2"/>
  <c r="AO528" i="2"/>
  <c r="AH528" i="2"/>
  <c r="W528" i="2"/>
  <c r="AI528" i="2" s="1"/>
  <c r="U528" i="2"/>
  <c r="M528" i="2"/>
  <c r="N528" i="2" s="1"/>
  <c r="AQ528" i="2" s="1"/>
  <c r="K528" i="2"/>
  <c r="J528" i="2"/>
  <c r="I528" i="2"/>
  <c r="H528" i="2"/>
  <c r="F528" i="2"/>
  <c r="D528" i="2"/>
  <c r="C528" i="2"/>
  <c r="B528" i="2"/>
  <c r="A528" i="2"/>
  <c r="AP527" i="2"/>
  <c r="AO527" i="2"/>
  <c r="AH527" i="2"/>
  <c r="W527" i="2"/>
  <c r="AI527" i="2" s="1"/>
  <c r="U527" i="2"/>
  <c r="M527" i="2"/>
  <c r="N527" i="2" s="1"/>
  <c r="AQ527" i="2" s="1"/>
  <c r="K527" i="2"/>
  <c r="J527" i="2"/>
  <c r="I527" i="2"/>
  <c r="H527" i="2"/>
  <c r="F527" i="2"/>
  <c r="D527" i="2"/>
  <c r="C527" i="2"/>
  <c r="B527" i="2"/>
  <c r="A527" i="2"/>
  <c r="AP526" i="2"/>
  <c r="AO526" i="2"/>
  <c r="AH526" i="2"/>
  <c r="W526" i="2"/>
  <c r="AI526" i="2" s="1"/>
  <c r="U526" i="2"/>
  <c r="M526" i="2"/>
  <c r="N526" i="2" s="1"/>
  <c r="AQ526" i="2" s="1"/>
  <c r="K526" i="2"/>
  <c r="J526" i="2"/>
  <c r="I526" i="2"/>
  <c r="H526" i="2"/>
  <c r="F526" i="2"/>
  <c r="D526" i="2"/>
  <c r="C526" i="2"/>
  <c r="B526" i="2"/>
  <c r="A526" i="2"/>
  <c r="AP525" i="2"/>
  <c r="AO525" i="2"/>
  <c r="AH525" i="2"/>
  <c r="W525" i="2"/>
  <c r="AI525" i="2" s="1"/>
  <c r="U525" i="2"/>
  <c r="M525" i="2"/>
  <c r="N525" i="2" s="1"/>
  <c r="AQ525" i="2" s="1"/>
  <c r="K525" i="2"/>
  <c r="J525" i="2"/>
  <c r="I525" i="2"/>
  <c r="H525" i="2"/>
  <c r="F525" i="2"/>
  <c r="D525" i="2"/>
  <c r="C525" i="2"/>
  <c r="B525" i="2"/>
  <c r="A525" i="2"/>
  <c r="AP524" i="2"/>
  <c r="AO524" i="2"/>
  <c r="AH524" i="2"/>
  <c r="W524" i="2"/>
  <c r="AI524" i="2" s="1"/>
  <c r="U524" i="2"/>
  <c r="M524" i="2"/>
  <c r="N524" i="2" s="1"/>
  <c r="AQ524" i="2" s="1"/>
  <c r="K524" i="2"/>
  <c r="J524" i="2"/>
  <c r="I524" i="2"/>
  <c r="H524" i="2"/>
  <c r="F524" i="2"/>
  <c r="D524" i="2"/>
  <c r="C524" i="2"/>
  <c r="B524" i="2"/>
  <c r="A524" i="2"/>
  <c r="AP523" i="2"/>
  <c r="AO523" i="2"/>
  <c r="AH523" i="2"/>
  <c r="W523" i="2"/>
  <c r="AI523" i="2" s="1"/>
  <c r="U523" i="2"/>
  <c r="M523" i="2"/>
  <c r="N523" i="2" s="1"/>
  <c r="AQ523" i="2" s="1"/>
  <c r="K523" i="2"/>
  <c r="J523" i="2"/>
  <c r="I523" i="2"/>
  <c r="H523" i="2"/>
  <c r="F523" i="2"/>
  <c r="D523" i="2"/>
  <c r="C523" i="2"/>
  <c r="B523" i="2"/>
  <c r="A523" i="2"/>
  <c r="AP522" i="2"/>
  <c r="AO522" i="2"/>
  <c r="AH522" i="2"/>
  <c r="W522" i="2"/>
  <c r="AI522" i="2" s="1"/>
  <c r="U522" i="2"/>
  <c r="M522" i="2"/>
  <c r="N522" i="2" s="1"/>
  <c r="AQ522" i="2" s="1"/>
  <c r="K522" i="2"/>
  <c r="J522" i="2"/>
  <c r="I522" i="2"/>
  <c r="H522" i="2"/>
  <c r="F522" i="2"/>
  <c r="D522" i="2"/>
  <c r="C522" i="2"/>
  <c r="B522" i="2"/>
  <c r="A522" i="2"/>
  <c r="AP521" i="2"/>
  <c r="AO521" i="2"/>
  <c r="AH521" i="2"/>
  <c r="W521" i="2"/>
  <c r="AI521" i="2" s="1"/>
  <c r="U521" i="2"/>
  <c r="M521" i="2"/>
  <c r="N521" i="2" s="1"/>
  <c r="AQ521" i="2" s="1"/>
  <c r="K521" i="2"/>
  <c r="J521" i="2"/>
  <c r="I521" i="2"/>
  <c r="H521" i="2"/>
  <c r="F521" i="2"/>
  <c r="D521" i="2"/>
  <c r="C521" i="2"/>
  <c r="B521" i="2"/>
  <c r="A521" i="2"/>
  <c r="AP520" i="2"/>
  <c r="AO520" i="2"/>
  <c r="AH520" i="2"/>
  <c r="W520" i="2"/>
  <c r="AI520" i="2" s="1"/>
  <c r="U520" i="2"/>
  <c r="M520" i="2"/>
  <c r="N520" i="2" s="1"/>
  <c r="AQ520" i="2" s="1"/>
  <c r="K520" i="2"/>
  <c r="J520" i="2"/>
  <c r="I520" i="2"/>
  <c r="H520" i="2"/>
  <c r="F520" i="2"/>
  <c r="D520" i="2"/>
  <c r="C520" i="2"/>
  <c r="B520" i="2"/>
  <c r="A520" i="2"/>
  <c r="AP519" i="2"/>
  <c r="AO519" i="2"/>
  <c r="AH519" i="2"/>
  <c r="W519" i="2"/>
  <c r="AI519" i="2" s="1"/>
  <c r="U519" i="2"/>
  <c r="M519" i="2"/>
  <c r="N519" i="2" s="1"/>
  <c r="AQ519" i="2" s="1"/>
  <c r="K519" i="2"/>
  <c r="J519" i="2"/>
  <c r="I519" i="2"/>
  <c r="H519" i="2"/>
  <c r="F519" i="2"/>
  <c r="D519" i="2"/>
  <c r="C519" i="2"/>
  <c r="B519" i="2"/>
  <c r="A519" i="2"/>
  <c r="AP518" i="2"/>
  <c r="AO518" i="2"/>
  <c r="AH518" i="2"/>
  <c r="W518" i="2"/>
  <c r="AI518" i="2" s="1"/>
  <c r="U518" i="2"/>
  <c r="M518" i="2"/>
  <c r="N518" i="2" s="1"/>
  <c r="AQ518" i="2" s="1"/>
  <c r="K518" i="2"/>
  <c r="J518" i="2"/>
  <c r="I518" i="2"/>
  <c r="H518" i="2"/>
  <c r="F518" i="2"/>
  <c r="D518" i="2"/>
  <c r="C518" i="2"/>
  <c r="B518" i="2"/>
  <c r="A518" i="2"/>
  <c r="AP517" i="2"/>
  <c r="AO517" i="2"/>
  <c r="AH517" i="2"/>
  <c r="W517" i="2"/>
  <c r="AI517" i="2" s="1"/>
  <c r="U517" i="2"/>
  <c r="M517" i="2"/>
  <c r="N517" i="2" s="1"/>
  <c r="AQ517" i="2" s="1"/>
  <c r="K517" i="2"/>
  <c r="J517" i="2"/>
  <c r="I517" i="2"/>
  <c r="H517" i="2"/>
  <c r="F517" i="2"/>
  <c r="D517" i="2"/>
  <c r="C517" i="2"/>
  <c r="B517" i="2"/>
  <c r="A517" i="2"/>
  <c r="AP516" i="2"/>
  <c r="AO516" i="2"/>
  <c r="AH516" i="2"/>
  <c r="W516" i="2"/>
  <c r="AI516" i="2" s="1"/>
  <c r="U516" i="2"/>
  <c r="M516" i="2"/>
  <c r="N516" i="2" s="1"/>
  <c r="AQ516" i="2" s="1"/>
  <c r="K516" i="2"/>
  <c r="J516" i="2"/>
  <c r="I516" i="2"/>
  <c r="H516" i="2"/>
  <c r="F516" i="2"/>
  <c r="D516" i="2"/>
  <c r="C516" i="2"/>
  <c r="B516" i="2"/>
  <c r="A516" i="2"/>
  <c r="AP515" i="2"/>
  <c r="AO515" i="2"/>
  <c r="AH515" i="2"/>
  <c r="W515" i="2"/>
  <c r="AI515" i="2" s="1"/>
  <c r="U515" i="2"/>
  <c r="M515" i="2"/>
  <c r="N515" i="2" s="1"/>
  <c r="AQ515" i="2" s="1"/>
  <c r="K515" i="2"/>
  <c r="J515" i="2"/>
  <c r="I515" i="2"/>
  <c r="H515" i="2"/>
  <c r="F515" i="2"/>
  <c r="D515" i="2"/>
  <c r="C515" i="2"/>
  <c r="B515" i="2"/>
  <c r="A515" i="2"/>
  <c r="AP514" i="2"/>
  <c r="AO514" i="2"/>
  <c r="AH514" i="2"/>
  <c r="W514" i="2"/>
  <c r="AI514" i="2" s="1"/>
  <c r="U514" i="2"/>
  <c r="M514" i="2"/>
  <c r="N514" i="2" s="1"/>
  <c r="AQ514" i="2" s="1"/>
  <c r="K514" i="2"/>
  <c r="J514" i="2"/>
  <c r="I514" i="2"/>
  <c r="H514" i="2"/>
  <c r="F514" i="2"/>
  <c r="D514" i="2"/>
  <c r="C514" i="2"/>
  <c r="B514" i="2"/>
  <c r="A514" i="2"/>
  <c r="AP513" i="2"/>
  <c r="AO513" i="2"/>
  <c r="AH513" i="2"/>
  <c r="W513" i="2"/>
  <c r="AI513" i="2" s="1"/>
  <c r="U513" i="2"/>
  <c r="M513" i="2"/>
  <c r="N513" i="2" s="1"/>
  <c r="AQ513" i="2" s="1"/>
  <c r="K513" i="2"/>
  <c r="J513" i="2"/>
  <c r="I513" i="2"/>
  <c r="H513" i="2"/>
  <c r="F513" i="2"/>
  <c r="D513" i="2"/>
  <c r="C513" i="2"/>
  <c r="B513" i="2"/>
  <c r="A513" i="2"/>
  <c r="AP512" i="2"/>
  <c r="AO512" i="2"/>
  <c r="AH512" i="2"/>
  <c r="W512" i="2"/>
  <c r="AI512" i="2" s="1"/>
  <c r="U512" i="2"/>
  <c r="M512" i="2"/>
  <c r="N512" i="2" s="1"/>
  <c r="AQ512" i="2" s="1"/>
  <c r="K512" i="2"/>
  <c r="J512" i="2"/>
  <c r="I512" i="2"/>
  <c r="H512" i="2"/>
  <c r="F512" i="2"/>
  <c r="D512" i="2"/>
  <c r="C512" i="2"/>
  <c r="B512" i="2"/>
  <c r="A512" i="2"/>
  <c r="AP511" i="2"/>
  <c r="AO511" i="2"/>
  <c r="AH511" i="2"/>
  <c r="W511" i="2"/>
  <c r="AI511" i="2" s="1"/>
  <c r="U511" i="2"/>
  <c r="M511" i="2"/>
  <c r="N511" i="2" s="1"/>
  <c r="AQ511" i="2" s="1"/>
  <c r="K511" i="2"/>
  <c r="J511" i="2"/>
  <c r="I511" i="2"/>
  <c r="H511" i="2"/>
  <c r="F511" i="2"/>
  <c r="D511" i="2"/>
  <c r="C511" i="2"/>
  <c r="B511" i="2"/>
  <c r="A511" i="2"/>
  <c r="AP510" i="2"/>
  <c r="AO510" i="2"/>
  <c r="AH510" i="2"/>
  <c r="W510" i="2"/>
  <c r="AI510" i="2" s="1"/>
  <c r="U510" i="2"/>
  <c r="M510" i="2"/>
  <c r="N510" i="2" s="1"/>
  <c r="AQ510" i="2" s="1"/>
  <c r="K510" i="2"/>
  <c r="J510" i="2"/>
  <c r="I510" i="2"/>
  <c r="H510" i="2"/>
  <c r="F510" i="2"/>
  <c r="D510" i="2"/>
  <c r="C510" i="2"/>
  <c r="B510" i="2"/>
  <c r="A510" i="2"/>
  <c r="AP509" i="2"/>
  <c r="AO509" i="2"/>
  <c r="AH509" i="2"/>
  <c r="W509" i="2"/>
  <c r="AI509" i="2" s="1"/>
  <c r="U509" i="2"/>
  <c r="M509" i="2"/>
  <c r="N509" i="2" s="1"/>
  <c r="AQ509" i="2" s="1"/>
  <c r="K509" i="2"/>
  <c r="J509" i="2"/>
  <c r="I509" i="2"/>
  <c r="H509" i="2"/>
  <c r="F509" i="2"/>
  <c r="D509" i="2"/>
  <c r="C509" i="2"/>
  <c r="B509" i="2"/>
  <c r="A509" i="2"/>
  <c r="AP508" i="2"/>
  <c r="AO508" i="2"/>
  <c r="AH508" i="2"/>
  <c r="W508" i="2"/>
  <c r="AI508" i="2" s="1"/>
  <c r="U508" i="2"/>
  <c r="M508" i="2"/>
  <c r="N508" i="2" s="1"/>
  <c r="AQ508" i="2" s="1"/>
  <c r="K508" i="2"/>
  <c r="J508" i="2"/>
  <c r="I508" i="2"/>
  <c r="H508" i="2"/>
  <c r="F508" i="2"/>
  <c r="D508" i="2"/>
  <c r="C508" i="2"/>
  <c r="B508" i="2"/>
  <c r="A508" i="2"/>
  <c r="AP507" i="2"/>
  <c r="AO507" i="2"/>
  <c r="AH507" i="2"/>
  <c r="W507" i="2"/>
  <c r="AI507" i="2" s="1"/>
  <c r="U507" i="2"/>
  <c r="M507" i="2"/>
  <c r="N507" i="2" s="1"/>
  <c r="AQ507" i="2" s="1"/>
  <c r="K507" i="2"/>
  <c r="J507" i="2"/>
  <c r="I507" i="2"/>
  <c r="H507" i="2"/>
  <c r="F507" i="2"/>
  <c r="D507" i="2"/>
  <c r="C507" i="2"/>
  <c r="B507" i="2"/>
  <c r="A507" i="2"/>
  <c r="AP506" i="2"/>
  <c r="AO506" i="2"/>
  <c r="AH506" i="2"/>
  <c r="W506" i="2"/>
  <c r="AI506" i="2" s="1"/>
  <c r="U506" i="2"/>
  <c r="M506" i="2"/>
  <c r="N506" i="2" s="1"/>
  <c r="AQ506" i="2" s="1"/>
  <c r="K506" i="2"/>
  <c r="J506" i="2"/>
  <c r="I506" i="2"/>
  <c r="H506" i="2"/>
  <c r="F506" i="2"/>
  <c r="D506" i="2"/>
  <c r="C506" i="2"/>
  <c r="B506" i="2"/>
  <c r="A506" i="2"/>
  <c r="AP505" i="2"/>
  <c r="AO505" i="2"/>
  <c r="AH505" i="2"/>
  <c r="W505" i="2"/>
  <c r="AI505" i="2" s="1"/>
  <c r="U505" i="2"/>
  <c r="M505" i="2"/>
  <c r="N505" i="2" s="1"/>
  <c r="AQ505" i="2" s="1"/>
  <c r="K505" i="2"/>
  <c r="J505" i="2"/>
  <c r="I505" i="2"/>
  <c r="H505" i="2"/>
  <c r="F505" i="2"/>
  <c r="D505" i="2"/>
  <c r="C505" i="2"/>
  <c r="B505" i="2"/>
  <c r="A505" i="2"/>
  <c r="AP504" i="2"/>
  <c r="AO504" i="2"/>
  <c r="AH504" i="2"/>
  <c r="W504" i="2"/>
  <c r="AI504" i="2" s="1"/>
  <c r="U504" i="2"/>
  <c r="M504" i="2"/>
  <c r="N504" i="2" s="1"/>
  <c r="AQ504" i="2" s="1"/>
  <c r="K504" i="2"/>
  <c r="J504" i="2"/>
  <c r="I504" i="2"/>
  <c r="H504" i="2"/>
  <c r="F504" i="2"/>
  <c r="D504" i="2"/>
  <c r="C504" i="2"/>
  <c r="B504" i="2"/>
  <c r="A504" i="2"/>
  <c r="AP503" i="2"/>
  <c r="AO503" i="2"/>
  <c r="AH503" i="2"/>
  <c r="W503" i="2"/>
  <c r="AI503" i="2" s="1"/>
  <c r="U503" i="2"/>
  <c r="M503" i="2"/>
  <c r="N503" i="2" s="1"/>
  <c r="AQ503" i="2" s="1"/>
  <c r="K503" i="2"/>
  <c r="J503" i="2"/>
  <c r="I503" i="2"/>
  <c r="H503" i="2"/>
  <c r="F503" i="2"/>
  <c r="D503" i="2"/>
  <c r="C503" i="2"/>
  <c r="B503" i="2"/>
  <c r="A503" i="2"/>
  <c r="AP502" i="2"/>
  <c r="AO502" i="2"/>
  <c r="AH502" i="2"/>
  <c r="W502" i="2"/>
  <c r="AI502" i="2" s="1"/>
  <c r="U502" i="2"/>
  <c r="M502" i="2"/>
  <c r="N502" i="2" s="1"/>
  <c r="AQ502" i="2" s="1"/>
  <c r="K502" i="2"/>
  <c r="J502" i="2"/>
  <c r="I502" i="2"/>
  <c r="H502" i="2"/>
  <c r="F502" i="2"/>
  <c r="D502" i="2"/>
  <c r="C502" i="2"/>
  <c r="B502" i="2"/>
  <c r="A502" i="2"/>
  <c r="AP501" i="2"/>
  <c r="AO501" i="2"/>
  <c r="AH501" i="2"/>
  <c r="W501" i="2"/>
  <c r="AI501" i="2" s="1"/>
  <c r="U501" i="2"/>
  <c r="M501" i="2"/>
  <c r="N501" i="2" s="1"/>
  <c r="AQ501" i="2" s="1"/>
  <c r="K501" i="2"/>
  <c r="J501" i="2"/>
  <c r="I501" i="2"/>
  <c r="H501" i="2"/>
  <c r="F501" i="2"/>
  <c r="D501" i="2"/>
  <c r="C501" i="2"/>
  <c r="B501" i="2"/>
  <c r="A501" i="2"/>
  <c r="AP500" i="2"/>
  <c r="AO500" i="2"/>
  <c r="AH500" i="2"/>
  <c r="W500" i="2"/>
  <c r="AI500" i="2" s="1"/>
  <c r="U500" i="2"/>
  <c r="M500" i="2"/>
  <c r="N500" i="2" s="1"/>
  <c r="AQ500" i="2" s="1"/>
  <c r="K500" i="2"/>
  <c r="J500" i="2"/>
  <c r="I500" i="2"/>
  <c r="H500" i="2"/>
  <c r="F500" i="2"/>
  <c r="D500" i="2"/>
  <c r="C500" i="2"/>
  <c r="B500" i="2"/>
  <c r="A500" i="2"/>
  <c r="AP499" i="2"/>
  <c r="AO499" i="2"/>
  <c r="AH499" i="2"/>
  <c r="W499" i="2"/>
  <c r="AI499" i="2" s="1"/>
  <c r="U499" i="2"/>
  <c r="M499" i="2"/>
  <c r="N499" i="2" s="1"/>
  <c r="AQ499" i="2" s="1"/>
  <c r="K499" i="2"/>
  <c r="J499" i="2"/>
  <c r="I499" i="2"/>
  <c r="H499" i="2"/>
  <c r="F499" i="2"/>
  <c r="D499" i="2"/>
  <c r="C499" i="2"/>
  <c r="B499" i="2"/>
  <c r="A499" i="2"/>
  <c r="AP498" i="2"/>
  <c r="AO498" i="2"/>
  <c r="AH498" i="2"/>
  <c r="W498" i="2"/>
  <c r="AI498" i="2" s="1"/>
  <c r="U498" i="2"/>
  <c r="M498" i="2"/>
  <c r="N498" i="2" s="1"/>
  <c r="AQ498" i="2" s="1"/>
  <c r="K498" i="2"/>
  <c r="J498" i="2"/>
  <c r="I498" i="2"/>
  <c r="H498" i="2"/>
  <c r="F498" i="2"/>
  <c r="D498" i="2"/>
  <c r="C498" i="2"/>
  <c r="B498" i="2"/>
  <c r="A498" i="2"/>
  <c r="AP497" i="2"/>
  <c r="AO497" i="2"/>
  <c r="AH497" i="2"/>
  <c r="W497" i="2"/>
  <c r="AI497" i="2" s="1"/>
  <c r="U497" i="2"/>
  <c r="M497" i="2"/>
  <c r="N497" i="2" s="1"/>
  <c r="AQ497" i="2" s="1"/>
  <c r="K497" i="2"/>
  <c r="J497" i="2"/>
  <c r="I497" i="2"/>
  <c r="H497" i="2"/>
  <c r="F497" i="2"/>
  <c r="D497" i="2"/>
  <c r="C497" i="2"/>
  <c r="B497" i="2"/>
  <c r="A497" i="2"/>
  <c r="AP496" i="2"/>
  <c r="AO496" i="2"/>
  <c r="AH496" i="2"/>
  <c r="W496" i="2"/>
  <c r="AI496" i="2" s="1"/>
  <c r="U496" i="2"/>
  <c r="M496" i="2"/>
  <c r="N496" i="2" s="1"/>
  <c r="AQ496" i="2" s="1"/>
  <c r="K496" i="2"/>
  <c r="J496" i="2"/>
  <c r="I496" i="2"/>
  <c r="H496" i="2"/>
  <c r="F496" i="2"/>
  <c r="D496" i="2"/>
  <c r="C496" i="2"/>
  <c r="B496" i="2"/>
  <c r="A496" i="2"/>
  <c r="AP495" i="2"/>
  <c r="AO495" i="2"/>
  <c r="AH495" i="2"/>
  <c r="W495" i="2"/>
  <c r="AI495" i="2" s="1"/>
  <c r="U495" i="2"/>
  <c r="M495" i="2"/>
  <c r="N495" i="2" s="1"/>
  <c r="AQ495" i="2" s="1"/>
  <c r="K495" i="2"/>
  <c r="J495" i="2"/>
  <c r="I495" i="2"/>
  <c r="H495" i="2"/>
  <c r="F495" i="2"/>
  <c r="D495" i="2"/>
  <c r="C495" i="2"/>
  <c r="B495" i="2"/>
  <c r="A495" i="2"/>
  <c r="AP494" i="2"/>
  <c r="AO494" i="2"/>
  <c r="AH494" i="2"/>
  <c r="W494" i="2"/>
  <c r="AI494" i="2" s="1"/>
  <c r="U494" i="2"/>
  <c r="M494" i="2"/>
  <c r="N494" i="2" s="1"/>
  <c r="AQ494" i="2" s="1"/>
  <c r="K494" i="2"/>
  <c r="J494" i="2"/>
  <c r="I494" i="2"/>
  <c r="H494" i="2"/>
  <c r="F494" i="2"/>
  <c r="D494" i="2"/>
  <c r="C494" i="2"/>
  <c r="B494" i="2"/>
  <c r="A494" i="2"/>
  <c r="AP493" i="2"/>
  <c r="AO493" i="2"/>
  <c r="AH493" i="2"/>
  <c r="W493" i="2"/>
  <c r="AI493" i="2" s="1"/>
  <c r="U493" i="2"/>
  <c r="M493" i="2"/>
  <c r="N493" i="2" s="1"/>
  <c r="AQ493" i="2" s="1"/>
  <c r="K493" i="2"/>
  <c r="J493" i="2"/>
  <c r="I493" i="2"/>
  <c r="H493" i="2"/>
  <c r="F493" i="2"/>
  <c r="D493" i="2"/>
  <c r="C493" i="2"/>
  <c r="B493" i="2"/>
  <c r="A493" i="2"/>
  <c r="AP492" i="2"/>
  <c r="AO492" i="2"/>
  <c r="AH492" i="2"/>
  <c r="W492" i="2"/>
  <c r="AI492" i="2" s="1"/>
  <c r="U492" i="2"/>
  <c r="M492" i="2"/>
  <c r="N492" i="2" s="1"/>
  <c r="AQ492" i="2" s="1"/>
  <c r="K492" i="2"/>
  <c r="J492" i="2"/>
  <c r="I492" i="2"/>
  <c r="H492" i="2"/>
  <c r="F492" i="2"/>
  <c r="D492" i="2"/>
  <c r="C492" i="2"/>
  <c r="B492" i="2"/>
  <c r="A492" i="2"/>
  <c r="AP491" i="2"/>
  <c r="AO491" i="2"/>
  <c r="AH491" i="2"/>
  <c r="W491" i="2"/>
  <c r="AI491" i="2" s="1"/>
  <c r="U491" i="2"/>
  <c r="M491" i="2"/>
  <c r="N491" i="2" s="1"/>
  <c r="AQ491" i="2" s="1"/>
  <c r="K491" i="2"/>
  <c r="J491" i="2"/>
  <c r="I491" i="2"/>
  <c r="H491" i="2"/>
  <c r="F491" i="2"/>
  <c r="D491" i="2"/>
  <c r="C491" i="2"/>
  <c r="B491" i="2"/>
  <c r="A491" i="2"/>
  <c r="AP490" i="2"/>
  <c r="AO490" i="2"/>
  <c r="AH490" i="2"/>
  <c r="W490" i="2"/>
  <c r="AI490" i="2" s="1"/>
  <c r="U490" i="2"/>
  <c r="M490" i="2"/>
  <c r="N490" i="2" s="1"/>
  <c r="AQ490" i="2" s="1"/>
  <c r="K490" i="2"/>
  <c r="J490" i="2"/>
  <c r="I490" i="2"/>
  <c r="H490" i="2"/>
  <c r="F490" i="2"/>
  <c r="D490" i="2"/>
  <c r="C490" i="2"/>
  <c r="B490" i="2"/>
  <c r="A490" i="2"/>
  <c r="AP489" i="2"/>
  <c r="AO489" i="2"/>
  <c r="AH489" i="2"/>
  <c r="W489" i="2"/>
  <c r="AI489" i="2" s="1"/>
  <c r="U489" i="2"/>
  <c r="M489" i="2"/>
  <c r="N489" i="2" s="1"/>
  <c r="AQ489" i="2" s="1"/>
  <c r="K489" i="2"/>
  <c r="J489" i="2"/>
  <c r="I489" i="2"/>
  <c r="H489" i="2"/>
  <c r="F489" i="2"/>
  <c r="D489" i="2"/>
  <c r="C489" i="2"/>
  <c r="B489" i="2"/>
  <c r="A489" i="2"/>
  <c r="AP488" i="2"/>
  <c r="AO488" i="2"/>
  <c r="AH488" i="2"/>
  <c r="W488" i="2"/>
  <c r="AI488" i="2" s="1"/>
  <c r="U488" i="2"/>
  <c r="M488" i="2"/>
  <c r="N488" i="2" s="1"/>
  <c r="AQ488" i="2" s="1"/>
  <c r="K488" i="2"/>
  <c r="J488" i="2"/>
  <c r="I488" i="2"/>
  <c r="H488" i="2"/>
  <c r="F488" i="2"/>
  <c r="D488" i="2"/>
  <c r="C488" i="2"/>
  <c r="B488" i="2"/>
  <c r="A488" i="2"/>
  <c r="AP487" i="2"/>
  <c r="AO487" i="2"/>
  <c r="AH487" i="2"/>
  <c r="W487" i="2"/>
  <c r="AI487" i="2" s="1"/>
  <c r="U487" i="2"/>
  <c r="M487" i="2"/>
  <c r="N487" i="2" s="1"/>
  <c r="AQ487" i="2" s="1"/>
  <c r="K487" i="2"/>
  <c r="J487" i="2"/>
  <c r="I487" i="2"/>
  <c r="H487" i="2"/>
  <c r="F487" i="2"/>
  <c r="D487" i="2"/>
  <c r="C487" i="2"/>
  <c r="B487" i="2"/>
  <c r="A487" i="2"/>
  <c r="AP486" i="2"/>
  <c r="AO486" i="2"/>
  <c r="AH486" i="2"/>
  <c r="W486" i="2"/>
  <c r="AI486" i="2" s="1"/>
  <c r="U486" i="2"/>
  <c r="M486" i="2"/>
  <c r="N486" i="2" s="1"/>
  <c r="AQ486" i="2" s="1"/>
  <c r="K486" i="2"/>
  <c r="J486" i="2"/>
  <c r="I486" i="2"/>
  <c r="H486" i="2"/>
  <c r="F486" i="2"/>
  <c r="D486" i="2"/>
  <c r="C486" i="2"/>
  <c r="B486" i="2"/>
  <c r="A486" i="2"/>
  <c r="AP485" i="2"/>
  <c r="AO485" i="2"/>
  <c r="AH485" i="2"/>
  <c r="W485" i="2"/>
  <c r="AI485" i="2" s="1"/>
  <c r="U485" i="2"/>
  <c r="M485" i="2"/>
  <c r="N485" i="2" s="1"/>
  <c r="AQ485" i="2" s="1"/>
  <c r="K485" i="2"/>
  <c r="J485" i="2"/>
  <c r="I485" i="2"/>
  <c r="H485" i="2"/>
  <c r="F485" i="2"/>
  <c r="D485" i="2"/>
  <c r="C485" i="2"/>
  <c r="B485" i="2"/>
  <c r="A485" i="2"/>
  <c r="AP484" i="2"/>
  <c r="AO484" i="2"/>
  <c r="AH484" i="2"/>
  <c r="W484" i="2"/>
  <c r="AI484" i="2" s="1"/>
  <c r="U484" i="2"/>
  <c r="M484" i="2"/>
  <c r="N484" i="2" s="1"/>
  <c r="AQ484" i="2" s="1"/>
  <c r="K484" i="2"/>
  <c r="J484" i="2"/>
  <c r="I484" i="2"/>
  <c r="H484" i="2"/>
  <c r="F484" i="2"/>
  <c r="D484" i="2"/>
  <c r="C484" i="2"/>
  <c r="B484" i="2"/>
  <c r="A484" i="2"/>
  <c r="AP483" i="2"/>
  <c r="AO483" i="2"/>
  <c r="AH483" i="2"/>
  <c r="W483" i="2"/>
  <c r="AI483" i="2" s="1"/>
  <c r="U483" i="2"/>
  <c r="M483" i="2"/>
  <c r="N483" i="2" s="1"/>
  <c r="AQ483" i="2" s="1"/>
  <c r="K483" i="2"/>
  <c r="J483" i="2"/>
  <c r="I483" i="2"/>
  <c r="H483" i="2"/>
  <c r="F483" i="2"/>
  <c r="D483" i="2"/>
  <c r="C483" i="2"/>
  <c r="B483" i="2"/>
  <c r="A483" i="2"/>
  <c r="AP482" i="2"/>
  <c r="AO482" i="2"/>
  <c r="AH482" i="2"/>
  <c r="W482" i="2"/>
  <c r="AI482" i="2" s="1"/>
  <c r="U482" i="2"/>
  <c r="M482" i="2"/>
  <c r="N482" i="2" s="1"/>
  <c r="AQ482" i="2" s="1"/>
  <c r="K482" i="2"/>
  <c r="J482" i="2"/>
  <c r="I482" i="2"/>
  <c r="H482" i="2"/>
  <c r="F482" i="2"/>
  <c r="D482" i="2"/>
  <c r="C482" i="2"/>
  <c r="B482" i="2"/>
  <c r="A482" i="2"/>
  <c r="AP481" i="2"/>
  <c r="AO481" i="2"/>
  <c r="W481" i="2"/>
  <c r="U481" i="2"/>
  <c r="M481" i="2"/>
  <c r="N481" i="2" s="1"/>
  <c r="AQ481" i="2" s="1"/>
  <c r="K481" i="2"/>
  <c r="J481" i="2"/>
  <c r="I481" i="2"/>
  <c r="H481" i="2"/>
  <c r="F481" i="2"/>
  <c r="G481" i="2" s="1"/>
  <c r="D481" i="2"/>
  <c r="C481" i="2"/>
  <c r="B481" i="2"/>
  <c r="A481" i="2"/>
  <c r="AP480" i="2"/>
  <c r="AO480" i="2"/>
  <c r="AH480" i="2"/>
  <c r="W480" i="2"/>
  <c r="AI480" i="2" s="1"/>
  <c r="U480" i="2"/>
  <c r="M480" i="2"/>
  <c r="N480" i="2" s="1"/>
  <c r="AQ480" i="2" s="1"/>
  <c r="K480" i="2"/>
  <c r="J480" i="2"/>
  <c r="I480" i="2"/>
  <c r="H480" i="2"/>
  <c r="F480" i="2"/>
  <c r="D480" i="2"/>
  <c r="C480" i="2"/>
  <c r="B480" i="2"/>
  <c r="A480" i="2"/>
  <c r="AP479" i="2"/>
  <c r="AO479" i="2"/>
  <c r="AH479" i="2"/>
  <c r="W479" i="2"/>
  <c r="AI479" i="2" s="1"/>
  <c r="U479" i="2"/>
  <c r="M479" i="2"/>
  <c r="N479" i="2" s="1"/>
  <c r="AQ479" i="2" s="1"/>
  <c r="K479" i="2"/>
  <c r="J479" i="2"/>
  <c r="I479" i="2"/>
  <c r="H479" i="2"/>
  <c r="F479" i="2"/>
  <c r="D479" i="2"/>
  <c r="C479" i="2"/>
  <c r="B479" i="2"/>
  <c r="A479" i="2"/>
  <c r="AP478" i="2"/>
  <c r="AO478" i="2"/>
  <c r="AH478" i="2"/>
  <c r="W478" i="2"/>
  <c r="AI478" i="2" s="1"/>
  <c r="U478" i="2"/>
  <c r="M478" i="2"/>
  <c r="N478" i="2" s="1"/>
  <c r="AQ478" i="2" s="1"/>
  <c r="K478" i="2"/>
  <c r="J478" i="2"/>
  <c r="I478" i="2"/>
  <c r="H478" i="2"/>
  <c r="F478" i="2"/>
  <c r="D478" i="2"/>
  <c r="C478" i="2"/>
  <c r="B478" i="2"/>
  <c r="A478" i="2"/>
  <c r="AP477" i="2"/>
  <c r="AO477" i="2"/>
  <c r="AH477" i="2"/>
  <c r="W477" i="2"/>
  <c r="AI477" i="2" s="1"/>
  <c r="U477" i="2"/>
  <c r="M477" i="2"/>
  <c r="N477" i="2" s="1"/>
  <c r="AQ477" i="2" s="1"/>
  <c r="K477" i="2"/>
  <c r="J477" i="2"/>
  <c r="I477" i="2"/>
  <c r="H477" i="2"/>
  <c r="F477" i="2"/>
  <c r="D477" i="2"/>
  <c r="C477" i="2"/>
  <c r="B477" i="2"/>
  <c r="A477" i="2"/>
  <c r="AP476" i="2"/>
  <c r="AO476" i="2"/>
  <c r="AH476" i="2"/>
  <c r="W476" i="2"/>
  <c r="AI476" i="2" s="1"/>
  <c r="U476" i="2"/>
  <c r="M476" i="2"/>
  <c r="N476" i="2" s="1"/>
  <c r="AQ476" i="2" s="1"/>
  <c r="K476" i="2"/>
  <c r="J476" i="2"/>
  <c r="I476" i="2"/>
  <c r="H476" i="2"/>
  <c r="F476" i="2"/>
  <c r="D476" i="2"/>
  <c r="C476" i="2"/>
  <c r="B476" i="2"/>
  <c r="A476" i="2"/>
  <c r="AP475" i="2"/>
  <c r="AO475" i="2"/>
  <c r="AH475" i="2"/>
  <c r="W475" i="2"/>
  <c r="AI475" i="2" s="1"/>
  <c r="U475" i="2"/>
  <c r="M475" i="2"/>
  <c r="N475" i="2" s="1"/>
  <c r="AQ475" i="2" s="1"/>
  <c r="K475" i="2"/>
  <c r="J475" i="2"/>
  <c r="I475" i="2"/>
  <c r="H475" i="2"/>
  <c r="F475" i="2"/>
  <c r="D475" i="2"/>
  <c r="C475" i="2"/>
  <c r="B475" i="2"/>
  <c r="A475" i="2"/>
  <c r="AP474" i="2"/>
  <c r="AO474" i="2"/>
  <c r="AH474" i="2"/>
  <c r="W474" i="2"/>
  <c r="AI474" i="2" s="1"/>
  <c r="U474" i="2"/>
  <c r="M474" i="2"/>
  <c r="N474" i="2" s="1"/>
  <c r="AQ474" i="2" s="1"/>
  <c r="K474" i="2"/>
  <c r="J474" i="2"/>
  <c r="I474" i="2"/>
  <c r="H474" i="2"/>
  <c r="F474" i="2"/>
  <c r="D474" i="2"/>
  <c r="C474" i="2"/>
  <c r="B474" i="2"/>
  <c r="A474" i="2"/>
  <c r="AP473" i="2"/>
  <c r="AO473" i="2"/>
  <c r="AH473" i="2"/>
  <c r="W473" i="2"/>
  <c r="AI473" i="2" s="1"/>
  <c r="U473" i="2"/>
  <c r="M473" i="2"/>
  <c r="N473" i="2" s="1"/>
  <c r="AQ473" i="2" s="1"/>
  <c r="K473" i="2"/>
  <c r="J473" i="2"/>
  <c r="I473" i="2"/>
  <c r="H473" i="2"/>
  <c r="F473" i="2"/>
  <c r="D473" i="2"/>
  <c r="C473" i="2"/>
  <c r="B473" i="2"/>
  <c r="A473" i="2"/>
  <c r="AP472" i="2"/>
  <c r="AO472" i="2"/>
  <c r="AH472" i="2"/>
  <c r="W472" i="2"/>
  <c r="AI472" i="2" s="1"/>
  <c r="U472" i="2"/>
  <c r="M472" i="2"/>
  <c r="N472" i="2" s="1"/>
  <c r="AQ472" i="2" s="1"/>
  <c r="K472" i="2"/>
  <c r="J472" i="2"/>
  <c r="I472" i="2"/>
  <c r="H472" i="2"/>
  <c r="F472" i="2"/>
  <c r="D472" i="2"/>
  <c r="C472" i="2"/>
  <c r="B472" i="2"/>
  <c r="A472" i="2"/>
  <c r="AP471" i="2"/>
  <c r="AO471" i="2"/>
  <c r="AH471" i="2"/>
  <c r="W471" i="2"/>
  <c r="AI471" i="2" s="1"/>
  <c r="U471" i="2"/>
  <c r="M471" i="2"/>
  <c r="N471" i="2" s="1"/>
  <c r="AQ471" i="2" s="1"/>
  <c r="K471" i="2"/>
  <c r="J471" i="2"/>
  <c r="I471" i="2"/>
  <c r="H471" i="2"/>
  <c r="F471" i="2"/>
  <c r="D471" i="2"/>
  <c r="C471" i="2"/>
  <c r="B471" i="2"/>
  <c r="A471" i="2"/>
  <c r="AP470" i="2"/>
  <c r="AO470" i="2"/>
  <c r="AH470" i="2"/>
  <c r="W470" i="2"/>
  <c r="AI470" i="2" s="1"/>
  <c r="U470" i="2"/>
  <c r="M470" i="2"/>
  <c r="N470" i="2" s="1"/>
  <c r="AQ470" i="2" s="1"/>
  <c r="K470" i="2"/>
  <c r="J470" i="2"/>
  <c r="I470" i="2"/>
  <c r="H470" i="2"/>
  <c r="F470" i="2"/>
  <c r="D470" i="2"/>
  <c r="C470" i="2"/>
  <c r="B470" i="2"/>
  <c r="A470" i="2"/>
  <c r="AP469" i="2"/>
  <c r="AO469" i="2"/>
  <c r="AH469" i="2"/>
  <c r="W469" i="2"/>
  <c r="AI469" i="2" s="1"/>
  <c r="U469" i="2"/>
  <c r="M469" i="2"/>
  <c r="N469" i="2" s="1"/>
  <c r="AQ469" i="2" s="1"/>
  <c r="K469" i="2"/>
  <c r="J469" i="2"/>
  <c r="I469" i="2"/>
  <c r="H469" i="2"/>
  <c r="F469" i="2"/>
  <c r="D469" i="2"/>
  <c r="C469" i="2"/>
  <c r="B469" i="2"/>
  <c r="A469" i="2"/>
  <c r="AP468" i="2"/>
  <c r="AO468" i="2"/>
  <c r="AH468" i="2"/>
  <c r="W468" i="2"/>
  <c r="AI468" i="2" s="1"/>
  <c r="U468" i="2"/>
  <c r="M468" i="2"/>
  <c r="N468" i="2" s="1"/>
  <c r="AQ468" i="2" s="1"/>
  <c r="K468" i="2"/>
  <c r="J468" i="2"/>
  <c r="I468" i="2"/>
  <c r="H468" i="2"/>
  <c r="F468" i="2"/>
  <c r="D468" i="2"/>
  <c r="C468" i="2"/>
  <c r="B468" i="2"/>
  <c r="A468" i="2"/>
  <c r="AP467" i="2"/>
  <c r="AO467" i="2"/>
  <c r="AH467" i="2"/>
  <c r="W467" i="2"/>
  <c r="AI467" i="2" s="1"/>
  <c r="U467" i="2"/>
  <c r="M467" i="2"/>
  <c r="N467" i="2" s="1"/>
  <c r="AQ467" i="2" s="1"/>
  <c r="K467" i="2"/>
  <c r="J467" i="2"/>
  <c r="I467" i="2"/>
  <c r="H467" i="2"/>
  <c r="F467" i="2"/>
  <c r="D467" i="2"/>
  <c r="C467" i="2"/>
  <c r="B467" i="2"/>
  <c r="A467" i="2"/>
  <c r="AP466" i="2"/>
  <c r="AO466" i="2"/>
  <c r="AH466" i="2"/>
  <c r="W466" i="2"/>
  <c r="AI466" i="2" s="1"/>
  <c r="U466" i="2"/>
  <c r="M466" i="2"/>
  <c r="N466" i="2" s="1"/>
  <c r="AQ466" i="2" s="1"/>
  <c r="K466" i="2"/>
  <c r="J466" i="2"/>
  <c r="I466" i="2"/>
  <c r="H466" i="2"/>
  <c r="F466" i="2"/>
  <c r="D466" i="2"/>
  <c r="C466" i="2"/>
  <c r="B466" i="2"/>
  <c r="A466" i="2"/>
  <c r="AP465" i="2"/>
  <c r="AO465" i="2"/>
  <c r="AH465" i="2"/>
  <c r="W465" i="2"/>
  <c r="AI465" i="2" s="1"/>
  <c r="U465" i="2"/>
  <c r="M465" i="2"/>
  <c r="N465" i="2" s="1"/>
  <c r="AQ465" i="2" s="1"/>
  <c r="K465" i="2"/>
  <c r="J465" i="2"/>
  <c r="I465" i="2"/>
  <c r="H465" i="2"/>
  <c r="F465" i="2"/>
  <c r="D465" i="2"/>
  <c r="C465" i="2"/>
  <c r="B465" i="2"/>
  <c r="A465" i="2"/>
  <c r="AP464" i="2"/>
  <c r="AO464" i="2"/>
  <c r="AH464" i="2"/>
  <c r="W464" i="2"/>
  <c r="AI464" i="2" s="1"/>
  <c r="U464" i="2"/>
  <c r="M464" i="2"/>
  <c r="N464" i="2" s="1"/>
  <c r="AQ464" i="2" s="1"/>
  <c r="K464" i="2"/>
  <c r="J464" i="2"/>
  <c r="I464" i="2"/>
  <c r="H464" i="2"/>
  <c r="F464" i="2"/>
  <c r="D464" i="2"/>
  <c r="C464" i="2"/>
  <c r="B464" i="2"/>
  <c r="A464" i="2"/>
  <c r="AP463" i="2"/>
  <c r="AO463" i="2"/>
  <c r="AH463" i="2"/>
  <c r="W463" i="2"/>
  <c r="AI463" i="2" s="1"/>
  <c r="U463" i="2"/>
  <c r="M463" i="2"/>
  <c r="N463" i="2" s="1"/>
  <c r="AQ463" i="2" s="1"/>
  <c r="K463" i="2"/>
  <c r="J463" i="2"/>
  <c r="I463" i="2"/>
  <c r="H463" i="2"/>
  <c r="F463" i="2"/>
  <c r="D463" i="2"/>
  <c r="C463" i="2"/>
  <c r="B463" i="2"/>
  <c r="A463" i="2"/>
  <c r="AP462" i="2"/>
  <c r="AO462" i="2"/>
  <c r="AH462" i="2"/>
  <c r="W462" i="2"/>
  <c r="AI462" i="2" s="1"/>
  <c r="U462" i="2"/>
  <c r="M462" i="2"/>
  <c r="N462" i="2" s="1"/>
  <c r="AQ462" i="2" s="1"/>
  <c r="K462" i="2"/>
  <c r="J462" i="2"/>
  <c r="I462" i="2"/>
  <c r="H462" i="2"/>
  <c r="F462" i="2"/>
  <c r="D462" i="2"/>
  <c r="C462" i="2"/>
  <c r="B462" i="2"/>
  <c r="A462" i="2"/>
  <c r="AP461" i="2"/>
  <c r="AO461" i="2"/>
  <c r="AH461" i="2"/>
  <c r="W461" i="2"/>
  <c r="AI461" i="2" s="1"/>
  <c r="U461" i="2"/>
  <c r="M461" i="2"/>
  <c r="N461" i="2" s="1"/>
  <c r="AQ461" i="2" s="1"/>
  <c r="K461" i="2"/>
  <c r="J461" i="2"/>
  <c r="I461" i="2"/>
  <c r="H461" i="2"/>
  <c r="F461" i="2"/>
  <c r="D461" i="2"/>
  <c r="C461" i="2"/>
  <c r="B461" i="2"/>
  <c r="A461" i="2"/>
  <c r="AP460" i="2"/>
  <c r="AO460" i="2"/>
  <c r="AH460" i="2"/>
  <c r="W460" i="2"/>
  <c r="AI460" i="2" s="1"/>
  <c r="U460" i="2"/>
  <c r="M460" i="2"/>
  <c r="N460" i="2" s="1"/>
  <c r="AQ460" i="2" s="1"/>
  <c r="K460" i="2"/>
  <c r="J460" i="2"/>
  <c r="I460" i="2"/>
  <c r="H460" i="2"/>
  <c r="F460" i="2"/>
  <c r="D460" i="2"/>
  <c r="C460" i="2"/>
  <c r="B460" i="2"/>
  <c r="A460" i="2"/>
  <c r="AP459" i="2"/>
  <c r="AO459" i="2"/>
  <c r="AH459" i="2"/>
  <c r="W459" i="2"/>
  <c r="AI459" i="2" s="1"/>
  <c r="U459" i="2"/>
  <c r="M459" i="2"/>
  <c r="N459" i="2" s="1"/>
  <c r="AQ459" i="2" s="1"/>
  <c r="K459" i="2"/>
  <c r="J459" i="2"/>
  <c r="I459" i="2"/>
  <c r="H459" i="2"/>
  <c r="F459" i="2"/>
  <c r="D459" i="2"/>
  <c r="C459" i="2"/>
  <c r="B459" i="2"/>
  <c r="A459" i="2"/>
  <c r="AP458" i="2"/>
  <c r="AO458" i="2"/>
  <c r="AH458" i="2"/>
  <c r="W458" i="2"/>
  <c r="AI458" i="2" s="1"/>
  <c r="U458" i="2"/>
  <c r="M458" i="2"/>
  <c r="N458" i="2" s="1"/>
  <c r="AQ458" i="2" s="1"/>
  <c r="K458" i="2"/>
  <c r="J458" i="2"/>
  <c r="I458" i="2"/>
  <c r="H458" i="2"/>
  <c r="F458" i="2"/>
  <c r="D458" i="2"/>
  <c r="C458" i="2"/>
  <c r="B458" i="2"/>
  <c r="A458" i="2"/>
  <c r="AP457" i="2"/>
  <c r="AO457" i="2"/>
  <c r="AH457" i="2"/>
  <c r="W457" i="2"/>
  <c r="AI457" i="2" s="1"/>
  <c r="U457" i="2"/>
  <c r="M457" i="2"/>
  <c r="N457" i="2" s="1"/>
  <c r="AQ457" i="2" s="1"/>
  <c r="K457" i="2"/>
  <c r="J457" i="2"/>
  <c r="I457" i="2"/>
  <c r="H457" i="2"/>
  <c r="F457" i="2"/>
  <c r="D457" i="2"/>
  <c r="C457" i="2"/>
  <c r="B457" i="2"/>
  <c r="A457" i="2"/>
  <c r="AP456" i="2"/>
  <c r="AO456" i="2"/>
  <c r="AH456" i="2"/>
  <c r="W456" i="2"/>
  <c r="AI456" i="2" s="1"/>
  <c r="U456" i="2"/>
  <c r="M456" i="2"/>
  <c r="N456" i="2" s="1"/>
  <c r="AQ456" i="2" s="1"/>
  <c r="K456" i="2"/>
  <c r="J456" i="2"/>
  <c r="I456" i="2"/>
  <c r="H456" i="2"/>
  <c r="F456" i="2"/>
  <c r="D456" i="2"/>
  <c r="C456" i="2"/>
  <c r="B456" i="2"/>
  <c r="A456" i="2"/>
  <c r="AP455" i="2"/>
  <c r="AO455" i="2"/>
  <c r="AH455" i="2"/>
  <c r="W455" i="2"/>
  <c r="AI455" i="2" s="1"/>
  <c r="U455" i="2"/>
  <c r="M455" i="2"/>
  <c r="N455" i="2" s="1"/>
  <c r="AQ455" i="2" s="1"/>
  <c r="K455" i="2"/>
  <c r="J455" i="2"/>
  <c r="I455" i="2"/>
  <c r="H455" i="2"/>
  <c r="F455" i="2"/>
  <c r="D455" i="2"/>
  <c r="C455" i="2"/>
  <c r="B455" i="2"/>
  <c r="A455" i="2"/>
  <c r="AP454" i="2"/>
  <c r="AO454" i="2"/>
  <c r="AH454" i="2"/>
  <c r="W454" i="2"/>
  <c r="AI454" i="2" s="1"/>
  <c r="U454" i="2"/>
  <c r="M454" i="2"/>
  <c r="N454" i="2" s="1"/>
  <c r="AQ454" i="2" s="1"/>
  <c r="K454" i="2"/>
  <c r="J454" i="2"/>
  <c r="I454" i="2"/>
  <c r="H454" i="2"/>
  <c r="F454" i="2"/>
  <c r="D454" i="2"/>
  <c r="C454" i="2"/>
  <c r="B454" i="2"/>
  <c r="A454" i="2"/>
  <c r="AP453" i="2"/>
  <c r="AO453" i="2"/>
  <c r="AH453" i="2"/>
  <c r="W453" i="2"/>
  <c r="AI453" i="2" s="1"/>
  <c r="U453" i="2"/>
  <c r="M453" i="2"/>
  <c r="N453" i="2" s="1"/>
  <c r="AQ453" i="2" s="1"/>
  <c r="K453" i="2"/>
  <c r="J453" i="2"/>
  <c r="I453" i="2"/>
  <c r="H453" i="2"/>
  <c r="F453" i="2"/>
  <c r="D453" i="2"/>
  <c r="C453" i="2"/>
  <c r="B453" i="2"/>
  <c r="A453" i="2"/>
  <c r="AP452" i="2"/>
  <c r="AO452" i="2"/>
  <c r="AH452" i="2"/>
  <c r="W452" i="2"/>
  <c r="AI452" i="2" s="1"/>
  <c r="U452" i="2"/>
  <c r="M452" i="2"/>
  <c r="N452" i="2" s="1"/>
  <c r="AQ452" i="2" s="1"/>
  <c r="K452" i="2"/>
  <c r="J452" i="2"/>
  <c r="I452" i="2"/>
  <c r="H452" i="2"/>
  <c r="F452" i="2"/>
  <c r="D452" i="2"/>
  <c r="C452" i="2"/>
  <c r="B452" i="2"/>
  <c r="A452" i="2"/>
  <c r="AP451" i="2"/>
  <c r="AO451" i="2"/>
  <c r="AH451" i="2"/>
  <c r="W451" i="2"/>
  <c r="AI451" i="2" s="1"/>
  <c r="U451" i="2"/>
  <c r="M451" i="2"/>
  <c r="N451" i="2" s="1"/>
  <c r="AQ451" i="2" s="1"/>
  <c r="K451" i="2"/>
  <c r="J451" i="2"/>
  <c r="I451" i="2"/>
  <c r="H451" i="2"/>
  <c r="F451" i="2"/>
  <c r="D451" i="2"/>
  <c r="C451" i="2"/>
  <c r="B451" i="2"/>
  <c r="A451" i="2"/>
  <c r="AP450" i="2"/>
  <c r="AO450" i="2"/>
  <c r="AH450" i="2"/>
  <c r="W450" i="2"/>
  <c r="AI450" i="2" s="1"/>
  <c r="U450" i="2"/>
  <c r="M450" i="2"/>
  <c r="N450" i="2" s="1"/>
  <c r="AQ450" i="2" s="1"/>
  <c r="K450" i="2"/>
  <c r="J450" i="2"/>
  <c r="I450" i="2"/>
  <c r="H450" i="2"/>
  <c r="F450" i="2"/>
  <c r="D450" i="2"/>
  <c r="C450" i="2"/>
  <c r="B450" i="2"/>
  <c r="A450" i="2"/>
  <c r="AP449" i="2"/>
  <c r="AO449" i="2"/>
  <c r="AH449" i="2"/>
  <c r="W449" i="2"/>
  <c r="AI449" i="2" s="1"/>
  <c r="U449" i="2"/>
  <c r="M449" i="2"/>
  <c r="N449" i="2" s="1"/>
  <c r="AQ449" i="2" s="1"/>
  <c r="K449" i="2"/>
  <c r="J449" i="2"/>
  <c r="I449" i="2"/>
  <c r="H449" i="2"/>
  <c r="F449" i="2"/>
  <c r="D449" i="2"/>
  <c r="C449" i="2"/>
  <c r="B449" i="2"/>
  <c r="A449" i="2"/>
  <c r="AP448" i="2"/>
  <c r="AO448" i="2"/>
  <c r="AH448" i="2"/>
  <c r="W448" i="2"/>
  <c r="AI448" i="2" s="1"/>
  <c r="U448" i="2"/>
  <c r="M448" i="2"/>
  <c r="N448" i="2" s="1"/>
  <c r="AQ448" i="2" s="1"/>
  <c r="K448" i="2"/>
  <c r="J448" i="2"/>
  <c r="I448" i="2"/>
  <c r="H448" i="2"/>
  <c r="F448" i="2"/>
  <c r="D448" i="2"/>
  <c r="C448" i="2"/>
  <c r="B448" i="2"/>
  <c r="A448" i="2"/>
  <c r="AP447" i="2"/>
  <c r="AO447" i="2"/>
  <c r="AH447" i="2"/>
  <c r="W447" i="2"/>
  <c r="AI447" i="2" s="1"/>
  <c r="U447" i="2"/>
  <c r="M447" i="2"/>
  <c r="N447" i="2" s="1"/>
  <c r="AQ447" i="2" s="1"/>
  <c r="K447" i="2"/>
  <c r="J447" i="2"/>
  <c r="I447" i="2"/>
  <c r="H447" i="2"/>
  <c r="F447" i="2"/>
  <c r="D447" i="2"/>
  <c r="C447" i="2"/>
  <c r="B447" i="2"/>
  <c r="A447" i="2"/>
  <c r="AP446" i="2"/>
  <c r="AO446" i="2"/>
  <c r="AH446" i="2"/>
  <c r="W446" i="2"/>
  <c r="AI446" i="2" s="1"/>
  <c r="U446" i="2"/>
  <c r="M446" i="2"/>
  <c r="N446" i="2" s="1"/>
  <c r="AQ446" i="2" s="1"/>
  <c r="K446" i="2"/>
  <c r="J446" i="2"/>
  <c r="I446" i="2"/>
  <c r="H446" i="2"/>
  <c r="F446" i="2"/>
  <c r="D446" i="2"/>
  <c r="C446" i="2"/>
  <c r="B446" i="2"/>
  <c r="A446" i="2"/>
  <c r="AP445" i="2"/>
  <c r="AO445" i="2"/>
  <c r="AH445" i="2"/>
  <c r="W445" i="2"/>
  <c r="AI445" i="2" s="1"/>
  <c r="U445" i="2"/>
  <c r="M445" i="2"/>
  <c r="N445" i="2" s="1"/>
  <c r="AQ445" i="2" s="1"/>
  <c r="K445" i="2"/>
  <c r="J445" i="2"/>
  <c r="I445" i="2"/>
  <c r="H445" i="2"/>
  <c r="F445" i="2"/>
  <c r="D445" i="2"/>
  <c r="C445" i="2"/>
  <c r="B445" i="2"/>
  <c r="A445" i="2"/>
  <c r="AP444" i="2"/>
  <c r="AO444" i="2"/>
  <c r="AH444" i="2"/>
  <c r="W444" i="2"/>
  <c r="AI444" i="2" s="1"/>
  <c r="U444" i="2"/>
  <c r="M444" i="2"/>
  <c r="N444" i="2" s="1"/>
  <c r="AQ444" i="2" s="1"/>
  <c r="K444" i="2"/>
  <c r="J444" i="2"/>
  <c r="I444" i="2"/>
  <c r="H444" i="2"/>
  <c r="F444" i="2"/>
  <c r="D444" i="2"/>
  <c r="C444" i="2"/>
  <c r="B444" i="2"/>
  <c r="A444" i="2"/>
  <c r="AP443" i="2"/>
  <c r="AO443" i="2"/>
  <c r="AH443" i="2"/>
  <c r="W443" i="2"/>
  <c r="AI443" i="2" s="1"/>
  <c r="U443" i="2"/>
  <c r="M443" i="2"/>
  <c r="N443" i="2" s="1"/>
  <c r="AQ443" i="2" s="1"/>
  <c r="K443" i="2"/>
  <c r="J443" i="2"/>
  <c r="I443" i="2"/>
  <c r="H443" i="2"/>
  <c r="F443" i="2"/>
  <c r="D443" i="2"/>
  <c r="C443" i="2"/>
  <c r="B443" i="2"/>
  <c r="A443" i="2"/>
  <c r="AP442" i="2"/>
  <c r="AO442" i="2"/>
  <c r="W442" i="2"/>
  <c r="U442" i="2"/>
  <c r="M442" i="2"/>
  <c r="N442" i="2" s="1"/>
  <c r="AQ442" i="2" s="1"/>
  <c r="K442" i="2"/>
  <c r="J442" i="2"/>
  <c r="I442" i="2"/>
  <c r="H442" i="2"/>
  <c r="F442" i="2"/>
  <c r="D442" i="2"/>
  <c r="C442" i="2"/>
  <c r="B442" i="2"/>
  <c r="A442" i="2"/>
  <c r="AP441" i="2"/>
  <c r="AO441" i="2"/>
  <c r="W441" i="2"/>
  <c r="U441" i="2"/>
  <c r="M441" i="2"/>
  <c r="N441" i="2" s="1"/>
  <c r="AQ441" i="2" s="1"/>
  <c r="K441" i="2"/>
  <c r="J441" i="2"/>
  <c r="I441" i="2"/>
  <c r="H441" i="2"/>
  <c r="F441" i="2"/>
  <c r="G441" i="2" s="1"/>
  <c r="D441" i="2"/>
  <c r="C441" i="2"/>
  <c r="B441" i="2"/>
  <c r="A441" i="2"/>
  <c r="AP440" i="2"/>
  <c r="AO440" i="2"/>
  <c r="AH440" i="2"/>
  <c r="W440" i="2"/>
  <c r="AI440" i="2" s="1"/>
  <c r="U440" i="2"/>
  <c r="M440" i="2"/>
  <c r="N440" i="2" s="1"/>
  <c r="AQ440" i="2" s="1"/>
  <c r="K440" i="2"/>
  <c r="J440" i="2"/>
  <c r="I440" i="2"/>
  <c r="H440" i="2"/>
  <c r="F440" i="2"/>
  <c r="D440" i="2"/>
  <c r="C440" i="2"/>
  <c r="B440" i="2"/>
  <c r="A440" i="2"/>
  <c r="AP439" i="2"/>
  <c r="AO439" i="2"/>
  <c r="AH439" i="2"/>
  <c r="W439" i="2"/>
  <c r="AI439" i="2" s="1"/>
  <c r="U439" i="2"/>
  <c r="M439" i="2"/>
  <c r="N439" i="2" s="1"/>
  <c r="AQ439" i="2" s="1"/>
  <c r="K439" i="2"/>
  <c r="J439" i="2"/>
  <c r="I439" i="2"/>
  <c r="H439" i="2"/>
  <c r="F439" i="2"/>
  <c r="D439" i="2"/>
  <c r="C439" i="2"/>
  <c r="B439" i="2"/>
  <c r="A439" i="2"/>
  <c r="AP438" i="2"/>
  <c r="AO438" i="2"/>
  <c r="AH438" i="2"/>
  <c r="W438" i="2"/>
  <c r="AI438" i="2" s="1"/>
  <c r="U438" i="2"/>
  <c r="M438" i="2"/>
  <c r="N438" i="2" s="1"/>
  <c r="AQ438" i="2" s="1"/>
  <c r="K438" i="2"/>
  <c r="J438" i="2"/>
  <c r="I438" i="2"/>
  <c r="H438" i="2"/>
  <c r="F438" i="2"/>
  <c r="D438" i="2"/>
  <c r="C438" i="2"/>
  <c r="B438" i="2"/>
  <c r="A438" i="2"/>
  <c r="AP437" i="2"/>
  <c r="AO437" i="2"/>
  <c r="W437" i="2"/>
  <c r="U437" i="2"/>
  <c r="M437" i="2"/>
  <c r="N437" i="2" s="1"/>
  <c r="AQ437" i="2" s="1"/>
  <c r="K437" i="2"/>
  <c r="J437" i="2"/>
  <c r="I437" i="2"/>
  <c r="H437" i="2"/>
  <c r="F437" i="2"/>
  <c r="D437" i="2"/>
  <c r="C437" i="2"/>
  <c r="B437" i="2"/>
  <c r="A437" i="2"/>
  <c r="AP436" i="2"/>
  <c r="AO436" i="2"/>
  <c r="AH436" i="2"/>
  <c r="W436" i="2"/>
  <c r="AI436" i="2" s="1"/>
  <c r="U436" i="2"/>
  <c r="M436" i="2"/>
  <c r="N436" i="2" s="1"/>
  <c r="AQ436" i="2" s="1"/>
  <c r="K436" i="2"/>
  <c r="J436" i="2"/>
  <c r="I436" i="2"/>
  <c r="H436" i="2"/>
  <c r="F436" i="2"/>
  <c r="D436" i="2"/>
  <c r="C436" i="2"/>
  <c r="B436" i="2"/>
  <c r="A436" i="2"/>
  <c r="AP435" i="2"/>
  <c r="AO435" i="2"/>
  <c r="AH435" i="2"/>
  <c r="W435" i="2"/>
  <c r="AI435" i="2" s="1"/>
  <c r="U435" i="2"/>
  <c r="M435" i="2"/>
  <c r="N435" i="2" s="1"/>
  <c r="AQ435" i="2" s="1"/>
  <c r="K435" i="2"/>
  <c r="J435" i="2"/>
  <c r="I435" i="2"/>
  <c r="H435" i="2"/>
  <c r="F435" i="2"/>
  <c r="D435" i="2"/>
  <c r="C435" i="2"/>
  <c r="B435" i="2"/>
  <c r="A435" i="2"/>
  <c r="AP434" i="2"/>
  <c r="AO434" i="2"/>
  <c r="AH434" i="2"/>
  <c r="W434" i="2"/>
  <c r="AI434" i="2" s="1"/>
  <c r="U434" i="2"/>
  <c r="M434" i="2"/>
  <c r="N434" i="2" s="1"/>
  <c r="AQ434" i="2" s="1"/>
  <c r="K434" i="2"/>
  <c r="J434" i="2"/>
  <c r="I434" i="2"/>
  <c r="H434" i="2"/>
  <c r="F434" i="2"/>
  <c r="D434" i="2"/>
  <c r="C434" i="2"/>
  <c r="B434" i="2"/>
  <c r="A434" i="2"/>
  <c r="AP433" i="2"/>
  <c r="AO433" i="2"/>
  <c r="AH433" i="2"/>
  <c r="W433" i="2"/>
  <c r="AI433" i="2" s="1"/>
  <c r="U433" i="2"/>
  <c r="M433" i="2"/>
  <c r="N433" i="2" s="1"/>
  <c r="AQ433" i="2" s="1"/>
  <c r="K433" i="2"/>
  <c r="J433" i="2"/>
  <c r="I433" i="2"/>
  <c r="H433" i="2"/>
  <c r="F433" i="2"/>
  <c r="D433" i="2"/>
  <c r="C433" i="2"/>
  <c r="B433" i="2"/>
  <c r="A433" i="2"/>
  <c r="AP432" i="2"/>
  <c r="AO432" i="2"/>
  <c r="W432" i="2"/>
  <c r="U432" i="2"/>
  <c r="M432" i="2"/>
  <c r="N432" i="2" s="1"/>
  <c r="AQ432" i="2" s="1"/>
  <c r="K432" i="2"/>
  <c r="J432" i="2"/>
  <c r="I432" i="2"/>
  <c r="H432" i="2"/>
  <c r="F432" i="2"/>
  <c r="G432" i="2" s="1"/>
  <c r="D432" i="2"/>
  <c r="C432" i="2"/>
  <c r="B432" i="2"/>
  <c r="A432" i="2"/>
  <c r="AP431" i="2"/>
  <c r="AO431" i="2"/>
  <c r="AH431" i="2"/>
  <c r="W431" i="2"/>
  <c r="AI431" i="2" s="1"/>
  <c r="U431" i="2"/>
  <c r="M431" i="2"/>
  <c r="N431" i="2" s="1"/>
  <c r="AQ431" i="2" s="1"/>
  <c r="K431" i="2"/>
  <c r="J431" i="2"/>
  <c r="I431" i="2"/>
  <c r="H431" i="2"/>
  <c r="F431" i="2"/>
  <c r="D431" i="2"/>
  <c r="C431" i="2"/>
  <c r="B431" i="2"/>
  <c r="A431" i="2"/>
  <c r="AP430" i="2"/>
  <c r="AO430" i="2"/>
  <c r="AH430" i="2"/>
  <c r="W430" i="2"/>
  <c r="AI430" i="2" s="1"/>
  <c r="U430" i="2"/>
  <c r="M430" i="2"/>
  <c r="N430" i="2" s="1"/>
  <c r="AQ430" i="2" s="1"/>
  <c r="K430" i="2"/>
  <c r="J430" i="2"/>
  <c r="I430" i="2"/>
  <c r="H430" i="2"/>
  <c r="F430" i="2"/>
  <c r="D430" i="2"/>
  <c r="C430" i="2"/>
  <c r="B430" i="2"/>
  <c r="A430" i="2"/>
  <c r="AP429" i="2"/>
  <c r="AO429" i="2"/>
  <c r="AH429" i="2"/>
  <c r="W429" i="2"/>
  <c r="AI429" i="2" s="1"/>
  <c r="U429" i="2"/>
  <c r="M429" i="2"/>
  <c r="N429" i="2" s="1"/>
  <c r="AQ429" i="2" s="1"/>
  <c r="K429" i="2"/>
  <c r="J429" i="2"/>
  <c r="I429" i="2"/>
  <c r="H429" i="2"/>
  <c r="F429" i="2"/>
  <c r="D429" i="2"/>
  <c r="C429" i="2"/>
  <c r="B429" i="2"/>
  <c r="A429" i="2"/>
  <c r="AP428" i="2"/>
  <c r="AO428" i="2"/>
  <c r="AH428" i="2"/>
  <c r="W428" i="2"/>
  <c r="AI428" i="2" s="1"/>
  <c r="U428" i="2"/>
  <c r="M428" i="2"/>
  <c r="N428" i="2" s="1"/>
  <c r="AQ428" i="2" s="1"/>
  <c r="K428" i="2"/>
  <c r="J428" i="2"/>
  <c r="I428" i="2"/>
  <c r="H428" i="2"/>
  <c r="F428" i="2"/>
  <c r="D428" i="2"/>
  <c r="C428" i="2"/>
  <c r="B428" i="2"/>
  <c r="A428" i="2"/>
  <c r="AP427" i="2"/>
  <c r="AO427" i="2"/>
  <c r="AH427" i="2"/>
  <c r="W427" i="2"/>
  <c r="AI427" i="2" s="1"/>
  <c r="U427" i="2"/>
  <c r="M427" i="2"/>
  <c r="N427" i="2" s="1"/>
  <c r="AQ427" i="2" s="1"/>
  <c r="K427" i="2"/>
  <c r="J427" i="2"/>
  <c r="I427" i="2"/>
  <c r="H427" i="2"/>
  <c r="F427" i="2"/>
  <c r="D427" i="2"/>
  <c r="C427" i="2"/>
  <c r="B427" i="2"/>
  <c r="A427" i="2"/>
  <c r="AP426" i="2"/>
  <c r="AO426" i="2"/>
  <c r="AH426" i="2"/>
  <c r="W426" i="2"/>
  <c r="AI426" i="2" s="1"/>
  <c r="U426" i="2"/>
  <c r="M426" i="2"/>
  <c r="N426" i="2" s="1"/>
  <c r="AQ426" i="2" s="1"/>
  <c r="K426" i="2"/>
  <c r="J426" i="2"/>
  <c r="I426" i="2"/>
  <c r="H426" i="2"/>
  <c r="F426" i="2"/>
  <c r="D426" i="2"/>
  <c r="C426" i="2"/>
  <c r="B426" i="2"/>
  <c r="A426" i="2"/>
  <c r="AP425" i="2"/>
  <c r="AO425" i="2"/>
  <c r="AH425" i="2"/>
  <c r="W425" i="2"/>
  <c r="AI425" i="2" s="1"/>
  <c r="U425" i="2"/>
  <c r="M425" i="2"/>
  <c r="N425" i="2" s="1"/>
  <c r="AQ425" i="2" s="1"/>
  <c r="K425" i="2"/>
  <c r="J425" i="2"/>
  <c r="I425" i="2"/>
  <c r="H425" i="2"/>
  <c r="F425" i="2"/>
  <c r="D425" i="2"/>
  <c r="C425" i="2"/>
  <c r="B425" i="2"/>
  <c r="A425" i="2"/>
  <c r="AP424" i="2"/>
  <c r="AO424" i="2"/>
  <c r="AH424" i="2"/>
  <c r="W424" i="2"/>
  <c r="AI424" i="2" s="1"/>
  <c r="U424" i="2"/>
  <c r="M424" i="2"/>
  <c r="N424" i="2" s="1"/>
  <c r="AQ424" i="2" s="1"/>
  <c r="K424" i="2"/>
  <c r="J424" i="2"/>
  <c r="I424" i="2"/>
  <c r="H424" i="2"/>
  <c r="F424" i="2"/>
  <c r="D424" i="2"/>
  <c r="C424" i="2"/>
  <c r="B424" i="2"/>
  <c r="A424" i="2"/>
  <c r="AP423" i="2"/>
  <c r="AO423" i="2"/>
  <c r="W423" i="2"/>
  <c r="AI423" i="2" s="1"/>
  <c r="U423" i="2"/>
  <c r="M423" i="2"/>
  <c r="N423" i="2" s="1"/>
  <c r="AQ423" i="2" s="1"/>
  <c r="K423" i="2"/>
  <c r="J423" i="2"/>
  <c r="I423" i="2"/>
  <c r="H423" i="2"/>
  <c r="F423" i="2"/>
  <c r="D423" i="2"/>
  <c r="C423" i="2"/>
  <c r="B423" i="2"/>
  <c r="A423" i="2"/>
  <c r="AP422" i="2"/>
  <c r="AO422" i="2"/>
  <c r="AH422" i="2"/>
  <c r="W422" i="2"/>
  <c r="AI422" i="2" s="1"/>
  <c r="U422" i="2"/>
  <c r="M422" i="2"/>
  <c r="N422" i="2" s="1"/>
  <c r="AQ422" i="2" s="1"/>
  <c r="K422" i="2"/>
  <c r="J422" i="2"/>
  <c r="I422" i="2"/>
  <c r="H422" i="2"/>
  <c r="F422" i="2"/>
  <c r="D422" i="2"/>
  <c r="C422" i="2"/>
  <c r="B422" i="2"/>
  <c r="A422" i="2"/>
  <c r="AP421" i="2"/>
  <c r="AO421" i="2"/>
  <c r="W421" i="2"/>
  <c r="U421" i="2"/>
  <c r="M421" i="2"/>
  <c r="N421" i="2" s="1"/>
  <c r="AQ421" i="2" s="1"/>
  <c r="K421" i="2"/>
  <c r="J421" i="2"/>
  <c r="I421" i="2"/>
  <c r="H421" i="2"/>
  <c r="F421" i="2"/>
  <c r="D421" i="2"/>
  <c r="C421" i="2"/>
  <c r="B421" i="2"/>
  <c r="A421" i="2"/>
  <c r="AP420" i="2"/>
  <c r="AO420" i="2"/>
  <c r="AH420" i="2"/>
  <c r="W420" i="2"/>
  <c r="AI420" i="2" s="1"/>
  <c r="U420" i="2"/>
  <c r="M420" i="2"/>
  <c r="N420" i="2" s="1"/>
  <c r="AQ420" i="2" s="1"/>
  <c r="K420" i="2"/>
  <c r="J420" i="2"/>
  <c r="I420" i="2"/>
  <c r="H420" i="2"/>
  <c r="F420" i="2"/>
  <c r="D420" i="2"/>
  <c r="C420" i="2"/>
  <c r="B420" i="2"/>
  <c r="A420" i="2"/>
  <c r="AP419" i="2"/>
  <c r="AO419" i="2"/>
  <c r="AH419" i="2"/>
  <c r="W419" i="2"/>
  <c r="AI419" i="2" s="1"/>
  <c r="U419" i="2"/>
  <c r="M419" i="2"/>
  <c r="N419" i="2" s="1"/>
  <c r="AQ419" i="2" s="1"/>
  <c r="K419" i="2"/>
  <c r="J419" i="2"/>
  <c r="I419" i="2"/>
  <c r="H419" i="2"/>
  <c r="F419" i="2"/>
  <c r="D419" i="2"/>
  <c r="C419" i="2"/>
  <c r="B419" i="2"/>
  <c r="A419" i="2"/>
  <c r="AP418" i="2"/>
  <c r="AO418" i="2"/>
  <c r="AH418" i="2"/>
  <c r="W418" i="2"/>
  <c r="AI418" i="2" s="1"/>
  <c r="U418" i="2"/>
  <c r="M418" i="2"/>
  <c r="N418" i="2" s="1"/>
  <c r="AQ418" i="2" s="1"/>
  <c r="K418" i="2"/>
  <c r="J418" i="2"/>
  <c r="I418" i="2"/>
  <c r="H418" i="2"/>
  <c r="F418" i="2"/>
  <c r="D418" i="2"/>
  <c r="C418" i="2"/>
  <c r="B418" i="2"/>
  <c r="A418" i="2"/>
  <c r="AP417" i="2"/>
  <c r="AO417" i="2"/>
  <c r="AH417" i="2"/>
  <c r="W417" i="2"/>
  <c r="AI417" i="2" s="1"/>
  <c r="U417" i="2"/>
  <c r="M417" i="2"/>
  <c r="N417" i="2" s="1"/>
  <c r="AQ417" i="2" s="1"/>
  <c r="K417" i="2"/>
  <c r="J417" i="2"/>
  <c r="I417" i="2"/>
  <c r="H417" i="2"/>
  <c r="F417" i="2"/>
  <c r="G417" i="2" s="1"/>
  <c r="D417" i="2"/>
  <c r="C417" i="2"/>
  <c r="B417" i="2"/>
  <c r="A417" i="2"/>
  <c r="AP416" i="2"/>
  <c r="AO416" i="2"/>
  <c r="AH416" i="2"/>
  <c r="W416" i="2"/>
  <c r="AI416" i="2" s="1"/>
  <c r="U416" i="2"/>
  <c r="M416" i="2"/>
  <c r="N416" i="2" s="1"/>
  <c r="AQ416" i="2" s="1"/>
  <c r="K416" i="2"/>
  <c r="J416" i="2"/>
  <c r="I416" i="2"/>
  <c r="H416" i="2"/>
  <c r="F416" i="2"/>
  <c r="G416" i="2" s="1"/>
  <c r="D416" i="2"/>
  <c r="C416" i="2"/>
  <c r="B416" i="2"/>
  <c r="A416" i="2"/>
  <c r="AP415" i="2"/>
  <c r="AO415" i="2"/>
  <c r="W415" i="2"/>
  <c r="AI415" i="2" s="1"/>
  <c r="U415" i="2"/>
  <c r="M415" i="2"/>
  <c r="N415" i="2" s="1"/>
  <c r="AQ415" i="2" s="1"/>
  <c r="K415" i="2"/>
  <c r="J415" i="2"/>
  <c r="I415" i="2"/>
  <c r="H415" i="2"/>
  <c r="F415" i="2"/>
  <c r="G415" i="2" s="1"/>
  <c r="D415" i="2"/>
  <c r="C415" i="2"/>
  <c r="B415" i="2"/>
  <c r="A415" i="2"/>
  <c r="AP414" i="2"/>
  <c r="AO414" i="2"/>
  <c r="W414" i="2"/>
  <c r="U414" i="2"/>
  <c r="N414" i="2"/>
  <c r="AQ414" i="2" s="1"/>
  <c r="M414" i="2"/>
  <c r="K414" i="2"/>
  <c r="J414" i="2"/>
  <c r="I414" i="2"/>
  <c r="H414" i="2"/>
  <c r="F414" i="2"/>
  <c r="G414" i="2" s="1"/>
  <c r="D414" i="2"/>
  <c r="C414" i="2"/>
  <c r="B414" i="2"/>
  <c r="A414" i="2"/>
  <c r="AP413" i="2"/>
  <c r="AO413" i="2"/>
  <c r="W413" i="2"/>
  <c r="U413" i="2"/>
  <c r="M413" i="2"/>
  <c r="N413" i="2" s="1"/>
  <c r="AQ413" i="2" s="1"/>
  <c r="K413" i="2"/>
  <c r="J413" i="2"/>
  <c r="I413" i="2"/>
  <c r="H413" i="2"/>
  <c r="F413" i="2"/>
  <c r="D413" i="2"/>
  <c r="C413" i="2"/>
  <c r="B413" i="2"/>
  <c r="A413" i="2"/>
  <c r="AP412" i="2"/>
  <c r="AO412" i="2"/>
  <c r="AH412" i="2"/>
  <c r="W412" i="2"/>
  <c r="AI412" i="2" s="1"/>
  <c r="U412" i="2"/>
  <c r="M412" i="2"/>
  <c r="N412" i="2" s="1"/>
  <c r="AQ412" i="2" s="1"/>
  <c r="K412" i="2"/>
  <c r="J412" i="2"/>
  <c r="I412" i="2"/>
  <c r="H412" i="2"/>
  <c r="F412" i="2"/>
  <c r="D412" i="2"/>
  <c r="C412" i="2"/>
  <c r="B412" i="2"/>
  <c r="A412" i="2"/>
  <c r="AP411" i="2"/>
  <c r="AO411" i="2"/>
  <c r="W411" i="2"/>
  <c r="AI411" i="2" s="1"/>
  <c r="U411" i="2"/>
  <c r="M411" i="2"/>
  <c r="N411" i="2" s="1"/>
  <c r="AQ411" i="2" s="1"/>
  <c r="K411" i="2"/>
  <c r="J411" i="2"/>
  <c r="I411" i="2"/>
  <c r="H411" i="2"/>
  <c r="F411" i="2"/>
  <c r="G411" i="2" s="1"/>
  <c r="D411" i="2"/>
  <c r="C411" i="2"/>
  <c r="B411" i="2"/>
  <c r="A411" i="2"/>
  <c r="AP410" i="2"/>
  <c r="AO410" i="2"/>
  <c r="W410" i="2"/>
  <c r="U410" i="2"/>
  <c r="M410" i="2"/>
  <c r="N410" i="2" s="1"/>
  <c r="AQ410" i="2" s="1"/>
  <c r="K410" i="2"/>
  <c r="J410" i="2"/>
  <c r="I410" i="2"/>
  <c r="H410" i="2"/>
  <c r="F410" i="2"/>
  <c r="G410" i="2" s="1"/>
  <c r="D410" i="2"/>
  <c r="C410" i="2"/>
  <c r="B410" i="2"/>
  <c r="A410" i="2"/>
  <c r="AP409" i="2"/>
  <c r="AO409" i="2"/>
  <c r="AH409" i="2"/>
  <c r="W409" i="2"/>
  <c r="AI409" i="2" s="1"/>
  <c r="U409" i="2"/>
  <c r="M409" i="2"/>
  <c r="N409" i="2" s="1"/>
  <c r="AQ409" i="2" s="1"/>
  <c r="K409" i="2"/>
  <c r="J409" i="2"/>
  <c r="I409" i="2"/>
  <c r="H409" i="2"/>
  <c r="F409" i="2"/>
  <c r="D409" i="2"/>
  <c r="C409" i="2"/>
  <c r="B409" i="2"/>
  <c r="A409" i="2"/>
  <c r="AP408" i="2"/>
  <c r="AO408" i="2"/>
  <c r="W408" i="2"/>
  <c r="U408" i="2"/>
  <c r="M408" i="2"/>
  <c r="N408" i="2" s="1"/>
  <c r="AQ408" i="2" s="1"/>
  <c r="K408" i="2"/>
  <c r="J408" i="2"/>
  <c r="I408" i="2"/>
  <c r="H408" i="2"/>
  <c r="F408" i="2"/>
  <c r="G408" i="2" s="1"/>
  <c r="D408" i="2"/>
  <c r="C408" i="2"/>
  <c r="B408" i="2"/>
  <c r="A408" i="2"/>
  <c r="AP407" i="2"/>
  <c r="AO407" i="2"/>
  <c r="W407" i="2"/>
  <c r="U407" i="2"/>
  <c r="M407" i="2"/>
  <c r="N407" i="2" s="1"/>
  <c r="AQ407" i="2" s="1"/>
  <c r="K407" i="2"/>
  <c r="J407" i="2"/>
  <c r="I407" i="2"/>
  <c r="H407" i="2"/>
  <c r="F407" i="2"/>
  <c r="G407" i="2" s="1"/>
  <c r="D407" i="2"/>
  <c r="C407" i="2"/>
  <c r="B407" i="2"/>
  <c r="A407" i="2"/>
  <c r="AP406" i="2"/>
  <c r="AO406" i="2"/>
  <c r="W406" i="2"/>
  <c r="U406" i="2"/>
  <c r="M406" i="2"/>
  <c r="N406" i="2" s="1"/>
  <c r="AQ406" i="2" s="1"/>
  <c r="K406" i="2"/>
  <c r="J406" i="2"/>
  <c r="I406" i="2"/>
  <c r="H406" i="2"/>
  <c r="F406" i="2"/>
  <c r="G406" i="2" s="1"/>
  <c r="D406" i="2"/>
  <c r="C406" i="2"/>
  <c r="B406" i="2"/>
  <c r="A406" i="2"/>
  <c r="AP405" i="2"/>
  <c r="AO405" i="2"/>
  <c r="W405" i="2"/>
  <c r="U405" i="2"/>
  <c r="M405" i="2"/>
  <c r="N405" i="2" s="1"/>
  <c r="AQ405" i="2" s="1"/>
  <c r="K405" i="2"/>
  <c r="J405" i="2"/>
  <c r="I405" i="2"/>
  <c r="H405" i="2"/>
  <c r="F405" i="2"/>
  <c r="G405" i="2" s="1"/>
  <c r="D405" i="2"/>
  <c r="C405" i="2"/>
  <c r="B405" i="2"/>
  <c r="A405" i="2"/>
  <c r="AP404" i="2"/>
  <c r="AO404" i="2"/>
  <c r="W404" i="2"/>
  <c r="U404" i="2"/>
  <c r="M404" i="2"/>
  <c r="N404" i="2" s="1"/>
  <c r="AQ404" i="2" s="1"/>
  <c r="K404" i="2"/>
  <c r="J404" i="2"/>
  <c r="I404" i="2"/>
  <c r="H404" i="2"/>
  <c r="F404" i="2"/>
  <c r="G404" i="2" s="1"/>
  <c r="D404" i="2"/>
  <c r="C404" i="2"/>
  <c r="B404" i="2"/>
  <c r="A404" i="2"/>
  <c r="AP403" i="2"/>
  <c r="AO403" i="2"/>
  <c r="W403" i="2"/>
  <c r="U403" i="2"/>
  <c r="M403" i="2"/>
  <c r="N403" i="2" s="1"/>
  <c r="AQ403" i="2" s="1"/>
  <c r="K403" i="2"/>
  <c r="J403" i="2"/>
  <c r="I403" i="2"/>
  <c r="H403" i="2"/>
  <c r="F403" i="2"/>
  <c r="G403" i="2" s="1"/>
  <c r="D403" i="2"/>
  <c r="C403" i="2"/>
  <c r="B403" i="2"/>
  <c r="A403" i="2"/>
  <c r="AP402" i="2"/>
  <c r="AO402" i="2"/>
  <c r="AH402" i="2"/>
  <c r="W402" i="2"/>
  <c r="AI402" i="2" s="1"/>
  <c r="U402" i="2"/>
  <c r="M402" i="2"/>
  <c r="N402" i="2" s="1"/>
  <c r="AQ402" i="2" s="1"/>
  <c r="K402" i="2"/>
  <c r="J402" i="2"/>
  <c r="I402" i="2"/>
  <c r="H402" i="2"/>
  <c r="F402" i="2"/>
  <c r="D402" i="2"/>
  <c r="C402" i="2"/>
  <c r="B402" i="2"/>
  <c r="A402" i="2"/>
  <c r="AP401" i="2"/>
  <c r="AO401" i="2"/>
  <c r="W401" i="2"/>
  <c r="AI401" i="2" s="1"/>
  <c r="U401" i="2"/>
  <c r="M401" i="2"/>
  <c r="N401" i="2" s="1"/>
  <c r="AQ401" i="2" s="1"/>
  <c r="K401" i="2"/>
  <c r="J401" i="2"/>
  <c r="I401" i="2"/>
  <c r="H401" i="2"/>
  <c r="F401" i="2"/>
  <c r="G401" i="2" s="1"/>
  <c r="D401" i="2"/>
  <c r="C401" i="2"/>
  <c r="B401" i="2"/>
  <c r="A401" i="2"/>
  <c r="AP400" i="2"/>
  <c r="AO400" i="2"/>
  <c r="W400" i="2"/>
  <c r="AI400" i="2" s="1"/>
  <c r="U400" i="2"/>
  <c r="M400" i="2"/>
  <c r="N400" i="2" s="1"/>
  <c r="AQ400" i="2" s="1"/>
  <c r="K400" i="2"/>
  <c r="J400" i="2"/>
  <c r="I400" i="2"/>
  <c r="H400" i="2"/>
  <c r="F400" i="2"/>
  <c r="G400" i="2" s="1"/>
  <c r="D400" i="2"/>
  <c r="C400" i="2"/>
  <c r="B400" i="2"/>
  <c r="A400" i="2"/>
  <c r="AP399" i="2"/>
  <c r="AO399" i="2"/>
  <c r="AH399" i="2"/>
  <c r="W399" i="2"/>
  <c r="AI399" i="2" s="1"/>
  <c r="U399" i="2"/>
  <c r="M399" i="2"/>
  <c r="N399" i="2" s="1"/>
  <c r="AQ399" i="2" s="1"/>
  <c r="K399" i="2"/>
  <c r="J399" i="2"/>
  <c r="I399" i="2"/>
  <c r="H399" i="2"/>
  <c r="F399" i="2"/>
  <c r="D399" i="2"/>
  <c r="C399" i="2"/>
  <c r="B399" i="2"/>
  <c r="A399" i="2"/>
  <c r="AP398" i="2"/>
  <c r="AO398" i="2"/>
  <c r="AH398" i="2"/>
  <c r="W398" i="2"/>
  <c r="AI398" i="2" s="1"/>
  <c r="U398" i="2"/>
  <c r="M398" i="2"/>
  <c r="N398" i="2" s="1"/>
  <c r="AQ398" i="2" s="1"/>
  <c r="K398" i="2"/>
  <c r="J398" i="2"/>
  <c r="I398" i="2"/>
  <c r="H398" i="2"/>
  <c r="F398" i="2"/>
  <c r="D398" i="2"/>
  <c r="C398" i="2"/>
  <c r="B398" i="2"/>
  <c r="A398" i="2"/>
  <c r="AP397" i="2"/>
  <c r="AO397" i="2"/>
  <c r="AH397" i="2"/>
  <c r="W397" i="2"/>
  <c r="AI397" i="2" s="1"/>
  <c r="U397" i="2"/>
  <c r="M397" i="2"/>
  <c r="N397" i="2" s="1"/>
  <c r="AQ397" i="2" s="1"/>
  <c r="K397" i="2"/>
  <c r="J397" i="2"/>
  <c r="I397" i="2"/>
  <c r="H397" i="2"/>
  <c r="F397" i="2"/>
  <c r="D397" i="2"/>
  <c r="C397" i="2"/>
  <c r="B397" i="2"/>
  <c r="A397" i="2"/>
  <c r="AP396" i="2"/>
  <c r="AO396" i="2"/>
  <c r="AH396" i="2"/>
  <c r="W396" i="2"/>
  <c r="AI396" i="2" s="1"/>
  <c r="U396" i="2"/>
  <c r="M396" i="2"/>
  <c r="N396" i="2" s="1"/>
  <c r="AQ396" i="2" s="1"/>
  <c r="K396" i="2"/>
  <c r="J396" i="2"/>
  <c r="I396" i="2"/>
  <c r="H396" i="2"/>
  <c r="F396" i="2"/>
  <c r="D396" i="2"/>
  <c r="C396" i="2"/>
  <c r="B396" i="2"/>
  <c r="A396" i="2"/>
  <c r="AP395" i="2"/>
  <c r="AO395" i="2"/>
  <c r="AH395" i="2"/>
  <c r="W395" i="2"/>
  <c r="AI395" i="2" s="1"/>
  <c r="U395" i="2"/>
  <c r="M395" i="2"/>
  <c r="N395" i="2" s="1"/>
  <c r="AQ395" i="2" s="1"/>
  <c r="K395" i="2"/>
  <c r="J395" i="2"/>
  <c r="I395" i="2"/>
  <c r="H395" i="2"/>
  <c r="F395" i="2"/>
  <c r="D395" i="2"/>
  <c r="C395" i="2"/>
  <c r="B395" i="2"/>
  <c r="A395" i="2"/>
  <c r="AP394" i="2"/>
  <c r="AO394" i="2"/>
  <c r="AH394" i="2"/>
  <c r="W394" i="2"/>
  <c r="AI394" i="2" s="1"/>
  <c r="U394" i="2"/>
  <c r="M394" i="2"/>
  <c r="N394" i="2" s="1"/>
  <c r="AQ394" i="2" s="1"/>
  <c r="K394" i="2"/>
  <c r="J394" i="2"/>
  <c r="I394" i="2"/>
  <c r="H394" i="2"/>
  <c r="F394" i="2"/>
  <c r="D394" i="2"/>
  <c r="C394" i="2"/>
  <c r="B394" i="2"/>
  <c r="A394" i="2"/>
  <c r="AP393" i="2"/>
  <c r="AO393" i="2"/>
  <c r="AH393" i="2"/>
  <c r="W393" i="2"/>
  <c r="AI393" i="2" s="1"/>
  <c r="U393" i="2"/>
  <c r="M393" i="2"/>
  <c r="N393" i="2" s="1"/>
  <c r="AQ393" i="2" s="1"/>
  <c r="K393" i="2"/>
  <c r="J393" i="2"/>
  <c r="I393" i="2"/>
  <c r="H393" i="2"/>
  <c r="F393" i="2"/>
  <c r="D393" i="2"/>
  <c r="C393" i="2"/>
  <c r="B393" i="2"/>
  <c r="A393" i="2"/>
  <c r="AP392" i="2"/>
  <c r="AO392" i="2"/>
  <c r="AH392" i="2"/>
  <c r="W392" i="2"/>
  <c r="AI392" i="2" s="1"/>
  <c r="U392" i="2"/>
  <c r="M392" i="2"/>
  <c r="N392" i="2" s="1"/>
  <c r="AQ392" i="2" s="1"/>
  <c r="K392" i="2"/>
  <c r="J392" i="2"/>
  <c r="I392" i="2"/>
  <c r="H392" i="2"/>
  <c r="F392" i="2"/>
  <c r="D392" i="2"/>
  <c r="C392" i="2"/>
  <c r="B392" i="2"/>
  <c r="A392" i="2"/>
  <c r="AP391" i="2"/>
  <c r="AO391" i="2"/>
  <c r="AH391" i="2"/>
  <c r="W391" i="2"/>
  <c r="AI391" i="2" s="1"/>
  <c r="U391" i="2"/>
  <c r="M391" i="2"/>
  <c r="N391" i="2" s="1"/>
  <c r="AQ391" i="2" s="1"/>
  <c r="K391" i="2"/>
  <c r="J391" i="2"/>
  <c r="I391" i="2"/>
  <c r="H391" i="2"/>
  <c r="F391" i="2"/>
  <c r="D391" i="2"/>
  <c r="C391" i="2"/>
  <c r="B391" i="2"/>
  <c r="A391" i="2"/>
  <c r="AP390" i="2"/>
  <c r="AO390" i="2"/>
  <c r="AH390" i="2"/>
  <c r="W390" i="2"/>
  <c r="AI390" i="2" s="1"/>
  <c r="U390" i="2"/>
  <c r="M390" i="2"/>
  <c r="N390" i="2" s="1"/>
  <c r="AQ390" i="2" s="1"/>
  <c r="K390" i="2"/>
  <c r="J390" i="2"/>
  <c r="I390" i="2"/>
  <c r="H390" i="2"/>
  <c r="F390" i="2"/>
  <c r="D390" i="2"/>
  <c r="C390" i="2"/>
  <c r="B390" i="2"/>
  <c r="A390" i="2"/>
  <c r="AP389" i="2"/>
  <c r="AO389" i="2"/>
  <c r="AH389" i="2"/>
  <c r="W389" i="2"/>
  <c r="AI389" i="2" s="1"/>
  <c r="U389" i="2"/>
  <c r="M389" i="2"/>
  <c r="N389" i="2" s="1"/>
  <c r="AQ389" i="2" s="1"/>
  <c r="K389" i="2"/>
  <c r="J389" i="2"/>
  <c r="I389" i="2"/>
  <c r="H389" i="2"/>
  <c r="F389" i="2"/>
  <c r="D389" i="2"/>
  <c r="C389" i="2"/>
  <c r="B389" i="2"/>
  <c r="A389" i="2"/>
  <c r="AP388" i="2"/>
  <c r="AO388" i="2"/>
  <c r="W388" i="2"/>
  <c r="U388" i="2"/>
  <c r="M388" i="2"/>
  <c r="N388" i="2" s="1"/>
  <c r="AQ388" i="2" s="1"/>
  <c r="K388" i="2"/>
  <c r="J388" i="2"/>
  <c r="I388" i="2"/>
  <c r="H388" i="2"/>
  <c r="F388" i="2"/>
  <c r="G388" i="2" s="1"/>
  <c r="D388" i="2"/>
  <c r="C388" i="2"/>
  <c r="B388" i="2"/>
  <c r="A388" i="2"/>
  <c r="AP387" i="2"/>
  <c r="AO387" i="2"/>
  <c r="AH387" i="2"/>
  <c r="W387" i="2"/>
  <c r="AI387" i="2" s="1"/>
  <c r="U387" i="2"/>
  <c r="M387" i="2"/>
  <c r="N387" i="2" s="1"/>
  <c r="AQ387" i="2" s="1"/>
  <c r="K387" i="2"/>
  <c r="J387" i="2"/>
  <c r="I387" i="2"/>
  <c r="H387" i="2"/>
  <c r="F387" i="2"/>
  <c r="D387" i="2"/>
  <c r="C387" i="2"/>
  <c r="B387" i="2"/>
  <c r="A387" i="2"/>
  <c r="AP386" i="2"/>
  <c r="AO386" i="2"/>
  <c r="AH386" i="2"/>
  <c r="W386" i="2"/>
  <c r="AI386" i="2" s="1"/>
  <c r="U386" i="2"/>
  <c r="M386" i="2"/>
  <c r="N386" i="2" s="1"/>
  <c r="AQ386" i="2" s="1"/>
  <c r="K386" i="2"/>
  <c r="J386" i="2"/>
  <c r="I386" i="2"/>
  <c r="H386" i="2"/>
  <c r="F386" i="2"/>
  <c r="D386" i="2"/>
  <c r="C386" i="2"/>
  <c r="B386" i="2"/>
  <c r="A386" i="2"/>
  <c r="AP385" i="2"/>
  <c r="AO385" i="2"/>
  <c r="AH385" i="2"/>
  <c r="W385" i="2"/>
  <c r="AI385" i="2" s="1"/>
  <c r="U385" i="2"/>
  <c r="M385" i="2"/>
  <c r="N385" i="2" s="1"/>
  <c r="AQ385" i="2" s="1"/>
  <c r="K385" i="2"/>
  <c r="J385" i="2"/>
  <c r="I385" i="2"/>
  <c r="H385" i="2"/>
  <c r="F385" i="2"/>
  <c r="D385" i="2"/>
  <c r="C385" i="2"/>
  <c r="B385" i="2"/>
  <c r="A385" i="2"/>
  <c r="AP384" i="2"/>
  <c r="AO384" i="2"/>
  <c r="AH384" i="2"/>
  <c r="W384" i="2"/>
  <c r="AI384" i="2" s="1"/>
  <c r="U384" i="2"/>
  <c r="M384" i="2"/>
  <c r="N384" i="2" s="1"/>
  <c r="AQ384" i="2" s="1"/>
  <c r="K384" i="2"/>
  <c r="J384" i="2"/>
  <c r="I384" i="2"/>
  <c r="H384" i="2"/>
  <c r="F384" i="2"/>
  <c r="D384" i="2"/>
  <c r="C384" i="2"/>
  <c r="B384" i="2"/>
  <c r="A384" i="2"/>
  <c r="AP383" i="2"/>
  <c r="AO383" i="2"/>
  <c r="AH383" i="2"/>
  <c r="W383" i="2"/>
  <c r="AI383" i="2" s="1"/>
  <c r="U383" i="2"/>
  <c r="M383" i="2"/>
  <c r="N383" i="2" s="1"/>
  <c r="AQ383" i="2" s="1"/>
  <c r="K383" i="2"/>
  <c r="J383" i="2"/>
  <c r="I383" i="2"/>
  <c r="H383" i="2"/>
  <c r="F383" i="2"/>
  <c r="D383" i="2"/>
  <c r="C383" i="2"/>
  <c r="B383" i="2"/>
  <c r="A383" i="2"/>
  <c r="AP382" i="2"/>
  <c r="AO382" i="2"/>
  <c r="AH382" i="2"/>
  <c r="W382" i="2"/>
  <c r="AI382" i="2" s="1"/>
  <c r="U382" i="2"/>
  <c r="M382" i="2"/>
  <c r="N382" i="2" s="1"/>
  <c r="AQ382" i="2" s="1"/>
  <c r="K382" i="2"/>
  <c r="J382" i="2"/>
  <c r="I382" i="2"/>
  <c r="H382" i="2"/>
  <c r="F382" i="2"/>
  <c r="D382" i="2"/>
  <c r="C382" i="2"/>
  <c r="B382" i="2"/>
  <c r="A382" i="2"/>
  <c r="AP381" i="2"/>
  <c r="AO381" i="2"/>
  <c r="AH381" i="2"/>
  <c r="W381" i="2"/>
  <c r="AI381" i="2" s="1"/>
  <c r="U381" i="2"/>
  <c r="M381" i="2"/>
  <c r="N381" i="2" s="1"/>
  <c r="AQ381" i="2" s="1"/>
  <c r="K381" i="2"/>
  <c r="J381" i="2"/>
  <c r="I381" i="2"/>
  <c r="H381" i="2"/>
  <c r="F381" i="2"/>
  <c r="D381" i="2"/>
  <c r="C381" i="2"/>
  <c r="B381" i="2"/>
  <c r="A381" i="2"/>
  <c r="AP380" i="2"/>
  <c r="AO380" i="2"/>
  <c r="AH380" i="2"/>
  <c r="W380" i="2"/>
  <c r="AI380" i="2" s="1"/>
  <c r="U380" i="2"/>
  <c r="M380" i="2"/>
  <c r="N380" i="2" s="1"/>
  <c r="AQ380" i="2" s="1"/>
  <c r="K380" i="2"/>
  <c r="J380" i="2"/>
  <c r="I380" i="2"/>
  <c r="H380" i="2"/>
  <c r="F380" i="2"/>
  <c r="D380" i="2"/>
  <c r="C380" i="2"/>
  <c r="B380" i="2"/>
  <c r="A380" i="2"/>
  <c r="AP379" i="2"/>
  <c r="AO379" i="2"/>
  <c r="AH379" i="2"/>
  <c r="W379" i="2"/>
  <c r="AI379" i="2" s="1"/>
  <c r="U379" i="2"/>
  <c r="M379" i="2"/>
  <c r="N379" i="2" s="1"/>
  <c r="AQ379" i="2" s="1"/>
  <c r="K379" i="2"/>
  <c r="J379" i="2"/>
  <c r="I379" i="2"/>
  <c r="H379" i="2"/>
  <c r="F379" i="2"/>
  <c r="D379" i="2"/>
  <c r="C379" i="2"/>
  <c r="B379" i="2"/>
  <c r="A379" i="2"/>
  <c r="AP378" i="2"/>
  <c r="AO378" i="2"/>
  <c r="AH378" i="2"/>
  <c r="W378" i="2"/>
  <c r="AI378" i="2" s="1"/>
  <c r="U378" i="2"/>
  <c r="M378" i="2"/>
  <c r="N378" i="2" s="1"/>
  <c r="AQ378" i="2" s="1"/>
  <c r="K378" i="2"/>
  <c r="J378" i="2"/>
  <c r="I378" i="2"/>
  <c r="H378" i="2"/>
  <c r="F378" i="2"/>
  <c r="D378" i="2"/>
  <c r="C378" i="2"/>
  <c r="B378" i="2"/>
  <c r="A378" i="2"/>
  <c r="AP377" i="2"/>
  <c r="AO377" i="2"/>
  <c r="AH377" i="2"/>
  <c r="W377" i="2"/>
  <c r="AI377" i="2" s="1"/>
  <c r="U377" i="2"/>
  <c r="M377" i="2"/>
  <c r="N377" i="2" s="1"/>
  <c r="AQ377" i="2" s="1"/>
  <c r="K377" i="2"/>
  <c r="J377" i="2"/>
  <c r="I377" i="2"/>
  <c r="H377" i="2"/>
  <c r="F377" i="2"/>
  <c r="D377" i="2"/>
  <c r="C377" i="2"/>
  <c r="B377" i="2"/>
  <c r="A377" i="2"/>
  <c r="AP376" i="2"/>
  <c r="AO376" i="2"/>
  <c r="AH376" i="2"/>
  <c r="W376" i="2"/>
  <c r="AI376" i="2" s="1"/>
  <c r="U376" i="2"/>
  <c r="M376" i="2"/>
  <c r="N376" i="2" s="1"/>
  <c r="AQ376" i="2" s="1"/>
  <c r="K376" i="2"/>
  <c r="J376" i="2"/>
  <c r="I376" i="2"/>
  <c r="H376" i="2"/>
  <c r="F376" i="2"/>
  <c r="D376" i="2"/>
  <c r="C376" i="2"/>
  <c r="B376" i="2"/>
  <c r="A376" i="2"/>
  <c r="AP375" i="2"/>
  <c r="AO375" i="2"/>
  <c r="AH375" i="2"/>
  <c r="W375" i="2"/>
  <c r="AI375" i="2" s="1"/>
  <c r="U375" i="2"/>
  <c r="M375" i="2"/>
  <c r="N375" i="2" s="1"/>
  <c r="AQ375" i="2" s="1"/>
  <c r="K375" i="2"/>
  <c r="J375" i="2"/>
  <c r="I375" i="2"/>
  <c r="H375" i="2"/>
  <c r="F375" i="2"/>
  <c r="D375" i="2"/>
  <c r="C375" i="2"/>
  <c r="B375" i="2"/>
  <c r="A375" i="2"/>
  <c r="AP374" i="2"/>
  <c r="AO374" i="2"/>
  <c r="AH374" i="2"/>
  <c r="W374" i="2"/>
  <c r="AI374" i="2" s="1"/>
  <c r="U374" i="2"/>
  <c r="M374" i="2"/>
  <c r="N374" i="2" s="1"/>
  <c r="AQ374" i="2" s="1"/>
  <c r="K374" i="2"/>
  <c r="J374" i="2"/>
  <c r="I374" i="2"/>
  <c r="H374" i="2"/>
  <c r="F374" i="2"/>
  <c r="D374" i="2"/>
  <c r="C374" i="2"/>
  <c r="B374" i="2"/>
  <c r="A374" i="2"/>
  <c r="AP373" i="2"/>
  <c r="AO373" i="2"/>
  <c r="AH373" i="2"/>
  <c r="W373" i="2"/>
  <c r="AI373" i="2" s="1"/>
  <c r="U373" i="2"/>
  <c r="M373" i="2"/>
  <c r="N373" i="2" s="1"/>
  <c r="AQ373" i="2" s="1"/>
  <c r="K373" i="2"/>
  <c r="J373" i="2"/>
  <c r="I373" i="2"/>
  <c r="H373" i="2"/>
  <c r="F373" i="2"/>
  <c r="D373" i="2"/>
  <c r="C373" i="2"/>
  <c r="B373" i="2"/>
  <c r="A373" i="2"/>
  <c r="AP372" i="2"/>
  <c r="AO372" i="2"/>
  <c r="W372" i="2"/>
  <c r="U372" i="2"/>
  <c r="M372" i="2"/>
  <c r="N372" i="2" s="1"/>
  <c r="AQ372" i="2" s="1"/>
  <c r="K372" i="2"/>
  <c r="J372" i="2"/>
  <c r="I372" i="2"/>
  <c r="H372" i="2"/>
  <c r="F372" i="2"/>
  <c r="G372" i="2" s="1"/>
  <c r="D372" i="2"/>
  <c r="C372" i="2"/>
  <c r="B372" i="2"/>
  <c r="A372" i="2"/>
  <c r="AP371" i="2"/>
  <c r="AO371" i="2"/>
  <c r="AH371" i="2"/>
  <c r="W371" i="2"/>
  <c r="AI371" i="2" s="1"/>
  <c r="U371" i="2"/>
  <c r="M371" i="2"/>
  <c r="N371" i="2" s="1"/>
  <c r="AQ371" i="2" s="1"/>
  <c r="K371" i="2"/>
  <c r="J371" i="2"/>
  <c r="I371" i="2"/>
  <c r="H371" i="2"/>
  <c r="F371" i="2"/>
  <c r="D371" i="2"/>
  <c r="C371" i="2"/>
  <c r="B371" i="2"/>
  <c r="A371" i="2"/>
  <c r="AP370" i="2"/>
  <c r="AO370" i="2"/>
  <c r="AH370" i="2"/>
  <c r="W370" i="2"/>
  <c r="AI370" i="2" s="1"/>
  <c r="U370" i="2"/>
  <c r="M370" i="2"/>
  <c r="N370" i="2" s="1"/>
  <c r="AQ370" i="2" s="1"/>
  <c r="K370" i="2"/>
  <c r="J370" i="2"/>
  <c r="I370" i="2"/>
  <c r="H370" i="2"/>
  <c r="F370" i="2"/>
  <c r="D370" i="2"/>
  <c r="C370" i="2"/>
  <c r="B370" i="2"/>
  <c r="A370" i="2"/>
  <c r="AP369" i="2"/>
  <c r="AO369" i="2"/>
  <c r="AH369" i="2"/>
  <c r="W369" i="2"/>
  <c r="AI369" i="2" s="1"/>
  <c r="U369" i="2"/>
  <c r="M369" i="2"/>
  <c r="N369" i="2" s="1"/>
  <c r="AQ369" i="2" s="1"/>
  <c r="K369" i="2"/>
  <c r="J369" i="2"/>
  <c r="I369" i="2"/>
  <c r="H369" i="2"/>
  <c r="F369" i="2"/>
  <c r="D369" i="2"/>
  <c r="C369" i="2"/>
  <c r="B369" i="2"/>
  <c r="A369" i="2"/>
  <c r="AP368" i="2"/>
  <c r="AO368" i="2"/>
  <c r="AH368" i="2"/>
  <c r="W368" i="2"/>
  <c r="AI368" i="2" s="1"/>
  <c r="U368" i="2"/>
  <c r="M368" i="2"/>
  <c r="N368" i="2" s="1"/>
  <c r="AQ368" i="2" s="1"/>
  <c r="K368" i="2"/>
  <c r="J368" i="2"/>
  <c r="I368" i="2"/>
  <c r="H368" i="2"/>
  <c r="F368" i="2"/>
  <c r="D368" i="2"/>
  <c r="C368" i="2"/>
  <c r="B368" i="2"/>
  <c r="A368" i="2"/>
  <c r="AP367" i="2"/>
  <c r="AO367" i="2"/>
  <c r="AH367" i="2"/>
  <c r="W367" i="2"/>
  <c r="AI367" i="2" s="1"/>
  <c r="U367" i="2"/>
  <c r="M367" i="2"/>
  <c r="N367" i="2" s="1"/>
  <c r="AQ367" i="2" s="1"/>
  <c r="K367" i="2"/>
  <c r="J367" i="2"/>
  <c r="I367" i="2"/>
  <c r="H367" i="2"/>
  <c r="F367" i="2"/>
  <c r="D367" i="2"/>
  <c r="C367" i="2"/>
  <c r="B367" i="2"/>
  <c r="A367" i="2"/>
  <c r="AP366" i="2"/>
  <c r="AO366" i="2"/>
  <c r="AH366" i="2"/>
  <c r="W366" i="2"/>
  <c r="AI366" i="2" s="1"/>
  <c r="U366" i="2"/>
  <c r="M366" i="2"/>
  <c r="N366" i="2" s="1"/>
  <c r="AQ366" i="2" s="1"/>
  <c r="K366" i="2"/>
  <c r="J366" i="2"/>
  <c r="I366" i="2"/>
  <c r="H366" i="2"/>
  <c r="F366" i="2"/>
  <c r="D366" i="2"/>
  <c r="C366" i="2"/>
  <c r="B366" i="2"/>
  <c r="A366" i="2"/>
  <c r="AP365" i="2"/>
  <c r="AO365" i="2"/>
  <c r="AH365" i="2"/>
  <c r="W365" i="2"/>
  <c r="AI365" i="2" s="1"/>
  <c r="U365" i="2"/>
  <c r="M365" i="2"/>
  <c r="N365" i="2" s="1"/>
  <c r="AQ365" i="2" s="1"/>
  <c r="K365" i="2"/>
  <c r="J365" i="2"/>
  <c r="I365" i="2"/>
  <c r="H365" i="2"/>
  <c r="F365" i="2"/>
  <c r="D365" i="2"/>
  <c r="C365" i="2"/>
  <c r="B365" i="2"/>
  <c r="A365" i="2"/>
  <c r="AP364" i="2"/>
  <c r="AO364" i="2"/>
  <c r="AH364" i="2"/>
  <c r="W364" i="2"/>
  <c r="AI364" i="2" s="1"/>
  <c r="U364" i="2"/>
  <c r="M364" i="2"/>
  <c r="N364" i="2" s="1"/>
  <c r="AQ364" i="2" s="1"/>
  <c r="K364" i="2"/>
  <c r="J364" i="2"/>
  <c r="I364" i="2"/>
  <c r="H364" i="2"/>
  <c r="F364" i="2"/>
  <c r="D364" i="2"/>
  <c r="C364" i="2"/>
  <c r="B364" i="2"/>
  <c r="A364" i="2"/>
  <c r="AP363" i="2"/>
  <c r="AO363" i="2"/>
  <c r="AH363" i="2"/>
  <c r="W363" i="2"/>
  <c r="AI363" i="2" s="1"/>
  <c r="U363" i="2"/>
  <c r="M363" i="2"/>
  <c r="N363" i="2" s="1"/>
  <c r="AQ363" i="2" s="1"/>
  <c r="K363" i="2"/>
  <c r="J363" i="2"/>
  <c r="I363" i="2"/>
  <c r="H363" i="2"/>
  <c r="F363" i="2"/>
  <c r="D363" i="2"/>
  <c r="C363" i="2"/>
  <c r="B363" i="2"/>
  <c r="A363" i="2"/>
  <c r="AP362" i="2"/>
  <c r="AO362" i="2"/>
  <c r="AH362" i="2"/>
  <c r="W362" i="2"/>
  <c r="AI362" i="2" s="1"/>
  <c r="U362" i="2"/>
  <c r="M362" i="2"/>
  <c r="N362" i="2" s="1"/>
  <c r="AQ362" i="2" s="1"/>
  <c r="K362" i="2"/>
  <c r="J362" i="2"/>
  <c r="I362" i="2"/>
  <c r="H362" i="2"/>
  <c r="F362" i="2"/>
  <c r="D362" i="2"/>
  <c r="C362" i="2"/>
  <c r="B362" i="2"/>
  <c r="A362" i="2"/>
  <c r="AP361" i="2"/>
  <c r="AO361" i="2"/>
  <c r="AH361" i="2"/>
  <c r="W361" i="2"/>
  <c r="AI361" i="2" s="1"/>
  <c r="U361" i="2"/>
  <c r="M361" i="2"/>
  <c r="N361" i="2" s="1"/>
  <c r="AQ361" i="2" s="1"/>
  <c r="K361" i="2"/>
  <c r="J361" i="2"/>
  <c r="I361" i="2"/>
  <c r="H361" i="2"/>
  <c r="F361" i="2"/>
  <c r="D361" i="2"/>
  <c r="C361" i="2"/>
  <c r="B361" i="2"/>
  <c r="A361" i="2"/>
  <c r="AP360" i="2"/>
  <c r="AO360" i="2"/>
  <c r="AH360" i="2"/>
  <c r="W360" i="2"/>
  <c r="AI360" i="2" s="1"/>
  <c r="U360" i="2"/>
  <c r="M360" i="2"/>
  <c r="N360" i="2" s="1"/>
  <c r="AQ360" i="2" s="1"/>
  <c r="K360" i="2"/>
  <c r="J360" i="2"/>
  <c r="I360" i="2"/>
  <c r="H360" i="2"/>
  <c r="F360" i="2"/>
  <c r="D360" i="2"/>
  <c r="C360" i="2"/>
  <c r="B360" i="2"/>
  <c r="A360" i="2"/>
  <c r="AP359" i="2"/>
  <c r="AO359" i="2"/>
  <c r="AH359" i="2"/>
  <c r="W359" i="2"/>
  <c r="AI359" i="2" s="1"/>
  <c r="U359" i="2"/>
  <c r="M359" i="2"/>
  <c r="N359" i="2" s="1"/>
  <c r="AQ359" i="2" s="1"/>
  <c r="K359" i="2"/>
  <c r="J359" i="2"/>
  <c r="I359" i="2"/>
  <c r="H359" i="2"/>
  <c r="F359" i="2"/>
  <c r="D359" i="2"/>
  <c r="C359" i="2"/>
  <c r="B359" i="2"/>
  <c r="A359" i="2"/>
  <c r="AP358" i="2"/>
  <c r="AO358" i="2"/>
  <c r="AH358" i="2"/>
  <c r="W358" i="2"/>
  <c r="AI358" i="2" s="1"/>
  <c r="U358" i="2"/>
  <c r="M358" i="2"/>
  <c r="N358" i="2" s="1"/>
  <c r="AQ358" i="2" s="1"/>
  <c r="K358" i="2"/>
  <c r="J358" i="2"/>
  <c r="I358" i="2"/>
  <c r="H358" i="2"/>
  <c r="F358" i="2"/>
  <c r="D358" i="2"/>
  <c r="C358" i="2"/>
  <c r="B358" i="2"/>
  <c r="A358" i="2"/>
  <c r="AP357" i="2"/>
  <c r="AO357" i="2"/>
  <c r="AH357" i="2"/>
  <c r="W357" i="2"/>
  <c r="AI357" i="2" s="1"/>
  <c r="U357" i="2"/>
  <c r="M357" i="2"/>
  <c r="N357" i="2" s="1"/>
  <c r="AQ357" i="2" s="1"/>
  <c r="K357" i="2"/>
  <c r="J357" i="2"/>
  <c r="I357" i="2"/>
  <c r="H357" i="2"/>
  <c r="F357" i="2"/>
  <c r="D357" i="2"/>
  <c r="C357" i="2"/>
  <c r="B357" i="2"/>
  <c r="A357" i="2"/>
  <c r="AP356" i="2"/>
  <c r="AO356" i="2"/>
  <c r="AH356" i="2"/>
  <c r="W356" i="2"/>
  <c r="AI356" i="2" s="1"/>
  <c r="U356" i="2"/>
  <c r="M356" i="2"/>
  <c r="N356" i="2" s="1"/>
  <c r="AQ356" i="2" s="1"/>
  <c r="K356" i="2"/>
  <c r="J356" i="2"/>
  <c r="I356" i="2"/>
  <c r="H356" i="2"/>
  <c r="F356" i="2"/>
  <c r="D356" i="2"/>
  <c r="C356" i="2"/>
  <c r="B356" i="2"/>
  <c r="A356" i="2"/>
  <c r="AP355" i="2"/>
  <c r="AO355" i="2"/>
  <c r="AH355" i="2"/>
  <c r="W355" i="2"/>
  <c r="AI355" i="2" s="1"/>
  <c r="U355" i="2"/>
  <c r="M355" i="2"/>
  <c r="N355" i="2" s="1"/>
  <c r="AQ355" i="2" s="1"/>
  <c r="K355" i="2"/>
  <c r="J355" i="2"/>
  <c r="I355" i="2"/>
  <c r="H355" i="2"/>
  <c r="F355" i="2"/>
  <c r="D355" i="2"/>
  <c r="C355" i="2"/>
  <c r="B355" i="2"/>
  <c r="A355" i="2"/>
  <c r="AP354" i="2"/>
  <c r="AO354" i="2"/>
  <c r="AH354" i="2"/>
  <c r="W354" i="2"/>
  <c r="AI354" i="2" s="1"/>
  <c r="U354" i="2"/>
  <c r="M354" i="2"/>
  <c r="N354" i="2" s="1"/>
  <c r="AQ354" i="2" s="1"/>
  <c r="K354" i="2"/>
  <c r="J354" i="2"/>
  <c r="I354" i="2"/>
  <c r="H354" i="2"/>
  <c r="F354" i="2"/>
  <c r="D354" i="2"/>
  <c r="C354" i="2"/>
  <c r="B354" i="2"/>
  <c r="A354" i="2"/>
  <c r="AP353" i="2"/>
  <c r="AO353" i="2"/>
  <c r="AH353" i="2"/>
  <c r="W353" i="2"/>
  <c r="AI353" i="2" s="1"/>
  <c r="U353" i="2"/>
  <c r="M353" i="2"/>
  <c r="N353" i="2" s="1"/>
  <c r="AQ353" i="2" s="1"/>
  <c r="K353" i="2"/>
  <c r="J353" i="2"/>
  <c r="I353" i="2"/>
  <c r="H353" i="2"/>
  <c r="F353" i="2"/>
  <c r="D353" i="2"/>
  <c r="C353" i="2"/>
  <c r="B353" i="2"/>
  <c r="A353" i="2"/>
  <c r="AP352" i="2"/>
  <c r="AO352" i="2"/>
  <c r="AH352" i="2"/>
  <c r="W352" i="2"/>
  <c r="AI352" i="2" s="1"/>
  <c r="U352" i="2"/>
  <c r="M352" i="2"/>
  <c r="N352" i="2" s="1"/>
  <c r="AQ352" i="2" s="1"/>
  <c r="K352" i="2"/>
  <c r="J352" i="2"/>
  <c r="I352" i="2"/>
  <c r="H352" i="2"/>
  <c r="F352" i="2"/>
  <c r="D352" i="2"/>
  <c r="C352" i="2"/>
  <c r="B352" i="2"/>
  <c r="A352" i="2"/>
  <c r="AP351" i="2"/>
  <c r="AO351" i="2"/>
  <c r="AH351" i="2"/>
  <c r="W351" i="2"/>
  <c r="AI351" i="2" s="1"/>
  <c r="U351" i="2"/>
  <c r="M351" i="2"/>
  <c r="N351" i="2" s="1"/>
  <c r="AQ351" i="2" s="1"/>
  <c r="K351" i="2"/>
  <c r="J351" i="2"/>
  <c r="I351" i="2"/>
  <c r="H351" i="2"/>
  <c r="F351" i="2"/>
  <c r="D351" i="2"/>
  <c r="C351" i="2"/>
  <c r="B351" i="2"/>
  <c r="A351" i="2"/>
  <c r="AP350" i="2"/>
  <c r="AO350" i="2"/>
  <c r="AH350" i="2"/>
  <c r="W350" i="2"/>
  <c r="AI350" i="2" s="1"/>
  <c r="U350" i="2"/>
  <c r="M350" i="2"/>
  <c r="N350" i="2" s="1"/>
  <c r="AQ350" i="2" s="1"/>
  <c r="K350" i="2"/>
  <c r="J350" i="2"/>
  <c r="I350" i="2"/>
  <c r="H350" i="2"/>
  <c r="F350" i="2"/>
  <c r="D350" i="2"/>
  <c r="C350" i="2"/>
  <c r="B350" i="2"/>
  <c r="A350" i="2"/>
  <c r="AP349" i="2"/>
  <c r="AO349" i="2"/>
  <c r="AH349" i="2"/>
  <c r="W349" i="2"/>
  <c r="AI349" i="2" s="1"/>
  <c r="U349" i="2"/>
  <c r="M349" i="2"/>
  <c r="N349" i="2" s="1"/>
  <c r="AQ349" i="2" s="1"/>
  <c r="K349" i="2"/>
  <c r="J349" i="2"/>
  <c r="I349" i="2"/>
  <c r="H349" i="2"/>
  <c r="F349" i="2"/>
  <c r="D349" i="2"/>
  <c r="C349" i="2"/>
  <c r="B349" i="2"/>
  <c r="A349" i="2"/>
  <c r="AP348" i="2"/>
  <c r="AO348" i="2"/>
  <c r="AH348" i="2"/>
  <c r="W348" i="2"/>
  <c r="AI348" i="2" s="1"/>
  <c r="U348" i="2"/>
  <c r="M348" i="2"/>
  <c r="N348" i="2" s="1"/>
  <c r="AQ348" i="2" s="1"/>
  <c r="K348" i="2"/>
  <c r="J348" i="2"/>
  <c r="I348" i="2"/>
  <c r="H348" i="2"/>
  <c r="F348" i="2"/>
  <c r="D348" i="2"/>
  <c r="C348" i="2"/>
  <c r="B348" i="2"/>
  <c r="A348" i="2"/>
  <c r="AP347" i="2"/>
  <c r="AO347" i="2"/>
  <c r="AH347" i="2"/>
  <c r="W347" i="2"/>
  <c r="AI347" i="2" s="1"/>
  <c r="U347" i="2"/>
  <c r="M347" i="2"/>
  <c r="N347" i="2" s="1"/>
  <c r="AQ347" i="2" s="1"/>
  <c r="K347" i="2"/>
  <c r="J347" i="2"/>
  <c r="I347" i="2"/>
  <c r="H347" i="2"/>
  <c r="F347" i="2"/>
  <c r="D347" i="2"/>
  <c r="C347" i="2"/>
  <c r="B347" i="2"/>
  <c r="A347" i="2"/>
  <c r="AP346" i="2"/>
  <c r="AO346" i="2"/>
  <c r="AH346" i="2"/>
  <c r="W346" i="2"/>
  <c r="AI346" i="2" s="1"/>
  <c r="U346" i="2"/>
  <c r="M346" i="2"/>
  <c r="N346" i="2" s="1"/>
  <c r="AQ346" i="2" s="1"/>
  <c r="K346" i="2"/>
  <c r="J346" i="2"/>
  <c r="I346" i="2"/>
  <c r="H346" i="2"/>
  <c r="F346" i="2"/>
  <c r="D346" i="2"/>
  <c r="C346" i="2"/>
  <c r="B346" i="2"/>
  <c r="A346" i="2"/>
  <c r="AP345" i="2"/>
  <c r="AO345" i="2"/>
  <c r="AH345" i="2"/>
  <c r="W345" i="2"/>
  <c r="AI345" i="2" s="1"/>
  <c r="U345" i="2"/>
  <c r="M345" i="2"/>
  <c r="N345" i="2" s="1"/>
  <c r="AQ345" i="2" s="1"/>
  <c r="K345" i="2"/>
  <c r="J345" i="2"/>
  <c r="I345" i="2"/>
  <c r="H345" i="2"/>
  <c r="F345" i="2"/>
  <c r="D345" i="2"/>
  <c r="C345" i="2"/>
  <c r="B345" i="2"/>
  <c r="A345" i="2"/>
  <c r="AP344" i="2"/>
  <c r="AO344" i="2"/>
  <c r="AH344" i="2"/>
  <c r="W344" i="2"/>
  <c r="AI344" i="2" s="1"/>
  <c r="U344" i="2"/>
  <c r="M344" i="2"/>
  <c r="N344" i="2" s="1"/>
  <c r="AQ344" i="2" s="1"/>
  <c r="K344" i="2"/>
  <c r="J344" i="2"/>
  <c r="I344" i="2"/>
  <c r="H344" i="2"/>
  <c r="F344" i="2"/>
  <c r="D344" i="2"/>
  <c r="C344" i="2"/>
  <c r="B344" i="2"/>
  <c r="A344" i="2"/>
  <c r="AP343" i="2"/>
  <c r="AO343" i="2"/>
  <c r="AH343" i="2"/>
  <c r="W343" i="2"/>
  <c r="AI343" i="2" s="1"/>
  <c r="U343" i="2"/>
  <c r="M343" i="2"/>
  <c r="N343" i="2" s="1"/>
  <c r="AQ343" i="2" s="1"/>
  <c r="K343" i="2"/>
  <c r="J343" i="2"/>
  <c r="I343" i="2"/>
  <c r="H343" i="2"/>
  <c r="F343" i="2"/>
  <c r="D343" i="2"/>
  <c r="C343" i="2"/>
  <c r="B343" i="2"/>
  <c r="A343" i="2"/>
  <c r="AP342" i="2"/>
  <c r="AO342" i="2"/>
  <c r="AH342" i="2"/>
  <c r="W342" i="2"/>
  <c r="AI342" i="2" s="1"/>
  <c r="U342" i="2"/>
  <c r="M342" i="2"/>
  <c r="N342" i="2" s="1"/>
  <c r="AQ342" i="2" s="1"/>
  <c r="K342" i="2"/>
  <c r="J342" i="2"/>
  <c r="I342" i="2"/>
  <c r="H342" i="2"/>
  <c r="F342" i="2"/>
  <c r="D342" i="2"/>
  <c r="C342" i="2"/>
  <c r="B342" i="2"/>
  <c r="A342" i="2"/>
  <c r="AP341" i="2"/>
  <c r="AO341" i="2"/>
  <c r="AH341" i="2"/>
  <c r="W341" i="2"/>
  <c r="AI341" i="2" s="1"/>
  <c r="U341" i="2"/>
  <c r="M341" i="2"/>
  <c r="N341" i="2" s="1"/>
  <c r="AQ341" i="2" s="1"/>
  <c r="K341" i="2"/>
  <c r="J341" i="2"/>
  <c r="I341" i="2"/>
  <c r="H341" i="2"/>
  <c r="F341" i="2"/>
  <c r="D341" i="2"/>
  <c r="C341" i="2"/>
  <c r="B341" i="2"/>
  <c r="A341" i="2"/>
  <c r="AP340" i="2"/>
  <c r="AO340" i="2"/>
  <c r="AH340" i="2"/>
  <c r="W340" i="2"/>
  <c r="AI340" i="2" s="1"/>
  <c r="U340" i="2"/>
  <c r="M340" i="2"/>
  <c r="N340" i="2" s="1"/>
  <c r="AQ340" i="2" s="1"/>
  <c r="K340" i="2"/>
  <c r="J340" i="2"/>
  <c r="I340" i="2"/>
  <c r="H340" i="2"/>
  <c r="F340" i="2"/>
  <c r="D340" i="2"/>
  <c r="C340" i="2"/>
  <c r="B340" i="2"/>
  <c r="A340" i="2"/>
  <c r="AP339" i="2"/>
  <c r="AO339" i="2"/>
  <c r="W339" i="2"/>
  <c r="AI339" i="2" s="1"/>
  <c r="U339" i="2"/>
  <c r="M339" i="2"/>
  <c r="N339" i="2" s="1"/>
  <c r="AQ339" i="2" s="1"/>
  <c r="K339" i="2"/>
  <c r="J339" i="2"/>
  <c r="I339" i="2"/>
  <c r="H339" i="2"/>
  <c r="F339" i="2"/>
  <c r="G339" i="2" s="1"/>
  <c r="D339" i="2"/>
  <c r="C339" i="2"/>
  <c r="B339" i="2"/>
  <c r="A339" i="2"/>
  <c r="AP338" i="2"/>
  <c r="AO338" i="2"/>
  <c r="AH338" i="2"/>
  <c r="W338" i="2"/>
  <c r="AI338" i="2" s="1"/>
  <c r="U338" i="2"/>
  <c r="M338" i="2"/>
  <c r="N338" i="2" s="1"/>
  <c r="AQ338" i="2" s="1"/>
  <c r="K338" i="2"/>
  <c r="J338" i="2"/>
  <c r="I338" i="2"/>
  <c r="H338" i="2"/>
  <c r="F338" i="2"/>
  <c r="D338" i="2"/>
  <c r="C338" i="2"/>
  <c r="B338" i="2"/>
  <c r="A338" i="2"/>
  <c r="AP337" i="2"/>
  <c r="AO337" i="2"/>
  <c r="AH337" i="2"/>
  <c r="W337" i="2"/>
  <c r="AI337" i="2" s="1"/>
  <c r="U337" i="2"/>
  <c r="M337" i="2"/>
  <c r="N337" i="2" s="1"/>
  <c r="AQ337" i="2" s="1"/>
  <c r="K337" i="2"/>
  <c r="J337" i="2"/>
  <c r="I337" i="2"/>
  <c r="H337" i="2"/>
  <c r="F337" i="2"/>
  <c r="D337" i="2"/>
  <c r="C337" i="2"/>
  <c r="B337" i="2"/>
  <c r="A337" i="2"/>
  <c r="AP336" i="2"/>
  <c r="AO336" i="2"/>
  <c r="AH336" i="2"/>
  <c r="W336" i="2"/>
  <c r="AI336" i="2" s="1"/>
  <c r="U336" i="2"/>
  <c r="M336" i="2"/>
  <c r="N336" i="2" s="1"/>
  <c r="AQ336" i="2" s="1"/>
  <c r="K336" i="2"/>
  <c r="J336" i="2"/>
  <c r="I336" i="2"/>
  <c r="H336" i="2"/>
  <c r="F336" i="2"/>
  <c r="D336" i="2"/>
  <c r="C336" i="2"/>
  <c r="B336" i="2"/>
  <c r="A336" i="2"/>
  <c r="AP335" i="2"/>
  <c r="AO335" i="2"/>
  <c r="AH335" i="2"/>
  <c r="W335" i="2"/>
  <c r="AI335" i="2" s="1"/>
  <c r="U335" i="2"/>
  <c r="M335" i="2"/>
  <c r="N335" i="2" s="1"/>
  <c r="AQ335" i="2" s="1"/>
  <c r="K335" i="2"/>
  <c r="J335" i="2"/>
  <c r="I335" i="2"/>
  <c r="H335" i="2"/>
  <c r="F335" i="2"/>
  <c r="D335" i="2"/>
  <c r="C335" i="2"/>
  <c r="B335" i="2"/>
  <c r="A335" i="2"/>
  <c r="AP334" i="2"/>
  <c r="AO334" i="2"/>
  <c r="AH334" i="2"/>
  <c r="W334" i="2"/>
  <c r="AI334" i="2" s="1"/>
  <c r="U334" i="2"/>
  <c r="M334" i="2"/>
  <c r="N334" i="2" s="1"/>
  <c r="AQ334" i="2" s="1"/>
  <c r="K334" i="2"/>
  <c r="J334" i="2"/>
  <c r="I334" i="2"/>
  <c r="H334" i="2"/>
  <c r="F334" i="2"/>
  <c r="D334" i="2"/>
  <c r="C334" i="2"/>
  <c r="B334" i="2"/>
  <c r="A334" i="2"/>
  <c r="AP333" i="2"/>
  <c r="AO333" i="2"/>
  <c r="AH333" i="2"/>
  <c r="W333" i="2"/>
  <c r="AI333" i="2" s="1"/>
  <c r="U333" i="2"/>
  <c r="M333" i="2"/>
  <c r="N333" i="2" s="1"/>
  <c r="AQ333" i="2" s="1"/>
  <c r="K333" i="2"/>
  <c r="J333" i="2"/>
  <c r="I333" i="2"/>
  <c r="H333" i="2"/>
  <c r="F333" i="2"/>
  <c r="D333" i="2"/>
  <c r="C333" i="2"/>
  <c r="B333" i="2"/>
  <c r="A333" i="2"/>
  <c r="AP332" i="2"/>
  <c r="AO332" i="2"/>
  <c r="AH332" i="2"/>
  <c r="W332" i="2"/>
  <c r="AI332" i="2" s="1"/>
  <c r="U332" i="2"/>
  <c r="M332" i="2"/>
  <c r="N332" i="2" s="1"/>
  <c r="AQ332" i="2" s="1"/>
  <c r="K332" i="2"/>
  <c r="J332" i="2"/>
  <c r="I332" i="2"/>
  <c r="H332" i="2"/>
  <c r="F332" i="2"/>
  <c r="D332" i="2"/>
  <c r="C332" i="2"/>
  <c r="B332" i="2"/>
  <c r="A332" i="2"/>
  <c r="AP331" i="2"/>
  <c r="AO331" i="2"/>
  <c r="AH331" i="2"/>
  <c r="W331" i="2"/>
  <c r="AI331" i="2" s="1"/>
  <c r="U331" i="2"/>
  <c r="M331" i="2"/>
  <c r="N331" i="2" s="1"/>
  <c r="AQ331" i="2" s="1"/>
  <c r="K331" i="2"/>
  <c r="J331" i="2"/>
  <c r="I331" i="2"/>
  <c r="H331" i="2"/>
  <c r="F331" i="2"/>
  <c r="D331" i="2"/>
  <c r="C331" i="2"/>
  <c r="B331" i="2"/>
  <c r="A331" i="2"/>
  <c r="AP330" i="2"/>
  <c r="AO330" i="2"/>
  <c r="AH330" i="2"/>
  <c r="W330" i="2"/>
  <c r="AI330" i="2" s="1"/>
  <c r="U330" i="2"/>
  <c r="M330" i="2"/>
  <c r="N330" i="2" s="1"/>
  <c r="AQ330" i="2" s="1"/>
  <c r="K330" i="2"/>
  <c r="J330" i="2"/>
  <c r="I330" i="2"/>
  <c r="H330" i="2"/>
  <c r="F330" i="2"/>
  <c r="D330" i="2"/>
  <c r="C330" i="2"/>
  <c r="B330" i="2"/>
  <c r="A330" i="2"/>
  <c r="AP329" i="2"/>
  <c r="AO329" i="2"/>
  <c r="AH329" i="2"/>
  <c r="W329" i="2"/>
  <c r="AI329" i="2" s="1"/>
  <c r="U329" i="2"/>
  <c r="M329" i="2"/>
  <c r="N329" i="2" s="1"/>
  <c r="AQ329" i="2" s="1"/>
  <c r="K329" i="2"/>
  <c r="J329" i="2"/>
  <c r="I329" i="2"/>
  <c r="H329" i="2"/>
  <c r="F329" i="2"/>
  <c r="D329" i="2"/>
  <c r="C329" i="2"/>
  <c r="B329" i="2"/>
  <c r="A329" i="2"/>
  <c r="AP328" i="2"/>
  <c r="AO328" i="2"/>
  <c r="AH328" i="2"/>
  <c r="W328" i="2"/>
  <c r="AI328" i="2" s="1"/>
  <c r="U328" i="2"/>
  <c r="M328" i="2"/>
  <c r="N328" i="2" s="1"/>
  <c r="AQ328" i="2" s="1"/>
  <c r="K328" i="2"/>
  <c r="J328" i="2"/>
  <c r="I328" i="2"/>
  <c r="H328" i="2"/>
  <c r="F328" i="2"/>
  <c r="D328" i="2"/>
  <c r="C328" i="2"/>
  <c r="B328" i="2"/>
  <c r="A328" i="2"/>
  <c r="AP327" i="2"/>
  <c r="AO327" i="2"/>
  <c r="AH327" i="2"/>
  <c r="W327" i="2"/>
  <c r="AI327" i="2" s="1"/>
  <c r="U327" i="2"/>
  <c r="M327" i="2"/>
  <c r="N327" i="2" s="1"/>
  <c r="AQ327" i="2" s="1"/>
  <c r="K327" i="2"/>
  <c r="J327" i="2"/>
  <c r="I327" i="2"/>
  <c r="H327" i="2"/>
  <c r="F327" i="2"/>
  <c r="D327" i="2"/>
  <c r="C327" i="2"/>
  <c r="B327" i="2"/>
  <c r="A327" i="2"/>
  <c r="AP326" i="2"/>
  <c r="AO326" i="2"/>
  <c r="AH326" i="2"/>
  <c r="W326" i="2"/>
  <c r="AI326" i="2" s="1"/>
  <c r="U326" i="2"/>
  <c r="M326" i="2"/>
  <c r="N326" i="2" s="1"/>
  <c r="AQ326" i="2" s="1"/>
  <c r="K326" i="2"/>
  <c r="J326" i="2"/>
  <c r="I326" i="2"/>
  <c r="H326" i="2"/>
  <c r="F326" i="2"/>
  <c r="D326" i="2"/>
  <c r="C326" i="2"/>
  <c r="B326" i="2"/>
  <c r="A326" i="2"/>
  <c r="AP325" i="2"/>
  <c r="AO325" i="2"/>
  <c r="AH325" i="2"/>
  <c r="W325" i="2"/>
  <c r="AI325" i="2" s="1"/>
  <c r="U325" i="2"/>
  <c r="M325" i="2"/>
  <c r="N325" i="2" s="1"/>
  <c r="AQ325" i="2" s="1"/>
  <c r="K325" i="2"/>
  <c r="J325" i="2"/>
  <c r="I325" i="2"/>
  <c r="H325" i="2"/>
  <c r="F325" i="2"/>
  <c r="D325" i="2"/>
  <c r="C325" i="2"/>
  <c r="B325" i="2"/>
  <c r="A325" i="2"/>
  <c r="AP324" i="2"/>
  <c r="AO324" i="2"/>
  <c r="AH324" i="2"/>
  <c r="W324" i="2"/>
  <c r="AI324" i="2" s="1"/>
  <c r="U324" i="2"/>
  <c r="M324" i="2"/>
  <c r="N324" i="2" s="1"/>
  <c r="AQ324" i="2" s="1"/>
  <c r="K324" i="2"/>
  <c r="J324" i="2"/>
  <c r="I324" i="2"/>
  <c r="H324" i="2"/>
  <c r="F324" i="2"/>
  <c r="D324" i="2"/>
  <c r="C324" i="2"/>
  <c r="B324" i="2"/>
  <c r="A324" i="2"/>
  <c r="AP323" i="2"/>
  <c r="AO323" i="2"/>
  <c r="AH323" i="2"/>
  <c r="W323" i="2"/>
  <c r="AI323" i="2" s="1"/>
  <c r="U323" i="2"/>
  <c r="M323" i="2"/>
  <c r="N323" i="2" s="1"/>
  <c r="AQ323" i="2" s="1"/>
  <c r="K323" i="2"/>
  <c r="J323" i="2"/>
  <c r="I323" i="2"/>
  <c r="H323" i="2"/>
  <c r="F323" i="2"/>
  <c r="D323" i="2"/>
  <c r="C323" i="2"/>
  <c r="B323" i="2"/>
  <c r="A323" i="2"/>
  <c r="AP322" i="2"/>
  <c r="AO322" i="2"/>
  <c r="AH322" i="2"/>
  <c r="W322" i="2"/>
  <c r="AI322" i="2" s="1"/>
  <c r="U322" i="2"/>
  <c r="M322" i="2"/>
  <c r="N322" i="2" s="1"/>
  <c r="AQ322" i="2" s="1"/>
  <c r="K322" i="2"/>
  <c r="J322" i="2"/>
  <c r="I322" i="2"/>
  <c r="H322" i="2"/>
  <c r="F322" i="2"/>
  <c r="D322" i="2"/>
  <c r="C322" i="2"/>
  <c r="B322" i="2"/>
  <c r="A322" i="2"/>
  <c r="AP321" i="2"/>
  <c r="AO321" i="2"/>
  <c r="AH321" i="2"/>
  <c r="W321" i="2"/>
  <c r="AI321" i="2" s="1"/>
  <c r="U321" i="2"/>
  <c r="M321" i="2"/>
  <c r="N321" i="2" s="1"/>
  <c r="AQ321" i="2" s="1"/>
  <c r="K321" i="2"/>
  <c r="J321" i="2"/>
  <c r="I321" i="2"/>
  <c r="H321" i="2"/>
  <c r="F321" i="2"/>
  <c r="D321" i="2"/>
  <c r="C321" i="2"/>
  <c r="B321" i="2"/>
  <c r="A321" i="2"/>
  <c r="AP320" i="2"/>
  <c r="AO320" i="2"/>
  <c r="W320" i="2"/>
  <c r="AI320" i="2" s="1"/>
  <c r="U320" i="2"/>
  <c r="M320" i="2"/>
  <c r="N320" i="2" s="1"/>
  <c r="AQ320" i="2" s="1"/>
  <c r="K320" i="2"/>
  <c r="J320" i="2"/>
  <c r="I320" i="2"/>
  <c r="H320" i="2"/>
  <c r="F320" i="2"/>
  <c r="G320" i="2" s="1"/>
  <c r="D320" i="2"/>
  <c r="C320" i="2"/>
  <c r="B320" i="2"/>
  <c r="A320" i="2"/>
  <c r="AP319" i="2"/>
  <c r="AO319" i="2"/>
  <c r="W319" i="2"/>
  <c r="U319" i="2"/>
  <c r="M319" i="2"/>
  <c r="N319" i="2" s="1"/>
  <c r="AQ319" i="2" s="1"/>
  <c r="K319" i="2"/>
  <c r="J319" i="2"/>
  <c r="I319" i="2"/>
  <c r="H319" i="2"/>
  <c r="F319" i="2"/>
  <c r="G319" i="2" s="1"/>
  <c r="D319" i="2"/>
  <c r="C319" i="2"/>
  <c r="B319" i="2"/>
  <c r="A319" i="2"/>
  <c r="AP318" i="2"/>
  <c r="AO318" i="2"/>
  <c r="AH318" i="2"/>
  <c r="W318" i="2"/>
  <c r="AI318" i="2" s="1"/>
  <c r="U318" i="2"/>
  <c r="M318" i="2"/>
  <c r="N318" i="2" s="1"/>
  <c r="AQ318" i="2" s="1"/>
  <c r="K318" i="2"/>
  <c r="J318" i="2"/>
  <c r="I318" i="2"/>
  <c r="H318" i="2"/>
  <c r="F318" i="2"/>
  <c r="D318" i="2"/>
  <c r="C318" i="2"/>
  <c r="B318" i="2"/>
  <c r="A318" i="2"/>
  <c r="AP317" i="2"/>
  <c r="AO317" i="2"/>
  <c r="AH317" i="2"/>
  <c r="W317" i="2"/>
  <c r="AI317" i="2" s="1"/>
  <c r="U317" i="2"/>
  <c r="M317" i="2"/>
  <c r="N317" i="2" s="1"/>
  <c r="AQ317" i="2" s="1"/>
  <c r="K317" i="2"/>
  <c r="J317" i="2"/>
  <c r="I317" i="2"/>
  <c r="H317" i="2"/>
  <c r="F317" i="2"/>
  <c r="D317" i="2"/>
  <c r="C317" i="2"/>
  <c r="B317" i="2"/>
  <c r="A317" i="2"/>
  <c r="AP316" i="2"/>
  <c r="AO316" i="2"/>
  <c r="AH316" i="2"/>
  <c r="W316" i="2"/>
  <c r="AI316" i="2" s="1"/>
  <c r="U316" i="2"/>
  <c r="M316" i="2"/>
  <c r="N316" i="2" s="1"/>
  <c r="AQ316" i="2" s="1"/>
  <c r="K316" i="2"/>
  <c r="J316" i="2"/>
  <c r="I316" i="2"/>
  <c r="H316" i="2"/>
  <c r="F316" i="2"/>
  <c r="D316" i="2"/>
  <c r="C316" i="2"/>
  <c r="B316" i="2"/>
  <c r="A316" i="2"/>
  <c r="AP315" i="2"/>
  <c r="AO315" i="2"/>
  <c r="AH315" i="2"/>
  <c r="W315" i="2"/>
  <c r="AI315" i="2" s="1"/>
  <c r="U315" i="2"/>
  <c r="M315" i="2"/>
  <c r="N315" i="2" s="1"/>
  <c r="AQ315" i="2" s="1"/>
  <c r="K315" i="2"/>
  <c r="J315" i="2"/>
  <c r="I315" i="2"/>
  <c r="H315" i="2"/>
  <c r="F315" i="2"/>
  <c r="D315" i="2"/>
  <c r="C315" i="2"/>
  <c r="B315" i="2"/>
  <c r="A315" i="2"/>
  <c r="AP314" i="2"/>
  <c r="AO314" i="2"/>
  <c r="AH314" i="2"/>
  <c r="W314" i="2"/>
  <c r="AI314" i="2" s="1"/>
  <c r="U314" i="2"/>
  <c r="M314" i="2"/>
  <c r="N314" i="2" s="1"/>
  <c r="AQ314" i="2" s="1"/>
  <c r="K314" i="2"/>
  <c r="J314" i="2"/>
  <c r="I314" i="2"/>
  <c r="H314" i="2"/>
  <c r="F314" i="2"/>
  <c r="D314" i="2"/>
  <c r="C314" i="2"/>
  <c r="B314" i="2"/>
  <c r="A314" i="2"/>
  <c r="AP313" i="2"/>
  <c r="AO313" i="2"/>
  <c r="AH313" i="2"/>
  <c r="W313" i="2"/>
  <c r="AI313" i="2" s="1"/>
  <c r="U313" i="2"/>
  <c r="M313" i="2"/>
  <c r="N313" i="2" s="1"/>
  <c r="AQ313" i="2" s="1"/>
  <c r="K313" i="2"/>
  <c r="J313" i="2"/>
  <c r="I313" i="2"/>
  <c r="H313" i="2"/>
  <c r="F313" i="2"/>
  <c r="D313" i="2"/>
  <c r="C313" i="2"/>
  <c r="B313" i="2"/>
  <c r="A313" i="2"/>
  <c r="AP312" i="2"/>
  <c r="AO312" i="2"/>
  <c r="AH312" i="2"/>
  <c r="W312" i="2"/>
  <c r="AI312" i="2" s="1"/>
  <c r="U312" i="2"/>
  <c r="M312" i="2"/>
  <c r="N312" i="2" s="1"/>
  <c r="AQ312" i="2" s="1"/>
  <c r="K312" i="2"/>
  <c r="J312" i="2"/>
  <c r="I312" i="2"/>
  <c r="H312" i="2"/>
  <c r="F312" i="2"/>
  <c r="D312" i="2"/>
  <c r="C312" i="2"/>
  <c r="B312" i="2"/>
  <c r="A312" i="2"/>
  <c r="AP311" i="2"/>
  <c r="AO311" i="2"/>
  <c r="AH311" i="2"/>
  <c r="W311" i="2"/>
  <c r="AI311" i="2" s="1"/>
  <c r="U311" i="2"/>
  <c r="M311" i="2"/>
  <c r="N311" i="2" s="1"/>
  <c r="AQ311" i="2" s="1"/>
  <c r="K311" i="2"/>
  <c r="J311" i="2"/>
  <c r="I311" i="2"/>
  <c r="H311" i="2"/>
  <c r="F311" i="2"/>
  <c r="D311" i="2"/>
  <c r="C311" i="2"/>
  <c r="B311" i="2"/>
  <c r="A311" i="2"/>
  <c r="AP310" i="2"/>
  <c r="AO310" i="2"/>
  <c r="AH310" i="2"/>
  <c r="W310" i="2"/>
  <c r="AI310" i="2" s="1"/>
  <c r="U310" i="2"/>
  <c r="M310" i="2"/>
  <c r="N310" i="2" s="1"/>
  <c r="AQ310" i="2" s="1"/>
  <c r="K310" i="2"/>
  <c r="J310" i="2"/>
  <c r="I310" i="2"/>
  <c r="H310" i="2"/>
  <c r="F310" i="2"/>
  <c r="D310" i="2"/>
  <c r="C310" i="2"/>
  <c r="B310" i="2"/>
  <c r="A310" i="2"/>
  <c r="AP309" i="2"/>
  <c r="AO309" i="2"/>
  <c r="AH309" i="2"/>
  <c r="W309" i="2"/>
  <c r="AI309" i="2" s="1"/>
  <c r="U309" i="2"/>
  <c r="M309" i="2"/>
  <c r="N309" i="2" s="1"/>
  <c r="AQ309" i="2" s="1"/>
  <c r="K309" i="2"/>
  <c r="J309" i="2"/>
  <c r="I309" i="2"/>
  <c r="H309" i="2"/>
  <c r="F309" i="2"/>
  <c r="D309" i="2"/>
  <c r="C309" i="2"/>
  <c r="B309" i="2"/>
  <c r="A309" i="2"/>
  <c r="AP308" i="2"/>
  <c r="AO308" i="2"/>
  <c r="AH308" i="2"/>
  <c r="W308" i="2"/>
  <c r="AI308" i="2" s="1"/>
  <c r="U308" i="2"/>
  <c r="M308" i="2"/>
  <c r="N308" i="2" s="1"/>
  <c r="AQ308" i="2" s="1"/>
  <c r="K308" i="2"/>
  <c r="J308" i="2"/>
  <c r="I308" i="2"/>
  <c r="H308" i="2"/>
  <c r="F308" i="2"/>
  <c r="D308" i="2"/>
  <c r="C308" i="2"/>
  <c r="B308" i="2"/>
  <c r="A308" i="2"/>
  <c r="AP307" i="2"/>
  <c r="AO307" i="2"/>
  <c r="AH307" i="2"/>
  <c r="W307" i="2"/>
  <c r="AI307" i="2" s="1"/>
  <c r="U307" i="2"/>
  <c r="M307" i="2"/>
  <c r="N307" i="2" s="1"/>
  <c r="AQ307" i="2" s="1"/>
  <c r="K307" i="2"/>
  <c r="J307" i="2"/>
  <c r="I307" i="2"/>
  <c r="H307" i="2"/>
  <c r="F307" i="2"/>
  <c r="D307" i="2"/>
  <c r="C307" i="2"/>
  <c r="B307" i="2"/>
  <c r="A307" i="2"/>
  <c r="AP306" i="2"/>
  <c r="AO306" i="2"/>
  <c r="AH306" i="2"/>
  <c r="W306" i="2"/>
  <c r="AI306" i="2" s="1"/>
  <c r="U306" i="2"/>
  <c r="M306" i="2"/>
  <c r="N306" i="2" s="1"/>
  <c r="AQ306" i="2" s="1"/>
  <c r="K306" i="2"/>
  <c r="J306" i="2"/>
  <c r="I306" i="2"/>
  <c r="H306" i="2"/>
  <c r="F306" i="2"/>
  <c r="D306" i="2"/>
  <c r="C306" i="2"/>
  <c r="B306" i="2"/>
  <c r="A306" i="2"/>
  <c r="AP305" i="2"/>
  <c r="AO305" i="2"/>
  <c r="AH305" i="2"/>
  <c r="W305" i="2"/>
  <c r="AI305" i="2" s="1"/>
  <c r="U305" i="2"/>
  <c r="M305" i="2"/>
  <c r="N305" i="2" s="1"/>
  <c r="AQ305" i="2" s="1"/>
  <c r="K305" i="2"/>
  <c r="J305" i="2"/>
  <c r="I305" i="2"/>
  <c r="H305" i="2"/>
  <c r="F305" i="2"/>
  <c r="D305" i="2"/>
  <c r="C305" i="2"/>
  <c r="B305" i="2"/>
  <c r="A305" i="2"/>
  <c r="AP304" i="2"/>
  <c r="AO304" i="2"/>
  <c r="AH304" i="2"/>
  <c r="W304" i="2"/>
  <c r="AI304" i="2" s="1"/>
  <c r="U304" i="2"/>
  <c r="M304" i="2"/>
  <c r="N304" i="2" s="1"/>
  <c r="AQ304" i="2" s="1"/>
  <c r="K304" i="2"/>
  <c r="J304" i="2"/>
  <c r="I304" i="2"/>
  <c r="H304" i="2"/>
  <c r="F304" i="2"/>
  <c r="D304" i="2"/>
  <c r="C304" i="2"/>
  <c r="B304" i="2"/>
  <c r="A304" i="2"/>
  <c r="AP303" i="2"/>
  <c r="AO303" i="2"/>
  <c r="AH303" i="2"/>
  <c r="W303" i="2"/>
  <c r="AI303" i="2" s="1"/>
  <c r="U303" i="2"/>
  <c r="M303" i="2"/>
  <c r="N303" i="2" s="1"/>
  <c r="AQ303" i="2" s="1"/>
  <c r="K303" i="2"/>
  <c r="J303" i="2"/>
  <c r="I303" i="2"/>
  <c r="H303" i="2"/>
  <c r="F303" i="2"/>
  <c r="D303" i="2"/>
  <c r="C303" i="2"/>
  <c r="B303" i="2"/>
  <c r="A303" i="2"/>
  <c r="AP302" i="2"/>
  <c r="AO302" i="2"/>
  <c r="AH302" i="2"/>
  <c r="W302" i="2"/>
  <c r="AI302" i="2" s="1"/>
  <c r="U302" i="2"/>
  <c r="M302" i="2"/>
  <c r="N302" i="2" s="1"/>
  <c r="AQ302" i="2" s="1"/>
  <c r="K302" i="2"/>
  <c r="J302" i="2"/>
  <c r="I302" i="2"/>
  <c r="H302" i="2"/>
  <c r="F302" i="2"/>
  <c r="D302" i="2"/>
  <c r="C302" i="2"/>
  <c r="B302" i="2"/>
  <c r="A302" i="2"/>
  <c r="AP301" i="2"/>
  <c r="AO301" i="2"/>
  <c r="AH301" i="2"/>
  <c r="W301" i="2"/>
  <c r="AI301" i="2" s="1"/>
  <c r="U301" i="2"/>
  <c r="M301" i="2"/>
  <c r="N301" i="2" s="1"/>
  <c r="AQ301" i="2" s="1"/>
  <c r="K301" i="2"/>
  <c r="J301" i="2"/>
  <c r="I301" i="2"/>
  <c r="H301" i="2"/>
  <c r="F301" i="2"/>
  <c r="D301" i="2"/>
  <c r="C301" i="2"/>
  <c r="B301" i="2"/>
  <c r="A301" i="2"/>
  <c r="AP300" i="2"/>
  <c r="AO300" i="2"/>
  <c r="AH300" i="2"/>
  <c r="W300" i="2"/>
  <c r="AI300" i="2" s="1"/>
  <c r="U300" i="2"/>
  <c r="M300" i="2"/>
  <c r="N300" i="2" s="1"/>
  <c r="AQ300" i="2" s="1"/>
  <c r="K300" i="2"/>
  <c r="J300" i="2"/>
  <c r="I300" i="2"/>
  <c r="H300" i="2"/>
  <c r="F300" i="2"/>
  <c r="D300" i="2"/>
  <c r="C300" i="2"/>
  <c r="B300" i="2"/>
  <c r="A300" i="2"/>
  <c r="AP299" i="2"/>
  <c r="AO299" i="2"/>
  <c r="AH299" i="2"/>
  <c r="W299" i="2"/>
  <c r="AI299" i="2" s="1"/>
  <c r="U299" i="2"/>
  <c r="M299" i="2"/>
  <c r="N299" i="2" s="1"/>
  <c r="AQ299" i="2" s="1"/>
  <c r="K299" i="2"/>
  <c r="J299" i="2"/>
  <c r="I299" i="2"/>
  <c r="H299" i="2"/>
  <c r="F299" i="2"/>
  <c r="D299" i="2"/>
  <c r="C299" i="2"/>
  <c r="B299" i="2"/>
  <c r="A299" i="2"/>
  <c r="AP298" i="2"/>
  <c r="AO298" i="2"/>
  <c r="AH298" i="2"/>
  <c r="W298" i="2"/>
  <c r="AI298" i="2" s="1"/>
  <c r="U298" i="2"/>
  <c r="M298" i="2"/>
  <c r="N298" i="2" s="1"/>
  <c r="AQ298" i="2" s="1"/>
  <c r="K298" i="2"/>
  <c r="J298" i="2"/>
  <c r="I298" i="2"/>
  <c r="H298" i="2"/>
  <c r="F298" i="2"/>
  <c r="D298" i="2"/>
  <c r="C298" i="2"/>
  <c r="B298" i="2"/>
  <c r="A298" i="2"/>
  <c r="AP297" i="2"/>
  <c r="AO297" i="2"/>
  <c r="AH297" i="2"/>
  <c r="W297" i="2"/>
  <c r="AI297" i="2" s="1"/>
  <c r="U297" i="2"/>
  <c r="M297" i="2"/>
  <c r="N297" i="2" s="1"/>
  <c r="AQ297" i="2" s="1"/>
  <c r="K297" i="2"/>
  <c r="J297" i="2"/>
  <c r="I297" i="2"/>
  <c r="H297" i="2"/>
  <c r="F297" i="2"/>
  <c r="D297" i="2"/>
  <c r="C297" i="2"/>
  <c r="B297" i="2"/>
  <c r="A297" i="2"/>
  <c r="AP296" i="2"/>
  <c r="AO296" i="2"/>
  <c r="W296" i="2"/>
  <c r="U296" i="2"/>
  <c r="N296" i="2"/>
  <c r="AQ296" i="2" s="1"/>
  <c r="M296" i="2"/>
  <c r="K296" i="2"/>
  <c r="J296" i="2"/>
  <c r="I296" i="2"/>
  <c r="H296" i="2"/>
  <c r="F296" i="2"/>
  <c r="G296" i="2" s="1"/>
  <c r="D296" i="2"/>
  <c r="C296" i="2"/>
  <c r="B296" i="2"/>
  <c r="A296" i="2"/>
  <c r="AP295" i="2"/>
  <c r="AO295" i="2"/>
  <c r="AH295" i="2"/>
  <c r="W295" i="2"/>
  <c r="AI295" i="2" s="1"/>
  <c r="U295" i="2"/>
  <c r="N295" i="2"/>
  <c r="AQ295" i="2" s="1"/>
  <c r="M295" i="2"/>
  <c r="K295" i="2"/>
  <c r="J295" i="2"/>
  <c r="I295" i="2"/>
  <c r="H295" i="2"/>
  <c r="F295" i="2"/>
  <c r="D295" i="2"/>
  <c r="C295" i="2"/>
  <c r="B295" i="2"/>
  <c r="A295" i="2"/>
  <c r="AP294" i="2"/>
  <c r="AO294" i="2"/>
  <c r="AH294" i="2"/>
  <c r="W294" i="2"/>
  <c r="AI294" i="2" s="1"/>
  <c r="U294" i="2"/>
  <c r="M294" i="2"/>
  <c r="N294" i="2" s="1"/>
  <c r="AQ294" i="2" s="1"/>
  <c r="K294" i="2"/>
  <c r="J294" i="2"/>
  <c r="I294" i="2"/>
  <c r="H294" i="2"/>
  <c r="F294" i="2"/>
  <c r="D294" i="2"/>
  <c r="C294" i="2"/>
  <c r="B294" i="2"/>
  <c r="A294" i="2"/>
  <c r="AP293" i="2"/>
  <c r="AO293" i="2"/>
  <c r="AH293" i="2"/>
  <c r="W293" i="2"/>
  <c r="AI293" i="2" s="1"/>
  <c r="U293" i="2"/>
  <c r="M293" i="2"/>
  <c r="N293" i="2" s="1"/>
  <c r="AQ293" i="2" s="1"/>
  <c r="K293" i="2"/>
  <c r="J293" i="2"/>
  <c r="I293" i="2"/>
  <c r="H293" i="2"/>
  <c r="F293" i="2"/>
  <c r="D293" i="2"/>
  <c r="C293" i="2"/>
  <c r="B293" i="2"/>
  <c r="A293" i="2"/>
  <c r="AP292" i="2"/>
  <c r="AO292" i="2"/>
  <c r="AH292" i="2"/>
  <c r="W292" i="2"/>
  <c r="AI292" i="2" s="1"/>
  <c r="U292" i="2"/>
  <c r="M292" i="2"/>
  <c r="N292" i="2" s="1"/>
  <c r="AQ292" i="2" s="1"/>
  <c r="K292" i="2"/>
  <c r="J292" i="2"/>
  <c r="I292" i="2"/>
  <c r="H292" i="2"/>
  <c r="F292" i="2"/>
  <c r="D292" i="2"/>
  <c r="C292" i="2"/>
  <c r="B292" i="2"/>
  <c r="A292" i="2"/>
  <c r="AP291" i="2"/>
  <c r="AO291" i="2"/>
  <c r="AH291" i="2"/>
  <c r="W291" i="2"/>
  <c r="AI291" i="2" s="1"/>
  <c r="U291" i="2"/>
  <c r="M291" i="2"/>
  <c r="N291" i="2" s="1"/>
  <c r="AQ291" i="2" s="1"/>
  <c r="K291" i="2"/>
  <c r="J291" i="2"/>
  <c r="I291" i="2"/>
  <c r="H291" i="2"/>
  <c r="F291" i="2"/>
  <c r="D291" i="2"/>
  <c r="C291" i="2"/>
  <c r="B291" i="2"/>
  <c r="A291" i="2"/>
  <c r="AP290" i="2"/>
  <c r="AO290" i="2"/>
  <c r="AH290" i="2"/>
  <c r="W290" i="2"/>
  <c r="AI290" i="2" s="1"/>
  <c r="U290" i="2"/>
  <c r="M290" i="2"/>
  <c r="N290" i="2" s="1"/>
  <c r="AQ290" i="2" s="1"/>
  <c r="K290" i="2"/>
  <c r="J290" i="2"/>
  <c r="I290" i="2"/>
  <c r="H290" i="2"/>
  <c r="F290" i="2"/>
  <c r="D290" i="2"/>
  <c r="C290" i="2"/>
  <c r="B290" i="2"/>
  <c r="A290" i="2"/>
  <c r="AP289" i="2"/>
  <c r="AO289" i="2"/>
  <c r="AH289" i="2"/>
  <c r="W289" i="2"/>
  <c r="AI289" i="2" s="1"/>
  <c r="U289" i="2"/>
  <c r="M289" i="2"/>
  <c r="N289" i="2" s="1"/>
  <c r="AQ289" i="2" s="1"/>
  <c r="K289" i="2"/>
  <c r="J289" i="2"/>
  <c r="I289" i="2"/>
  <c r="H289" i="2"/>
  <c r="F289" i="2"/>
  <c r="D289" i="2"/>
  <c r="C289" i="2"/>
  <c r="B289" i="2"/>
  <c r="A289" i="2"/>
  <c r="AP288" i="2"/>
  <c r="AO288" i="2"/>
  <c r="AH288" i="2"/>
  <c r="W288" i="2"/>
  <c r="AI288" i="2" s="1"/>
  <c r="U288" i="2"/>
  <c r="M288" i="2"/>
  <c r="N288" i="2" s="1"/>
  <c r="AQ288" i="2" s="1"/>
  <c r="K288" i="2"/>
  <c r="J288" i="2"/>
  <c r="I288" i="2"/>
  <c r="H288" i="2"/>
  <c r="F288" i="2"/>
  <c r="D288" i="2"/>
  <c r="C288" i="2"/>
  <c r="B288" i="2"/>
  <c r="A288" i="2"/>
  <c r="AP287" i="2"/>
  <c r="AO287" i="2"/>
  <c r="AH287" i="2"/>
  <c r="W287" i="2"/>
  <c r="AI287" i="2" s="1"/>
  <c r="U287" i="2"/>
  <c r="M287" i="2"/>
  <c r="N287" i="2" s="1"/>
  <c r="AQ287" i="2" s="1"/>
  <c r="K287" i="2"/>
  <c r="J287" i="2"/>
  <c r="I287" i="2"/>
  <c r="H287" i="2"/>
  <c r="F287" i="2"/>
  <c r="D287" i="2"/>
  <c r="C287" i="2"/>
  <c r="B287" i="2"/>
  <c r="A287" i="2"/>
  <c r="AP286" i="2"/>
  <c r="AO286" i="2"/>
  <c r="AH286" i="2"/>
  <c r="W286" i="2"/>
  <c r="AI286" i="2" s="1"/>
  <c r="U286" i="2"/>
  <c r="M286" i="2"/>
  <c r="N286" i="2" s="1"/>
  <c r="AQ286" i="2" s="1"/>
  <c r="K286" i="2"/>
  <c r="J286" i="2"/>
  <c r="I286" i="2"/>
  <c r="H286" i="2"/>
  <c r="F286" i="2"/>
  <c r="D286" i="2"/>
  <c r="C286" i="2"/>
  <c r="B286" i="2"/>
  <c r="A286" i="2"/>
  <c r="AP285" i="2"/>
  <c r="AO285" i="2"/>
  <c r="AH285" i="2"/>
  <c r="W285" i="2"/>
  <c r="AI285" i="2" s="1"/>
  <c r="U285" i="2"/>
  <c r="M285" i="2"/>
  <c r="N285" i="2" s="1"/>
  <c r="AQ285" i="2" s="1"/>
  <c r="K285" i="2"/>
  <c r="J285" i="2"/>
  <c r="I285" i="2"/>
  <c r="H285" i="2"/>
  <c r="F285" i="2"/>
  <c r="D285" i="2"/>
  <c r="C285" i="2"/>
  <c r="B285" i="2"/>
  <c r="A285" i="2"/>
  <c r="AP284" i="2"/>
  <c r="AO284" i="2"/>
  <c r="AH284" i="2"/>
  <c r="W284" i="2"/>
  <c r="AI284" i="2" s="1"/>
  <c r="U284" i="2"/>
  <c r="M284" i="2"/>
  <c r="N284" i="2" s="1"/>
  <c r="AQ284" i="2" s="1"/>
  <c r="K284" i="2"/>
  <c r="J284" i="2"/>
  <c r="I284" i="2"/>
  <c r="H284" i="2"/>
  <c r="F284" i="2"/>
  <c r="D284" i="2"/>
  <c r="C284" i="2"/>
  <c r="B284" i="2"/>
  <c r="A284" i="2"/>
  <c r="AP283" i="2"/>
  <c r="AO283" i="2"/>
  <c r="AH283" i="2"/>
  <c r="W283" i="2"/>
  <c r="AI283" i="2" s="1"/>
  <c r="U283" i="2"/>
  <c r="M283" i="2"/>
  <c r="N283" i="2" s="1"/>
  <c r="AQ283" i="2" s="1"/>
  <c r="K283" i="2"/>
  <c r="J283" i="2"/>
  <c r="I283" i="2"/>
  <c r="H283" i="2"/>
  <c r="F283" i="2"/>
  <c r="D283" i="2"/>
  <c r="C283" i="2"/>
  <c r="B283" i="2"/>
  <c r="A283" i="2"/>
  <c r="AP282" i="2"/>
  <c r="AO282" i="2"/>
  <c r="AH282" i="2"/>
  <c r="W282" i="2"/>
  <c r="AI282" i="2" s="1"/>
  <c r="U282" i="2"/>
  <c r="M282" i="2"/>
  <c r="N282" i="2" s="1"/>
  <c r="AQ282" i="2" s="1"/>
  <c r="K282" i="2"/>
  <c r="J282" i="2"/>
  <c r="I282" i="2"/>
  <c r="H282" i="2"/>
  <c r="F282" i="2"/>
  <c r="D282" i="2"/>
  <c r="C282" i="2"/>
  <c r="B282" i="2"/>
  <c r="A282" i="2"/>
  <c r="AP281" i="2"/>
  <c r="AO281" i="2"/>
  <c r="AH281" i="2"/>
  <c r="W281" i="2"/>
  <c r="AI281" i="2" s="1"/>
  <c r="U281" i="2"/>
  <c r="M281" i="2"/>
  <c r="N281" i="2" s="1"/>
  <c r="AQ281" i="2" s="1"/>
  <c r="K281" i="2"/>
  <c r="J281" i="2"/>
  <c r="I281" i="2"/>
  <c r="H281" i="2"/>
  <c r="F281" i="2"/>
  <c r="D281" i="2"/>
  <c r="C281" i="2"/>
  <c r="B281" i="2"/>
  <c r="A281" i="2"/>
  <c r="AP280" i="2"/>
  <c r="AO280" i="2"/>
  <c r="AH280" i="2"/>
  <c r="W280" i="2"/>
  <c r="AI280" i="2" s="1"/>
  <c r="U280" i="2"/>
  <c r="M280" i="2"/>
  <c r="N280" i="2" s="1"/>
  <c r="AQ280" i="2" s="1"/>
  <c r="K280" i="2"/>
  <c r="J280" i="2"/>
  <c r="I280" i="2"/>
  <c r="H280" i="2"/>
  <c r="F280" i="2"/>
  <c r="D280" i="2"/>
  <c r="C280" i="2"/>
  <c r="B280" i="2"/>
  <c r="A280" i="2"/>
  <c r="AP279" i="2"/>
  <c r="AO279" i="2"/>
  <c r="AH279" i="2"/>
  <c r="W279" i="2"/>
  <c r="AI279" i="2" s="1"/>
  <c r="U279" i="2"/>
  <c r="M279" i="2"/>
  <c r="N279" i="2" s="1"/>
  <c r="AQ279" i="2" s="1"/>
  <c r="K279" i="2"/>
  <c r="J279" i="2"/>
  <c r="I279" i="2"/>
  <c r="H279" i="2"/>
  <c r="F279" i="2"/>
  <c r="D279" i="2"/>
  <c r="C279" i="2"/>
  <c r="B279" i="2"/>
  <c r="A279" i="2"/>
  <c r="AP278" i="2"/>
  <c r="AO278" i="2"/>
  <c r="AH278" i="2"/>
  <c r="W278" i="2"/>
  <c r="AI278" i="2" s="1"/>
  <c r="U278" i="2"/>
  <c r="M278" i="2"/>
  <c r="N278" i="2" s="1"/>
  <c r="AQ278" i="2" s="1"/>
  <c r="K278" i="2"/>
  <c r="J278" i="2"/>
  <c r="I278" i="2"/>
  <c r="H278" i="2"/>
  <c r="F278" i="2"/>
  <c r="D278" i="2"/>
  <c r="C278" i="2"/>
  <c r="B278" i="2"/>
  <c r="A278" i="2"/>
  <c r="AP277" i="2"/>
  <c r="AO277" i="2"/>
  <c r="AH277" i="2"/>
  <c r="W277" i="2"/>
  <c r="AI277" i="2" s="1"/>
  <c r="U277" i="2"/>
  <c r="M277" i="2"/>
  <c r="N277" i="2" s="1"/>
  <c r="AQ277" i="2" s="1"/>
  <c r="K277" i="2"/>
  <c r="J277" i="2"/>
  <c r="I277" i="2"/>
  <c r="H277" i="2"/>
  <c r="F277" i="2"/>
  <c r="D277" i="2"/>
  <c r="C277" i="2"/>
  <c r="B277" i="2"/>
  <c r="A277" i="2"/>
  <c r="AP276" i="2"/>
  <c r="AO276" i="2"/>
  <c r="AH276" i="2"/>
  <c r="W276" i="2"/>
  <c r="AI276" i="2" s="1"/>
  <c r="U276" i="2"/>
  <c r="M276" i="2"/>
  <c r="N276" i="2" s="1"/>
  <c r="AQ276" i="2" s="1"/>
  <c r="K276" i="2"/>
  <c r="J276" i="2"/>
  <c r="I276" i="2"/>
  <c r="H276" i="2"/>
  <c r="F276" i="2"/>
  <c r="D276" i="2"/>
  <c r="C276" i="2"/>
  <c r="B276" i="2"/>
  <c r="A276" i="2"/>
  <c r="AP275" i="2"/>
  <c r="AO275" i="2"/>
  <c r="AH275" i="2"/>
  <c r="W275" i="2"/>
  <c r="AI275" i="2" s="1"/>
  <c r="U275" i="2"/>
  <c r="M275" i="2"/>
  <c r="N275" i="2" s="1"/>
  <c r="AQ275" i="2" s="1"/>
  <c r="K275" i="2"/>
  <c r="J275" i="2"/>
  <c r="I275" i="2"/>
  <c r="H275" i="2"/>
  <c r="F275" i="2"/>
  <c r="D275" i="2"/>
  <c r="C275" i="2"/>
  <c r="B275" i="2"/>
  <c r="A275" i="2"/>
  <c r="AP274" i="2"/>
  <c r="AO274" i="2"/>
  <c r="AH274" i="2"/>
  <c r="W274" i="2"/>
  <c r="AI274" i="2" s="1"/>
  <c r="U274" i="2"/>
  <c r="M274" i="2"/>
  <c r="N274" i="2" s="1"/>
  <c r="AQ274" i="2" s="1"/>
  <c r="K274" i="2"/>
  <c r="J274" i="2"/>
  <c r="I274" i="2"/>
  <c r="H274" i="2"/>
  <c r="F274" i="2"/>
  <c r="D274" i="2"/>
  <c r="C274" i="2"/>
  <c r="B274" i="2"/>
  <c r="A274" i="2"/>
  <c r="AP273" i="2"/>
  <c r="AO273" i="2"/>
  <c r="AH273" i="2"/>
  <c r="W273" i="2"/>
  <c r="AI273" i="2" s="1"/>
  <c r="U273" i="2"/>
  <c r="M273" i="2"/>
  <c r="N273" i="2" s="1"/>
  <c r="AQ273" i="2" s="1"/>
  <c r="K273" i="2"/>
  <c r="J273" i="2"/>
  <c r="I273" i="2"/>
  <c r="H273" i="2"/>
  <c r="F273" i="2"/>
  <c r="D273" i="2"/>
  <c r="C273" i="2"/>
  <c r="B273" i="2"/>
  <c r="A273" i="2"/>
  <c r="AP272" i="2"/>
  <c r="AO272" i="2"/>
  <c r="AH272" i="2"/>
  <c r="W272" i="2"/>
  <c r="AI272" i="2" s="1"/>
  <c r="U272" i="2"/>
  <c r="M272" i="2"/>
  <c r="N272" i="2" s="1"/>
  <c r="AQ272" i="2" s="1"/>
  <c r="K272" i="2"/>
  <c r="J272" i="2"/>
  <c r="I272" i="2"/>
  <c r="H272" i="2"/>
  <c r="F272" i="2"/>
  <c r="D272" i="2"/>
  <c r="C272" i="2"/>
  <c r="B272" i="2"/>
  <c r="A272" i="2"/>
  <c r="AP271" i="2"/>
  <c r="AO271" i="2"/>
  <c r="AH271" i="2"/>
  <c r="W271" i="2"/>
  <c r="AI271" i="2" s="1"/>
  <c r="U271" i="2"/>
  <c r="M271" i="2"/>
  <c r="N271" i="2" s="1"/>
  <c r="AQ271" i="2" s="1"/>
  <c r="K271" i="2"/>
  <c r="J271" i="2"/>
  <c r="I271" i="2"/>
  <c r="H271" i="2"/>
  <c r="F271" i="2"/>
  <c r="D271" i="2"/>
  <c r="C271" i="2"/>
  <c r="B271" i="2"/>
  <c r="A271" i="2"/>
  <c r="AP270" i="2"/>
  <c r="AO270" i="2"/>
  <c r="AH270" i="2"/>
  <c r="W270" i="2"/>
  <c r="AI270" i="2" s="1"/>
  <c r="U270" i="2"/>
  <c r="M270" i="2"/>
  <c r="N270" i="2" s="1"/>
  <c r="AQ270" i="2" s="1"/>
  <c r="K270" i="2"/>
  <c r="J270" i="2"/>
  <c r="I270" i="2"/>
  <c r="H270" i="2"/>
  <c r="F270" i="2"/>
  <c r="D270" i="2"/>
  <c r="C270" i="2"/>
  <c r="B270" i="2"/>
  <c r="A270" i="2"/>
  <c r="AP269" i="2"/>
  <c r="AO269" i="2"/>
  <c r="AH269" i="2"/>
  <c r="W269" i="2"/>
  <c r="AI269" i="2" s="1"/>
  <c r="U269" i="2"/>
  <c r="M269" i="2"/>
  <c r="N269" i="2" s="1"/>
  <c r="AQ269" i="2" s="1"/>
  <c r="K269" i="2"/>
  <c r="J269" i="2"/>
  <c r="I269" i="2"/>
  <c r="H269" i="2"/>
  <c r="F269" i="2"/>
  <c r="D269" i="2"/>
  <c r="C269" i="2"/>
  <c r="B269" i="2"/>
  <c r="A269" i="2"/>
  <c r="AP268" i="2"/>
  <c r="AO268" i="2"/>
  <c r="AH268" i="2"/>
  <c r="W268" i="2"/>
  <c r="AI268" i="2" s="1"/>
  <c r="U268" i="2"/>
  <c r="M268" i="2"/>
  <c r="N268" i="2" s="1"/>
  <c r="AQ268" i="2" s="1"/>
  <c r="K268" i="2"/>
  <c r="J268" i="2"/>
  <c r="I268" i="2"/>
  <c r="H268" i="2"/>
  <c r="F268" i="2"/>
  <c r="D268" i="2"/>
  <c r="C268" i="2"/>
  <c r="B268" i="2"/>
  <c r="A268" i="2"/>
  <c r="AP267" i="2"/>
  <c r="AO267" i="2"/>
  <c r="AH267" i="2"/>
  <c r="W267" i="2"/>
  <c r="AI267" i="2" s="1"/>
  <c r="U267" i="2"/>
  <c r="M267" i="2"/>
  <c r="N267" i="2" s="1"/>
  <c r="AQ267" i="2" s="1"/>
  <c r="K267" i="2"/>
  <c r="J267" i="2"/>
  <c r="I267" i="2"/>
  <c r="H267" i="2"/>
  <c r="F267" i="2"/>
  <c r="D267" i="2"/>
  <c r="C267" i="2"/>
  <c r="B267" i="2"/>
  <c r="A267" i="2"/>
  <c r="AP266" i="2"/>
  <c r="AO266" i="2"/>
  <c r="AH266" i="2"/>
  <c r="W266" i="2"/>
  <c r="AI266" i="2" s="1"/>
  <c r="U266" i="2"/>
  <c r="M266" i="2"/>
  <c r="N266" i="2" s="1"/>
  <c r="AQ266" i="2" s="1"/>
  <c r="K266" i="2"/>
  <c r="J266" i="2"/>
  <c r="I266" i="2"/>
  <c r="H266" i="2"/>
  <c r="F266" i="2"/>
  <c r="D266" i="2"/>
  <c r="C266" i="2"/>
  <c r="B266" i="2"/>
  <c r="A266" i="2"/>
  <c r="AP265" i="2"/>
  <c r="AO265" i="2"/>
  <c r="AH265" i="2"/>
  <c r="W265" i="2"/>
  <c r="AI265" i="2" s="1"/>
  <c r="U265" i="2"/>
  <c r="M265" i="2"/>
  <c r="N265" i="2" s="1"/>
  <c r="AQ265" i="2" s="1"/>
  <c r="K265" i="2"/>
  <c r="J265" i="2"/>
  <c r="I265" i="2"/>
  <c r="H265" i="2"/>
  <c r="F265" i="2"/>
  <c r="D265" i="2"/>
  <c r="C265" i="2"/>
  <c r="B265" i="2"/>
  <c r="A265" i="2"/>
  <c r="AP264" i="2"/>
  <c r="AO264" i="2"/>
  <c r="AH264" i="2"/>
  <c r="W264" i="2"/>
  <c r="AI264" i="2" s="1"/>
  <c r="U264" i="2"/>
  <c r="M264" i="2"/>
  <c r="N264" i="2" s="1"/>
  <c r="AQ264" i="2" s="1"/>
  <c r="K264" i="2"/>
  <c r="J264" i="2"/>
  <c r="I264" i="2"/>
  <c r="H264" i="2"/>
  <c r="F264" i="2"/>
  <c r="D264" i="2"/>
  <c r="C264" i="2"/>
  <c r="B264" i="2"/>
  <c r="A264" i="2"/>
  <c r="AP263" i="2"/>
  <c r="AO263" i="2"/>
  <c r="AH263" i="2"/>
  <c r="W263" i="2"/>
  <c r="AI263" i="2" s="1"/>
  <c r="U263" i="2"/>
  <c r="M263" i="2"/>
  <c r="N263" i="2" s="1"/>
  <c r="AQ263" i="2" s="1"/>
  <c r="K263" i="2"/>
  <c r="J263" i="2"/>
  <c r="I263" i="2"/>
  <c r="H263" i="2"/>
  <c r="F263" i="2"/>
  <c r="D263" i="2"/>
  <c r="C263" i="2"/>
  <c r="B263" i="2"/>
  <c r="A263" i="2"/>
  <c r="AP262" i="2"/>
  <c r="AO262" i="2"/>
  <c r="AH262" i="2"/>
  <c r="W262" i="2"/>
  <c r="AI262" i="2" s="1"/>
  <c r="U262" i="2"/>
  <c r="M262" i="2"/>
  <c r="N262" i="2" s="1"/>
  <c r="AQ262" i="2" s="1"/>
  <c r="K262" i="2"/>
  <c r="J262" i="2"/>
  <c r="I262" i="2"/>
  <c r="H262" i="2"/>
  <c r="F262" i="2"/>
  <c r="D262" i="2"/>
  <c r="C262" i="2"/>
  <c r="B262" i="2"/>
  <c r="A262" i="2"/>
  <c r="AP261" i="2"/>
  <c r="AO261" i="2"/>
  <c r="AH261" i="2"/>
  <c r="W261" i="2"/>
  <c r="AI261" i="2" s="1"/>
  <c r="U261" i="2"/>
  <c r="M261" i="2"/>
  <c r="N261" i="2" s="1"/>
  <c r="AQ261" i="2" s="1"/>
  <c r="K261" i="2"/>
  <c r="J261" i="2"/>
  <c r="I261" i="2"/>
  <c r="H261" i="2"/>
  <c r="F261" i="2"/>
  <c r="D261" i="2"/>
  <c r="C261" i="2"/>
  <c r="B261" i="2"/>
  <c r="A261" i="2"/>
  <c r="AP260" i="2"/>
  <c r="AO260" i="2"/>
  <c r="AH260" i="2"/>
  <c r="W260" i="2"/>
  <c r="AI260" i="2" s="1"/>
  <c r="U260" i="2"/>
  <c r="M260" i="2"/>
  <c r="N260" i="2" s="1"/>
  <c r="AQ260" i="2" s="1"/>
  <c r="K260" i="2"/>
  <c r="J260" i="2"/>
  <c r="I260" i="2"/>
  <c r="H260" i="2"/>
  <c r="F260" i="2"/>
  <c r="D260" i="2"/>
  <c r="C260" i="2"/>
  <c r="B260" i="2"/>
  <c r="A260" i="2"/>
  <c r="AP259" i="2"/>
  <c r="AO259" i="2"/>
  <c r="AH259" i="2"/>
  <c r="W259" i="2"/>
  <c r="AI259" i="2" s="1"/>
  <c r="U259" i="2"/>
  <c r="M259" i="2"/>
  <c r="N259" i="2" s="1"/>
  <c r="AQ259" i="2" s="1"/>
  <c r="K259" i="2"/>
  <c r="J259" i="2"/>
  <c r="I259" i="2"/>
  <c r="H259" i="2"/>
  <c r="F259" i="2"/>
  <c r="D259" i="2"/>
  <c r="C259" i="2"/>
  <c r="B259" i="2"/>
  <c r="A259" i="2"/>
  <c r="AP258" i="2"/>
  <c r="AO258" i="2"/>
  <c r="AH258" i="2"/>
  <c r="W258" i="2"/>
  <c r="AI258" i="2" s="1"/>
  <c r="U258" i="2"/>
  <c r="M258" i="2"/>
  <c r="N258" i="2" s="1"/>
  <c r="AQ258" i="2" s="1"/>
  <c r="K258" i="2"/>
  <c r="J258" i="2"/>
  <c r="I258" i="2"/>
  <c r="H258" i="2"/>
  <c r="F258" i="2"/>
  <c r="D258" i="2"/>
  <c r="C258" i="2"/>
  <c r="B258" i="2"/>
  <c r="A258" i="2"/>
  <c r="AP257" i="2"/>
  <c r="AO257" i="2"/>
  <c r="AH257" i="2"/>
  <c r="W257" i="2"/>
  <c r="AI257" i="2" s="1"/>
  <c r="U257" i="2"/>
  <c r="M257" i="2"/>
  <c r="N257" i="2" s="1"/>
  <c r="AQ257" i="2" s="1"/>
  <c r="K257" i="2"/>
  <c r="J257" i="2"/>
  <c r="I257" i="2"/>
  <c r="H257" i="2"/>
  <c r="F257" i="2"/>
  <c r="D257" i="2"/>
  <c r="C257" i="2"/>
  <c r="B257" i="2"/>
  <c r="A257" i="2"/>
  <c r="AP256" i="2"/>
  <c r="AO256" i="2"/>
  <c r="AH256" i="2"/>
  <c r="W256" i="2"/>
  <c r="AI256" i="2" s="1"/>
  <c r="U256" i="2"/>
  <c r="M256" i="2"/>
  <c r="N256" i="2" s="1"/>
  <c r="AQ256" i="2" s="1"/>
  <c r="K256" i="2"/>
  <c r="J256" i="2"/>
  <c r="I256" i="2"/>
  <c r="H256" i="2"/>
  <c r="F256" i="2"/>
  <c r="D256" i="2"/>
  <c r="C256" i="2"/>
  <c r="B256" i="2"/>
  <c r="A256" i="2"/>
  <c r="AP255" i="2"/>
  <c r="AO255" i="2"/>
  <c r="AH255" i="2"/>
  <c r="W255" i="2"/>
  <c r="AI255" i="2" s="1"/>
  <c r="U255" i="2"/>
  <c r="M255" i="2"/>
  <c r="N255" i="2" s="1"/>
  <c r="AQ255" i="2" s="1"/>
  <c r="K255" i="2"/>
  <c r="J255" i="2"/>
  <c r="I255" i="2"/>
  <c r="H255" i="2"/>
  <c r="F255" i="2"/>
  <c r="D255" i="2"/>
  <c r="C255" i="2"/>
  <c r="B255" i="2"/>
  <c r="A255" i="2"/>
  <c r="AP254" i="2"/>
  <c r="AO254" i="2"/>
  <c r="AH254" i="2"/>
  <c r="W254" i="2"/>
  <c r="AI254" i="2" s="1"/>
  <c r="U254" i="2"/>
  <c r="M254" i="2"/>
  <c r="N254" i="2" s="1"/>
  <c r="AQ254" i="2" s="1"/>
  <c r="K254" i="2"/>
  <c r="J254" i="2"/>
  <c r="I254" i="2"/>
  <c r="H254" i="2"/>
  <c r="F254" i="2"/>
  <c r="D254" i="2"/>
  <c r="C254" i="2"/>
  <c r="B254" i="2"/>
  <c r="A254" i="2"/>
  <c r="AP253" i="2"/>
  <c r="AO253" i="2"/>
  <c r="AH253" i="2"/>
  <c r="W253" i="2"/>
  <c r="AI253" i="2" s="1"/>
  <c r="U253" i="2"/>
  <c r="M253" i="2"/>
  <c r="N253" i="2" s="1"/>
  <c r="AQ253" i="2" s="1"/>
  <c r="K253" i="2"/>
  <c r="J253" i="2"/>
  <c r="I253" i="2"/>
  <c r="H253" i="2"/>
  <c r="F253" i="2"/>
  <c r="D253" i="2"/>
  <c r="C253" i="2"/>
  <c r="B253" i="2"/>
  <c r="A253" i="2"/>
  <c r="AP252" i="2"/>
  <c r="AO252" i="2"/>
  <c r="AH252" i="2"/>
  <c r="W252" i="2"/>
  <c r="AI252" i="2" s="1"/>
  <c r="U252" i="2"/>
  <c r="M252" i="2"/>
  <c r="N252" i="2" s="1"/>
  <c r="AQ252" i="2" s="1"/>
  <c r="K252" i="2"/>
  <c r="J252" i="2"/>
  <c r="I252" i="2"/>
  <c r="H252" i="2"/>
  <c r="F252" i="2"/>
  <c r="D252" i="2"/>
  <c r="C252" i="2"/>
  <c r="B252" i="2"/>
  <c r="A252" i="2"/>
  <c r="AP251" i="2"/>
  <c r="AO251" i="2"/>
  <c r="AH251" i="2"/>
  <c r="W251" i="2"/>
  <c r="AI251" i="2" s="1"/>
  <c r="U251" i="2"/>
  <c r="M251" i="2"/>
  <c r="N251" i="2" s="1"/>
  <c r="AQ251" i="2" s="1"/>
  <c r="K251" i="2"/>
  <c r="J251" i="2"/>
  <c r="I251" i="2"/>
  <c r="H251" i="2"/>
  <c r="F251" i="2"/>
  <c r="D251" i="2"/>
  <c r="C251" i="2"/>
  <c r="B251" i="2"/>
  <c r="A251" i="2"/>
  <c r="AP250" i="2"/>
  <c r="AO250" i="2"/>
  <c r="AH250" i="2"/>
  <c r="W250" i="2"/>
  <c r="AI250" i="2" s="1"/>
  <c r="U250" i="2"/>
  <c r="M250" i="2"/>
  <c r="N250" i="2" s="1"/>
  <c r="AQ250" i="2" s="1"/>
  <c r="K250" i="2"/>
  <c r="J250" i="2"/>
  <c r="I250" i="2"/>
  <c r="H250" i="2"/>
  <c r="F250" i="2"/>
  <c r="D250" i="2"/>
  <c r="C250" i="2"/>
  <c r="B250" i="2"/>
  <c r="A250" i="2"/>
  <c r="AP249" i="2"/>
  <c r="AO249" i="2"/>
  <c r="AH249" i="2"/>
  <c r="W249" i="2"/>
  <c r="AI249" i="2" s="1"/>
  <c r="U249" i="2"/>
  <c r="M249" i="2"/>
  <c r="N249" i="2" s="1"/>
  <c r="AQ249" i="2" s="1"/>
  <c r="K249" i="2"/>
  <c r="J249" i="2"/>
  <c r="I249" i="2"/>
  <c r="H249" i="2"/>
  <c r="F249" i="2"/>
  <c r="D249" i="2"/>
  <c r="C249" i="2"/>
  <c r="B249" i="2"/>
  <c r="A249" i="2"/>
  <c r="AP248" i="2"/>
  <c r="AO248" i="2"/>
  <c r="AH248" i="2"/>
  <c r="W248" i="2"/>
  <c r="AI248" i="2" s="1"/>
  <c r="U248" i="2"/>
  <c r="M248" i="2"/>
  <c r="N248" i="2" s="1"/>
  <c r="AQ248" i="2" s="1"/>
  <c r="K248" i="2"/>
  <c r="J248" i="2"/>
  <c r="I248" i="2"/>
  <c r="H248" i="2"/>
  <c r="F248" i="2"/>
  <c r="D248" i="2"/>
  <c r="C248" i="2"/>
  <c r="B248" i="2"/>
  <c r="A248" i="2"/>
  <c r="AP247" i="2"/>
  <c r="AO247" i="2"/>
  <c r="AH247" i="2"/>
  <c r="W247" i="2"/>
  <c r="AI247" i="2" s="1"/>
  <c r="U247" i="2"/>
  <c r="M247" i="2"/>
  <c r="N247" i="2" s="1"/>
  <c r="AQ247" i="2" s="1"/>
  <c r="K247" i="2"/>
  <c r="J247" i="2"/>
  <c r="I247" i="2"/>
  <c r="H247" i="2"/>
  <c r="F247" i="2"/>
  <c r="D247" i="2"/>
  <c r="C247" i="2"/>
  <c r="B247" i="2"/>
  <c r="A247" i="2"/>
  <c r="AP246" i="2"/>
  <c r="AO246" i="2"/>
  <c r="AH246" i="2"/>
  <c r="W246" i="2"/>
  <c r="AI246" i="2" s="1"/>
  <c r="U246" i="2"/>
  <c r="M246" i="2"/>
  <c r="N246" i="2" s="1"/>
  <c r="AQ246" i="2" s="1"/>
  <c r="K246" i="2"/>
  <c r="J246" i="2"/>
  <c r="I246" i="2"/>
  <c r="H246" i="2"/>
  <c r="F246" i="2"/>
  <c r="D246" i="2"/>
  <c r="C246" i="2"/>
  <c r="B246" i="2"/>
  <c r="A246" i="2"/>
  <c r="AP245" i="2"/>
  <c r="AO245" i="2"/>
  <c r="AH245" i="2"/>
  <c r="W245" i="2"/>
  <c r="AI245" i="2" s="1"/>
  <c r="U245" i="2"/>
  <c r="M245" i="2"/>
  <c r="N245" i="2" s="1"/>
  <c r="AQ245" i="2" s="1"/>
  <c r="K245" i="2"/>
  <c r="J245" i="2"/>
  <c r="I245" i="2"/>
  <c r="H245" i="2"/>
  <c r="F245" i="2"/>
  <c r="D245" i="2"/>
  <c r="C245" i="2"/>
  <c r="B245" i="2"/>
  <c r="A245" i="2"/>
  <c r="AP244" i="2"/>
  <c r="AO244" i="2"/>
  <c r="AH244" i="2"/>
  <c r="W244" i="2"/>
  <c r="AI244" i="2" s="1"/>
  <c r="U244" i="2"/>
  <c r="M244" i="2"/>
  <c r="N244" i="2" s="1"/>
  <c r="AQ244" i="2" s="1"/>
  <c r="K244" i="2"/>
  <c r="J244" i="2"/>
  <c r="I244" i="2"/>
  <c r="H244" i="2"/>
  <c r="F244" i="2"/>
  <c r="D244" i="2"/>
  <c r="C244" i="2"/>
  <c r="B244" i="2"/>
  <c r="A244" i="2"/>
  <c r="AP243" i="2"/>
  <c r="AO243" i="2"/>
  <c r="AH243" i="2"/>
  <c r="W243" i="2"/>
  <c r="AI243" i="2" s="1"/>
  <c r="U243" i="2"/>
  <c r="M243" i="2"/>
  <c r="N243" i="2" s="1"/>
  <c r="AQ243" i="2" s="1"/>
  <c r="K243" i="2"/>
  <c r="J243" i="2"/>
  <c r="I243" i="2"/>
  <c r="H243" i="2"/>
  <c r="F243" i="2"/>
  <c r="D243" i="2"/>
  <c r="C243" i="2"/>
  <c r="B243" i="2"/>
  <c r="A243" i="2"/>
  <c r="AP242" i="2"/>
  <c r="AO242" i="2"/>
  <c r="AH242" i="2"/>
  <c r="W242" i="2"/>
  <c r="AI242" i="2" s="1"/>
  <c r="U242" i="2"/>
  <c r="M242" i="2"/>
  <c r="N242" i="2" s="1"/>
  <c r="AQ242" i="2" s="1"/>
  <c r="K242" i="2"/>
  <c r="J242" i="2"/>
  <c r="I242" i="2"/>
  <c r="H242" i="2"/>
  <c r="F242" i="2"/>
  <c r="D242" i="2"/>
  <c r="C242" i="2"/>
  <c r="B242" i="2"/>
  <c r="A242" i="2"/>
  <c r="AP241" i="2"/>
  <c r="AO241" i="2"/>
  <c r="AH241" i="2"/>
  <c r="W241" i="2"/>
  <c r="AI241" i="2" s="1"/>
  <c r="U241" i="2"/>
  <c r="M241" i="2"/>
  <c r="N241" i="2" s="1"/>
  <c r="AQ241" i="2" s="1"/>
  <c r="K241" i="2"/>
  <c r="J241" i="2"/>
  <c r="I241" i="2"/>
  <c r="H241" i="2"/>
  <c r="F241" i="2"/>
  <c r="D241" i="2"/>
  <c r="C241" i="2"/>
  <c r="B241" i="2"/>
  <c r="A241" i="2"/>
  <c r="AP240" i="2"/>
  <c r="AO240" i="2"/>
  <c r="AH240" i="2"/>
  <c r="W240" i="2"/>
  <c r="AI240" i="2" s="1"/>
  <c r="U240" i="2"/>
  <c r="M240" i="2"/>
  <c r="N240" i="2" s="1"/>
  <c r="AQ240" i="2" s="1"/>
  <c r="K240" i="2"/>
  <c r="J240" i="2"/>
  <c r="I240" i="2"/>
  <c r="H240" i="2"/>
  <c r="F240" i="2"/>
  <c r="D240" i="2"/>
  <c r="C240" i="2"/>
  <c r="B240" i="2"/>
  <c r="A240" i="2"/>
  <c r="AP239" i="2"/>
  <c r="AO239" i="2"/>
  <c r="AH239" i="2"/>
  <c r="W239" i="2"/>
  <c r="AI239" i="2" s="1"/>
  <c r="U239" i="2"/>
  <c r="M239" i="2"/>
  <c r="N239" i="2" s="1"/>
  <c r="AQ239" i="2" s="1"/>
  <c r="K239" i="2"/>
  <c r="J239" i="2"/>
  <c r="I239" i="2"/>
  <c r="H239" i="2"/>
  <c r="F239" i="2"/>
  <c r="D239" i="2"/>
  <c r="C239" i="2"/>
  <c r="B239" i="2"/>
  <c r="A239" i="2"/>
  <c r="AP238" i="2"/>
  <c r="AO238" i="2"/>
  <c r="AH238" i="2"/>
  <c r="W238" i="2"/>
  <c r="AI238" i="2" s="1"/>
  <c r="U238" i="2"/>
  <c r="M238" i="2"/>
  <c r="N238" i="2" s="1"/>
  <c r="AQ238" i="2" s="1"/>
  <c r="K238" i="2"/>
  <c r="J238" i="2"/>
  <c r="I238" i="2"/>
  <c r="H238" i="2"/>
  <c r="F238" i="2"/>
  <c r="D238" i="2"/>
  <c r="C238" i="2"/>
  <c r="B238" i="2"/>
  <c r="A238" i="2"/>
  <c r="AP237" i="2"/>
  <c r="AO237" i="2"/>
  <c r="AH237" i="2"/>
  <c r="W237" i="2"/>
  <c r="AI237" i="2" s="1"/>
  <c r="U237" i="2"/>
  <c r="M237" i="2"/>
  <c r="N237" i="2" s="1"/>
  <c r="AQ237" i="2" s="1"/>
  <c r="K237" i="2"/>
  <c r="J237" i="2"/>
  <c r="I237" i="2"/>
  <c r="H237" i="2"/>
  <c r="F237" i="2"/>
  <c r="D237" i="2"/>
  <c r="C237" i="2"/>
  <c r="B237" i="2"/>
  <c r="A237" i="2"/>
  <c r="AP236" i="2"/>
  <c r="AO236" i="2"/>
  <c r="AH236" i="2"/>
  <c r="W236" i="2"/>
  <c r="AI236" i="2" s="1"/>
  <c r="U236" i="2"/>
  <c r="M236" i="2"/>
  <c r="N236" i="2" s="1"/>
  <c r="AQ236" i="2" s="1"/>
  <c r="K236" i="2"/>
  <c r="J236" i="2"/>
  <c r="I236" i="2"/>
  <c r="H236" i="2"/>
  <c r="F236" i="2"/>
  <c r="D236" i="2"/>
  <c r="C236" i="2"/>
  <c r="B236" i="2"/>
  <c r="A236" i="2"/>
  <c r="AP235" i="2"/>
  <c r="AO235" i="2"/>
  <c r="AH235" i="2"/>
  <c r="W235" i="2"/>
  <c r="AI235" i="2" s="1"/>
  <c r="U235" i="2"/>
  <c r="M235" i="2"/>
  <c r="N235" i="2" s="1"/>
  <c r="AQ235" i="2" s="1"/>
  <c r="K235" i="2"/>
  <c r="J235" i="2"/>
  <c r="I235" i="2"/>
  <c r="H235" i="2"/>
  <c r="F235" i="2"/>
  <c r="D235" i="2"/>
  <c r="C235" i="2"/>
  <c r="B235" i="2"/>
  <c r="A235" i="2"/>
  <c r="AP234" i="2"/>
  <c r="AO234" i="2"/>
  <c r="AH234" i="2"/>
  <c r="W234" i="2"/>
  <c r="AI234" i="2" s="1"/>
  <c r="U234" i="2"/>
  <c r="M234" i="2"/>
  <c r="N234" i="2" s="1"/>
  <c r="AQ234" i="2" s="1"/>
  <c r="K234" i="2"/>
  <c r="J234" i="2"/>
  <c r="I234" i="2"/>
  <c r="H234" i="2"/>
  <c r="F234" i="2"/>
  <c r="D234" i="2"/>
  <c r="C234" i="2"/>
  <c r="B234" i="2"/>
  <c r="A234" i="2"/>
  <c r="AP233" i="2"/>
  <c r="AO233" i="2"/>
  <c r="AH233" i="2"/>
  <c r="W233" i="2"/>
  <c r="AI233" i="2" s="1"/>
  <c r="U233" i="2"/>
  <c r="M233" i="2"/>
  <c r="N233" i="2" s="1"/>
  <c r="AQ233" i="2" s="1"/>
  <c r="K233" i="2"/>
  <c r="J233" i="2"/>
  <c r="I233" i="2"/>
  <c r="H233" i="2"/>
  <c r="F233" i="2"/>
  <c r="D233" i="2"/>
  <c r="C233" i="2"/>
  <c r="B233" i="2"/>
  <c r="A233" i="2"/>
  <c r="AP232" i="2"/>
  <c r="AO232" i="2"/>
  <c r="AH232" i="2"/>
  <c r="W232" i="2"/>
  <c r="AI232" i="2" s="1"/>
  <c r="U232" i="2"/>
  <c r="M232" i="2"/>
  <c r="N232" i="2" s="1"/>
  <c r="AQ232" i="2" s="1"/>
  <c r="K232" i="2"/>
  <c r="J232" i="2"/>
  <c r="I232" i="2"/>
  <c r="H232" i="2"/>
  <c r="F232" i="2"/>
  <c r="D232" i="2"/>
  <c r="C232" i="2"/>
  <c r="B232" i="2"/>
  <c r="A232" i="2"/>
  <c r="AP231" i="2"/>
  <c r="AO231" i="2"/>
  <c r="AH231" i="2"/>
  <c r="W231" i="2"/>
  <c r="AI231" i="2" s="1"/>
  <c r="U231" i="2"/>
  <c r="M231" i="2"/>
  <c r="N231" i="2" s="1"/>
  <c r="AQ231" i="2" s="1"/>
  <c r="K231" i="2"/>
  <c r="J231" i="2"/>
  <c r="I231" i="2"/>
  <c r="H231" i="2"/>
  <c r="F231" i="2"/>
  <c r="D231" i="2"/>
  <c r="C231" i="2"/>
  <c r="B231" i="2"/>
  <c r="A231" i="2"/>
  <c r="AP230" i="2"/>
  <c r="AO230" i="2"/>
  <c r="AH230" i="2"/>
  <c r="W230" i="2"/>
  <c r="AI230" i="2" s="1"/>
  <c r="U230" i="2"/>
  <c r="M230" i="2"/>
  <c r="N230" i="2" s="1"/>
  <c r="AQ230" i="2" s="1"/>
  <c r="K230" i="2"/>
  <c r="J230" i="2"/>
  <c r="I230" i="2"/>
  <c r="H230" i="2"/>
  <c r="F230" i="2"/>
  <c r="D230" i="2"/>
  <c r="C230" i="2"/>
  <c r="B230" i="2"/>
  <c r="A230" i="2"/>
  <c r="AP229" i="2"/>
  <c r="AO229" i="2"/>
  <c r="AH229" i="2"/>
  <c r="W229" i="2"/>
  <c r="AI229" i="2" s="1"/>
  <c r="U229" i="2"/>
  <c r="M229" i="2"/>
  <c r="N229" i="2" s="1"/>
  <c r="AQ229" i="2" s="1"/>
  <c r="K229" i="2"/>
  <c r="J229" i="2"/>
  <c r="I229" i="2"/>
  <c r="H229" i="2"/>
  <c r="F229" i="2"/>
  <c r="D229" i="2"/>
  <c r="C229" i="2"/>
  <c r="B229" i="2"/>
  <c r="A229" i="2"/>
  <c r="AP228" i="2"/>
  <c r="AO228" i="2"/>
  <c r="AH228" i="2"/>
  <c r="W228" i="2"/>
  <c r="AI228" i="2" s="1"/>
  <c r="U228" i="2"/>
  <c r="M228" i="2"/>
  <c r="N228" i="2" s="1"/>
  <c r="AQ228" i="2" s="1"/>
  <c r="K228" i="2"/>
  <c r="J228" i="2"/>
  <c r="I228" i="2"/>
  <c r="H228" i="2"/>
  <c r="F228" i="2"/>
  <c r="D228" i="2"/>
  <c r="C228" i="2"/>
  <c r="B228" i="2"/>
  <c r="A228" i="2"/>
  <c r="AP227" i="2"/>
  <c r="AO227" i="2"/>
  <c r="AH227" i="2"/>
  <c r="W227" i="2"/>
  <c r="AI227" i="2" s="1"/>
  <c r="U227" i="2"/>
  <c r="M227" i="2"/>
  <c r="N227" i="2" s="1"/>
  <c r="AQ227" i="2" s="1"/>
  <c r="K227" i="2"/>
  <c r="J227" i="2"/>
  <c r="I227" i="2"/>
  <c r="H227" i="2"/>
  <c r="F227" i="2"/>
  <c r="D227" i="2"/>
  <c r="C227" i="2"/>
  <c r="B227" i="2"/>
  <c r="A227" i="2"/>
  <c r="AP226" i="2"/>
  <c r="AO226" i="2"/>
  <c r="AH226" i="2"/>
  <c r="W226" i="2"/>
  <c r="AI226" i="2" s="1"/>
  <c r="U226" i="2"/>
  <c r="M226" i="2"/>
  <c r="N226" i="2" s="1"/>
  <c r="AQ226" i="2" s="1"/>
  <c r="K226" i="2"/>
  <c r="J226" i="2"/>
  <c r="I226" i="2"/>
  <c r="H226" i="2"/>
  <c r="F226" i="2"/>
  <c r="D226" i="2"/>
  <c r="C226" i="2"/>
  <c r="B226" i="2"/>
  <c r="A226" i="2"/>
  <c r="AP225" i="2"/>
  <c r="AO225" i="2"/>
  <c r="AH225" i="2"/>
  <c r="W225" i="2"/>
  <c r="AI225" i="2" s="1"/>
  <c r="U225" i="2"/>
  <c r="M225" i="2"/>
  <c r="N225" i="2" s="1"/>
  <c r="AQ225" i="2" s="1"/>
  <c r="K225" i="2"/>
  <c r="J225" i="2"/>
  <c r="I225" i="2"/>
  <c r="H225" i="2"/>
  <c r="F225" i="2"/>
  <c r="D225" i="2"/>
  <c r="C225" i="2"/>
  <c r="B225" i="2"/>
  <c r="A225" i="2"/>
  <c r="AP224" i="2"/>
  <c r="AO224" i="2"/>
  <c r="AH224" i="2"/>
  <c r="W224" i="2"/>
  <c r="AI224" i="2" s="1"/>
  <c r="U224" i="2"/>
  <c r="M224" i="2"/>
  <c r="N224" i="2" s="1"/>
  <c r="AQ224" i="2" s="1"/>
  <c r="K224" i="2"/>
  <c r="J224" i="2"/>
  <c r="I224" i="2"/>
  <c r="H224" i="2"/>
  <c r="F224" i="2"/>
  <c r="D224" i="2"/>
  <c r="C224" i="2"/>
  <c r="B224" i="2"/>
  <c r="A224" i="2"/>
  <c r="AP223" i="2"/>
  <c r="AO223" i="2"/>
  <c r="AH223" i="2"/>
  <c r="W223" i="2"/>
  <c r="AI223" i="2" s="1"/>
  <c r="U223" i="2"/>
  <c r="M223" i="2"/>
  <c r="N223" i="2" s="1"/>
  <c r="AQ223" i="2" s="1"/>
  <c r="K223" i="2"/>
  <c r="J223" i="2"/>
  <c r="I223" i="2"/>
  <c r="H223" i="2"/>
  <c r="F223" i="2"/>
  <c r="D223" i="2"/>
  <c r="C223" i="2"/>
  <c r="B223" i="2"/>
  <c r="A223" i="2"/>
  <c r="AP222" i="2"/>
  <c r="AO222" i="2"/>
  <c r="AH222" i="2"/>
  <c r="W222" i="2"/>
  <c r="AI222" i="2" s="1"/>
  <c r="U222" i="2"/>
  <c r="M222" i="2"/>
  <c r="N222" i="2" s="1"/>
  <c r="AQ222" i="2" s="1"/>
  <c r="K222" i="2"/>
  <c r="J222" i="2"/>
  <c r="I222" i="2"/>
  <c r="H222" i="2"/>
  <c r="F222" i="2"/>
  <c r="D222" i="2"/>
  <c r="C222" i="2"/>
  <c r="B222" i="2"/>
  <c r="A222" i="2"/>
  <c r="AP221" i="2"/>
  <c r="AO221" i="2"/>
  <c r="AH221" i="2"/>
  <c r="W221" i="2"/>
  <c r="AI221" i="2" s="1"/>
  <c r="U221" i="2"/>
  <c r="M221" i="2"/>
  <c r="N221" i="2" s="1"/>
  <c r="AQ221" i="2" s="1"/>
  <c r="K221" i="2"/>
  <c r="J221" i="2"/>
  <c r="I221" i="2"/>
  <c r="H221" i="2"/>
  <c r="F221" i="2"/>
  <c r="D221" i="2"/>
  <c r="C221" i="2"/>
  <c r="B221" i="2"/>
  <c r="A221" i="2"/>
  <c r="AP220" i="2"/>
  <c r="AO220" i="2"/>
  <c r="AH220" i="2"/>
  <c r="W220" i="2"/>
  <c r="AI220" i="2" s="1"/>
  <c r="U220" i="2"/>
  <c r="M220" i="2"/>
  <c r="N220" i="2" s="1"/>
  <c r="AQ220" i="2" s="1"/>
  <c r="K220" i="2"/>
  <c r="J220" i="2"/>
  <c r="I220" i="2"/>
  <c r="H220" i="2"/>
  <c r="F220" i="2"/>
  <c r="D220" i="2"/>
  <c r="C220" i="2"/>
  <c r="B220" i="2"/>
  <c r="A220" i="2"/>
  <c r="AP219" i="2"/>
  <c r="AO219" i="2"/>
  <c r="AH219" i="2"/>
  <c r="W219" i="2"/>
  <c r="AI219" i="2" s="1"/>
  <c r="U219" i="2"/>
  <c r="M219" i="2"/>
  <c r="N219" i="2" s="1"/>
  <c r="AQ219" i="2" s="1"/>
  <c r="K219" i="2"/>
  <c r="J219" i="2"/>
  <c r="I219" i="2"/>
  <c r="H219" i="2"/>
  <c r="F219" i="2"/>
  <c r="G219" i="2" s="1"/>
  <c r="D219" i="2"/>
  <c r="C219" i="2"/>
  <c r="B219" i="2"/>
  <c r="A219" i="2"/>
  <c r="AP218" i="2"/>
  <c r="AO218" i="2"/>
  <c r="AH218" i="2"/>
  <c r="W218" i="2"/>
  <c r="AI218" i="2" s="1"/>
  <c r="U218" i="2"/>
  <c r="M218" i="2"/>
  <c r="N218" i="2" s="1"/>
  <c r="AQ218" i="2" s="1"/>
  <c r="K218" i="2"/>
  <c r="J218" i="2"/>
  <c r="I218" i="2"/>
  <c r="H218" i="2"/>
  <c r="F218" i="2"/>
  <c r="D218" i="2"/>
  <c r="C218" i="2"/>
  <c r="B218" i="2"/>
  <c r="A218" i="2"/>
  <c r="AP217" i="2"/>
  <c r="AO217" i="2"/>
  <c r="AH217" i="2"/>
  <c r="W217" i="2"/>
  <c r="AI217" i="2" s="1"/>
  <c r="U217" i="2"/>
  <c r="M217" i="2"/>
  <c r="N217" i="2" s="1"/>
  <c r="AQ217" i="2" s="1"/>
  <c r="K217" i="2"/>
  <c r="J217" i="2"/>
  <c r="I217" i="2"/>
  <c r="H217" i="2"/>
  <c r="F217" i="2"/>
  <c r="D217" i="2"/>
  <c r="C217" i="2"/>
  <c r="B217" i="2"/>
  <c r="A217" i="2"/>
  <c r="AP216" i="2"/>
  <c r="AO216" i="2"/>
  <c r="AH216" i="2"/>
  <c r="W216" i="2"/>
  <c r="AI216" i="2" s="1"/>
  <c r="U216" i="2"/>
  <c r="M216" i="2"/>
  <c r="N216" i="2" s="1"/>
  <c r="AQ216" i="2" s="1"/>
  <c r="K216" i="2"/>
  <c r="J216" i="2"/>
  <c r="I216" i="2"/>
  <c r="H216" i="2"/>
  <c r="F216" i="2"/>
  <c r="D216" i="2"/>
  <c r="C216" i="2"/>
  <c r="B216" i="2"/>
  <c r="A216" i="2"/>
  <c r="AP215" i="2"/>
  <c r="AO215" i="2"/>
  <c r="AH215" i="2"/>
  <c r="W215" i="2"/>
  <c r="AI215" i="2" s="1"/>
  <c r="U215" i="2"/>
  <c r="M215" i="2"/>
  <c r="N215" i="2" s="1"/>
  <c r="AQ215" i="2" s="1"/>
  <c r="K215" i="2"/>
  <c r="J215" i="2"/>
  <c r="I215" i="2"/>
  <c r="H215" i="2"/>
  <c r="F215" i="2"/>
  <c r="D215" i="2"/>
  <c r="C215" i="2"/>
  <c r="B215" i="2"/>
  <c r="A215" i="2"/>
  <c r="AP214" i="2"/>
  <c r="AO214" i="2"/>
  <c r="AH214" i="2"/>
  <c r="W214" i="2"/>
  <c r="AI214" i="2" s="1"/>
  <c r="U214" i="2"/>
  <c r="M214" i="2"/>
  <c r="N214" i="2" s="1"/>
  <c r="AQ214" i="2" s="1"/>
  <c r="K214" i="2"/>
  <c r="J214" i="2"/>
  <c r="I214" i="2"/>
  <c r="H214" i="2"/>
  <c r="F214" i="2"/>
  <c r="D214" i="2"/>
  <c r="C214" i="2"/>
  <c r="B214" i="2"/>
  <c r="A214" i="2"/>
  <c r="AP213" i="2"/>
  <c r="AO213" i="2"/>
  <c r="AH213" i="2"/>
  <c r="W213" i="2"/>
  <c r="AI213" i="2" s="1"/>
  <c r="U213" i="2"/>
  <c r="M213" i="2"/>
  <c r="N213" i="2" s="1"/>
  <c r="AQ213" i="2" s="1"/>
  <c r="K213" i="2"/>
  <c r="J213" i="2"/>
  <c r="I213" i="2"/>
  <c r="H213" i="2"/>
  <c r="F213" i="2"/>
  <c r="D213" i="2"/>
  <c r="C213" i="2"/>
  <c r="B213" i="2"/>
  <c r="A213" i="2"/>
  <c r="AP212" i="2"/>
  <c r="AO212" i="2"/>
  <c r="AH212" i="2"/>
  <c r="W212" i="2"/>
  <c r="AI212" i="2" s="1"/>
  <c r="U212" i="2"/>
  <c r="M212" i="2"/>
  <c r="N212" i="2" s="1"/>
  <c r="AQ212" i="2" s="1"/>
  <c r="K212" i="2"/>
  <c r="J212" i="2"/>
  <c r="I212" i="2"/>
  <c r="H212" i="2"/>
  <c r="F212" i="2"/>
  <c r="D212" i="2"/>
  <c r="C212" i="2"/>
  <c r="B212" i="2"/>
  <c r="A212" i="2"/>
  <c r="AP211" i="2"/>
  <c r="AO211" i="2"/>
  <c r="AH211" i="2"/>
  <c r="W211" i="2"/>
  <c r="AI211" i="2" s="1"/>
  <c r="U211" i="2"/>
  <c r="M211" i="2"/>
  <c r="N211" i="2" s="1"/>
  <c r="AQ211" i="2" s="1"/>
  <c r="K211" i="2"/>
  <c r="J211" i="2"/>
  <c r="I211" i="2"/>
  <c r="H211" i="2"/>
  <c r="F211" i="2"/>
  <c r="D211" i="2"/>
  <c r="C211" i="2"/>
  <c r="B211" i="2"/>
  <c r="A211" i="2"/>
  <c r="AP210" i="2"/>
  <c r="AO210" i="2"/>
  <c r="AH210" i="2"/>
  <c r="W210" i="2"/>
  <c r="AI210" i="2" s="1"/>
  <c r="U210" i="2"/>
  <c r="M210" i="2"/>
  <c r="N210" i="2" s="1"/>
  <c r="AQ210" i="2" s="1"/>
  <c r="K210" i="2"/>
  <c r="J210" i="2"/>
  <c r="I210" i="2"/>
  <c r="H210" i="2"/>
  <c r="F210" i="2"/>
  <c r="D210" i="2"/>
  <c r="C210" i="2"/>
  <c r="B210" i="2"/>
  <c r="A210" i="2"/>
  <c r="AP209" i="2"/>
  <c r="AO209" i="2"/>
  <c r="AH209" i="2"/>
  <c r="W209" i="2"/>
  <c r="AI209" i="2" s="1"/>
  <c r="U209" i="2"/>
  <c r="M209" i="2"/>
  <c r="N209" i="2" s="1"/>
  <c r="AQ209" i="2" s="1"/>
  <c r="K209" i="2"/>
  <c r="J209" i="2"/>
  <c r="I209" i="2"/>
  <c r="H209" i="2"/>
  <c r="F209" i="2"/>
  <c r="D209" i="2"/>
  <c r="C209" i="2"/>
  <c r="B209" i="2"/>
  <c r="A209" i="2"/>
  <c r="AP208" i="2"/>
  <c r="AO208" i="2"/>
  <c r="AH208" i="2"/>
  <c r="W208" i="2"/>
  <c r="AI208" i="2" s="1"/>
  <c r="U208" i="2"/>
  <c r="M208" i="2"/>
  <c r="N208" i="2" s="1"/>
  <c r="AQ208" i="2" s="1"/>
  <c r="K208" i="2"/>
  <c r="J208" i="2"/>
  <c r="I208" i="2"/>
  <c r="H208" i="2"/>
  <c r="F208" i="2"/>
  <c r="G208" i="2" s="1"/>
  <c r="D208" i="2"/>
  <c r="C208" i="2"/>
  <c r="B208" i="2"/>
  <c r="A208" i="2"/>
  <c r="AP207" i="2"/>
  <c r="AO207" i="2"/>
  <c r="AH207" i="2"/>
  <c r="W207" i="2"/>
  <c r="AI207" i="2" s="1"/>
  <c r="U207" i="2"/>
  <c r="M207" i="2"/>
  <c r="N207" i="2" s="1"/>
  <c r="AQ207" i="2" s="1"/>
  <c r="K207" i="2"/>
  <c r="J207" i="2"/>
  <c r="I207" i="2"/>
  <c r="H207" i="2"/>
  <c r="F207" i="2"/>
  <c r="D207" i="2"/>
  <c r="C207" i="2"/>
  <c r="B207" i="2"/>
  <c r="A207" i="2"/>
  <c r="AP206" i="2"/>
  <c r="AO206" i="2"/>
  <c r="AH206" i="2"/>
  <c r="W206" i="2"/>
  <c r="AI206" i="2" s="1"/>
  <c r="U206" i="2"/>
  <c r="M206" i="2"/>
  <c r="N206" i="2" s="1"/>
  <c r="AQ206" i="2" s="1"/>
  <c r="K206" i="2"/>
  <c r="J206" i="2"/>
  <c r="I206" i="2"/>
  <c r="H206" i="2"/>
  <c r="F206" i="2"/>
  <c r="D206" i="2"/>
  <c r="C206" i="2"/>
  <c r="B206" i="2"/>
  <c r="A206" i="2"/>
  <c r="AP205" i="2"/>
  <c r="AO205" i="2"/>
  <c r="W205" i="2"/>
  <c r="U205" i="2"/>
  <c r="M205" i="2"/>
  <c r="N205" i="2" s="1"/>
  <c r="AQ205" i="2" s="1"/>
  <c r="K205" i="2"/>
  <c r="J205" i="2"/>
  <c r="I205" i="2"/>
  <c r="H205" i="2"/>
  <c r="F205" i="2"/>
  <c r="G205" i="2" s="1"/>
  <c r="D205" i="2"/>
  <c r="C205" i="2"/>
  <c r="B205" i="2"/>
  <c r="A205" i="2"/>
  <c r="AP204" i="2"/>
  <c r="AO204" i="2"/>
  <c r="W204" i="2"/>
  <c r="U204" i="2"/>
  <c r="M204" i="2"/>
  <c r="N204" i="2" s="1"/>
  <c r="AQ204" i="2" s="1"/>
  <c r="K204" i="2"/>
  <c r="J204" i="2"/>
  <c r="I204" i="2"/>
  <c r="H204" i="2"/>
  <c r="F204" i="2"/>
  <c r="G204" i="2" s="1"/>
  <c r="D204" i="2"/>
  <c r="C204" i="2"/>
  <c r="B204" i="2"/>
  <c r="A204" i="2"/>
  <c r="AP203" i="2"/>
  <c r="AO203" i="2"/>
  <c r="AH203" i="2"/>
  <c r="W203" i="2"/>
  <c r="AI203" i="2" s="1"/>
  <c r="U203" i="2"/>
  <c r="M203" i="2"/>
  <c r="N203" i="2" s="1"/>
  <c r="AQ203" i="2" s="1"/>
  <c r="K203" i="2"/>
  <c r="J203" i="2"/>
  <c r="I203" i="2"/>
  <c r="H203" i="2"/>
  <c r="F203" i="2"/>
  <c r="D203" i="2"/>
  <c r="C203" i="2"/>
  <c r="B203" i="2"/>
  <c r="A203" i="2"/>
  <c r="AP202" i="2"/>
  <c r="AO202" i="2"/>
  <c r="AH202" i="2"/>
  <c r="W202" i="2"/>
  <c r="AI202" i="2" s="1"/>
  <c r="U202" i="2"/>
  <c r="M202" i="2"/>
  <c r="N202" i="2" s="1"/>
  <c r="AQ202" i="2" s="1"/>
  <c r="K202" i="2"/>
  <c r="J202" i="2"/>
  <c r="I202" i="2"/>
  <c r="H202" i="2"/>
  <c r="F202" i="2"/>
  <c r="D202" i="2"/>
  <c r="C202" i="2"/>
  <c r="B202" i="2"/>
  <c r="A202" i="2"/>
  <c r="AP201" i="2"/>
  <c r="AO201" i="2"/>
  <c r="AH201" i="2"/>
  <c r="W201" i="2"/>
  <c r="AI201" i="2" s="1"/>
  <c r="U201" i="2"/>
  <c r="M201" i="2"/>
  <c r="N201" i="2" s="1"/>
  <c r="AQ201" i="2" s="1"/>
  <c r="K201" i="2"/>
  <c r="J201" i="2"/>
  <c r="I201" i="2"/>
  <c r="H201" i="2"/>
  <c r="F201" i="2"/>
  <c r="D201" i="2"/>
  <c r="C201" i="2"/>
  <c r="B201" i="2"/>
  <c r="A201" i="2"/>
  <c r="AP200" i="2"/>
  <c r="AO200" i="2"/>
  <c r="AH200" i="2"/>
  <c r="W200" i="2"/>
  <c r="AI200" i="2" s="1"/>
  <c r="U200" i="2"/>
  <c r="M200" i="2"/>
  <c r="N200" i="2" s="1"/>
  <c r="AQ200" i="2" s="1"/>
  <c r="K200" i="2"/>
  <c r="J200" i="2"/>
  <c r="I200" i="2"/>
  <c r="H200" i="2"/>
  <c r="F200" i="2"/>
  <c r="D200" i="2"/>
  <c r="C200" i="2"/>
  <c r="B200" i="2"/>
  <c r="A200" i="2"/>
  <c r="AP199" i="2"/>
  <c r="AO199" i="2"/>
  <c r="AH199" i="2"/>
  <c r="W199" i="2"/>
  <c r="AI199" i="2" s="1"/>
  <c r="U199" i="2"/>
  <c r="M199" i="2"/>
  <c r="N199" i="2" s="1"/>
  <c r="AQ199" i="2" s="1"/>
  <c r="K199" i="2"/>
  <c r="J199" i="2"/>
  <c r="I199" i="2"/>
  <c r="H199" i="2"/>
  <c r="F199" i="2"/>
  <c r="D199" i="2"/>
  <c r="C199" i="2"/>
  <c r="B199" i="2"/>
  <c r="A199" i="2"/>
  <c r="AP198" i="2"/>
  <c r="AO198" i="2"/>
  <c r="AH198" i="2"/>
  <c r="W198" i="2"/>
  <c r="AI198" i="2" s="1"/>
  <c r="U198" i="2"/>
  <c r="M198" i="2"/>
  <c r="N198" i="2" s="1"/>
  <c r="AQ198" i="2" s="1"/>
  <c r="K198" i="2"/>
  <c r="J198" i="2"/>
  <c r="I198" i="2"/>
  <c r="H198" i="2"/>
  <c r="F198" i="2"/>
  <c r="D198" i="2"/>
  <c r="C198" i="2"/>
  <c r="B198" i="2"/>
  <c r="A198" i="2"/>
  <c r="AP197" i="2"/>
  <c r="AO197" i="2"/>
  <c r="AH197" i="2"/>
  <c r="W197" i="2"/>
  <c r="AI197" i="2" s="1"/>
  <c r="U197" i="2"/>
  <c r="M197" i="2"/>
  <c r="N197" i="2" s="1"/>
  <c r="AQ197" i="2" s="1"/>
  <c r="K197" i="2"/>
  <c r="J197" i="2"/>
  <c r="I197" i="2"/>
  <c r="H197" i="2"/>
  <c r="F197" i="2"/>
  <c r="D197" i="2"/>
  <c r="C197" i="2"/>
  <c r="B197" i="2"/>
  <c r="A197" i="2"/>
  <c r="AP196" i="2"/>
  <c r="AO196" i="2"/>
  <c r="AH196" i="2"/>
  <c r="W196" i="2"/>
  <c r="AI196" i="2" s="1"/>
  <c r="U196" i="2"/>
  <c r="M196" i="2"/>
  <c r="N196" i="2" s="1"/>
  <c r="AQ196" i="2" s="1"/>
  <c r="K196" i="2"/>
  <c r="J196" i="2"/>
  <c r="I196" i="2"/>
  <c r="H196" i="2"/>
  <c r="F196" i="2"/>
  <c r="D196" i="2"/>
  <c r="C196" i="2"/>
  <c r="B196" i="2"/>
  <c r="A196" i="2"/>
  <c r="AP195" i="2"/>
  <c r="AO195" i="2"/>
  <c r="AH195" i="2"/>
  <c r="W195" i="2"/>
  <c r="AI195" i="2" s="1"/>
  <c r="U195" i="2"/>
  <c r="M195" i="2"/>
  <c r="N195" i="2" s="1"/>
  <c r="AQ195" i="2" s="1"/>
  <c r="K195" i="2"/>
  <c r="J195" i="2"/>
  <c r="I195" i="2"/>
  <c r="H195" i="2"/>
  <c r="F195" i="2"/>
  <c r="D195" i="2"/>
  <c r="C195" i="2"/>
  <c r="B195" i="2"/>
  <c r="A195" i="2"/>
  <c r="AP194" i="2"/>
  <c r="AO194" i="2"/>
  <c r="AH194" i="2"/>
  <c r="W194" i="2"/>
  <c r="AI194" i="2" s="1"/>
  <c r="U194" i="2"/>
  <c r="M194" i="2"/>
  <c r="N194" i="2" s="1"/>
  <c r="AQ194" i="2" s="1"/>
  <c r="K194" i="2"/>
  <c r="J194" i="2"/>
  <c r="I194" i="2"/>
  <c r="H194" i="2"/>
  <c r="F194" i="2"/>
  <c r="D194" i="2"/>
  <c r="C194" i="2"/>
  <c r="B194" i="2"/>
  <c r="A194" i="2"/>
  <c r="AP193" i="2"/>
  <c r="AO193" i="2"/>
  <c r="AH193" i="2"/>
  <c r="W193" i="2"/>
  <c r="AI193" i="2" s="1"/>
  <c r="U193" i="2"/>
  <c r="M193" i="2"/>
  <c r="N193" i="2" s="1"/>
  <c r="AQ193" i="2" s="1"/>
  <c r="K193" i="2"/>
  <c r="J193" i="2"/>
  <c r="I193" i="2"/>
  <c r="H193" i="2"/>
  <c r="F193" i="2"/>
  <c r="D193" i="2"/>
  <c r="C193" i="2"/>
  <c r="B193" i="2"/>
  <c r="A193" i="2"/>
  <c r="AP192" i="2"/>
  <c r="AO192" i="2"/>
  <c r="AH192" i="2"/>
  <c r="W192" i="2"/>
  <c r="AI192" i="2" s="1"/>
  <c r="U192" i="2"/>
  <c r="M192" i="2"/>
  <c r="N192" i="2" s="1"/>
  <c r="AQ192" i="2" s="1"/>
  <c r="K192" i="2"/>
  <c r="J192" i="2"/>
  <c r="I192" i="2"/>
  <c r="H192" i="2"/>
  <c r="F192" i="2"/>
  <c r="D192" i="2"/>
  <c r="C192" i="2"/>
  <c r="B192" i="2"/>
  <c r="A192" i="2"/>
  <c r="AP191" i="2"/>
  <c r="AO191" i="2"/>
  <c r="AH191" i="2"/>
  <c r="W191" i="2"/>
  <c r="AI191" i="2" s="1"/>
  <c r="U191" i="2"/>
  <c r="M191" i="2"/>
  <c r="N191" i="2" s="1"/>
  <c r="AQ191" i="2" s="1"/>
  <c r="K191" i="2"/>
  <c r="J191" i="2"/>
  <c r="I191" i="2"/>
  <c r="H191" i="2"/>
  <c r="F191" i="2"/>
  <c r="D191" i="2"/>
  <c r="C191" i="2"/>
  <c r="B191" i="2"/>
  <c r="A191" i="2"/>
  <c r="AP190" i="2"/>
  <c r="AO190" i="2"/>
  <c r="AH190" i="2"/>
  <c r="W190" i="2"/>
  <c r="AI190" i="2" s="1"/>
  <c r="U190" i="2"/>
  <c r="M190" i="2"/>
  <c r="N190" i="2" s="1"/>
  <c r="AQ190" i="2" s="1"/>
  <c r="K190" i="2"/>
  <c r="J190" i="2"/>
  <c r="I190" i="2"/>
  <c r="H190" i="2"/>
  <c r="F190" i="2"/>
  <c r="D190" i="2"/>
  <c r="C190" i="2"/>
  <c r="B190" i="2"/>
  <c r="A190" i="2"/>
  <c r="AP189" i="2"/>
  <c r="AO189" i="2"/>
  <c r="AH189" i="2"/>
  <c r="W189" i="2"/>
  <c r="AI189" i="2" s="1"/>
  <c r="U189" i="2"/>
  <c r="M189" i="2"/>
  <c r="N189" i="2" s="1"/>
  <c r="AQ189" i="2" s="1"/>
  <c r="K189" i="2"/>
  <c r="J189" i="2"/>
  <c r="I189" i="2"/>
  <c r="H189" i="2"/>
  <c r="F189" i="2"/>
  <c r="D189" i="2"/>
  <c r="C189" i="2"/>
  <c r="B189" i="2"/>
  <c r="A189" i="2"/>
  <c r="AP188" i="2"/>
  <c r="AO188" i="2"/>
  <c r="AH188" i="2"/>
  <c r="W188" i="2"/>
  <c r="AI188" i="2" s="1"/>
  <c r="U188" i="2"/>
  <c r="M188" i="2"/>
  <c r="N188" i="2" s="1"/>
  <c r="AQ188" i="2" s="1"/>
  <c r="K188" i="2"/>
  <c r="J188" i="2"/>
  <c r="I188" i="2"/>
  <c r="H188" i="2"/>
  <c r="F188" i="2"/>
  <c r="D188" i="2"/>
  <c r="C188" i="2"/>
  <c r="B188" i="2"/>
  <c r="A188" i="2"/>
  <c r="AP187" i="2"/>
  <c r="AO187" i="2"/>
  <c r="AH187" i="2"/>
  <c r="W187" i="2"/>
  <c r="AI187" i="2" s="1"/>
  <c r="U187" i="2"/>
  <c r="M187" i="2"/>
  <c r="N187" i="2" s="1"/>
  <c r="AQ187" i="2" s="1"/>
  <c r="K187" i="2"/>
  <c r="J187" i="2"/>
  <c r="I187" i="2"/>
  <c r="H187" i="2"/>
  <c r="F187" i="2"/>
  <c r="D187" i="2"/>
  <c r="C187" i="2"/>
  <c r="B187" i="2"/>
  <c r="A187" i="2"/>
  <c r="AP186" i="2"/>
  <c r="AO186" i="2"/>
  <c r="AH186" i="2"/>
  <c r="W186" i="2"/>
  <c r="AI186" i="2" s="1"/>
  <c r="U186" i="2"/>
  <c r="M186" i="2"/>
  <c r="N186" i="2" s="1"/>
  <c r="AQ186" i="2" s="1"/>
  <c r="K186" i="2"/>
  <c r="J186" i="2"/>
  <c r="I186" i="2"/>
  <c r="H186" i="2"/>
  <c r="F186" i="2"/>
  <c r="D186" i="2"/>
  <c r="C186" i="2"/>
  <c r="B186" i="2"/>
  <c r="A186" i="2"/>
  <c r="AP185" i="2"/>
  <c r="AO185" i="2"/>
  <c r="AH185" i="2"/>
  <c r="W185" i="2"/>
  <c r="AI185" i="2" s="1"/>
  <c r="U185" i="2"/>
  <c r="M185" i="2"/>
  <c r="N185" i="2" s="1"/>
  <c r="AQ185" i="2" s="1"/>
  <c r="K185" i="2"/>
  <c r="J185" i="2"/>
  <c r="I185" i="2"/>
  <c r="H185" i="2"/>
  <c r="F185" i="2"/>
  <c r="D185" i="2"/>
  <c r="C185" i="2"/>
  <c r="B185" i="2"/>
  <c r="A185" i="2"/>
  <c r="AP184" i="2"/>
  <c r="AO184" i="2"/>
  <c r="AH184" i="2"/>
  <c r="W184" i="2"/>
  <c r="AI184" i="2" s="1"/>
  <c r="U184" i="2"/>
  <c r="M184" i="2"/>
  <c r="N184" i="2" s="1"/>
  <c r="AQ184" i="2" s="1"/>
  <c r="K184" i="2"/>
  <c r="J184" i="2"/>
  <c r="I184" i="2"/>
  <c r="H184" i="2"/>
  <c r="F184" i="2"/>
  <c r="D184" i="2"/>
  <c r="C184" i="2"/>
  <c r="B184" i="2"/>
  <c r="A184" i="2"/>
  <c r="AP183" i="2"/>
  <c r="AO183" i="2"/>
  <c r="AH183" i="2"/>
  <c r="W183" i="2"/>
  <c r="AI183" i="2" s="1"/>
  <c r="U183" i="2"/>
  <c r="M183" i="2"/>
  <c r="N183" i="2" s="1"/>
  <c r="AQ183" i="2" s="1"/>
  <c r="K183" i="2"/>
  <c r="J183" i="2"/>
  <c r="I183" i="2"/>
  <c r="H183" i="2"/>
  <c r="F183" i="2"/>
  <c r="D183" i="2"/>
  <c r="C183" i="2"/>
  <c r="B183" i="2"/>
  <c r="A183" i="2"/>
  <c r="AP182" i="2"/>
  <c r="AO182" i="2"/>
  <c r="AH182" i="2"/>
  <c r="W182" i="2"/>
  <c r="AI182" i="2" s="1"/>
  <c r="U182" i="2"/>
  <c r="M182" i="2"/>
  <c r="N182" i="2" s="1"/>
  <c r="AQ182" i="2" s="1"/>
  <c r="K182" i="2"/>
  <c r="J182" i="2"/>
  <c r="I182" i="2"/>
  <c r="H182" i="2"/>
  <c r="F182" i="2"/>
  <c r="D182" i="2"/>
  <c r="C182" i="2"/>
  <c r="B182" i="2"/>
  <c r="A182" i="2"/>
  <c r="AP181" i="2"/>
  <c r="AO181" i="2"/>
  <c r="AH181" i="2"/>
  <c r="W181" i="2"/>
  <c r="AI181" i="2" s="1"/>
  <c r="U181" i="2"/>
  <c r="M181" i="2"/>
  <c r="N181" i="2" s="1"/>
  <c r="AQ181" i="2" s="1"/>
  <c r="K181" i="2"/>
  <c r="J181" i="2"/>
  <c r="I181" i="2"/>
  <c r="H181" i="2"/>
  <c r="F181" i="2"/>
  <c r="D181" i="2"/>
  <c r="C181" i="2"/>
  <c r="B181" i="2"/>
  <c r="A181" i="2"/>
  <c r="AP180" i="2"/>
  <c r="AO180" i="2"/>
  <c r="AH180" i="2"/>
  <c r="W180" i="2"/>
  <c r="AI180" i="2" s="1"/>
  <c r="U180" i="2"/>
  <c r="M180" i="2"/>
  <c r="N180" i="2" s="1"/>
  <c r="AQ180" i="2" s="1"/>
  <c r="K180" i="2"/>
  <c r="J180" i="2"/>
  <c r="I180" i="2"/>
  <c r="H180" i="2"/>
  <c r="F180" i="2"/>
  <c r="D180" i="2"/>
  <c r="C180" i="2"/>
  <c r="B180" i="2"/>
  <c r="A180" i="2"/>
  <c r="AP179" i="2"/>
  <c r="AO179" i="2"/>
  <c r="AH179" i="2"/>
  <c r="W179" i="2"/>
  <c r="AI179" i="2" s="1"/>
  <c r="U179" i="2"/>
  <c r="M179" i="2"/>
  <c r="N179" i="2" s="1"/>
  <c r="AQ179" i="2" s="1"/>
  <c r="K179" i="2"/>
  <c r="J179" i="2"/>
  <c r="I179" i="2"/>
  <c r="H179" i="2"/>
  <c r="F179" i="2"/>
  <c r="D179" i="2"/>
  <c r="C179" i="2"/>
  <c r="B179" i="2"/>
  <c r="A179" i="2"/>
  <c r="AP178" i="2"/>
  <c r="AO178" i="2"/>
  <c r="AH178" i="2"/>
  <c r="W178" i="2"/>
  <c r="AI178" i="2" s="1"/>
  <c r="U178" i="2"/>
  <c r="M178" i="2"/>
  <c r="N178" i="2" s="1"/>
  <c r="AQ178" i="2" s="1"/>
  <c r="K178" i="2"/>
  <c r="J178" i="2"/>
  <c r="I178" i="2"/>
  <c r="H178" i="2"/>
  <c r="F178" i="2"/>
  <c r="D178" i="2"/>
  <c r="C178" i="2"/>
  <c r="B178" i="2"/>
  <c r="A178" i="2"/>
  <c r="AP177" i="2"/>
  <c r="AO177" i="2"/>
  <c r="AH177" i="2"/>
  <c r="W177" i="2"/>
  <c r="AI177" i="2" s="1"/>
  <c r="U177" i="2"/>
  <c r="M177" i="2"/>
  <c r="N177" i="2" s="1"/>
  <c r="AQ177" i="2" s="1"/>
  <c r="K177" i="2"/>
  <c r="J177" i="2"/>
  <c r="I177" i="2"/>
  <c r="H177" i="2"/>
  <c r="F177" i="2"/>
  <c r="D177" i="2"/>
  <c r="C177" i="2"/>
  <c r="B177" i="2"/>
  <c r="A177" i="2"/>
  <c r="AP176" i="2"/>
  <c r="AO176" i="2"/>
  <c r="AH176" i="2"/>
  <c r="W176" i="2"/>
  <c r="AI176" i="2" s="1"/>
  <c r="U176" i="2"/>
  <c r="M176" i="2"/>
  <c r="N176" i="2" s="1"/>
  <c r="AQ176" i="2" s="1"/>
  <c r="K176" i="2"/>
  <c r="J176" i="2"/>
  <c r="I176" i="2"/>
  <c r="H176" i="2"/>
  <c r="F176" i="2"/>
  <c r="D176" i="2"/>
  <c r="C176" i="2"/>
  <c r="B176" i="2"/>
  <c r="A176" i="2"/>
  <c r="AP175" i="2"/>
  <c r="AO175" i="2"/>
  <c r="AH175" i="2"/>
  <c r="W175" i="2"/>
  <c r="AI175" i="2" s="1"/>
  <c r="U175" i="2"/>
  <c r="M175" i="2"/>
  <c r="N175" i="2" s="1"/>
  <c r="AQ175" i="2" s="1"/>
  <c r="K175" i="2"/>
  <c r="J175" i="2"/>
  <c r="I175" i="2"/>
  <c r="H175" i="2"/>
  <c r="F175" i="2"/>
  <c r="D175" i="2"/>
  <c r="C175" i="2"/>
  <c r="B175" i="2"/>
  <c r="A175" i="2"/>
  <c r="AP174" i="2"/>
  <c r="AO174" i="2"/>
  <c r="AH174" i="2"/>
  <c r="W174" i="2"/>
  <c r="AI174" i="2" s="1"/>
  <c r="U174" i="2"/>
  <c r="M174" i="2"/>
  <c r="N174" i="2" s="1"/>
  <c r="AQ174" i="2" s="1"/>
  <c r="K174" i="2"/>
  <c r="J174" i="2"/>
  <c r="I174" i="2"/>
  <c r="H174" i="2"/>
  <c r="F174" i="2"/>
  <c r="D174" i="2"/>
  <c r="C174" i="2"/>
  <c r="B174" i="2"/>
  <c r="A174" i="2"/>
  <c r="AP173" i="2"/>
  <c r="AO173" i="2"/>
  <c r="AH173" i="2"/>
  <c r="W173" i="2"/>
  <c r="AI173" i="2" s="1"/>
  <c r="U173" i="2"/>
  <c r="M173" i="2"/>
  <c r="N173" i="2" s="1"/>
  <c r="AQ173" i="2" s="1"/>
  <c r="K173" i="2"/>
  <c r="J173" i="2"/>
  <c r="I173" i="2"/>
  <c r="H173" i="2"/>
  <c r="F173" i="2"/>
  <c r="D173" i="2"/>
  <c r="C173" i="2"/>
  <c r="B173" i="2"/>
  <c r="A173" i="2"/>
  <c r="AP172" i="2"/>
  <c r="AO172" i="2"/>
  <c r="AH172" i="2"/>
  <c r="W172" i="2"/>
  <c r="AI172" i="2" s="1"/>
  <c r="U172" i="2"/>
  <c r="M172" i="2"/>
  <c r="N172" i="2" s="1"/>
  <c r="AQ172" i="2" s="1"/>
  <c r="K172" i="2"/>
  <c r="J172" i="2"/>
  <c r="I172" i="2"/>
  <c r="H172" i="2"/>
  <c r="F172" i="2"/>
  <c r="D172" i="2"/>
  <c r="C172" i="2"/>
  <c r="B172" i="2"/>
  <c r="A172" i="2"/>
  <c r="AP171" i="2"/>
  <c r="AO171" i="2"/>
  <c r="AH171" i="2"/>
  <c r="W171" i="2"/>
  <c r="AI171" i="2" s="1"/>
  <c r="U171" i="2"/>
  <c r="M171" i="2"/>
  <c r="N171" i="2" s="1"/>
  <c r="AQ171" i="2" s="1"/>
  <c r="K171" i="2"/>
  <c r="J171" i="2"/>
  <c r="I171" i="2"/>
  <c r="H171" i="2"/>
  <c r="F171" i="2"/>
  <c r="D171" i="2"/>
  <c r="C171" i="2"/>
  <c r="B171" i="2"/>
  <c r="A171" i="2"/>
  <c r="AP170" i="2"/>
  <c r="AO170" i="2"/>
  <c r="AH170" i="2"/>
  <c r="W170" i="2"/>
  <c r="AI170" i="2" s="1"/>
  <c r="U170" i="2"/>
  <c r="M170" i="2"/>
  <c r="N170" i="2" s="1"/>
  <c r="AQ170" i="2" s="1"/>
  <c r="K170" i="2"/>
  <c r="J170" i="2"/>
  <c r="I170" i="2"/>
  <c r="H170" i="2"/>
  <c r="F170" i="2"/>
  <c r="D170" i="2"/>
  <c r="C170" i="2"/>
  <c r="B170" i="2"/>
  <c r="A170" i="2"/>
  <c r="AP169" i="2"/>
  <c r="AO169" i="2"/>
  <c r="AH169" i="2"/>
  <c r="W169" i="2"/>
  <c r="AI169" i="2" s="1"/>
  <c r="U169" i="2"/>
  <c r="M169" i="2"/>
  <c r="N169" i="2" s="1"/>
  <c r="AQ169" i="2" s="1"/>
  <c r="K169" i="2"/>
  <c r="J169" i="2"/>
  <c r="I169" i="2"/>
  <c r="H169" i="2"/>
  <c r="F169" i="2"/>
  <c r="D169" i="2"/>
  <c r="C169" i="2"/>
  <c r="B169" i="2"/>
  <c r="A169" i="2"/>
  <c r="AP168" i="2"/>
  <c r="AO168" i="2"/>
  <c r="AH168" i="2"/>
  <c r="W168" i="2"/>
  <c r="AI168" i="2" s="1"/>
  <c r="U168" i="2"/>
  <c r="M168" i="2"/>
  <c r="N168" i="2" s="1"/>
  <c r="AQ168" i="2" s="1"/>
  <c r="K168" i="2"/>
  <c r="J168" i="2"/>
  <c r="I168" i="2"/>
  <c r="H168" i="2"/>
  <c r="F168" i="2"/>
  <c r="D168" i="2"/>
  <c r="C168" i="2"/>
  <c r="B168" i="2"/>
  <c r="A168" i="2"/>
  <c r="AP167" i="2"/>
  <c r="AO167" i="2"/>
  <c r="AH167" i="2"/>
  <c r="W167" i="2"/>
  <c r="AI167" i="2" s="1"/>
  <c r="U167" i="2"/>
  <c r="M167" i="2"/>
  <c r="N167" i="2" s="1"/>
  <c r="AQ167" i="2" s="1"/>
  <c r="K167" i="2"/>
  <c r="J167" i="2"/>
  <c r="I167" i="2"/>
  <c r="H167" i="2"/>
  <c r="F167" i="2"/>
  <c r="D167" i="2"/>
  <c r="C167" i="2"/>
  <c r="B167" i="2"/>
  <c r="A167" i="2"/>
  <c r="AP166" i="2"/>
  <c r="AO166" i="2"/>
  <c r="AH166" i="2"/>
  <c r="W166" i="2"/>
  <c r="AI166" i="2" s="1"/>
  <c r="U166" i="2"/>
  <c r="M166" i="2"/>
  <c r="N166" i="2" s="1"/>
  <c r="AQ166" i="2" s="1"/>
  <c r="K166" i="2"/>
  <c r="J166" i="2"/>
  <c r="I166" i="2"/>
  <c r="H166" i="2"/>
  <c r="F166" i="2"/>
  <c r="D166" i="2"/>
  <c r="C166" i="2"/>
  <c r="B166" i="2"/>
  <c r="A166" i="2"/>
  <c r="AP165" i="2"/>
  <c r="AO165" i="2"/>
  <c r="AH165" i="2"/>
  <c r="W165" i="2"/>
  <c r="AI165" i="2" s="1"/>
  <c r="U165" i="2"/>
  <c r="M165" i="2"/>
  <c r="N165" i="2" s="1"/>
  <c r="AQ165" i="2" s="1"/>
  <c r="K165" i="2"/>
  <c r="J165" i="2"/>
  <c r="I165" i="2"/>
  <c r="H165" i="2"/>
  <c r="F165" i="2"/>
  <c r="D165" i="2"/>
  <c r="C165" i="2"/>
  <c r="B165" i="2"/>
  <c r="A165" i="2"/>
  <c r="AP164" i="2"/>
  <c r="AO164" i="2"/>
  <c r="AH164" i="2"/>
  <c r="W164" i="2"/>
  <c r="AI164" i="2" s="1"/>
  <c r="U164" i="2"/>
  <c r="M164" i="2"/>
  <c r="N164" i="2" s="1"/>
  <c r="AQ164" i="2" s="1"/>
  <c r="K164" i="2"/>
  <c r="J164" i="2"/>
  <c r="I164" i="2"/>
  <c r="H164" i="2"/>
  <c r="F164" i="2"/>
  <c r="D164" i="2"/>
  <c r="C164" i="2"/>
  <c r="B164" i="2"/>
  <c r="A164" i="2"/>
  <c r="AP163" i="2"/>
  <c r="AO163" i="2"/>
  <c r="AH163" i="2"/>
  <c r="W163" i="2"/>
  <c r="AI163" i="2" s="1"/>
  <c r="U163" i="2"/>
  <c r="M163" i="2"/>
  <c r="N163" i="2" s="1"/>
  <c r="AQ163" i="2" s="1"/>
  <c r="K163" i="2"/>
  <c r="J163" i="2"/>
  <c r="I163" i="2"/>
  <c r="H163" i="2"/>
  <c r="F163" i="2"/>
  <c r="D163" i="2"/>
  <c r="C163" i="2"/>
  <c r="B163" i="2"/>
  <c r="A163" i="2"/>
  <c r="AP162" i="2"/>
  <c r="AO162" i="2"/>
  <c r="AH162" i="2"/>
  <c r="W162" i="2"/>
  <c r="AI162" i="2" s="1"/>
  <c r="U162" i="2"/>
  <c r="M162" i="2"/>
  <c r="N162" i="2" s="1"/>
  <c r="AQ162" i="2" s="1"/>
  <c r="K162" i="2"/>
  <c r="J162" i="2"/>
  <c r="I162" i="2"/>
  <c r="H162" i="2"/>
  <c r="F162" i="2"/>
  <c r="D162" i="2"/>
  <c r="C162" i="2"/>
  <c r="B162" i="2"/>
  <c r="A162" i="2"/>
  <c r="AP161" i="2"/>
  <c r="AO161" i="2"/>
  <c r="AH161" i="2"/>
  <c r="W161" i="2"/>
  <c r="AI161" i="2" s="1"/>
  <c r="U161" i="2"/>
  <c r="M161" i="2"/>
  <c r="N161" i="2" s="1"/>
  <c r="AQ161" i="2" s="1"/>
  <c r="K161" i="2"/>
  <c r="J161" i="2"/>
  <c r="I161" i="2"/>
  <c r="H161" i="2"/>
  <c r="F161" i="2"/>
  <c r="D161" i="2"/>
  <c r="C161" i="2"/>
  <c r="B161" i="2"/>
  <c r="A161" i="2"/>
  <c r="AP160" i="2"/>
  <c r="AO160" i="2"/>
  <c r="AH160" i="2"/>
  <c r="W160" i="2"/>
  <c r="AI160" i="2" s="1"/>
  <c r="U160" i="2"/>
  <c r="M160" i="2"/>
  <c r="N160" i="2" s="1"/>
  <c r="AQ160" i="2" s="1"/>
  <c r="K160" i="2"/>
  <c r="J160" i="2"/>
  <c r="I160" i="2"/>
  <c r="H160" i="2"/>
  <c r="F160" i="2"/>
  <c r="D160" i="2"/>
  <c r="C160" i="2"/>
  <c r="B160" i="2"/>
  <c r="A160" i="2"/>
  <c r="AP159" i="2"/>
  <c r="AO159" i="2"/>
  <c r="AH159" i="2"/>
  <c r="W159" i="2"/>
  <c r="AI159" i="2" s="1"/>
  <c r="U159" i="2"/>
  <c r="M159" i="2"/>
  <c r="N159" i="2" s="1"/>
  <c r="AQ159" i="2" s="1"/>
  <c r="K159" i="2"/>
  <c r="J159" i="2"/>
  <c r="I159" i="2"/>
  <c r="H159" i="2"/>
  <c r="F159" i="2"/>
  <c r="D159" i="2"/>
  <c r="C159" i="2"/>
  <c r="B159" i="2"/>
  <c r="A159" i="2"/>
  <c r="AP158" i="2"/>
  <c r="AO158" i="2"/>
  <c r="AH158" i="2"/>
  <c r="W158" i="2"/>
  <c r="AI158" i="2" s="1"/>
  <c r="U158" i="2"/>
  <c r="M158" i="2"/>
  <c r="N158" i="2" s="1"/>
  <c r="AQ158" i="2" s="1"/>
  <c r="K158" i="2"/>
  <c r="J158" i="2"/>
  <c r="I158" i="2"/>
  <c r="H158" i="2"/>
  <c r="F158" i="2"/>
  <c r="D158" i="2"/>
  <c r="C158" i="2"/>
  <c r="B158" i="2"/>
  <c r="A158" i="2"/>
  <c r="AP157" i="2"/>
  <c r="AO157" i="2"/>
  <c r="AH157" i="2"/>
  <c r="W157" i="2"/>
  <c r="AI157" i="2" s="1"/>
  <c r="U157" i="2"/>
  <c r="M157" i="2"/>
  <c r="N157" i="2" s="1"/>
  <c r="AQ157" i="2" s="1"/>
  <c r="K157" i="2"/>
  <c r="J157" i="2"/>
  <c r="I157" i="2"/>
  <c r="H157" i="2"/>
  <c r="F157" i="2"/>
  <c r="D157" i="2"/>
  <c r="C157" i="2"/>
  <c r="B157" i="2"/>
  <c r="A157" i="2"/>
  <c r="AP156" i="2"/>
  <c r="AO156" i="2"/>
  <c r="AH156" i="2"/>
  <c r="W156" i="2"/>
  <c r="AI156" i="2" s="1"/>
  <c r="U156" i="2"/>
  <c r="M156" i="2"/>
  <c r="N156" i="2" s="1"/>
  <c r="AQ156" i="2" s="1"/>
  <c r="K156" i="2"/>
  <c r="J156" i="2"/>
  <c r="I156" i="2"/>
  <c r="H156" i="2"/>
  <c r="F156" i="2"/>
  <c r="D156" i="2"/>
  <c r="C156" i="2"/>
  <c r="B156" i="2"/>
  <c r="A156" i="2"/>
  <c r="AP155" i="2"/>
  <c r="AO155" i="2"/>
  <c r="AH155" i="2"/>
  <c r="W155" i="2"/>
  <c r="AI155" i="2" s="1"/>
  <c r="U155" i="2"/>
  <c r="M155" i="2"/>
  <c r="N155" i="2" s="1"/>
  <c r="AQ155" i="2" s="1"/>
  <c r="K155" i="2"/>
  <c r="J155" i="2"/>
  <c r="I155" i="2"/>
  <c r="H155" i="2"/>
  <c r="F155" i="2"/>
  <c r="D155" i="2"/>
  <c r="C155" i="2"/>
  <c r="B155" i="2"/>
  <c r="A155" i="2"/>
  <c r="AP154" i="2"/>
  <c r="AO154" i="2"/>
  <c r="AH154" i="2"/>
  <c r="W154" i="2"/>
  <c r="AI154" i="2" s="1"/>
  <c r="U154" i="2"/>
  <c r="M154" i="2"/>
  <c r="N154" i="2" s="1"/>
  <c r="AQ154" i="2" s="1"/>
  <c r="K154" i="2"/>
  <c r="J154" i="2"/>
  <c r="I154" i="2"/>
  <c r="H154" i="2"/>
  <c r="F154" i="2"/>
  <c r="D154" i="2"/>
  <c r="C154" i="2"/>
  <c r="B154" i="2"/>
  <c r="A154" i="2"/>
  <c r="AP153" i="2"/>
  <c r="AO153" i="2"/>
  <c r="AH153" i="2"/>
  <c r="W153" i="2"/>
  <c r="AI153" i="2" s="1"/>
  <c r="U153" i="2"/>
  <c r="M153" i="2"/>
  <c r="N153" i="2" s="1"/>
  <c r="AQ153" i="2" s="1"/>
  <c r="K153" i="2"/>
  <c r="J153" i="2"/>
  <c r="I153" i="2"/>
  <c r="H153" i="2"/>
  <c r="F153" i="2"/>
  <c r="D153" i="2"/>
  <c r="C153" i="2"/>
  <c r="B153" i="2"/>
  <c r="A153" i="2"/>
  <c r="AP152" i="2"/>
  <c r="AO152" i="2"/>
  <c r="AH152" i="2"/>
  <c r="W152" i="2"/>
  <c r="AI152" i="2" s="1"/>
  <c r="U152" i="2"/>
  <c r="M152" i="2"/>
  <c r="N152" i="2" s="1"/>
  <c r="AQ152" i="2" s="1"/>
  <c r="K152" i="2"/>
  <c r="J152" i="2"/>
  <c r="I152" i="2"/>
  <c r="H152" i="2"/>
  <c r="F152" i="2"/>
  <c r="D152" i="2"/>
  <c r="C152" i="2"/>
  <c r="B152" i="2"/>
  <c r="A152" i="2"/>
  <c r="AP151" i="2"/>
  <c r="AO151" i="2"/>
  <c r="AH151" i="2"/>
  <c r="W151" i="2"/>
  <c r="AI151" i="2" s="1"/>
  <c r="U151" i="2"/>
  <c r="M151" i="2"/>
  <c r="N151" i="2" s="1"/>
  <c r="AQ151" i="2" s="1"/>
  <c r="K151" i="2"/>
  <c r="J151" i="2"/>
  <c r="I151" i="2"/>
  <c r="H151" i="2"/>
  <c r="F151" i="2"/>
  <c r="D151" i="2"/>
  <c r="C151" i="2"/>
  <c r="B151" i="2"/>
  <c r="A151" i="2"/>
  <c r="AP150" i="2"/>
  <c r="AO150" i="2"/>
  <c r="AH150" i="2"/>
  <c r="W150" i="2"/>
  <c r="AI150" i="2" s="1"/>
  <c r="U150" i="2"/>
  <c r="M150" i="2"/>
  <c r="N150" i="2" s="1"/>
  <c r="AQ150" i="2" s="1"/>
  <c r="K150" i="2"/>
  <c r="J150" i="2"/>
  <c r="I150" i="2"/>
  <c r="H150" i="2"/>
  <c r="F150" i="2"/>
  <c r="D150" i="2"/>
  <c r="C150" i="2"/>
  <c r="B150" i="2"/>
  <c r="A150" i="2"/>
  <c r="AP149" i="2"/>
  <c r="AO149" i="2"/>
  <c r="AH149" i="2"/>
  <c r="W149" i="2"/>
  <c r="AI149" i="2" s="1"/>
  <c r="U149" i="2"/>
  <c r="M149" i="2"/>
  <c r="N149" i="2" s="1"/>
  <c r="AQ149" i="2" s="1"/>
  <c r="K149" i="2"/>
  <c r="J149" i="2"/>
  <c r="I149" i="2"/>
  <c r="H149" i="2"/>
  <c r="F149" i="2"/>
  <c r="D149" i="2"/>
  <c r="C149" i="2"/>
  <c r="B149" i="2"/>
  <c r="A149" i="2"/>
  <c r="AP148" i="2"/>
  <c r="AO148" i="2"/>
  <c r="AH148" i="2"/>
  <c r="W148" i="2"/>
  <c r="AI148" i="2" s="1"/>
  <c r="U148" i="2"/>
  <c r="M148" i="2"/>
  <c r="N148" i="2" s="1"/>
  <c r="AQ148" i="2" s="1"/>
  <c r="K148" i="2"/>
  <c r="J148" i="2"/>
  <c r="I148" i="2"/>
  <c r="H148" i="2"/>
  <c r="F148" i="2"/>
  <c r="D148" i="2"/>
  <c r="C148" i="2"/>
  <c r="B148" i="2"/>
  <c r="A148" i="2"/>
  <c r="AP147" i="2"/>
  <c r="AO147" i="2"/>
  <c r="AH147" i="2"/>
  <c r="W147" i="2"/>
  <c r="AI147" i="2" s="1"/>
  <c r="U147" i="2"/>
  <c r="M147" i="2"/>
  <c r="N147" i="2" s="1"/>
  <c r="AQ147" i="2" s="1"/>
  <c r="K147" i="2"/>
  <c r="J147" i="2"/>
  <c r="I147" i="2"/>
  <c r="H147" i="2"/>
  <c r="F147" i="2"/>
  <c r="D147" i="2"/>
  <c r="C147" i="2"/>
  <c r="B147" i="2"/>
  <c r="A147" i="2"/>
  <c r="AP146" i="2"/>
  <c r="AO146" i="2"/>
  <c r="AH146" i="2"/>
  <c r="W146" i="2"/>
  <c r="AI146" i="2" s="1"/>
  <c r="U146" i="2"/>
  <c r="M146" i="2"/>
  <c r="N146" i="2" s="1"/>
  <c r="AQ146" i="2" s="1"/>
  <c r="K146" i="2"/>
  <c r="J146" i="2"/>
  <c r="I146" i="2"/>
  <c r="H146" i="2"/>
  <c r="F146" i="2"/>
  <c r="D146" i="2"/>
  <c r="C146" i="2"/>
  <c r="B146" i="2"/>
  <c r="A146" i="2"/>
  <c r="AP145" i="2"/>
  <c r="AO145" i="2"/>
  <c r="AH145" i="2"/>
  <c r="W145" i="2"/>
  <c r="AI145" i="2" s="1"/>
  <c r="U145" i="2"/>
  <c r="M145" i="2"/>
  <c r="N145" i="2" s="1"/>
  <c r="AQ145" i="2" s="1"/>
  <c r="K145" i="2"/>
  <c r="J145" i="2"/>
  <c r="I145" i="2"/>
  <c r="H145" i="2"/>
  <c r="F145" i="2"/>
  <c r="D145" i="2"/>
  <c r="C145" i="2"/>
  <c r="B145" i="2"/>
  <c r="A145" i="2"/>
  <c r="AP144" i="2"/>
  <c r="AO144" i="2"/>
  <c r="AH144" i="2"/>
  <c r="W144" i="2"/>
  <c r="AI144" i="2" s="1"/>
  <c r="U144" i="2"/>
  <c r="M144" i="2"/>
  <c r="N144" i="2" s="1"/>
  <c r="AQ144" i="2" s="1"/>
  <c r="K144" i="2"/>
  <c r="J144" i="2"/>
  <c r="I144" i="2"/>
  <c r="H144" i="2"/>
  <c r="F144" i="2"/>
  <c r="D144" i="2"/>
  <c r="C144" i="2"/>
  <c r="B144" i="2"/>
  <c r="A144" i="2"/>
  <c r="AP143" i="2"/>
  <c r="AO143" i="2"/>
  <c r="AH143" i="2"/>
  <c r="W143" i="2"/>
  <c r="AI143" i="2" s="1"/>
  <c r="U143" i="2"/>
  <c r="M143" i="2"/>
  <c r="N143" i="2" s="1"/>
  <c r="AQ143" i="2" s="1"/>
  <c r="K143" i="2"/>
  <c r="J143" i="2"/>
  <c r="I143" i="2"/>
  <c r="H143" i="2"/>
  <c r="F143" i="2"/>
  <c r="D143" i="2"/>
  <c r="C143" i="2"/>
  <c r="B143" i="2"/>
  <c r="A143" i="2"/>
  <c r="AP142" i="2"/>
  <c r="AO142" i="2"/>
  <c r="AH142" i="2"/>
  <c r="W142" i="2"/>
  <c r="AI142" i="2" s="1"/>
  <c r="U142" i="2"/>
  <c r="M142" i="2"/>
  <c r="N142" i="2" s="1"/>
  <c r="AQ142" i="2" s="1"/>
  <c r="K142" i="2"/>
  <c r="J142" i="2"/>
  <c r="I142" i="2"/>
  <c r="H142" i="2"/>
  <c r="F142" i="2"/>
  <c r="D142" i="2"/>
  <c r="C142" i="2"/>
  <c r="B142" i="2"/>
  <c r="A142" i="2"/>
  <c r="AP141" i="2"/>
  <c r="AO141" i="2"/>
  <c r="AH141" i="2"/>
  <c r="W141" i="2"/>
  <c r="AI141" i="2" s="1"/>
  <c r="U141" i="2"/>
  <c r="M141" i="2"/>
  <c r="N141" i="2" s="1"/>
  <c r="AQ141" i="2" s="1"/>
  <c r="K141" i="2"/>
  <c r="J141" i="2"/>
  <c r="I141" i="2"/>
  <c r="H141" i="2"/>
  <c r="F141" i="2"/>
  <c r="D141" i="2"/>
  <c r="C141" i="2"/>
  <c r="B141" i="2"/>
  <c r="A141" i="2"/>
  <c r="AP140" i="2"/>
  <c r="AO140" i="2"/>
  <c r="AH140" i="2"/>
  <c r="W140" i="2"/>
  <c r="AI140" i="2" s="1"/>
  <c r="U140" i="2"/>
  <c r="M140" i="2"/>
  <c r="N140" i="2" s="1"/>
  <c r="AQ140" i="2" s="1"/>
  <c r="K140" i="2"/>
  <c r="J140" i="2"/>
  <c r="I140" i="2"/>
  <c r="H140" i="2"/>
  <c r="F140" i="2"/>
  <c r="D140" i="2"/>
  <c r="C140" i="2"/>
  <c r="B140" i="2"/>
  <c r="A140" i="2"/>
  <c r="AP139" i="2"/>
  <c r="AO139" i="2"/>
  <c r="AH139" i="2"/>
  <c r="W139" i="2"/>
  <c r="AI139" i="2" s="1"/>
  <c r="U139" i="2"/>
  <c r="M139" i="2"/>
  <c r="N139" i="2" s="1"/>
  <c r="AQ139" i="2" s="1"/>
  <c r="K139" i="2"/>
  <c r="J139" i="2"/>
  <c r="I139" i="2"/>
  <c r="H139" i="2"/>
  <c r="F139" i="2"/>
  <c r="D139" i="2"/>
  <c r="C139" i="2"/>
  <c r="B139" i="2"/>
  <c r="A139" i="2"/>
  <c r="AP138" i="2"/>
  <c r="AO138" i="2"/>
  <c r="AH138" i="2"/>
  <c r="W138" i="2"/>
  <c r="AI138" i="2" s="1"/>
  <c r="U138" i="2"/>
  <c r="M138" i="2"/>
  <c r="N138" i="2" s="1"/>
  <c r="AQ138" i="2" s="1"/>
  <c r="K138" i="2"/>
  <c r="J138" i="2"/>
  <c r="I138" i="2"/>
  <c r="H138" i="2"/>
  <c r="F138" i="2"/>
  <c r="D138" i="2"/>
  <c r="C138" i="2"/>
  <c r="B138" i="2"/>
  <c r="A138" i="2"/>
  <c r="AP137" i="2"/>
  <c r="AO137" i="2"/>
  <c r="AH137" i="2"/>
  <c r="W137" i="2"/>
  <c r="AI137" i="2" s="1"/>
  <c r="U137" i="2"/>
  <c r="M137" i="2"/>
  <c r="N137" i="2" s="1"/>
  <c r="AQ137" i="2" s="1"/>
  <c r="K137" i="2"/>
  <c r="J137" i="2"/>
  <c r="I137" i="2"/>
  <c r="H137" i="2"/>
  <c r="F137" i="2"/>
  <c r="D137" i="2"/>
  <c r="C137" i="2"/>
  <c r="B137" i="2"/>
  <c r="A137" i="2"/>
  <c r="AP136" i="2"/>
  <c r="AO136" i="2"/>
  <c r="AH136" i="2"/>
  <c r="W136" i="2"/>
  <c r="AI136" i="2" s="1"/>
  <c r="U136" i="2"/>
  <c r="M136" i="2"/>
  <c r="N136" i="2" s="1"/>
  <c r="AQ136" i="2" s="1"/>
  <c r="K136" i="2"/>
  <c r="J136" i="2"/>
  <c r="I136" i="2"/>
  <c r="H136" i="2"/>
  <c r="F136" i="2"/>
  <c r="D136" i="2"/>
  <c r="C136" i="2"/>
  <c r="B136" i="2"/>
  <c r="A136" i="2"/>
  <c r="AP135" i="2"/>
  <c r="AO135" i="2"/>
  <c r="AH135" i="2"/>
  <c r="W135" i="2"/>
  <c r="AI135" i="2" s="1"/>
  <c r="U135" i="2"/>
  <c r="M135" i="2"/>
  <c r="N135" i="2" s="1"/>
  <c r="AQ135" i="2" s="1"/>
  <c r="K135" i="2"/>
  <c r="J135" i="2"/>
  <c r="I135" i="2"/>
  <c r="H135" i="2"/>
  <c r="F135" i="2"/>
  <c r="D135" i="2"/>
  <c r="C135" i="2"/>
  <c r="B135" i="2"/>
  <c r="A135" i="2"/>
  <c r="AP134" i="2"/>
  <c r="AO134" i="2"/>
  <c r="AH134" i="2"/>
  <c r="W134" i="2"/>
  <c r="AI134" i="2" s="1"/>
  <c r="U134" i="2"/>
  <c r="M134" i="2"/>
  <c r="N134" i="2" s="1"/>
  <c r="AQ134" i="2" s="1"/>
  <c r="K134" i="2"/>
  <c r="J134" i="2"/>
  <c r="I134" i="2"/>
  <c r="H134" i="2"/>
  <c r="F134" i="2"/>
  <c r="D134" i="2"/>
  <c r="C134" i="2"/>
  <c r="B134" i="2"/>
  <c r="A134" i="2"/>
  <c r="AP133" i="2"/>
  <c r="AO133" i="2"/>
  <c r="AH133" i="2"/>
  <c r="W133" i="2"/>
  <c r="AI133" i="2" s="1"/>
  <c r="U133" i="2"/>
  <c r="M133" i="2"/>
  <c r="N133" i="2" s="1"/>
  <c r="AQ133" i="2" s="1"/>
  <c r="K133" i="2"/>
  <c r="J133" i="2"/>
  <c r="I133" i="2"/>
  <c r="H133" i="2"/>
  <c r="F133" i="2"/>
  <c r="D133" i="2"/>
  <c r="C133" i="2"/>
  <c r="B133" i="2"/>
  <c r="A133" i="2"/>
  <c r="AP132" i="2"/>
  <c r="AO132" i="2"/>
  <c r="AH132" i="2"/>
  <c r="W132" i="2"/>
  <c r="AI132" i="2" s="1"/>
  <c r="U132" i="2"/>
  <c r="M132" i="2"/>
  <c r="N132" i="2" s="1"/>
  <c r="AQ132" i="2" s="1"/>
  <c r="K132" i="2"/>
  <c r="J132" i="2"/>
  <c r="I132" i="2"/>
  <c r="H132" i="2"/>
  <c r="F132" i="2"/>
  <c r="D132" i="2"/>
  <c r="C132" i="2"/>
  <c r="B132" i="2"/>
  <c r="A132" i="2"/>
  <c r="AP131" i="2"/>
  <c r="AO131" i="2"/>
  <c r="AH131" i="2"/>
  <c r="W131" i="2"/>
  <c r="AI131" i="2" s="1"/>
  <c r="U131" i="2"/>
  <c r="M131" i="2"/>
  <c r="N131" i="2" s="1"/>
  <c r="AQ131" i="2" s="1"/>
  <c r="K131" i="2"/>
  <c r="J131" i="2"/>
  <c r="I131" i="2"/>
  <c r="H131" i="2"/>
  <c r="F131" i="2"/>
  <c r="D131" i="2"/>
  <c r="C131" i="2"/>
  <c r="B131" i="2"/>
  <c r="A131" i="2"/>
  <c r="AP130" i="2"/>
  <c r="AO130" i="2"/>
  <c r="AH130" i="2"/>
  <c r="W130" i="2"/>
  <c r="AI130" i="2" s="1"/>
  <c r="U130" i="2"/>
  <c r="M130" i="2"/>
  <c r="N130" i="2" s="1"/>
  <c r="AQ130" i="2" s="1"/>
  <c r="K130" i="2"/>
  <c r="J130" i="2"/>
  <c r="I130" i="2"/>
  <c r="H130" i="2"/>
  <c r="F130" i="2"/>
  <c r="D130" i="2"/>
  <c r="C130" i="2"/>
  <c r="B130" i="2"/>
  <c r="A130" i="2"/>
  <c r="AP129" i="2"/>
  <c r="AO129" i="2"/>
  <c r="AH129" i="2"/>
  <c r="W129" i="2"/>
  <c r="AI129" i="2" s="1"/>
  <c r="U129" i="2"/>
  <c r="M129" i="2"/>
  <c r="N129" i="2" s="1"/>
  <c r="AQ129" i="2" s="1"/>
  <c r="K129" i="2"/>
  <c r="J129" i="2"/>
  <c r="I129" i="2"/>
  <c r="H129" i="2"/>
  <c r="F129" i="2"/>
  <c r="D129" i="2"/>
  <c r="C129" i="2"/>
  <c r="B129" i="2"/>
  <c r="A129" i="2"/>
  <c r="AP128" i="2"/>
  <c r="AO128" i="2"/>
  <c r="W128" i="2"/>
  <c r="AI128" i="2" s="1"/>
  <c r="U128" i="2"/>
  <c r="M128" i="2"/>
  <c r="N128" i="2" s="1"/>
  <c r="AQ128" i="2" s="1"/>
  <c r="K128" i="2"/>
  <c r="J128" i="2"/>
  <c r="I128" i="2"/>
  <c r="H128" i="2"/>
  <c r="F128" i="2"/>
  <c r="G128" i="2" s="1"/>
  <c r="D128" i="2"/>
  <c r="C128" i="2"/>
  <c r="B128" i="2"/>
  <c r="A128" i="2"/>
  <c r="AP127" i="2"/>
  <c r="AO127" i="2"/>
  <c r="AH127" i="2"/>
  <c r="W127" i="2"/>
  <c r="AI127" i="2" s="1"/>
  <c r="U127" i="2"/>
  <c r="M127" i="2"/>
  <c r="N127" i="2" s="1"/>
  <c r="AQ127" i="2" s="1"/>
  <c r="K127" i="2"/>
  <c r="J127" i="2"/>
  <c r="I127" i="2"/>
  <c r="H127" i="2"/>
  <c r="F127" i="2"/>
  <c r="D127" i="2"/>
  <c r="C127" i="2"/>
  <c r="B127" i="2"/>
  <c r="A127" i="2"/>
  <c r="AP126" i="2"/>
  <c r="AO126" i="2"/>
  <c r="AH126" i="2"/>
  <c r="W126" i="2"/>
  <c r="AI126" i="2" s="1"/>
  <c r="U126" i="2"/>
  <c r="M126" i="2"/>
  <c r="N126" i="2" s="1"/>
  <c r="AQ126" i="2" s="1"/>
  <c r="K126" i="2"/>
  <c r="J126" i="2"/>
  <c r="I126" i="2"/>
  <c r="H126" i="2"/>
  <c r="F126" i="2"/>
  <c r="D126" i="2"/>
  <c r="C126" i="2"/>
  <c r="B126" i="2"/>
  <c r="A126" i="2"/>
  <c r="AP125" i="2"/>
  <c r="AO125" i="2"/>
  <c r="W125" i="2"/>
  <c r="U125" i="2"/>
  <c r="M125" i="2"/>
  <c r="N125" i="2" s="1"/>
  <c r="AQ125" i="2" s="1"/>
  <c r="K125" i="2"/>
  <c r="J125" i="2"/>
  <c r="I125" i="2"/>
  <c r="H125" i="2"/>
  <c r="F125" i="2"/>
  <c r="G125" i="2" s="1"/>
  <c r="D125" i="2"/>
  <c r="C125" i="2"/>
  <c r="B125" i="2"/>
  <c r="A125" i="2"/>
  <c r="AP124" i="2"/>
  <c r="AO124" i="2"/>
  <c r="W124" i="2"/>
  <c r="U124" i="2"/>
  <c r="M124" i="2"/>
  <c r="N124" i="2" s="1"/>
  <c r="AQ124" i="2" s="1"/>
  <c r="K124" i="2"/>
  <c r="J124" i="2"/>
  <c r="I124" i="2"/>
  <c r="H124" i="2"/>
  <c r="F124" i="2"/>
  <c r="G124" i="2" s="1"/>
  <c r="D124" i="2"/>
  <c r="C124" i="2"/>
  <c r="B124" i="2"/>
  <c r="A124" i="2"/>
  <c r="AP123" i="2"/>
  <c r="AO123" i="2"/>
  <c r="AH123" i="2"/>
  <c r="W123" i="2"/>
  <c r="AI123" i="2" s="1"/>
  <c r="U123" i="2"/>
  <c r="M123" i="2"/>
  <c r="N123" i="2" s="1"/>
  <c r="AQ123" i="2" s="1"/>
  <c r="K123" i="2"/>
  <c r="J123" i="2"/>
  <c r="I123" i="2"/>
  <c r="H123" i="2"/>
  <c r="F123" i="2"/>
  <c r="D123" i="2"/>
  <c r="C123" i="2"/>
  <c r="B123" i="2"/>
  <c r="A123" i="2"/>
  <c r="AP122" i="2"/>
  <c r="AO122" i="2"/>
  <c r="AH122" i="2"/>
  <c r="W122" i="2"/>
  <c r="AI122" i="2" s="1"/>
  <c r="U122" i="2"/>
  <c r="M122" i="2"/>
  <c r="N122" i="2" s="1"/>
  <c r="AQ122" i="2" s="1"/>
  <c r="K122" i="2"/>
  <c r="J122" i="2"/>
  <c r="I122" i="2"/>
  <c r="H122" i="2"/>
  <c r="F122" i="2"/>
  <c r="D122" i="2"/>
  <c r="C122" i="2"/>
  <c r="B122" i="2"/>
  <c r="A122" i="2"/>
  <c r="AP121" i="2"/>
  <c r="AO121" i="2"/>
  <c r="AH121" i="2"/>
  <c r="W121" i="2"/>
  <c r="AI121" i="2" s="1"/>
  <c r="U121" i="2"/>
  <c r="M121" i="2"/>
  <c r="N121" i="2" s="1"/>
  <c r="AQ121" i="2" s="1"/>
  <c r="K121" i="2"/>
  <c r="J121" i="2"/>
  <c r="I121" i="2"/>
  <c r="H121" i="2"/>
  <c r="F121" i="2"/>
  <c r="D121" i="2"/>
  <c r="C121" i="2"/>
  <c r="B121" i="2"/>
  <c r="A121" i="2"/>
  <c r="AP120" i="2"/>
  <c r="AO120" i="2"/>
  <c r="AH120" i="2"/>
  <c r="W120" i="2"/>
  <c r="AI120" i="2" s="1"/>
  <c r="U120" i="2"/>
  <c r="M120" i="2"/>
  <c r="N120" i="2" s="1"/>
  <c r="AQ120" i="2" s="1"/>
  <c r="K120" i="2"/>
  <c r="J120" i="2"/>
  <c r="I120" i="2"/>
  <c r="H120" i="2"/>
  <c r="F120" i="2"/>
  <c r="D120" i="2"/>
  <c r="C120" i="2"/>
  <c r="B120" i="2"/>
  <c r="A120" i="2"/>
  <c r="AP119" i="2"/>
  <c r="AO119" i="2"/>
  <c r="AH119" i="2"/>
  <c r="W119" i="2"/>
  <c r="AI119" i="2" s="1"/>
  <c r="U119" i="2"/>
  <c r="M119" i="2"/>
  <c r="N119" i="2" s="1"/>
  <c r="AQ119" i="2" s="1"/>
  <c r="K119" i="2"/>
  <c r="J119" i="2"/>
  <c r="I119" i="2"/>
  <c r="H119" i="2"/>
  <c r="F119" i="2"/>
  <c r="D119" i="2"/>
  <c r="C119" i="2"/>
  <c r="B119" i="2"/>
  <c r="A119" i="2"/>
  <c r="AP118" i="2"/>
  <c r="AO118" i="2"/>
  <c r="AH118" i="2"/>
  <c r="W118" i="2"/>
  <c r="AI118" i="2" s="1"/>
  <c r="U118" i="2"/>
  <c r="M118" i="2"/>
  <c r="N118" i="2" s="1"/>
  <c r="AQ118" i="2" s="1"/>
  <c r="K118" i="2"/>
  <c r="J118" i="2"/>
  <c r="I118" i="2"/>
  <c r="H118" i="2"/>
  <c r="F118" i="2"/>
  <c r="D118" i="2"/>
  <c r="C118" i="2"/>
  <c r="B118" i="2"/>
  <c r="A118" i="2"/>
  <c r="AP117" i="2"/>
  <c r="AO117" i="2"/>
  <c r="AH117" i="2"/>
  <c r="W117" i="2"/>
  <c r="AI117" i="2" s="1"/>
  <c r="U117" i="2"/>
  <c r="M117" i="2"/>
  <c r="N117" i="2" s="1"/>
  <c r="AQ117" i="2" s="1"/>
  <c r="K117" i="2"/>
  <c r="J117" i="2"/>
  <c r="I117" i="2"/>
  <c r="H117" i="2"/>
  <c r="F117" i="2"/>
  <c r="D117" i="2"/>
  <c r="C117" i="2"/>
  <c r="B117" i="2"/>
  <c r="A117" i="2"/>
  <c r="AP116" i="2"/>
  <c r="AO116" i="2"/>
  <c r="AH116" i="2"/>
  <c r="W116" i="2"/>
  <c r="AI116" i="2" s="1"/>
  <c r="U116" i="2"/>
  <c r="M116" i="2"/>
  <c r="N116" i="2" s="1"/>
  <c r="AQ116" i="2" s="1"/>
  <c r="K116" i="2"/>
  <c r="J116" i="2"/>
  <c r="I116" i="2"/>
  <c r="H116" i="2"/>
  <c r="F116" i="2"/>
  <c r="D116" i="2"/>
  <c r="C116" i="2"/>
  <c r="B116" i="2"/>
  <c r="A116" i="2"/>
  <c r="AP115" i="2"/>
  <c r="AO115" i="2"/>
  <c r="AH115" i="2"/>
  <c r="W115" i="2"/>
  <c r="AI115" i="2" s="1"/>
  <c r="U115" i="2"/>
  <c r="M115" i="2"/>
  <c r="N115" i="2" s="1"/>
  <c r="AQ115" i="2" s="1"/>
  <c r="K115" i="2"/>
  <c r="J115" i="2"/>
  <c r="I115" i="2"/>
  <c r="H115" i="2"/>
  <c r="F115" i="2"/>
  <c r="D115" i="2"/>
  <c r="C115" i="2"/>
  <c r="B115" i="2"/>
  <c r="A115" i="2"/>
  <c r="AP114" i="2"/>
  <c r="AO114" i="2"/>
  <c r="AH114" i="2"/>
  <c r="W114" i="2"/>
  <c r="AI114" i="2" s="1"/>
  <c r="U114" i="2"/>
  <c r="M114" i="2"/>
  <c r="N114" i="2" s="1"/>
  <c r="AQ114" i="2" s="1"/>
  <c r="K114" i="2"/>
  <c r="J114" i="2"/>
  <c r="I114" i="2"/>
  <c r="H114" i="2"/>
  <c r="F114" i="2"/>
  <c r="D114" i="2"/>
  <c r="C114" i="2"/>
  <c r="B114" i="2"/>
  <c r="A114" i="2"/>
  <c r="AP113" i="2"/>
  <c r="AO113" i="2"/>
  <c r="AH113" i="2"/>
  <c r="W113" i="2"/>
  <c r="AI113" i="2" s="1"/>
  <c r="U113" i="2"/>
  <c r="M113" i="2"/>
  <c r="N113" i="2" s="1"/>
  <c r="AQ113" i="2" s="1"/>
  <c r="K113" i="2"/>
  <c r="J113" i="2"/>
  <c r="I113" i="2"/>
  <c r="H113" i="2"/>
  <c r="F113" i="2"/>
  <c r="D113" i="2"/>
  <c r="C113" i="2"/>
  <c r="B113" i="2"/>
  <c r="A113" i="2"/>
  <c r="AP112" i="2"/>
  <c r="AO112" i="2"/>
  <c r="AH112" i="2"/>
  <c r="W112" i="2"/>
  <c r="AI112" i="2" s="1"/>
  <c r="U112" i="2"/>
  <c r="M112" i="2"/>
  <c r="N112" i="2" s="1"/>
  <c r="AQ112" i="2" s="1"/>
  <c r="K112" i="2"/>
  <c r="J112" i="2"/>
  <c r="I112" i="2"/>
  <c r="H112" i="2"/>
  <c r="F112" i="2"/>
  <c r="D112" i="2"/>
  <c r="C112" i="2"/>
  <c r="B112" i="2"/>
  <c r="A112" i="2"/>
  <c r="AP111" i="2"/>
  <c r="AO111" i="2"/>
  <c r="AH111" i="2"/>
  <c r="W111" i="2"/>
  <c r="AI111" i="2" s="1"/>
  <c r="U111" i="2"/>
  <c r="M111" i="2"/>
  <c r="N111" i="2" s="1"/>
  <c r="AQ111" i="2" s="1"/>
  <c r="K111" i="2"/>
  <c r="J111" i="2"/>
  <c r="I111" i="2"/>
  <c r="H111" i="2"/>
  <c r="F111" i="2"/>
  <c r="D111" i="2"/>
  <c r="C111" i="2"/>
  <c r="B111" i="2"/>
  <c r="A111" i="2"/>
  <c r="AP110" i="2"/>
  <c r="AO110" i="2"/>
  <c r="AH110" i="2"/>
  <c r="W110" i="2"/>
  <c r="AI110" i="2" s="1"/>
  <c r="U110" i="2"/>
  <c r="M110" i="2"/>
  <c r="N110" i="2" s="1"/>
  <c r="AQ110" i="2" s="1"/>
  <c r="K110" i="2"/>
  <c r="J110" i="2"/>
  <c r="I110" i="2"/>
  <c r="H110" i="2"/>
  <c r="F110" i="2"/>
  <c r="D110" i="2"/>
  <c r="C110" i="2"/>
  <c r="B110" i="2"/>
  <c r="A110" i="2"/>
  <c r="AP109" i="2"/>
  <c r="AO109" i="2"/>
  <c r="AH109" i="2"/>
  <c r="W109" i="2"/>
  <c r="AI109" i="2" s="1"/>
  <c r="U109" i="2"/>
  <c r="M109" i="2"/>
  <c r="N109" i="2" s="1"/>
  <c r="AQ109" i="2" s="1"/>
  <c r="K109" i="2"/>
  <c r="J109" i="2"/>
  <c r="I109" i="2"/>
  <c r="H109" i="2"/>
  <c r="F109" i="2"/>
  <c r="D109" i="2"/>
  <c r="C109" i="2"/>
  <c r="B109" i="2"/>
  <c r="A109" i="2"/>
  <c r="AP108" i="2"/>
  <c r="AO108" i="2"/>
  <c r="AH108" i="2"/>
  <c r="W108" i="2"/>
  <c r="AI108" i="2" s="1"/>
  <c r="U108" i="2"/>
  <c r="M108" i="2"/>
  <c r="N108" i="2" s="1"/>
  <c r="AQ108" i="2" s="1"/>
  <c r="K108" i="2"/>
  <c r="J108" i="2"/>
  <c r="I108" i="2"/>
  <c r="H108" i="2"/>
  <c r="F108" i="2"/>
  <c r="D108" i="2"/>
  <c r="C108" i="2"/>
  <c r="B108" i="2"/>
  <c r="A108" i="2"/>
  <c r="AP107" i="2"/>
  <c r="AO107" i="2"/>
  <c r="AH107" i="2"/>
  <c r="W107" i="2"/>
  <c r="AI107" i="2" s="1"/>
  <c r="U107" i="2"/>
  <c r="M107" i="2"/>
  <c r="N107" i="2" s="1"/>
  <c r="AQ107" i="2" s="1"/>
  <c r="K107" i="2"/>
  <c r="J107" i="2"/>
  <c r="I107" i="2"/>
  <c r="H107" i="2"/>
  <c r="F107" i="2"/>
  <c r="D107" i="2"/>
  <c r="C107" i="2"/>
  <c r="B107" i="2"/>
  <c r="A107" i="2"/>
  <c r="AP106" i="2"/>
  <c r="AO106" i="2"/>
  <c r="AH106" i="2"/>
  <c r="W106" i="2"/>
  <c r="AI106" i="2" s="1"/>
  <c r="U106" i="2"/>
  <c r="M106" i="2"/>
  <c r="N106" i="2" s="1"/>
  <c r="AQ106" i="2" s="1"/>
  <c r="K106" i="2"/>
  <c r="J106" i="2"/>
  <c r="I106" i="2"/>
  <c r="H106" i="2"/>
  <c r="F106" i="2"/>
  <c r="D106" i="2"/>
  <c r="C106" i="2"/>
  <c r="B106" i="2"/>
  <c r="A106" i="2"/>
  <c r="AP105" i="2"/>
  <c r="AO105" i="2"/>
  <c r="AH105" i="2"/>
  <c r="W105" i="2"/>
  <c r="AI105" i="2" s="1"/>
  <c r="U105" i="2"/>
  <c r="M105" i="2"/>
  <c r="N105" i="2" s="1"/>
  <c r="AQ105" i="2" s="1"/>
  <c r="K105" i="2"/>
  <c r="J105" i="2"/>
  <c r="I105" i="2"/>
  <c r="H105" i="2"/>
  <c r="F105" i="2"/>
  <c r="D105" i="2"/>
  <c r="C105" i="2"/>
  <c r="B105" i="2"/>
  <c r="A105" i="2"/>
  <c r="AP104" i="2"/>
  <c r="AO104" i="2"/>
  <c r="AH104" i="2"/>
  <c r="W104" i="2"/>
  <c r="AI104" i="2" s="1"/>
  <c r="U104" i="2"/>
  <c r="M104" i="2"/>
  <c r="N104" i="2" s="1"/>
  <c r="AQ104" i="2" s="1"/>
  <c r="K104" i="2"/>
  <c r="J104" i="2"/>
  <c r="I104" i="2"/>
  <c r="H104" i="2"/>
  <c r="F104" i="2"/>
  <c r="D104" i="2"/>
  <c r="C104" i="2"/>
  <c r="B104" i="2"/>
  <c r="A104" i="2"/>
  <c r="AP103" i="2"/>
  <c r="AO103" i="2"/>
  <c r="W103" i="2"/>
  <c r="AI103" i="2" s="1"/>
  <c r="U103" i="2"/>
  <c r="M103" i="2"/>
  <c r="N103" i="2" s="1"/>
  <c r="AQ103" i="2" s="1"/>
  <c r="K103" i="2"/>
  <c r="J103" i="2"/>
  <c r="I103" i="2"/>
  <c r="H103" i="2"/>
  <c r="F103" i="2"/>
  <c r="G103" i="2" s="1"/>
  <c r="D103" i="2"/>
  <c r="C103" i="2"/>
  <c r="B103" i="2"/>
  <c r="A103" i="2"/>
  <c r="AP102" i="2"/>
  <c r="AO102" i="2"/>
  <c r="AH102" i="2"/>
  <c r="W102" i="2"/>
  <c r="AI102" i="2" s="1"/>
  <c r="U102" i="2"/>
  <c r="M102" i="2"/>
  <c r="N102" i="2" s="1"/>
  <c r="AQ102" i="2" s="1"/>
  <c r="K102" i="2"/>
  <c r="J102" i="2"/>
  <c r="I102" i="2"/>
  <c r="H102" i="2"/>
  <c r="F102" i="2"/>
  <c r="D102" i="2"/>
  <c r="C102" i="2"/>
  <c r="B102" i="2"/>
  <c r="A102" i="2"/>
  <c r="AP101" i="2"/>
  <c r="AO101" i="2"/>
  <c r="AH101" i="2"/>
  <c r="W101" i="2"/>
  <c r="AI101" i="2" s="1"/>
  <c r="U101" i="2"/>
  <c r="M101" i="2"/>
  <c r="N101" i="2" s="1"/>
  <c r="AQ101" i="2" s="1"/>
  <c r="K101" i="2"/>
  <c r="J101" i="2"/>
  <c r="I101" i="2"/>
  <c r="H101" i="2"/>
  <c r="F101" i="2"/>
  <c r="D101" i="2"/>
  <c r="C101" i="2"/>
  <c r="B101" i="2"/>
  <c r="A101" i="2"/>
  <c r="AP100" i="2"/>
  <c r="AO100" i="2"/>
  <c r="AH100" i="2"/>
  <c r="W100" i="2"/>
  <c r="AI100" i="2" s="1"/>
  <c r="U100" i="2"/>
  <c r="M100" i="2"/>
  <c r="N100" i="2" s="1"/>
  <c r="AQ100" i="2" s="1"/>
  <c r="K100" i="2"/>
  <c r="J100" i="2"/>
  <c r="I100" i="2"/>
  <c r="H100" i="2"/>
  <c r="F100" i="2"/>
  <c r="D100" i="2"/>
  <c r="C100" i="2"/>
  <c r="B100" i="2"/>
  <c r="A100" i="2"/>
  <c r="AP99" i="2"/>
  <c r="AO99" i="2"/>
  <c r="W99" i="2"/>
  <c r="AI99" i="2" s="1"/>
  <c r="U99" i="2"/>
  <c r="M99" i="2"/>
  <c r="N99" i="2" s="1"/>
  <c r="AQ99" i="2" s="1"/>
  <c r="K99" i="2"/>
  <c r="J99" i="2"/>
  <c r="I99" i="2"/>
  <c r="H99" i="2"/>
  <c r="F99" i="2"/>
  <c r="G99" i="2" s="1"/>
  <c r="D99" i="2"/>
  <c r="C99" i="2"/>
  <c r="B99" i="2"/>
  <c r="A99" i="2"/>
  <c r="AP98" i="2"/>
  <c r="AO98" i="2"/>
  <c r="W98" i="2"/>
  <c r="AI98" i="2" s="1"/>
  <c r="U98" i="2"/>
  <c r="M98" i="2"/>
  <c r="N98" i="2" s="1"/>
  <c r="AQ98" i="2" s="1"/>
  <c r="K98" i="2"/>
  <c r="J98" i="2"/>
  <c r="I98" i="2"/>
  <c r="H98" i="2"/>
  <c r="F98" i="2"/>
  <c r="G98" i="2" s="1"/>
  <c r="D98" i="2"/>
  <c r="C98" i="2"/>
  <c r="B98" i="2"/>
  <c r="A98" i="2"/>
  <c r="AP97" i="2"/>
  <c r="AO97" i="2"/>
  <c r="AH97" i="2"/>
  <c r="W97" i="2"/>
  <c r="AI97" i="2" s="1"/>
  <c r="U97" i="2"/>
  <c r="M97" i="2"/>
  <c r="N97" i="2" s="1"/>
  <c r="AQ97" i="2" s="1"/>
  <c r="K97" i="2"/>
  <c r="J97" i="2"/>
  <c r="I97" i="2"/>
  <c r="H97" i="2"/>
  <c r="F97" i="2"/>
  <c r="D97" i="2"/>
  <c r="C97" i="2"/>
  <c r="B97" i="2"/>
  <c r="A97" i="2"/>
  <c r="AP96" i="2"/>
  <c r="AO96" i="2"/>
  <c r="AH96" i="2"/>
  <c r="W96" i="2"/>
  <c r="AI96" i="2" s="1"/>
  <c r="U96" i="2"/>
  <c r="M96" i="2"/>
  <c r="N96" i="2" s="1"/>
  <c r="AQ96" i="2" s="1"/>
  <c r="K96" i="2"/>
  <c r="J96" i="2"/>
  <c r="I96" i="2"/>
  <c r="H96" i="2"/>
  <c r="F96" i="2"/>
  <c r="D96" i="2"/>
  <c r="C96" i="2"/>
  <c r="B96" i="2"/>
  <c r="A96" i="2"/>
  <c r="AP95" i="2"/>
  <c r="AO95" i="2"/>
  <c r="AH95" i="2"/>
  <c r="W95" i="2"/>
  <c r="AI95" i="2" s="1"/>
  <c r="U95" i="2"/>
  <c r="M95" i="2"/>
  <c r="N95" i="2" s="1"/>
  <c r="AQ95" i="2" s="1"/>
  <c r="K95" i="2"/>
  <c r="J95" i="2"/>
  <c r="I95" i="2"/>
  <c r="H95" i="2"/>
  <c r="F95" i="2"/>
  <c r="D95" i="2"/>
  <c r="C95" i="2"/>
  <c r="B95" i="2"/>
  <c r="A95" i="2"/>
  <c r="AP94" i="2"/>
  <c r="AO94" i="2"/>
  <c r="AH94" i="2"/>
  <c r="W94" i="2"/>
  <c r="AI94" i="2" s="1"/>
  <c r="U94" i="2"/>
  <c r="M94" i="2"/>
  <c r="N94" i="2" s="1"/>
  <c r="AQ94" i="2" s="1"/>
  <c r="K94" i="2"/>
  <c r="J94" i="2"/>
  <c r="I94" i="2"/>
  <c r="H94" i="2"/>
  <c r="F94" i="2"/>
  <c r="D94" i="2"/>
  <c r="C94" i="2"/>
  <c r="B94" i="2"/>
  <c r="A94" i="2"/>
  <c r="AP93" i="2"/>
  <c r="AO93" i="2"/>
  <c r="W93" i="2"/>
  <c r="AI93" i="2" s="1"/>
  <c r="U93" i="2"/>
  <c r="M93" i="2"/>
  <c r="N93" i="2" s="1"/>
  <c r="AQ93" i="2" s="1"/>
  <c r="K93" i="2"/>
  <c r="J93" i="2"/>
  <c r="I93" i="2"/>
  <c r="H93" i="2"/>
  <c r="F93" i="2"/>
  <c r="G93" i="2" s="1"/>
  <c r="D93" i="2"/>
  <c r="C93" i="2"/>
  <c r="B93" i="2"/>
  <c r="A93" i="2"/>
  <c r="AP92" i="2"/>
  <c r="AO92" i="2"/>
  <c r="AH92" i="2"/>
  <c r="W92" i="2"/>
  <c r="AI92" i="2" s="1"/>
  <c r="U92" i="2"/>
  <c r="M92" i="2"/>
  <c r="N92" i="2" s="1"/>
  <c r="AQ92" i="2" s="1"/>
  <c r="K92" i="2"/>
  <c r="J92" i="2"/>
  <c r="I92" i="2"/>
  <c r="H92" i="2"/>
  <c r="F92" i="2"/>
  <c r="D92" i="2"/>
  <c r="C92" i="2"/>
  <c r="B92" i="2"/>
  <c r="A92" i="2"/>
  <c r="AP91" i="2"/>
  <c r="AO91" i="2"/>
  <c r="AH91" i="2"/>
  <c r="W91" i="2"/>
  <c r="AI91" i="2" s="1"/>
  <c r="U91" i="2"/>
  <c r="M91" i="2"/>
  <c r="N91" i="2" s="1"/>
  <c r="AQ91" i="2" s="1"/>
  <c r="K91" i="2"/>
  <c r="J91" i="2"/>
  <c r="I91" i="2"/>
  <c r="H91" i="2"/>
  <c r="F91" i="2"/>
  <c r="D91" i="2"/>
  <c r="C91" i="2"/>
  <c r="B91" i="2"/>
  <c r="A91" i="2"/>
  <c r="AP90" i="2"/>
  <c r="AO90" i="2"/>
  <c r="AH90" i="2"/>
  <c r="W90" i="2"/>
  <c r="AI90" i="2" s="1"/>
  <c r="U90" i="2"/>
  <c r="M90" i="2"/>
  <c r="N90" i="2" s="1"/>
  <c r="AQ90" i="2" s="1"/>
  <c r="K90" i="2"/>
  <c r="J90" i="2"/>
  <c r="I90" i="2"/>
  <c r="H90" i="2"/>
  <c r="F90" i="2"/>
  <c r="D90" i="2"/>
  <c r="C90" i="2"/>
  <c r="B90" i="2"/>
  <c r="A90" i="2"/>
  <c r="AP89" i="2"/>
  <c r="AO89" i="2"/>
  <c r="AH89" i="2"/>
  <c r="W89" i="2"/>
  <c r="AI89" i="2" s="1"/>
  <c r="U89" i="2"/>
  <c r="M89" i="2"/>
  <c r="N89" i="2" s="1"/>
  <c r="AQ89" i="2" s="1"/>
  <c r="K89" i="2"/>
  <c r="J89" i="2"/>
  <c r="I89" i="2"/>
  <c r="H89" i="2"/>
  <c r="F89" i="2"/>
  <c r="D89" i="2"/>
  <c r="C89" i="2"/>
  <c r="B89" i="2"/>
  <c r="A89" i="2"/>
  <c r="AP88" i="2"/>
  <c r="AO88" i="2"/>
  <c r="AH88" i="2"/>
  <c r="W88" i="2"/>
  <c r="AI88" i="2" s="1"/>
  <c r="U88" i="2"/>
  <c r="M88" i="2"/>
  <c r="N88" i="2" s="1"/>
  <c r="AQ88" i="2" s="1"/>
  <c r="K88" i="2"/>
  <c r="J88" i="2"/>
  <c r="I88" i="2"/>
  <c r="H88" i="2"/>
  <c r="F88" i="2"/>
  <c r="D88" i="2"/>
  <c r="C88" i="2"/>
  <c r="B88" i="2"/>
  <c r="A88" i="2"/>
  <c r="AP87" i="2"/>
  <c r="AO87" i="2"/>
  <c r="AH87" i="2"/>
  <c r="W87" i="2"/>
  <c r="AI87" i="2" s="1"/>
  <c r="U87" i="2"/>
  <c r="M87" i="2"/>
  <c r="N87" i="2" s="1"/>
  <c r="AQ87" i="2" s="1"/>
  <c r="K87" i="2"/>
  <c r="J87" i="2"/>
  <c r="I87" i="2"/>
  <c r="H87" i="2"/>
  <c r="F87" i="2"/>
  <c r="D87" i="2"/>
  <c r="C87" i="2"/>
  <c r="B87" i="2"/>
  <c r="A87" i="2"/>
  <c r="AP86" i="2"/>
  <c r="AO86" i="2"/>
  <c r="AH86" i="2"/>
  <c r="W86" i="2"/>
  <c r="AI86" i="2" s="1"/>
  <c r="U86" i="2"/>
  <c r="M86" i="2"/>
  <c r="N86" i="2" s="1"/>
  <c r="AQ86" i="2" s="1"/>
  <c r="K86" i="2"/>
  <c r="J86" i="2"/>
  <c r="I86" i="2"/>
  <c r="H86" i="2"/>
  <c r="F86" i="2"/>
  <c r="D86" i="2"/>
  <c r="C86" i="2"/>
  <c r="B86" i="2"/>
  <c r="A86" i="2"/>
  <c r="AP85" i="2"/>
  <c r="AO85" i="2"/>
  <c r="AH85" i="2"/>
  <c r="W85" i="2"/>
  <c r="AI85" i="2" s="1"/>
  <c r="U85" i="2"/>
  <c r="M85" i="2"/>
  <c r="N85" i="2" s="1"/>
  <c r="AQ85" i="2" s="1"/>
  <c r="K85" i="2"/>
  <c r="J85" i="2"/>
  <c r="I85" i="2"/>
  <c r="H85" i="2"/>
  <c r="F85" i="2"/>
  <c r="D85" i="2"/>
  <c r="C85" i="2"/>
  <c r="B85" i="2"/>
  <c r="A85" i="2"/>
  <c r="AP84" i="2"/>
  <c r="AO84" i="2"/>
  <c r="AH84" i="2"/>
  <c r="W84" i="2"/>
  <c r="AI84" i="2" s="1"/>
  <c r="U84" i="2"/>
  <c r="M84" i="2"/>
  <c r="N84" i="2" s="1"/>
  <c r="AQ84" i="2" s="1"/>
  <c r="K84" i="2"/>
  <c r="J84" i="2"/>
  <c r="I84" i="2"/>
  <c r="H84" i="2"/>
  <c r="F84" i="2"/>
  <c r="D84" i="2"/>
  <c r="C84" i="2"/>
  <c r="B84" i="2"/>
  <c r="A84" i="2"/>
  <c r="AP83" i="2"/>
  <c r="AO83" i="2"/>
  <c r="AH83" i="2"/>
  <c r="W83" i="2"/>
  <c r="AI83" i="2" s="1"/>
  <c r="U83" i="2"/>
  <c r="M83" i="2"/>
  <c r="N83" i="2" s="1"/>
  <c r="AQ83" i="2" s="1"/>
  <c r="K83" i="2"/>
  <c r="J83" i="2"/>
  <c r="I83" i="2"/>
  <c r="H83" i="2"/>
  <c r="F83" i="2"/>
  <c r="D83" i="2"/>
  <c r="C83" i="2"/>
  <c r="B83" i="2"/>
  <c r="A83" i="2"/>
  <c r="AP82" i="2"/>
  <c r="AO82" i="2"/>
  <c r="AH82" i="2"/>
  <c r="W82" i="2"/>
  <c r="AI82" i="2" s="1"/>
  <c r="U82" i="2"/>
  <c r="M82" i="2"/>
  <c r="N82" i="2" s="1"/>
  <c r="AQ82" i="2" s="1"/>
  <c r="K82" i="2"/>
  <c r="J82" i="2"/>
  <c r="I82" i="2"/>
  <c r="H82" i="2"/>
  <c r="F82" i="2"/>
  <c r="D82" i="2"/>
  <c r="C82" i="2"/>
  <c r="B82" i="2"/>
  <c r="A82" i="2"/>
  <c r="AP81" i="2"/>
  <c r="AO81" i="2"/>
  <c r="AH81" i="2"/>
  <c r="W81" i="2"/>
  <c r="AI81" i="2" s="1"/>
  <c r="U81" i="2"/>
  <c r="M81" i="2"/>
  <c r="N81" i="2" s="1"/>
  <c r="AQ81" i="2" s="1"/>
  <c r="K81" i="2"/>
  <c r="J81" i="2"/>
  <c r="I81" i="2"/>
  <c r="H81" i="2"/>
  <c r="F81" i="2"/>
  <c r="D81" i="2"/>
  <c r="C81" i="2"/>
  <c r="B81" i="2"/>
  <c r="A81" i="2"/>
  <c r="AP80" i="2"/>
  <c r="AO80" i="2"/>
  <c r="AH80" i="2"/>
  <c r="W80" i="2"/>
  <c r="AI80" i="2" s="1"/>
  <c r="U80" i="2"/>
  <c r="M80" i="2"/>
  <c r="N80" i="2" s="1"/>
  <c r="AQ80" i="2" s="1"/>
  <c r="K80" i="2"/>
  <c r="J80" i="2"/>
  <c r="I80" i="2"/>
  <c r="H80" i="2"/>
  <c r="F80" i="2"/>
  <c r="D80" i="2"/>
  <c r="C80" i="2"/>
  <c r="B80" i="2"/>
  <c r="A80" i="2"/>
  <c r="AP79" i="2"/>
  <c r="AO79" i="2"/>
  <c r="AH79" i="2"/>
  <c r="W79" i="2"/>
  <c r="AI79" i="2" s="1"/>
  <c r="U79" i="2"/>
  <c r="M79" i="2"/>
  <c r="N79" i="2" s="1"/>
  <c r="AQ79" i="2" s="1"/>
  <c r="K79" i="2"/>
  <c r="J79" i="2"/>
  <c r="I79" i="2"/>
  <c r="H79" i="2"/>
  <c r="F79" i="2"/>
  <c r="D79" i="2"/>
  <c r="C79" i="2"/>
  <c r="B79" i="2"/>
  <c r="A79" i="2"/>
  <c r="AP78" i="2"/>
  <c r="AO78" i="2"/>
  <c r="AH78" i="2"/>
  <c r="W78" i="2"/>
  <c r="AI78" i="2" s="1"/>
  <c r="U78" i="2"/>
  <c r="M78" i="2"/>
  <c r="N78" i="2" s="1"/>
  <c r="AQ78" i="2" s="1"/>
  <c r="K78" i="2"/>
  <c r="J78" i="2"/>
  <c r="I78" i="2"/>
  <c r="H78" i="2"/>
  <c r="F78" i="2"/>
  <c r="D78" i="2"/>
  <c r="C78" i="2"/>
  <c r="B78" i="2"/>
  <c r="A78" i="2"/>
  <c r="AP77" i="2"/>
  <c r="AO77" i="2"/>
  <c r="AH77" i="2"/>
  <c r="W77" i="2"/>
  <c r="AI77" i="2" s="1"/>
  <c r="U77" i="2"/>
  <c r="M77" i="2"/>
  <c r="N77" i="2" s="1"/>
  <c r="AQ77" i="2" s="1"/>
  <c r="K77" i="2"/>
  <c r="J77" i="2"/>
  <c r="I77" i="2"/>
  <c r="H77" i="2"/>
  <c r="F77" i="2"/>
  <c r="D77" i="2"/>
  <c r="C77" i="2"/>
  <c r="B77" i="2"/>
  <c r="A77" i="2"/>
  <c r="AP76" i="2"/>
  <c r="AO76" i="2"/>
  <c r="AH76" i="2"/>
  <c r="W76" i="2"/>
  <c r="AI76" i="2" s="1"/>
  <c r="U76" i="2"/>
  <c r="M76" i="2"/>
  <c r="N76" i="2" s="1"/>
  <c r="AQ76" i="2" s="1"/>
  <c r="K76" i="2"/>
  <c r="J76" i="2"/>
  <c r="I76" i="2"/>
  <c r="H76" i="2"/>
  <c r="F76" i="2"/>
  <c r="D76" i="2"/>
  <c r="C76" i="2"/>
  <c r="B76" i="2"/>
  <c r="A76" i="2"/>
  <c r="AP75" i="2"/>
  <c r="AO75" i="2"/>
  <c r="AH75" i="2"/>
  <c r="W75" i="2"/>
  <c r="AI75" i="2" s="1"/>
  <c r="U75" i="2"/>
  <c r="M75" i="2"/>
  <c r="N75" i="2" s="1"/>
  <c r="AQ75" i="2" s="1"/>
  <c r="K75" i="2"/>
  <c r="J75" i="2"/>
  <c r="I75" i="2"/>
  <c r="H75" i="2"/>
  <c r="F75" i="2"/>
  <c r="D75" i="2"/>
  <c r="C75" i="2"/>
  <c r="B75" i="2"/>
  <c r="A75" i="2"/>
  <c r="AP74" i="2"/>
  <c r="AO74" i="2"/>
  <c r="AH74" i="2"/>
  <c r="W74" i="2"/>
  <c r="AI74" i="2" s="1"/>
  <c r="U74" i="2"/>
  <c r="M74" i="2"/>
  <c r="N74" i="2" s="1"/>
  <c r="AQ74" i="2" s="1"/>
  <c r="K74" i="2"/>
  <c r="J74" i="2"/>
  <c r="I74" i="2"/>
  <c r="H74" i="2"/>
  <c r="F74" i="2"/>
  <c r="D74" i="2"/>
  <c r="C74" i="2"/>
  <c r="B74" i="2"/>
  <c r="A74" i="2"/>
  <c r="AP73" i="2"/>
  <c r="AO73" i="2"/>
  <c r="AH73" i="2"/>
  <c r="W73" i="2"/>
  <c r="AI73" i="2" s="1"/>
  <c r="U73" i="2"/>
  <c r="M73" i="2"/>
  <c r="N73" i="2" s="1"/>
  <c r="AQ73" i="2" s="1"/>
  <c r="K73" i="2"/>
  <c r="J73" i="2"/>
  <c r="I73" i="2"/>
  <c r="H73" i="2"/>
  <c r="F73" i="2"/>
  <c r="D73" i="2"/>
  <c r="C73" i="2"/>
  <c r="B73" i="2"/>
  <c r="A73" i="2"/>
  <c r="AP72" i="2"/>
  <c r="AO72" i="2"/>
  <c r="AH72" i="2"/>
  <c r="W72" i="2"/>
  <c r="AI72" i="2" s="1"/>
  <c r="U72" i="2"/>
  <c r="M72" i="2"/>
  <c r="N72" i="2" s="1"/>
  <c r="AQ72" i="2" s="1"/>
  <c r="K72" i="2"/>
  <c r="J72" i="2"/>
  <c r="I72" i="2"/>
  <c r="H72" i="2"/>
  <c r="F72" i="2"/>
  <c r="D72" i="2"/>
  <c r="C72" i="2"/>
  <c r="B72" i="2"/>
  <c r="A72" i="2"/>
  <c r="AP71" i="2"/>
  <c r="AO71" i="2"/>
  <c r="AH71" i="2"/>
  <c r="W71" i="2"/>
  <c r="AI71" i="2" s="1"/>
  <c r="U71" i="2"/>
  <c r="M71" i="2"/>
  <c r="N71" i="2" s="1"/>
  <c r="AQ71" i="2" s="1"/>
  <c r="K71" i="2"/>
  <c r="J71" i="2"/>
  <c r="I71" i="2"/>
  <c r="H71" i="2"/>
  <c r="F71" i="2"/>
  <c r="D71" i="2"/>
  <c r="C71" i="2"/>
  <c r="B71" i="2"/>
  <c r="A71" i="2"/>
  <c r="AP70" i="2"/>
  <c r="AO70" i="2"/>
  <c r="AH70" i="2"/>
  <c r="W70" i="2"/>
  <c r="AI70" i="2" s="1"/>
  <c r="U70" i="2"/>
  <c r="M70" i="2"/>
  <c r="N70" i="2" s="1"/>
  <c r="AQ70" i="2" s="1"/>
  <c r="K70" i="2"/>
  <c r="J70" i="2"/>
  <c r="I70" i="2"/>
  <c r="H70" i="2"/>
  <c r="F70" i="2"/>
  <c r="D70" i="2"/>
  <c r="C70" i="2"/>
  <c r="B70" i="2"/>
  <c r="A70" i="2"/>
  <c r="AP69" i="2"/>
  <c r="AO69" i="2"/>
  <c r="AH69" i="2"/>
  <c r="W69" i="2"/>
  <c r="AI69" i="2" s="1"/>
  <c r="U69" i="2"/>
  <c r="M69" i="2"/>
  <c r="N69" i="2" s="1"/>
  <c r="AQ69" i="2" s="1"/>
  <c r="K69" i="2"/>
  <c r="J69" i="2"/>
  <c r="I69" i="2"/>
  <c r="H69" i="2"/>
  <c r="F69" i="2"/>
  <c r="D69" i="2"/>
  <c r="C69" i="2"/>
  <c r="B69" i="2"/>
  <c r="A69" i="2"/>
  <c r="AP68" i="2"/>
  <c r="AO68" i="2"/>
  <c r="AH68" i="2"/>
  <c r="W68" i="2"/>
  <c r="AI68" i="2" s="1"/>
  <c r="U68" i="2"/>
  <c r="M68" i="2"/>
  <c r="N68" i="2" s="1"/>
  <c r="AQ68" i="2" s="1"/>
  <c r="K68" i="2"/>
  <c r="J68" i="2"/>
  <c r="I68" i="2"/>
  <c r="H68" i="2"/>
  <c r="F68" i="2"/>
  <c r="D68" i="2"/>
  <c r="C68" i="2"/>
  <c r="B68" i="2"/>
  <c r="A68" i="2"/>
  <c r="AP67" i="2"/>
  <c r="AO67" i="2"/>
  <c r="AH67" i="2"/>
  <c r="W67" i="2"/>
  <c r="AI67" i="2" s="1"/>
  <c r="U67" i="2"/>
  <c r="M67" i="2"/>
  <c r="N67" i="2" s="1"/>
  <c r="AQ67" i="2" s="1"/>
  <c r="K67" i="2"/>
  <c r="J67" i="2"/>
  <c r="I67" i="2"/>
  <c r="H67" i="2"/>
  <c r="F67" i="2"/>
  <c r="D67" i="2"/>
  <c r="C67" i="2"/>
  <c r="B67" i="2"/>
  <c r="A67" i="2"/>
  <c r="AP66" i="2"/>
  <c r="AO66" i="2"/>
  <c r="AH66" i="2"/>
  <c r="W66" i="2"/>
  <c r="AI66" i="2" s="1"/>
  <c r="U66" i="2"/>
  <c r="M66" i="2"/>
  <c r="N66" i="2" s="1"/>
  <c r="AQ66" i="2" s="1"/>
  <c r="K66" i="2"/>
  <c r="J66" i="2"/>
  <c r="I66" i="2"/>
  <c r="H66" i="2"/>
  <c r="F66" i="2"/>
  <c r="D66" i="2"/>
  <c r="C66" i="2"/>
  <c r="B66" i="2"/>
  <c r="A66" i="2"/>
  <c r="AP65" i="2"/>
  <c r="AO65" i="2"/>
  <c r="W65" i="2"/>
  <c r="AI65" i="2" s="1"/>
  <c r="U65" i="2"/>
  <c r="M65" i="2"/>
  <c r="N65" i="2" s="1"/>
  <c r="AQ65" i="2" s="1"/>
  <c r="K65" i="2"/>
  <c r="J65" i="2"/>
  <c r="I65" i="2"/>
  <c r="H65" i="2"/>
  <c r="F65" i="2"/>
  <c r="D65" i="2"/>
  <c r="C65" i="2"/>
  <c r="B65" i="2"/>
  <c r="A65" i="2"/>
  <c r="AP64" i="2"/>
  <c r="AO64" i="2"/>
  <c r="W64" i="2"/>
  <c r="U64" i="2"/>
  <c r="M64" i="2"/>
  <c r="N64" i="2" s="1"/>
  <c r="AQ64" i="2" s="1"/>
  <c r="K64" i="2"/>
  <c r="J64" i="2"/>
  <c r="I64" i="2"/>
  <c r="H64" i="2"/>
  <c r="F64" i="2"/>
  <c r="G64" i="2" s="1"/>
  <c r="D64" i="2"/>
  <c r="C64" i="2"/>
  <c r="B64" i="2"/>
  <c r="A64" i="2"/>
  <c r="AP63" i="2"/>
  <c r="AO63" i="2"/>
  <c r="AH63" i="2"/>
  <c r="W63" i="2"/>
  <c r="AI63" i="2" s="1"/>
  <c r="U63" i="2"/>
  <c r="M63" i="2"/>
  <c r="N63" i="2" s="1"/>
  <c r="AQ63" i="2" s="1"/>
  <c r="K63" i="2"/>
  <c r="J63" i="2"/>
  <c r="I63" i="2"/>
  <c r="H63" i="2"/>
  <c r="F63" i="2"/>
  <c r="D63" i="2"/>
  <c r="C63" i="2"/>
  <c r="B63" i="2"/>
  <c r="A63" i="2"/>
  <c r="AP62" i="2"/>
  <c r="AO62" i="2"/>
  <c r="W62" i="2"/>
  <c r="AI62" i="2" s="1"/>
  <c r="U62" i="2"/>
  <c r="M62" i="2"/>
  <c r="N62" i="2" s="1"/>
  <c r="AQ62" i="2" s="1"/>
  <c r="K62" i="2"/>
  <c r="J62" i="2"/>
  <c r="I62" i="2"/>
  <c r="H62" i="2"/>
  <c r="F62" i="2"/>
  <c r="G62" i="2" s="1"/>
  <c r="D62" i="2"/>
  <c r="C62" i="2"/>
  <c r="B62" i="2"/>
  <c r="A62" i="2"/>
  <c r="AP61" i="2"/>
  <c r="AO61" i="2"/>
  <c r="W61" i="2"/>
  <c r="U61" i="2"/>
  <c r="M61" i="2"/>
  <c r="N61" i="2" s="1"/>
  <c r="AQ61" i="2" s="1"/>
  <c r="K61" i="2"/>
  <c r="J61" i="2"/>
  <c r="I61" i="2"/>
  <c r="H61" i="2"/>
  <c r="F61" i="2"/>
  <c r="G61" i="2" s="1"/>
  <c r="D61" i="2"/>
  <c r="C61" i="2"/>
  <c r="B61" i="2"/>
  <c r="A61" i="2"/>
  <c r="AP60" i="2"/>
  <c r="AO60" i="2"/>
  <c r="AH60" i="2"/>
  <c r="W60" i="2"/>
  <c r="AI60" i="2" s="1"/>
  <c r="U60" i="2"/>
  <c r="M60" i="2"/>
  <c r="N60" i="2" s="1"/>
  <c r="AQ60" i="2" s="1"/>
  <c r="K60" i="2"/>
  <c r="J60" i="2"/>
  <c r="I60" i="2"/>
  <c r="H60" i="2"/>
  <c r="F60" i="2"/>
  <c r="D60" i="2"/>
  <c r="C60" i="2"/>
  <c r="B60" i="2"/>
  <c r="A60" i="2"/>
  <c r="AP59" i="2"/>
  <c r="AO59" i="2"/>
  <c r="AH59" i="2"/>
  <c r="W59" i="2"/>
  <c r="AI59" i="2" s="1"/>
  <c r="U59" i="2"/>
  <c r="M59" i="2"/>
  <c r="N59" i="2" s="1"/>
  <c r="AQ59" i="2" s="1"/>
  <c r="K59" i="2"/>
  <c r="J59" i="2"/>
  <c r="I59" i="2"/>
  <c r="H59" i="2"/>
  <c r="F59" i="2"/>
  <c r="D59" i="2"/>
  <c r="C59" i="2"/>
  <c r="B59" i="2"/>
  <c r="A59" i="2"/>
  <c r="AP58" i="2"/>
  <c r="AO58" i="2"/>
  <c r="W58" i="2"/>
  <c r="AH58" i="2" s="1"/>
  <c r="U58" i="2"/>
  <c r="M58" i="2"/>
  <c r="N58" i="2" s="1"/>
  <c r="AQ58" i="2" s="1"/>
  <c r="K58" i="2"/>
  <c r="J58" i="2"/>
  <c r="I58" i="2"/>
  <c r="H58" i="2"/>
  <c r="F58" i="2"/>
  <c r="G58" i="2" s="1"/>
  <c r="D58" i="2"/>
  <c r="C58" i="2"/>
  <c r="B58" i="2"/>
  <c r="A58" i="2"/>
  <c r="AP57" i="2"/>
  <c r="AO57" i="2"/>
  <c r="W57" i="2"/>
  <c r="AH57" i="2" s="1"/>
  <c r="U57" i="2"/>
  <c r="M57" i="2"/>
  <c r="N57" i="2" s="1"/>
  <c r="AQ57" i="2" s="1"/>
  <c r="K57" i="2"/>
  <c r="J57" i="2"/>
  <c r="I57" i="2"/>
  <c r="H57" i="2"/>
  <c r="F57" i="2"/>
  <c r="G57" i="2" s="1"/>
  <c r="D57" i="2"/>
  <c r="C57" i="2"/>
  <c r="B57" i="2"/>
  <c r="A57" i="2"/>
  <c r="AP56" i="2"/>
  <c r="AO56" i="2"/>
  <c r="W56" i="2"/>
  <c r="AI56" i="2" s="1"/>
  <c r="U56" i="2"/>
  <c r="M56" i="2"/>
  <c r="N56" i="2" s="1"/>
  <c r="AQ56" i="2" s="1"/>
  <c r="K56" i="2"/>
  <c r="J56" i="2"/>
  <c r="I56" i="2"/>
  <c r="H56" i="2"/>
  <c r="F56" i="2"/>
  <c r="G56" i="2" s="1"/>
  <c r="D56" i="2"/>
  <c r="C56" i="2"/>
  <c r="B56" i="2"/>
  <c r="A56" i="2"/>
  <c r="AP55" i="2"/>
  <c r="AO55" i="2"/>
  <c r="W55" i="2"/>
  <c r="U55" i="2"/>
  <c r="M55" i="2"/>
  <c r="N55" i="2" s="1"/>
  <c r="AQ55" i="2" s="1"/>
  <c r="K55" i="2"/>
  <c r="J55" i="2"/>
  <c r="I55" i="2"/>
  <c r="H55" i="2"/>
  <c r="F55" i="2"/>
  <c r="G55" i="2" s="1"/>
  <c r="D55" i="2"/>
  <c r="C55" i="2"/>
  <c r="B55" i="2"/>
  <c r="A55" i="2"/>
  <c r="AP54" i="2"/>
  <c r="AO54" i="2"/>
  <c r="W54" i="2"/>
  <c r="AI54" i="2" s="1"/>
  <c r="U54" i="2"/>
  <c r="M54" i="2"/>
  <c r="N54" i="2" s="1"/>
  <c r="AQ54" i="2" s="1"/>
  <c r="K54" i="2"/>
  <c r="J54" i="2"/>
  <c r="I54" i="2"/>
  <c r="H54" i="2"/>
  <c r="F54" i="2"/>
  <c r="G54" i="2" s="1"/>
  <c r="D54" i="2"/>
  <c r="C54" i="2"/>
  <c r="B54" i="2"/>
  <c r="A54" i="2"/>
  <c r="AP53" i="2"/>
  <c r="AO53" i="2"/>
  <c r="W53" i="2"/>
  <c r="AI53" i="2" s="1"/>
  <c r="U53" i="2"/>
  <c r="M53" i="2"/>
  <c r="N53" i="2" s="1"/>
  <c r="AQ53" i="2" s="1"/>
  <c r="K53" i="2"/>
  <c r="J53" i="2"/>
  <c r="I53" i="2"/>
  <c r="H53" i="2"/>
  <c r="F53" i="2"/>
  <c r="D53" i="2"/>
  <c r="C53" i="2"/>
  <c r="B53" i="2"/>
  <c r="A53" i="2"/>
  <c r="AP52" i="2"/>
  <c r="AO52" i="2"/>
  <c r="W52" i="2"/>
  <c r="U52" i="2"/>
  <c r="M52" i="2"/>
  <c r="N52" i="2" s="1"/>
  <c r="AQ52" i="2" s="1"/>
  <c r="K52" i="2"/>
  <c r="J52" i="2"/>
  <c r="I52" i="2"/>
  <c r="H52" i="2"/>
  <c r="F52" i="2"/>
  <c r="G52" i="2" s="1"/>
  <c r="D52" i="2"/>
  <c r="C52" i="2"/>
  <c r="B52" i="2"/>
  <c r="A52" i="2"/>
  <c r="AP51" i="2"/>
  <c r="AO51" i="2"/>
  <c r="AH51" i="2"/>
  <c r="W51" i="2"/>
  <c r="AI51" i="2" s="1"/>
  <c r="U51" i="2"/>
  <c r="M51" i="2"/>
  <c r="N51" i="2" s="1"/>
  <c r="AQ51" i="2" s="1"/>
  <c r="K51" i="2"/>
  <c r="J51" i="2"/>
  <c r="I51" i="2"/>
  <c r="H51" i="2"/>
  <c r="F51" i="2"/>
  <c r="D51" i="2"/>
  <c r="C51" i="2"/>
  <c r="B51" i="2"/>
  <c r="A51" i="2"/>
  <c r="AP50" i="2"/>
  <c r="AO50" i="2"/>
  <c r="AH50" i="2"/>
  <c r="W50" i="2"/>
  <c r="AI50" i="2" s="1"/>
  <c r="U50" i="2"/>
  <c r="M50" i="2"/>
  <c r="N50" i="2" s="1"/>
  <c r="AQ50" i="2" s="1"/>
  <c r="K50" i="2"/>
  <c r="J50" i="2"/>
  <c r="I50" i="2"/>
  <c r="H50" i="2"/>
  <c r="F50" i="2"/>
  <c r="D50" i="2"/>
  <c r="C50" i="2"/>
  <c r="B50" i="2"/>
  <c r="A50" i="2"/>
  <c r="AP49" i="2"/>
  <c r="AO49" i="2"/>
  <c r="AH49" i="2"/>
  <c r="W49" i="2"/>
  <c r="AI49" i="2" s="1"/>
  <c r="U49" i="2"/>
  <c r="M49" i="2"/>
  <c r="N49" i="2" s="1"/>
  <c r="AQ49" i="2" s="1"/>
  <c r="K49" i="2"/>
  <c r="J49" i="2"/>
  <c r="I49" i="2"/>
  <c r="H49" i="2"/>
  <c r="F49" i="2"/>
  <c r="D49" i="2"/>
  <c r="C49" i="2"/>
  <c r="B49" i="2"/>
  <c r="A49" i="2"/>
  <c r="AP48" i="2"/>
  <c r="AO48" i="2"/>
  <c r="AH48" i="2"/>
  <c r="W48" i="2"/>
  <c r="AI48" i="2" s="1"/>
  <c r="U48" i="2"/>
  <c r="M48" i="2"/>
  <c r="N48" i="2" s="1"/>
  <c r="AQ48" i="2" s="1"/>
  <c r="K48" i="2"/>
  <c r="J48" i="2"/>
  <c r="I48" i="2"/>
  <c r="H48" i="2"/>
  <c r="F48" i="2"/>
  <c r="D48" i="2"/>
  <c r="C48" i="2"/>
  <c r="B48" i="2"/>
  <c r="A48" i="2"/>
  <c r="AP47" i="2"/>
  <c r="AO47" i="2"/>
  <c r="W47" i="2"/>
  <c r="AI47" i="2" s="1"/>
  <c r="U47" i="2"/>
  <c r="M47" i="2"/>
  <c r="N47" i="2" s="1"/>
  <c r="AQ47" i="2" s="1"/>
  <c r="K47" i="2"/>
  <c r="J47" i="2"/>
  <c r="I47" i="2"/>
  <c r="H47" i="2"/>
  <c r="F47" i="2"/>
  <c r="D47" i="2"/>
  <c r="C47" i="2"/>
  <c r="B47" i="2"/>
  <c r="A47" i="2"/>
  <c r="AP46" i="2"/>
  <c r="AO46" i="2"/>
  <c r="W46" i="2"/>
  <c r="AI46" i="2" s="1"/>
  <c r="U46" i="2"/>
  <c r="M46" i="2"/>
  <c r="N46" i="2" s="1"/>
  <c r="AQ46" i="2" s="1"/>
  <c r="K46" i="2"/>
  <c r="J46" i="2"/>
  <c r="I46" i="2"/>
  <c r="H46" i="2"/>
  <c r="F46" i="2"/>
  <c r="D46" i="2"/>
  <c r="C46" i="2"/>
  <c r="B46" i="2"/>
  <c r="A46" i="2"/>
  <c r="AP45" i="2"/>
  <c r="AO45" i="2"/>
  <c r="W45" i="2"/>
  <c r="U45" i="2"/>
  <c r="M45" i="2"/>
  <c r="N45" i="2" s="1"/>
  <c r="AQ45" i="2" s="1"/>
  <c r="K45" i="2"/>
  <c r="J45" i="2"/>
  <c r="I45" i="2"/>
  <c r="H45" i="2"/>
  <c r="F45" i="2"/>
  <c r="G45" i="2" s="1"/>
  <c r="D45" i="2"/>
  <c r="C45" i="2"/>
  <c r="B45" i="2"/>
  <c r="A45" i="2"/>
  <c r="AP44" i="2"/>
  <c r="AO44" i="2"/>
  <c r="W44" i="2"/>
  <c r="AH44" i="2" s="1"/>
  <c r="U44" i="2"/>
  <c r="M44" i="2"/>
  <c r="N44" i="2" s="1"/>
  <c r="AQ44" i="2" s="1"/>
  <c r="K44" i="2"/>
  <c r="J44" i="2"/>
  <c r="I44" i="2"/>
  <c r="H44" i="2"/>
  <c r="F44" i="2"/>
  <c r="G44" i="2" s="1"/>
  <c r="D44" i="2"/>
  <c r="C44" i="2"/>
  <c r="B44" i="2"/>
  <c r="A44" i="2"/>
  <c r="AP43" i="2"/>
  <c r="AO43" i="2"/>
  <c r="W43" i="2"/>
  <c r="AI43" i="2" s="1"/>
  <c r="U43" i="2"/>
  <c r="M43" i="2"/>
  <c r="N43" i="2" s="1"/>
  <c r="AQ43" i="2" s="1"/>
  <c r="K43" i="2"/>
  <c r="J43" i="2"/>
  <c r="I43" i="2"/>
  <c r="H43" i="2"/>
  <c r="F43" i="2"/>
  <c r="D43" i="2"/>
  <c r="C43" i="2"/>
  <c r="B43" i="2"/>
  <c r="A43" i="2"/>
  <c r="AP42" i="2"/>
  <c r="AO42" i="2"/>
  <c r="W42" i="2"/>
  <c r="AI42" i="2" s="1"/>
  <c r="U42" i="2"/>
  <c r="M42" i="2"/>
  <c r="N42" i="2" s="1"/>
  <c r="AQ42" i="2" s="1"/>
  <c r="K42" i="2"/>
  <c r="J42" i="2"/>
  <c r="I42" i="2"/>
  <c r="H42" i="2"/>
  <c r="F42" i="2"/>
  <c r="D42" i="2"/>
  <c r="C42" i="2"/>
  <c r="B42" i="2"/>
  <c r="A42" i="2"/>
  <c r="AP41" i="2"/>
  <c r="AO41" i="2"/>
  <c r="AH41" i="2"/>
  <c r="W41" i="2"/>
  <c r="AI41" i="2" s="1"/>
  <c r="U41" i="2"/>
  <c r="M41" i="2"/>
  <c r="N41" i="2" s="1"/>
  <c r="AQ41" i="2" s="1"/>
  <c r="K41" i="2"/>
  <c r="J41" i="2"/>
  <c r="I41" i="2"/>
  <c r="H41" i="2"/>
  <c r="F41" i="2"/>
  <c r="D41" i="2"/>
  <c r="C41" i="2"/>
  <c r="B41" i="2"/>
  <c r="A41" i="2"/>
  <c r="AP40" i="2"/>
  <c r="AO40" i="2"/>
  <c r="AH40" i="2"/>
  <c r="W40" i="2"/>
  <c r="AI40" i="2" s="1"/>
  <c r="U40" i="2"/>
  <c r="M40" i="2"/>
  <c r="N40" i="2" s="1"/>
  <c r="AQ40" i="2" s="1"/>
  <c r="K40" i="2"/>
  <c r="J40" i="2"/>
  <c r="I40" i="2"/>
  <c r="H40" i="2"/>
  <c r="F40" i="2"/>
  <c r="D40" i="2"/>
  <c r="C40" i="2"/>
  <c r="B40" i="2"/>
  <c r="A40" i="2"/>
  <c r="AP39" i="2"/>
  <c r="AO39" i="2"/>
  <c r="AH39" i="2"/>
  <c r="W39" i="2"/>
  <c r="AI39" i="2" s="1"/>
  <c r="U39" i="2"/>
  <c r="M39" i="2"/>
  <c r="N39" i="2" s="1"/>
  <c r="AQ39" i="2" s="1"/>
  <c r="K39" i="2"/>
  <c r="J39" i="2"/>
  <c r="I39" i="2"/>
  <c r="H39" i="2"/>
  <c r="F39" i="2"/>
  <c r="D39" i="2"/>
  <c r="C39" i="2"/>
  <c r="B39" i="2"/>
  <c r="A39" i="2"/>
  <c r="AP38" i="2"/>
  <c r="AO38" i="2"/>
  <c r="W38" i="2"/>
  <c r="AI38" i="2" s="1"/>
  <c r="U38" i="2"/>
  <c r="M38" i="2"/>
  <c r="N38" i="2" s="1"/>
  <c r="AQ38" i="2" s="1"/>
  <c r="K38" i="2"/>
  <c r="J38" i="2"/>
  <c r="I38" i="2"/>
  <c r="H38" i="2"/>
  <c r="F38" i="2"/>
  <c r="D38" i="2"/>
  <c r="C38" i="2"/>
  <c r="B38" i="2"/>
  <c r="A38" i="2"/>
  <c r="AP37" i="2"/>
  <c r="AO37" i="2"/>
  <c r="W37" i="2"/>
  <c r="AI37" i="2" s="1"/>
  <c r="U37" i="2"/>
  <c r="M37" i="2"/>
  <c r="N37" i="2" s="1"/>
  <c r="AQ37" i="2" s="1"/>
  <c r="K37" i="2"/>
  <c r="J37" i="2"/>
  <c r="I37" i="2"/>
  <c r="H37" i="2"/>
  <c r="F37" i="2"/>
  <c r="D37" i="2"/>
  <c r="C37" i="2"/>
  <c r="B37" i="2"/>
  <c r="A37" i="2"/>
  <c r="AP36" i="2"/>
  <c r="AO36" i="2"/>
  <c r="W36" i="2"/>
  <c r="AI36" i="2" s="1"/>
  <c r="U36" i="2"/>
  <c r="M36" i="2"/>
  <c r="N36" i="2" s="1"/>
  <c r="AQ36" i="2" s="1"/>
  <c r="K36" i="2"/>
  <c r="J36" i="2"/>
  <c r="I36" i="2"/>
  <c r="H36" i="2"/>
  <c r="F36" i="2"/>
  <c r="D36" i="2"/>
  <c r="C36" i="2"/>
  <c r="B36" i="2"/>
  <c r="A36" i="2"/>
  <c r="AP35" i="2"/>
  <c r="AO35" i="2"/>
  <c r="W35" i="2"/>
  <c r="AI35" i="2" s="1"/>
  <c r="U35" i="2"/>
  <c r="M35" i="2"/>
  <c r="N35" i="2" s="1"/>
  <c r="AQ35" i="2" s="1"/>
  <c r="K35" i="2"/>
  <c r="J35" i="2"/>
  <c r="I35" i="2"/>
  <c r="H35" i="2"/>
  <c r="F35" i="2"/>
  <c r="D35" i="2"/>
  <c r="C35" i="2"/>
  <c r="B35" i="2"/>
  <c r="A35" i="2"/>
  <c r="AP34" i="2"/>
  <c r="AO34" i="2"/>
  <c r="W34" i="2"/>
  <c r="AI34" i="2" s="1"/>
  <c r="U34" i="2"/>
  <c r="M34" i="2"/>
  <c r="N34" i="2" s="1"/>
  <c r="AQ34" i="2" s="1"/>
  <c r="K34" i="2"/>
  <c r="J34" i="2"/>
  <c r="I34" i="2"/>
  <c r="H34" i="2"/>
  <c r="F34" i="2"/>
  <c r="G34" i="2" s="1"/>
  <c r="D34" i="2"/>
  <c r="C34" i="2"/>
  <c r="B34" i="2"/>
  <c r="A34" i="2"/>
  <c r="AP33" i="2"/>
  <c r="AO33" i="2"/>
  <c r="W33" i="2"/>
  <c r="AI33" i="2" s="1"/>
  <c r="U33" i="2"/>
  <c r="M33" i="2"/>
  <c r="N33" i="2" s="1"/>
  <c r="AQ33" i="2" s="1"/>
  <c r="K33" i="2"/>
  <c r="J33" i="2"/>
  <c r="I33" i="2"/>
  <c r="H33" i="2"/>
  <c r="F33" i="2"/>
  <c r="D33" i="2"/>
  <c r="C33" i="2"/>
  <c r="B33" i="2"/>
  <c r="A33" i="2"/>
  <c r="AP32" i="2"/>
  <c r="AO32" i="2"/>
  <c r="AH32" i="2"/>
  <c r="W32" i="2"/>
  <c r="AI32" i="2" s="1"/>
  <c r="U32" i="2"/>
  <c r="M32" i="2"/>
  <c r="N32" i="2" s="1"/>
  <c r="AQ32" i="2" s="1"/>
  <c r="K32" i="2"/>
  <c r="J32" i="2"/>
  <c r="I32" i="2"/>
  <c r="H32" i="2"/>
  <c r="F32" i="2"/>
  <c r="D32" i="2"/>
  <c r="C32" i="2"/>
  <c r="B32" i="2"/>
  <c r="A32" i="2"/>
  <c r="AP31" i="2"/>
  <c r="AO31" i="2"/>
  <c r="AH31" i="2"/>
  <c r="W31" i="2"/>
  <c r="AI31" i="2" s="1"/>
  <c r="U31" i="2"/>
  <c r="M31" i="2"/>
  <c r="N31" i="2" s="1"/>
  <c r="AQ31" i="2" s="1"/>
  <c r="K31" i="2"/>
  <c r="J31" i="2"/>
  <c r="I31" i="2"/>
  <c r="H31" i="2"/>
  <c r="F31" i="2"/>
  <c r="D31" i="2"/>
  <c r="C31" i="2"/>
  <c r="B31" i="2"/>
  <c r="A31" i="2"/>
  <c r="AP30" i="2"/>
  <c r="AO30" i="2"/>
  <c r="W30" i="2"/>
  <c r="U30" i="2"/>
  <c r="M30" i="2"/>
  <c r="N30" i="2" s="1"/>
  <c r="AQ30" i="2" s="1"/>
  <c r="K30" i="2"/>
  <c r="J30" i="2"/>
  <c r="I30" i="2"/>
  <c r="H30" i="2"/>
  <c r="F30" i="2"/>
  <c r="G30" i="2" s="1"/>
  <c r="D30" i="2"/>
  <c r="C30" i="2"/>
  <c r="B30" i="2"/>
  <c r="A30" i="2"/>
  <c r="AQ29" i="2"/>
  <c r="AP29" i="2"/>
  <c r="AO29" i="2"/>
  <c r="W29" i="2"/>
  <c r="AI29" i="2" s="1"/>
  <c r="U29" i="2"/>
  <c r="M29" i="2"/>
  <c r="K29" i="2"/>
  <c r="J29" i="2"/>
  <c r="I29" i="2"/>
  <c r="H29" i="2"/>
  <c r="F29" i="2"/>
  <c r="D29" i="2"/>
  <c r="C29" i="2"/>
  <c r="B29" i="2"/>
  <c r="A29" i="2"/>
  <c r="AQ28" i="2"/>
  <c r="AP28" i="2"/>
  <c r="AO28" i="2"/>
  <c r="W28" i="2"/>
  <c r="U28" i="2"/>
  <c r="M28" i="2"/>
  <c r="K28" i="2"/>
  <c r="J28" i="2"/>
  <c r="I28" i="2"/>
  <c r="H28" i="2"/>
  <c r="F28" i="2"/>
  <c r="D28" i="2"/>
  <c r="C28" i="2"/>
  <c r="B28" i="2"/>
  <c r="A28" i="2"/>
  <c r="AQ27" i="2"/>
  <c r="AP27" i="2"/>
  <c r="AO27" i="2"/>
  <c r="W27" i="2"/>
  <c r="AI27" i="2" s="1"/>
  <c r="U27" i="2"/>
  <c r="M27" i="2"/>
  <c r="K27" i="2"/>
  <c r="J27" i="2"/>
  <c r="I27" i="2"/>
  <c r="H27" i="2"/>
  <c r="F27" i="2"/>
  <c r="D27" i="2"/>
  <c r="C27" i="2"/>
  <c r="B27" i="2"/>
  <c r="A27" i="2"/>
  <c r="AP26" i="2"/>
  <c r="AO26" i="2"/>
  <c r="W26" i="2"/>
  <c r="AH26" i="2" s="1"/>
  <c r="U26" i="2"/>
  <c r="M26" i="2"/>
  <c r="N26" i="2" s="1"/>
  <c r="AQ26" i="2" s="1"/>
  <c r="K26" i="2"/>
  <c r="J26" i="2"/>
  <c r="I26" i="2"/>
  <c r="H26" i="2"/>
  <c r="F26" i="2"/>
  <c r="D26" i="2"/>
  <c r="C26" i="2"/>
  <c r="B26" i="2"/>
  <c r="A26" i="2"/>
  <c r="AP25" i="2"/>
  <c r="AO25" i="2"/>
  <c r="AH25" i="2"/>
  <c r="W25" i="2"/>
  <c r="AI25" i="2" s="1"/>
  <c r="U25" i="2"/>
  <c r="M25" i="2"/>
  <c r="N25" i="2" s="1"/>
  <c r="AQ25" i="2" s="1"/>
  <c r="K25" i="2"/>
  <c r="J25" i="2"/>
  <c r="I25" i="2"/>
  <c r="H25" i="2"/>
  <c r="F25" i="2"/>
  <c r="D25" i="2"/>
  <c r="C25" i="2"/>
  <c r="B25" i="2"/>
  <c r="A25" i="2"/>
  <c r="AP24" i="2"/>
  <c r="AO24" i="2"/>
  <c r="W24" i="2"/>
  <c r="AI24" i="2" s="1"/>
  <c r="U24" i="2"/>
  <c r="M24" i="2"/>
  <c r="N24" i="2" s="1"/>
  <c r="AQ24" i="2" s="1"/>
  <c r="K24" i="2"/>
  <c r="J24" i="2"/>
  <c r="I24" i="2"/>
  <c r="H24" i="2"/>
  <c r="F24" i="2"/>
  <c r="D24" i="2"/>
  <c r="C24" i="2"/>
  <c r="B24" i="2"/>
  <c r="A24" i="2"/>
  <c r="AQ23" i="2"/>
  <c r="AP23" i="2"/>
  <c r="AO23" i="2"/>
  <c r="AH23" i="2"/>
  <c r="W23" i="2"/>
  <c r="AI23" i="2" s="1"/>
  <c r="U23" i="2"/>
  <c r="M23" i="2"/>
  <c r="K23" i="2"/>
  <c r="J23" i="2"/>
  <c r="I23" i="2"/>
  <c r="H23" i="2"/>
  <c r="F23" i="2"/>
  <c r="D23" i="2"/>
  <c r="C23" i="2"/>
  <c r="B23" i="2"/>
  <c r="A23" i="2"/>
  <c r="AQ22" i="2"/>
  <c r="AP22" i="2"/>
  <c r="AO22" i="2"/>
  <c r="AH22" i="2"/>
  <c r="W22" i="2"/>
  <c r="AI22" i="2" s="1"/>
  <c r="U22" i="2"/>
  <c r="M22" i="2"/>
  <c r="K22" i="2"/>
  <c r="J22" i="2"/>
  <c r="I22" i="2"/>
  <c r="H22" i="2"/>
  <c r="F22" i="2"/>
  <c r="D22" i="2"/>
  <c r="C22" i="2"/>
  <c r="B22" i="2"/>
  <c r="A22" i="2"/>
  <c r="AP21" i="2"/>
  <c r="AO21" i="2"/>
  <c r="W21" i="2"/>
  <c r="U21" i="2"/>
  <c r="M21" i="2"/>
  <c r="N21" i="2" s="1"/>
  <c r="AQ21" i="2" s="1"/>
  <c r="K21" i="2"/>
  <c r="J21" i="2"/>
  <c r="I21" i="2"/>
  <c r="H21" i="2"/>
  <c r="F21" i="2"/>
  <c r="D21" i="2"/>
  <c r="C21" i="2"/>
  <c r="B21" i="2"/>
  <c r="A21" i="2"/>
  <c r="AQ20" i="2"/>
  <c r="AP20" i="2"/>
  <c r="AO20" i="2"/>
  <c r="AH20" i="2"/>
  <c r="W20" i="2"/>
  <c r="AI20" i="2" s="1"/>
  <c r="U20" i="2"/>
  <c r="M20" i="2"/>
  <c r="K20" i="2"/>
  <c r="J20" i="2"/>
  <c r="I20" i="2"/>
  <c r="H20" i="2"/>
  <c r="F20" i="2"/>
  <c r="D20" i="2"/>
  <c r="C20" i="2"/>
  <c r="B20" i="2"/>
  <c r="A20" i="2"/>
  <c r="AP19" i="2"/>
  <c r="AO19" i="2"/>
  <c r="W19" i="2"/>
  <c r="AH19" i="2" s="1"/>
  <c r="U19" i="2"/>
  <c r="M19" i="2"/>
  <c r="N19" i="2" s="1"/>
  <c r="AQ19" i="2" s="1"/>
  <c r="K19" i="2"/>
  <c r="J19" i="2"/>
  <c r="I19" i="2"/>
  <c r="H19" i="2"/>
  <c r="F19" i="2"/>
  <c r="G19" i="2" s="1"/>
  <c r="D19" i="2"/>
  <c r="C19" i="2"/>
  <c r="B19" i="2"/>
  <c r="A19" i="2"/>
  <c r="AQ18" i="2"/>
  <c r="AP18" i="2"/>
  <c r="AO18" i="2"/>
  <c r="AH18" i="2"/>
  <c r="W18" i="2"/>
  <c r="AI18" i="2" s="1"/>
  <c r="U18" i="2"/>
  <c r="M18" i="2"/>
  <c r="K18" i="2"/>
  <c r="J18" i="2"/>
  <c r="I18" i="2"/>
  <c r="H18" i="2"/>
  <c r="F18" i="2"/>
  <c r="D18" i="2"/>
  <c r="C18" i="2"/>
  <c r="B18" i="2"/>
  <c r="A18" i="2"/>
  <c r="AQ17" i="2"/>
  <c r="AP17" i="2"/>
  <c r="AO17" i="2"/>
  <c r="AH17" i="2"/>
  <c r="W17" i="2"/>
  <c r="AI17" i="2" s="1"/>
  <c r="U17" i="2"/>
  <c r="K17" i="2"/>
  <c r="J17" i="2"/>
  <c r="I17" i="2"/>
  <c r="H17" i="2"/>
  <c r="F17" i="2"/>
  <c r="D17" i="2"/>
  <c r="C17" i="2"/>
  <c r="B17" i="2"/>
  <c r="A17" i="2"/>
  <c r="AQ16" i="2"/>
  <c r="AP16" i="2"/>
  <c r="AO16" i="2"/>
  <c r="AH16" i="2"/>
  <c r="W16" i="2"/>
  <c r="AI16" i="2" s="1"/>
  <c r="U16" i="2"/>
  <c r="M16" i="2"/>
  <c r="K16" i="2"/>
  <c r="J16" i="2"/>
  <c r="I16" i="2"/>
  <c r="H16" i="2"/>
  <c r="F16" i="2"/>
  <c r="D16" i="2"/>
  <c r="C16" i="2"/>
  <c r="B16" i="2"/>
  <c r="A16" i="2"/>
  <c r="B9" i="2"/>
  <c r="B8" i="2"/>
  <c r="B7" i="2"/>
  <c r="B6" i="2"/>
  <c r="B5" i="2"/>
  <c r="B4" i="2"/>
  <c r="B3" i="2"/>
  <c r="D87" i="4"/>
  <c r="E110" i="5" s="1"/>
  <c r="B87" i="4"/>
  <c r="C110" i="5" s="1"/>
  <c r="AJ85" i="4"/>
  <c r="AI85" i="4"/>
  <c r="AH85" i="4"/>
  <c r="AG85" i="4"/>
  <c r="AF85" i="4"/>
  <c r="AE85" i="4"/>
  <c r="AK85" i="4" s="1"/>
  <c r="AB85" i="4"/>
  <c r="AA85" i="4"/>
  <c r="Z85" i="4"/>
  <c r="Y85" i="4"/>
  <c r="X85" i="4"/>
  <c r="W85" i="4"/>
  <c r="T85" i="4"/>
  <c r="S85" i="4"/>
  <c r="R85" i="4"/>
  <c r="Q85" i="4"/>
  <c r="P85" i="4"/>
  <c r="O85" i="4"/>
  <c r="L85" i="4"/>
  <c r="K85" i="4"/>
  <c r="J85" i="4"/>
  <c r="I85" i="4"/>
  <c r="H85" i="4"/>
  <c r="G85" i="4"/>
  <c r="D85" i="4"/>
  <c r="E108" i="5" s="1"/>
  <c r="B85" i="4"/>
  <c r="D84" i="4"/>
  <c r="E107" i="5" s="1"/>
  <c r="B84" i="4"/>
  <c r="B79" i="4"/>
  <c r="C91" i="5" s="1"/>
  <c r="D74" i="4"/>
  <c r="G86" i="5" s="1"/>
  <c r="B74" i="4"/>
  <c r="C86" i="5" s="1"/>
  <c r="D73" i="4"/>
  <c r="G85" i="5" s="1"/>
  <c r="B73" i="4"/>
  <c r="C85" i="5" s="1"/>
  <c r="D68" i="4"/>
  <c r="E80" i="5" s="1"/>
  <c r="B68" i="4"/>
  <c r="C80" i="5" s="1"/>
  <c r="A68" i="4"/>
  <c r="AJ67" i="4"/>
  <c r="AI67" i="4"/>
  <c r="AH67" i="4"/>
  <c r="AG67" i="4"/>
  <c r="AF67" i="4"/>
  <c r="AE67" i="4"/>
  <c r="AK67" i="4" s="1"/>
  <c r="AB67" i="4"/>
  <c r="AA67" i="4"/>
  <c r="Z67" i="4"/>
  <c r="Y67" i="4"/>
  <c r="X67" i="4"/>
  <c r="W67" i="4"/>
  <c r="T67" i="4"/>
  <c r="S67" i="4"/>
  <c r="R67" i="4"/>
  <c r="Q67" i="4"/>
  <c r="P67" i="4"/>
  <c r="O67" i="4"/>
  <c r="U67" i="4" s="1"/>
  <c r="L67" i="4"/>
  <c r="K67" i="4"/>
  <c r="J67" i="4"/>
  <c r="I67" i="4"/>
  <c r="H67" i="4"/>
  <c r="G67" i="4"/>
  <c r="D67" i="4"/>
  <c r="B67" i="4"/>
  <c r="C79" i="5" s="1"/>
  <c r="A67" i="4"/>
  <c r="D66" i="4"/>
  <c r="E78" i="5" s="1"/>
  <c r="B66" i="4"/>
  <c r="C78" i="5" s="1"/>
  <c r="A66" i="4"/>
  <c r="AJ65" i="4"/>
  <c r="AI65" i="4"/>
  <c r="AH65" i="4"/>
  <c r="AG65" i="4"/>
  <c r="AF65" i="4"/>
  <c r="AE65" i="4"/>
  <c r="AB65" i="4"/>
  <c r="AA65" i="4"/>
  <c r="Z65" i="4"/>
  <c r="Y65" i="4"/>
  <c r="X65" i="4"/>
  <c r="W65" i="4"/>
  <c r="T65" i="4"/>
  <c r="S65" i="4"/>
  <c r="R65" i="4"/>
  <c r="Q65" i="4"/>
  <c r="P65" i="4"/>
  <c r="O65" i="4"/>
  <c r="L65" i="4"/>
  <c r="K65" i="4"/>
  <c r="J65" i="4"/>
  <c r="I65" i="4"/>
  <c r="H65" i="4"/>
  <c r="G65" i="4"/>
  <c r="D65" i="4"/>
  <c r="E77" i="5" s="1"/>
  <c r="B65" i="4"/>
  <c r="A65" i="4"/>
  <c r="AJ64" i="4"/>
  <c r="AI64" i="4"/>
  <c r="AH64" i="4"/>
  <c r="AG64" i="4"/>
  <c r="AF64" i="4"/>
  <c r="AE64" i="4"/>
  <c r="AB64" i="4"/>
  <c r="AA64" i="4"/>
  <c r="Z64" i="4"/>
  <c r="Y64" i="4"/>
  <c r="X64" i="4"/>
  <c r="W64" i="4"/>
  <c r="T64" i="4"/>
  <c r="S64" i="4"/>
  <c r="R64" i="4"/>
  <c r="Q64" i="4"/>
  <c r="P64" i="4"/>
  <c r="O64" i="4"/>
  <c r="L64" i="4"/>
  <c r="K64" i="4"/>
  <c r="J64" i="4"/>
  <c r="I64" i="4"/>
  <c r="H64" i="4"/>
  <c r="G64" i="4"/>
  <c r="D64" i="4"/>
  <c r="E76" i="5" s="1"/>
  <c r="B64" i="4"/>
  <c r="C76" i="5" s="1"/>
  <c r="A64" i="4"/>
  <c r="AJ63" i="4"/>
  <c r="AI63" i="4"/>
  <c r="AH63" i="4"/>
  <c r="AG63" i="4"/>
  <c r="AF63" i="4"/>
  <c r="AE63" i="4"/>
  <c r="AB63" i="4"/>
  <c r="AA63" i="4"/>
  <c r="Z63" i="4"/>
  <c r="Y63" i="4"/>
  <c r="X63" i="4"/>
  <c r="W63" i="4"/>
  <c r="T63" i="4"/>
  <c r="S63" i="4"/>
  <c r="R63" i="4"/>
  <c r="Q63" i="4"/>
  <c r="P63" i="4"/>
  <c r="O63" i="4"/>
  <c r="L63" i="4"/>
  <c r="K63" i="4"/>
  <c r="J63" i="4"/>
  <c r="I63" i="4"/>
  <c r="H63" i="4"/>
  <c r="G63" i="4"/>
  <c r="D63" i="4"/>
  <c r="E75" i="5" s="1"/>
  <c r="B63" i="4"/>
  <c r="C75" i="5" s="1"/>
  <c r="A63" i="4"/>
  <c r="AJ62" i="4"/>
  <c r="AI62" i="4"/>
  <c r="AH62" i="4"/>
  <c r="AG62" i="4"/>
  <c r="AF62" i="4"/>
  <c r="AE62" i="4"/>
  <c r="AB62" i="4"/>
  <c r="AA62" i="4"/>
  <c r="Z62" i="4"/>
  <c r="Y62" i="4"/>
  <c r="X62" i="4"/>
  <c r="W62" i="4"/>
  <c r="T62" i="4"/>
  <c r="S62" i="4"/>
  <c r="R62" i="4"/>
  <c r="Q62" i="4"/>
  <c r="P62" i="4"/>
  <c r="O62" i="4"/>
  <c r="U62" i="4" s="1"/>
  <c r="L62" i="4"/>
  <c r="K62" i="4"/>
  <c r="J62" i="4"/>
  <c r="I62" i="4"/>
  <c r="H62" i="4"/>
  <c r="G62" i="4"/>
  <c r="D62" i="4"/>
  <c r="E74" i="5" s="1"/>
  <c r="B62" i="4"/>
  <c r="C74" i="5" s="1"/>
  <c r="A62" i="4"/>
  <c r="AJ61" i="4"/>
  <c r="AI61" i="4"/>
  <c r="AH61" i="4"/>
  <c r="AG61" i="4"/>
  <c r="AF61" i="4"/>
  <c r="AE61" i="4"/>
  <c r="AB61" i="4"/>
  <c r="AA61" i="4"/>
  <c r="Z61" i="4"/>
  <c r="Y61" i="4"/>
  <c r="X61" i="4"/>
  <c r="W61" i="4"/>
  <c r="T61" i="4"/>
  <c r="S61" i="4"/>
  <c r="R61" i="4"/>
  <c r="Q61" i="4"/>
  <c r="P61" i="4"/>
  <c r="O61" i="4"/>
  <c r="L61" i="4"/>
  <c r="K61" i="4"/>
  <c r="J61" i="4"/>
  <c r="I61" i="4"/>
  <c r="H61" i="4"/>
  <c r="G61" i="4"/>
  <c r="D61" i="4"/>
  <c r="E73" i="5" s="1"/>
  <c r="B61" i="4"/>
  <c r="C73" i="5" s="1"/>
  <c r="AJ60" i="4"/>
  <c r="AI60" i="4"/>
  <c r="AH60" i="4"/>
  <c r="AG60" i="4"/>
  <c r="AF60" i="4"/>
  <c r="AE60" i="4"/>
  <c r="AB60" i="4"/>
  <c r="AA60" i="4"/>
  <c r="Z60" i="4"/>
  <c r="Y60" i="4"/>
  <c r="X60" i="4"/>
  <c r="W60" i="4"/>
  <c r="T60" i="4"/>
  <c r="S60" i="4"/>
  <c r="R60" i="4"/>
  <c r="Q60" i="4"/>
  <c r="P60" i="4"/>
  <c r="O60" i="4"/>
  <c r="L60" i="4"/>
  <c r="K60" i="4"/>
  <c r="J60" i="4"/>
  <c r="I60" i="4"/>
  <c r="H60" i="4"/>
  <c r="G60" i="4"/>
  <c r="D60" i="4"/>
  <c r="E72" i="5" s="1"/>
  <c r="B60" i="4"/>
  <c r="C72" i="5" s="1"/>
  <c r="A60" i="4"/>
  <c r="AJ59" i="4"/>
  <c r="AI59" i="4"/>
  <c r="AH59" i="4"/>
  <c r="AG59" i="4"/>
  <c r="AF59" i="4"/>
  <c r="AE59" i="4"/>
  <c r="AK59" i="4" s="1"/>
  <c r="AB59" i="4"/>
  <c r="AA59" i="4"/>
  <c r="Z59" i="4"/>
  <c r="Y59" i="4"/>
  <c r="X59" i="4"/>
  <c r="W59" i="4"/>
  <c r="T59" i="4"/>
  <c r="S59" i="4"/>
  <c r="R59" i="4"/>
  <c r="Q59" i="4"/>
  <c r="P59" i="4"/>
  <c r="O59" i="4"/>
  <c r="U59" i="4" s="1"/>
  <c r="L59" i="4"/>
  <c r="K59" i="4"/>
  <c r="J59" i="4"/>
  <c r="I59" i="4"/>
  <c r="H59" i="4"/>
  <c r="G59" i="4"/>
  <c r="D59" i="4"/>
  <c r="E71" i="5" s="1"/>
  <c r="B59" i="4"/>
  <c r="C71" i="5" s="1"/>
  <c r="A59" i="4"/>
  <c r="AJ58" i="4"/>
  <c r="AI58" i="4"/>
  <c r="AH58" i="4"/>
  <c r="AG58" i="4"/>
  <c r="AF58" i="4"/>
  <c r="AE58" i="4"/>
  <c r="AB58" i="4"/>
  <c r="AA58" i="4"/>
  <c r="Z58" i="4"/>
  <c r="Y58" i="4"/>
  <c r="X58" i="4"/>
  <c r="W58" i="4"/>
  <c r="T58" i="4"/>
  <c r="S58" i="4"/>
  <c r="R58" i="4"/>
  <c r="Q58" i="4"/>
  <c r="P58" i="4"/>
  <c r="O58" i="4"/>
  <c r="L58" i="4"/>
  <c r="K58" i="4"/>
  <c r="J58" i="4"/>
  <c r="I58" i="4"/>
  <c r="H58" i="4"/>
  <c r="G58" i="4"/>
  <c r="D58" i="4"/>
  <c r="E70" i="5" s="1"/>
  <c r="B58" i="4"/>
  <c r="C70" i="5" s="1"/>
  <c r="A58" i="4"/>
  <c r="AJ57" i="4"/>
  <c r="AI57" i="4"/>
  <c r="AH57" i="4"/>
  <c r="AG57" i="4"/>
  <c r="AF57" i="4"/>
  <c r="AE57" i="4"/>
  <c r="AB57" i="4"/>
  <c r="AA57" i="4"/>
  <c r="Z57" i="4"/>
  <c r="Y57" i="4"/>
  <c r="X57" i="4"/>
  <c r="W57" i="4"/>
  <c r="T57" i="4"/>
  <c r="S57" i="4"/>
  <c r="R57" i="4"/>
  <c r="Q57" i="4"/>
  <c r="P57" i="4"/>
  <c r="O57" i="4"/>
  <c r="L57" i="4"/>
  <c r="K57" i="4"/>
  <c r="J57" i="4"/>
  <c r="I57" i="4"/>
  <c r="H57" i="4"/>
  <c r="G57" i="4"/>
  <c r="D57" i="4"/>
  <c r="E69" i="5" s="1"/>
  <c r="B57" i="4"/>
  <c r="C69" i="5" s="1"/>
  <c r="A57" i="4"/>
  <c r="D56" i="4"/>
  <c r="E68" i="5" s="1"/>
  <c r="B56" i="4"/>
  <c r="C68" i="5" s="1"/>
  <c r="A56" i="4"/>
  <c r="AJ55" i="4"/>
  <c r="AI55" i="4"/>
  <c r="AH55" i="4"/>
  <c r="AG55" i="4"/>
  <c r="AF55" i="4"/>
  <c r="AE55" i="4"/>
  <c r="AK55" i="4" s="1"/>
  <c r="AB55" i="4"/>
  <c r="AA55" i="4"/>
  <c r="Z55" i="4"/>
  <c r="Y55" i="4"/>
  <c r="X55" i="4"/>
  <c r="W55" i="4"/>
  <c r="T55" i="4"/>
  <c r="S55" i="4"/>
  <c r="R55" i="4"/>
  <c r="Q55" i="4"/>
  <c r="P55" i="4"/>
  <c r="O55" i="4"/>
  <c r="U55" i="4" s="1"/>
  <c r="L55" i="4"/>
  <c r="K55" i="4"/>
  <c r="J55" i="4"/>
  <c r="I55" i="4"/>
  <c r="H55" i="4"/>
  <c r="G55" i="4"/>
  <c r="D55" i="4"/>
  <c r="E67" i="5" s="1"/>
  <c r="B55" i="4"/>
  <c r="C67" i="5" s="1"/>
  <c r="A55" i="4"/>
  <c r="AJ54" i="4"/>
  <c r="AI54" i="4"/>
  <c r="AH54" i="4"/>
  <c r="AG54" i="4"/>
  <c r="AF54" i="4"/>
  <c r="AE54" i="4"/>
  <c r="AB54" i="4"/>
  <c r="AA54" i="4"/>
  <c r="Z54" i="4"/>
  <c r="Y54" i="4"/>
  <c r="X54" i="4"/>
  <c r="W54" i="4"/>
  <c r="T54" i="4"/>
  <c r="S54" i="4"/>
  <c r="R54" i="4"/>
  <c r="Q54" i="4"/>
  <c r="P54" i="4"/>
  <c r="O54" i="4"/>
  <c r="L54" i="4"/>
  <c r="K54" i="4"/>
  <c r="J54" i="4"/>
  <c r="I54" i="4"/>
  <c r="H54" i="4"/>
  <c r="G54" i="4"/>
  <c r="D54" i="4"/>
  <c r="E66" i="5" s="1"/>
  <c r="B54" i="4"/>
  <c r="C66" i="5" s="1"/>
  <c r="A54" i="4"/>
  <c r="AJ53" i="4"/>
  <c r="AI53" i="4"/>
  <c r="AH53" i="4"/>
  <c r="AG53" i="4"/>
  <c r="AF53" i="4"/>
  <c r="AE53" i="4"/>
  <c r="AB53" i="4"/>
  <c r="AA53" i="4"/>
  <c r="Z53" i="4"/>
  <c r="Y53" i="4"/>
  <c r="X53" i="4"/>
  <c r="W53" i="4"/>
  <c r="T53" i="4"/>
  <c r="S53" i="4"/>
  <c r="R53" i="4"/>
  <c r="Q53" i="4"/>
  <c r="P53" i="4"/>
  <c r="O53" i="4"/>
  <c r="L53" i="4"/>
  <c r="K53" i="4"/>
  <c r="J53" i="4"/>
  <c r="I53" i="4"/>
  <c r="H53" i="4"/>
  <c r="G53" i="4"/>
  <c r="D53" i="4"/>
  <c r="E65" i="5" s="1"/>
  <c r="B53" i="4"/>
  <c r="C65" i="5" s="1"/>
  <c r="A53" i="4"/>
  <c r="AJ52" i="4"/>
  <c r="AI52" i="4"/>
  <c r="AH52" i="4"/>
  <c r="AG52" i="4"/>
  <c r="AF52" i="4"/>
  <c r="AE52" i="4"/>
  <c r="AB52" i="4"/>
  <c r="AA52" i="4"/>
  <c r="Z52" i="4"/>
  <c r="Y52" i="4"/>
  <c r="X52" i="4"/>
  <c r="W52" i="4"/>
  <c r="T52" i="4"/>
  <c r="S52" i="4"/>
  <c r="R52" i="4"/>
  <c r="Q52" i="4"/>
  <c r="P52" i="4"/>
  <c r="O52" i="4"/>
  <c r="L52" i="4"/>
  <c r="K52" i="4"/>
  <c r="J52" i="4"/>
  <c r="I52" i="4"/>
  <c r="H52" i="4"/>
  <c r="G52" i="4"/>
  <c r="D52" i="4"/>
  <c r="E64" i="5" s="1"/>
  <c r="B52" i="4"/>
  <c r="C64" i="5" s="1"/>
  <c r="A52" i="4"/>
  <c r="AJ51" i="4"/>
  <c r="AI51" i="4"/>
  <c r="AH51" i="4"/>
  <c r="AG51" i="4"/>
  <c r="AF51" i="4"/>
  <c r="AE51" i="4"/>
  <c r="AB51" i="4"/>
  <c r="AA51" i="4"/>
  <c r="Z51" i="4"/>
  <c r="Y51" i="4"/>
  <c r="X51" i="4"/>
  <c r="W51" i="4"/>
  <c r="T51" i="4"/>
  <c r="S51" i="4"/>
  <c r="R51" i="4"/>
  <c r="Q51" i="4"/>
  <c r="P51" i="4"/>
  <c r="O51" i="4"/>
  <c r="L51" i="4"/>
  <c r="K51" i="4"/>
  <c r="J51" i="4"/>
  <c r="I51" i="4"/>
  <c r="H51" i="4"/>
  <c r="G51" i="4"/>
  <c r="D51" i="4"/>
  <c r="E63" i="5" s="1"/>
  <c r="B51" i="4"/>
  <c r="C63" i="5" s="1"/>
  <c r="A51" i="4"/>
  <c r="AJ50" i="4"/>
  <c r="AI50" i="4"/>
  <c r="AH50" i="4"/>
  <c r="AG50" i="4"/>
  <c r="AF50" i="4"/>
  <c r="AE50" i="4"/>
  <c r="AB50" i="4"/>
  <c r="AA50" i="4"/>
  <c r="Z50" i="4"/>
  <c r="Y50" i="4"/>
  <c r="X50" i="4"/>
  <c r="W50" i="4"/>
  <c r="T50" i="4"/>
  <c r="S50" i="4"/>
  <c r="R50" i="4"/>
  <c r="Q50" i="4"/>
  <c r="P50" i="4"/>
  <c r="O50" i="4"/>
  <c r="L50" i="4"/>
  <c r="K50" i="4"/>
  <c r="J50" i="4"/>
  <c r="I50" i="4"/>
  <c r="H50" i="4"/>
  <c r="G50" i="4"/>
  <c r="D50" i="4"/>
  <c r="E62" i="5" s="1"/>
  <c r="B50" i="4"/>
  <c r="C62" i="5" s="1"/>
  <c r="A50" i="4"/>
  <c r="AJ49" i="4"/>
  <c r="AI49" i="4"/>
  <c r="AH49" i="4"/>
  <c r="AG49" i="4"/>
  <c r="AF49" i="4"/>
  <c r="AE49" i="4"/>
  <c r="AB49" i="4"/>
  <c r="AA49" i="4"/>
  <c r="Z49" i="4"/>
  <c r="Y49" i="4"/>
  <c r="X49" i="4"/>
  <c r="W49" i="4"/>
  <c r="AC49" i="4" s="1"/>
  <c r="T49" i="4"/>
  <c r="S49" i="4"/>
  <c r="R49" i="4"/>
  <c r="Q49" i="4"/>
  <c r="P49" i="4"/>
  <c r="O49" i="4"/>
  <c r="L49" i="4"/>
  <c r="K49" i="4"/>
  <c r="J49" i="4"/>
  <c r="I49" i="4"/>
  <c r="H49" i="4"/>
  <c r="G49" i="4"/>
  <c r="M49" i="4" s="1"/>
  <c r="D49" i="4"/>
  <c r="E61" i="5" s="1"/>
  <c r="B49" i="4"/>
  <c r="C61" i="5" s="1"/>
  <c r="A49" i="4"/>
  <c r="AJ48" i="4"/>
  <c r="AI48" i="4"/>
  <c r="AH48" i="4"/>
  <c r="AG48" i="4"/>
  <c r="AF48" i="4"/>
  <c r="AE48" i="4"/>
  <c r="AB48" i="4"/>
  <c r="AA48" i="4"/>
  <c r="Z48" i="4"/>
  <c r="Y48" i="4"/>
  <c r="X48" i="4"/>
  <c r="W48" i="4"/>
  <c r="T48" i="4"/>
  <c r="S48" i="4"/>
  <c r="R48" i="4"/>
  <c r="Q48" i="4"/>
  <c r="P48" i="4"/>
  <c r="O48" i="4"/>
  <c r="L48" i="4"/>
  <c r="K48" i="4"/>
  <c r="J48" i="4"/>
  <c r="I48" i="4"/>
  <c r="H48" i="4"/>
  <c r="G48" i="4"/>
  <c r="D48" i="4"/>
  <c r="E60" i="5" s="1"/>
  <c r="B48" i="4"/>
  <c r="C60" i="5" s="1"/>
  <c r="A48" i="4"/>
  <c r="AJ47" i="4"/>
  <c r="AI47" i="4"/>
  <c r="AH47" i="4"/>
  <c r="AG47" i="4"/>
  <c r="AF47" i="4"/>
  <c r="AE47" i="4"/>
  <c r="AB47" i="4"/>
  <c r="AA47" i="4"/>
  <c r="Z47" i="4"/>
  <c r="Y47" i="4"/>
  <c r="X47" i="4"/>
  <c r="W47" i="4"/>
  <c r="T47" i="4"/>
  <c r="S47" i="4"/>
  <c r="R47" i="4"/>
  <c r="Q47" i="4"/>
  <c r="P47" i="4"/>
  <c r="O47" i="4"/>
  <c r="L47" i="4"/>
  <c r="K47" i="4"/>
  <c r="J47" i="4"/>
  <c r="I47" i="4"/>
  <c r="H47" i="4"/>
  <c r="G47" i="4"/>
  <c r="D47" i="4"/>
  <c r="E59" i="5" s="1"/>
  <c r="B47" i="4"/>
  <c r="C59" i="5" s="1"/>
  <c r="A47" i="4"/>
  <c r="AJ46" i="4"/>
  <c r="AI46" i="4"/>
  <c r="AH46" i="4"/>
  <c r="AG46" i="4"/>
  <c r="AF46" i="4"/>
  <c r="AE46" i="4"/>
  <c r="AB46" i="4"/>
  <c r="AA46" i="4"/>
  <c r="Z46" i="4"/>
  <c r="Y46" i="4"/>
  <c r="X46" i="4"/>
  <c r="W46" i="4"/>
  <c r="T46" i="4"/>
  <c r="S46" i="4"/>
  <c r="R46" i="4"/>
  <c r="Q46" i="4"/>
  <c r="P46" i="4"/>
  <c r="O46" i="4"/>
  <c r="L46" i="4"/>
  <c r="K46" i="4"/>
  <c r="J46" i="4"/>
  <c r="I46" i="4"/>
  <c r="H46" i="4"/>
  <c r="G46" i="4"/>
  <c r="D46" i="4"/>
  <c r="E58" i="5" s="1"/>
  <c r="B46" i="4"/>
  <c r="C58" i="5" s="1"/>
  <c r="A46" i="4"/>
  <c r="AJ45" i="4"/>
  <c r="AI45" i="4"/>
  <c r="AH45" i="4"/>
  <c r="AG45" i="4"/>
  <c r="AF45" i="4"/>
  <c r="AE45" i="4"/>
  <c r="AB45" i="4"/>
  <c r="AA45" i="4"/>
  <c r="Z45" i="4"/>
  <c r="Y45" i="4"/>
  <c r="X45" i="4"/>
  <c r="W45" i="4"/>
  <c r="T45" i="4"/>
  <c r="S45" i="4"/>
  <c r="R45" i="4"/>
  <c r="Q45" i="4"/>
  <c r="P45" i="4"/>
  <c r="O45" i="4"/>
  <c r="L45" i="4"/>
  <c r="K45" i="4"/>
  <c r="J45" i="4"/>
  <c r="I45" i="4"/>
  <c r="H45" i="4"/>
  <c r="G45" i="4"/>
  <c r="D45" i="4"/>
  <c r="E57" i="5" s="1"/>
  <c r="B45" i="4"/>
  <c r="C57" i="5" s="1"/>
  <c r="A45" i="4"/>
  <c r="AJ44" i="4"/>
  <c r="AI44" i="4"/>
  <c r="AH44" i="4"/>
  <c r="AG44" i="4"/>
  <c r="AF44" i="4"/>
  <c r="AE44" i="4"/>
  <c r="AB44" i="4"/>
  <c r="AA44" i="4"/>
  <c r="Z44" i="4"/>
  <c r="Y44" i="4"/>
  <c r="X44" i="4"/>
  <c r="W44" i="4"/>
  <c r="T44" i="4"/>
  <c r="S44" i="4"/>
  <c r="R44" i="4"/>
  <c r="Q44" i="4"/>
  <c r="P44" i="4"/>
  <c r="O44" i="4"/>
  <c r="L44" i="4"/>
  <c r="K44" i="4"/>
  <c r="J44" i="4"/>
  <c r="I44" i="4"/>
  <c r="H44" i="4"/>
  <c r="G44" i="4"/>
  <c r="D44" i="4"/>
  <c r="B44" i="4"/>
  <c r="C56" i="5" s="1"/>
  <c r="A44" i="4"/>
  <c r="D38" i="4"/>
  <c r="G50" i="5" s="1"/>
  <c r="B38" i="4"/>
  <c r="C50" i="5" s="1"/>
  <c r="AJ35" i="4"/>
  <c r="BR47" i="5" s="1"/>
  <c r="AI35" i="4"/>
  <c r="BP47" i="5" s="1"/>
  <c r="AH35" i="4"/>
  <c r="BN47" i="5" s="1"/>
  <c r="AG35" i="4"/>
  <c r="BL47" i="5" s="1"/>
  <c r="AF35" i="4"/>
  <c r="BJ47" i="5" s="1"/>
  <c r="AE35" i="4"/>
  <c r="BH47" i="5" s="1"/>
  <c r="AB35" i="4"/>
  <c r="BB47" i="5" s="1"/>
  <c r="AA35" i="4"/>
  <c r="AZ47" i="5" s="1"/>
  <c r="Z35" i="4"/>
  <c r="AX47" i="5" s="1"/>
  <c r="Y35" i="4"/>
  <c r="AV47" i="5" s="1"/>
  <c r="X35" i="4"/>
  <c r="AT47" i="5" s="1"/>
  <c r="W35" i="4"/>
  <c r="AR47" i="5" s="1"/>
  <c r="T35" i="4"/>
  <c r="AL47" i="5" s="1"/>
  <c r="S35" i="4"/>
  <c r="AJ47" i="5" s="1"/>
  <c r="R35" i="4"/>
  <c r="AH47" i="5" s="1"/>
  <c r="Q35" i="4"/>
  <c r="AF47" i="5" s="1"/>
  <c r="P35" i="4"/>
  <c r="AD47" i="5" s="1"/>
  <c r="O35" i="4"/>
  <c r="AB47" i="5" s="1"/>
  <c r="L35" i="4"/>
  <c r="V47" i="5" s="1"/>
  <c r="K35" i="4"/>
  <c r="T47" i="5" s="1"/>
  <c r="J35" i="4"/>
  <c r="R47" i="5" s="1"/>
  <c r="I35" i="4"/>
  <c r="P47" i="5" s="1"/>
  <c r="H35" i="4"/>
  <c r="N47" i="5" s="1"/>
  <c r="G35" i="4"/>
  <c r="L47" i="5" s="1"/>
  <c r="D35" i="4"/>
  <c r="G47" i="5" s="1"/>
  <c r="B35" i="4"/>
  <c r="C47" i="5" s="1"/>
  <c r="AJ34" i="4"/>
  <c r="BR46" i="5" s="1"/>
  <c r="AI34" i="4"/>
  <c r="BP46" i="5" s="1"/>
  <c r="AH34" i="4"/>
  <c r="BN46" i="5" s="1"/>
  <c r="AG34" i="4"/>
  <c r="BL46" i="5" s="1"/>
  <c r="AF34" i="4"/>
  <c r="BJ46" i="5" s="1"/>
  <c r="AE34" i="4"/>
  <c r="BH46" i="5" s="1"/>
  <c r="AB34" i="4"/>
  <c r="BB46" i="5" s="1"/>
  <c r="AA34" i="4"/>
  <c r="AZ46" i="5" s="1"/>
  <c r="Z34" i="4"/>
  <c r="AX46" i="5" s="1"/>
  <c r="Y34" i="4"/>
  <c r="AV46" i="5" s="1"/>
  <c r="X34" i="4"/>
  <c r="AT46" i="5" s="1"/>
  <c r="W34" i="4"/>
  <c r="AR46" i="5" s="1"/>
  <c r="T34" i="4"/>
  <c r="AL46" i="5" s="1"/>
  <c r="S34" i="4"/>
  <c r="AJ46" i="5" s="1"/>
  <c r="R34" i="4"/>
  <c r="AH46" i="5" s="1"/>
  <c r="Q34" i="4"/>
  <c r="AF46" i="5" s="1"/>
  <c r="P34" i="4"/>
  <c r="AD46" i="5" s="1"/>
  <c r="O34" i="4"/>
  <c r="AB46" i="5" s="1"/>
  <c r="L34" i="4"/>
  <c r="V46" i="5" s="1"/>
  <c r="K34" i="4"/>
  <c r="T46" i="5" s="1"/>
  <c r="J34" i="4"/>
  <c r="R46" i="5" s="1"/>
  <c r="I34" i="4"/>
  <c r="P46" i="5" s="1"/>
  <c r="H34" i="4"/>
  <c r="N46" i="5" s="1"/>
  <c r="G34" i="4"/>
  <c r="L46" i="5" s="1"/>
  <c r="D34" i="4"/>
  <c r="G46" i="5" s="1"/>
  <c r="B34" i="4"/>
  <c r="C46" i="5" s="1"/>
  <c r="AJ33" i="4"/>
  <c r="BR45" i="5" s="1"/>
  <c r="AI33" i="4"/>
  <c r="BP45" i="5" s="1"/>
  <c r="AH33" i="4"/>
  <c r="BN45" i="5" s="1"/>
  <c r="AG33" i="4"/>
  <c r="BL45" i="5" s="1"/>
  <c r="AF33" i="4"/>
  <c r="BJ45" i="5" s="1"/>
  <c r="AE33" i="4"/>
  <c r="BH45" i="5" s="1"/>
  <c r="AB33" i="4"/>
  <c r="BB45" i="5" s="1"/>
  <c r="AA33" i="4"/>
  <c r="AZ45" i="5" s="1"/>
  <c r="Z33" i="4"/>
  <c r="AX45" i="5" s="1"/>
  <c r="Y33" i="4"/>
  <c r="AV45" i="5" s="1"/>
  <c r="X33" i="4"/>
  <c r="AT45" i="5" s="1"/>
  <c r="W33" i="4"/>
  <c r="AR45" i="5" s="1"/>
  <c r="T33" i="4"/>
  <c r="AL45" i="5" s="1"/>
  <c r="S33" i="4"/>
  <c r="AJ45" i="5" s="1"/>
  <c r="R33" i="4"/>
  <c r="AH45" i="5" s="1"/>
  <c r="Q33" i="4"/>
  <c r="AF45" i="5" s="1"/>
  <c r="P33" i="4"/>
  <c r="AD45" i="5" s="1"/>
  <c r="O33" i="4"/>
  <c r="AB45" i="5" s="1"/>
  <c r="L33" i="4"/>
  <c r="V45" i="5" s="1"/>
  <c r="K33" i="4"/>
  <c r="T45" i="5" s="1"/>
  <c r="J33" i="4"/>
  <c r="R45" i="5" s="1"/>
  <c r="I33" i="4"/>
  <c r="P45" i="5" s="1"/>
  <c r="H33" i="4"/>
  <c r="N45" i="5" s="1"/>
  <c r="G33" i="4"/>
  <c r="L45" i="5" s="1"/>
  <c r="D33" i="4"/>
  <c r="G45" i="5" s="1"/>
  <c r="B33" i="4"/>
  <c r="C45" i="5" s="1"/>
  <c r="AJ32" i="4"/>
  <c r="BR44" i="5" s="1"/>
  <c r="AI32" i="4"/>
  <c r="BP44" i="5" s="1"/>
  <c r="AH32" i="4"/>
  <c r="BN44" i="5" s="1"/>
  <c r="AG32" i="4"/>
  <c r="BL44" i="5" s="1"/>
  <c r="AF32" i="4"/>
  <c r="BJ44" i="5" s="1"/>
  <c r="AE32" i="4"/>
  <c r="BH44" i="5" s="1"/>
  <c r="AB32" i="4"/>
  <c r="BB44" i="5" s="1"/>
  <c r="AA32" i="4"/>
  <c r="AZ44" i="5" s="1"/>
  <c r="Z32" i="4"/>
  <c r="AX44" i="5" s="1"/>
  <c r="Y32" i="4"/>
  <c r="AV44" i="5" s="1"/>
  <c r="X32" i="4"/>
  <c r="AT44" i="5" s="1"/>
  <c r="W32" i="4"/>
  <c r="AR44" i="5" s="1"/>
  <c r="T32" i="4"/>
  <c r="AL44" i="5" s="1"/>
  <c r="S32" i="4"/>
  <c r="AJ44" i="5" s="1"/>
  <c r="R32" i="4"/>
  <c r="AH44" i="5" s="1"/>
  <c r="Q32" i="4"/>
  <c r="AF44" i="5" s="1"/>
  <c r="P32" i="4"/>
  <c r="AD44" i="5" s="1"/>
  <c r="O32" i="4"/>
  <c r="AB44" i="5" s="1"/>
  <c r="L32" i="4"/>
  <c r="V44" i="5" s="1"/>
  <c r="K32" i="4"/>
  <c r="T44" i="5" s="1"/>
  <c r="J32" i="4"/>
  <c r="R44" i="5" s="1"/>
  <c r="I32" i="4"/>
  <c r="P44" i="5" s="1"/>
  <c r="H32" i="4"/>
  <c r="N44" i="5" s="1"/>
  <c r="G32" i="4"/>
  <c r="L44" i="5" s="1"/>
  <c r="D32" i="4"/>
  <c r="G44" i="5" s="1"/>
  <c r="B32" i="4"/>
  <c r="C44" i="5" s="1"/>
  <c r="AJ31" i="4"/>
  <c r="BR43" i="5" s="1"/>
  <c r="AI31" i="4"/>
  <c r="BP43" i="5" s="1"/>
  <c r="AH31" i="4"/>
  <c r="BN43" i="5" s="1"/>
  <c r="AG31" i="4"/>
  <c r="BL43" i="5" s="1"/>
  <c r="AF31" i="4"/>
  <c r="BJ43" i="5" s="1"/>
  <c r="AE31" i="4"/>
  <c r="BH43" i="5" s="1"/>
  <c r="AB31" i="4"/>
  <c r="BB43" i="5" s="1"/>
  <c r="AA31" i="4"/>
  <c r="AZ43" i="5" s="1"/>
  <c r="Z31" i="4"/>
  <c r="AX43" i="5" s="1"/>
  <c r="Y31" i="4"/>
  <c r="AV43" i="5" s="1"/>
  <c r="X31" i="4"/>
  <c r="AT43" i="5" s="1"/>
  <c r="W31" i="4"/>
  <c r="AR43" i="5" s="1"/>
  <c r="T31" i="4"/>
  <c r="AL43" i="5" s="1"/>
  <c r="S31" i="4"/>
  <c r="AJ43" i="5" s="1"/>
  <c r="R31" i="4"/>
  <c r="AH43" i="5" s="1"/>
  <c r="Q31" i="4"/>
  <c r="AF43" i="5" s="1"/>
  <c r="P31" i="4"/>
  <c r="AD43" i="5" s="1"/>
  <c r="O31" i="4"/>
  <c r="AB43" i="5" s="1"/>
  <c r="L31" i="4"/>
  <c r="V43" i="5" s="1"/>
  <c r="K31" i="4"/>
  <c r="T43" i="5" s="1"/>
  <c r="J31" i="4"/>
  <c r="R43" i="5" s="1"/>
  <c r="I31" i="4"/>
  <c r="P43" i="5" s="1"/>
  <c r="H31" i="4"/>
  <c r="N43" i="5" s="1"/>
  <c r="G31" i="4"/>
  <c r="L43" i="5" s="1"/>
  <c r="D31" i="4"/>
  <c r="G43" i="5" s="1"/>
  <c r="B31" i="4"/>
  <c r="C43" i="5" s="1"/>
  <c r="AJ30" i="4"/>
  <c r="BR42" i="5" s="1"/>
  <c r="AI30" i="4"/>
  <c r="BP42" i="5" s="1"/>
  <c r="AH30" i="4"/>
  <c r="BN42" i="5" s="1"/>
  <c r="AG30" i="4"/>
  <c r="BL42" i="5" s="1"/>
  <c r="AF30" i="4"/>
  <c r="BJ42" i="5" s="1"/>
  <c r="AE30" i="4"/>
  <c r="BH42" i="5" s="1"/>
  <c r="AB30" i="4"/>
  <c r="BB42" i="5" s="1"/>
  <c r="AA30" i="4"/>
  <c r="AZ42" i="5" s="1"/>
  <c r="Z30" i="4"/>
  <c r="AX42" i="5" s="1"/>
  <c r="Y30" i="4"/>
  <c r="AV42" i="5" s="1"/>
  <c r="X30" i="4"/>
  <c r="AT42" i="5" s="1"/>
  <c r="W30" i="4"/>
  <c r="AR42" i="5" s="1"/>
  <c r="T30" i="4"/>
  <c r="AL42" i="5" s="1"/>
  <c r="S30" i="4"/>
  <c r="AJ42" i="5" s="1"/>
  <c r="R30" i="4"/>
  <c r="AH42" i="5" s="1"/>
  <c r="Q30" i="4"/>
  <c r="AF42" i="5" s="1"/>
  <c r="P30" i="4"/>
  <c r="AD42" i="5" s="1"/>
  <c r="O30" i="4"/>
  <c r="AB42" i="5" s="1"/>
  <c r="L30" i="4"/>
  <c r="V42" i="5" s="1"/>
  <c r="K30" i="4"/>
  <c r="T42" i="5" s="1"/>
  <c r="J30" i="4"/>
  <c r="R42" i="5" s="1"/>
  <c r="I30" i="4"/>
  <c r="P42" i="5" s="1"/>
  <c r="H30" i="4"/>
  <c r="N42" i="5" s="1"/>
  <c r="G30" i="4"/>
  <c r="L42" i="5" s="1"/>
  <c r="D30" i="4"/>
  <c r="G42" i="5" s="1"/>
  <c r="B30" i="4"/>
  <c r="C42" i="5" s="1"/>
  <c r="AJ29" i="4"/>
  <c r="BR41" i="5" s="1"/>
  <c r="AI29" i="4"/>
  <c r="BP41" i="5" s="1"/>
  <c r="AH29" i="4"/>
  <c r="BN41" i="5" s="1"/>
  <c r="AG29" i="4"/>
  <c r="BL41" i="5" s="1"/>
  <c r="AF29" i="4"/>
  <c r="BJ41" i="5" s="1"/>
  <c r="AE29" i="4"/>
  <c r="BH41" i="5" s="1"/>
  <c r="AB29" i="4"/>
  <c r="BB41" i="5" s="1"/>
  <c r="AA29" i="4"/>
  <c r="AZ41" i="5" s="1"/>
  <c r="Z29" i="4"/>
  <c r="AX41" i="5" s="1"/>
  <c r="Y29" i="4"/>
  <c r="AV41" i="5" s="1"/>
  <c r="X29" i="4"/>
  <c r="AT41" i="5" s="1"/>
  <c r="W29" i="4"/>
  <c r="AR41" i="5" s="1"/>
  <c r="T29" i="4"/>
  <c r="AL41" i="5" s="1"/>
  <c r="S29" i="4"/>
  <c r="AJ41" i="5" s="1"/>
  <c r="R29" i="4"/>
  <c r="AH41" i="5" s="1"/>
  <c r="Q29" i="4"/>
  <c r="AF41" i="5" s="1"/>
  <c r="P29" i="4"/>
  <c r="AD41" i="5" s="1"/>
  <c r="O29" i="4"/>
  <c r="AB41" i="5" s="1"/>
  <c r="L29" i="4"/>
  <c r="V41" i="5" s="1"/>
  <c r="K29" i="4"/>
  <c r="T41" i="5" s="1"/>
  <c r="J29" i="4"/>
  <c r="R41" i="5" s="1"/>
  <c r="I29" i="4"/>
  <c r="P41" i="5" s="1"/>
  <c r="H29" i="4"/>
  <c r="N41" i="5" s="1"/>
  <c r="G29" i="4"/>
  <c r="L41" i="5" s="1"/>
  <c r="D29" i="4"/>
  <c r="G41" i="5" s="1"/>
  <c r="B29" i="4"/>
  <c r="C41" i="5" s="1"/>
  <c r="AJ28" i="4"/>
  <c r="BR40" i="5" s="1"/>
  <c r="AI28" i="4"/>
  <c r="BP40" i="5" s="1"/>
  <c r="AH28" i="4"/>
  <c r="BN40" i="5" s="1"/>
  <c r="AG28" i="4"/>
  <c r="BL40" i="5" s="1"/>
  <c r="AF28" i="4"/>
  <c r="BJ40" i="5" s="1"/>
  <c r="AE28" i="4"/>
  <c r="BH40" i="5" s="1"/>
  <c r="AB28" i="4"/>
  <c r="BB40" i="5" s="1"/>
  <c r="AA28" i="4"/>
  <c r="AZ40" i="5" s="1"/>
  <c r="Z28" i="4"/>
  <c r="AX40" i="5" s="1"/>
  <c r="Y28" i="4"/>
  <c r="AV40" i="5" s="1"/>
  <c r="X28" i="4"/>
  <c r="AT40" i="5" s="1"/>
  <c r="W28" i="4"/>
  <c r="AR40" i="5" s="1"/>
  <c r="T28" i="4"/>
  <c r="AL40" i="5" s="1"/>
  <c r="S28" i="4"/>
  <c r="AJ40" i="5" s="1"/>
  <c r="R28" i="4"/>
  <c r="AH40" i="5" s="1"/>
  <c r="Q28" i="4"/>
  <c r="AF40" i="5" s="1"/>
  <c r="P28" i="4"/>
  <c r="AD40" i="5" s="1"/>
  <c r="O28" i="4"/>
  <c r="AB40" i="5" s="1"/>
  <c r="L28" i="4"/>
  <c r="V40" i="5" s="1"/>
  <c r="K28" i="4"/>
  <c r="T40" i="5" s="1"/>
  <c r="J28" i="4"/>
  <c r="R40" i="5" s="1"/>
  <c r="I28" i="4"/>
  <c r="P40" i="5" s="1"/>
  <c r="H28" i="4"/>
  <c r="N40" i="5" s="1"/>
  <c r="G28" i="4"/>
  <c r="L40" i="5" s="1"/>
  <c r="D28" i="4"/>
  <c r="G40" i="5" s="1"/>
  <c r="B28" i="4"/>
  <c r="C40" i="5" s="1"/>
  <c r="AJ27" i="4"/>
  <c r="BR39" i="5" s="1"/>
  <c r="AI27" i="4"/>
  <c r="BP39" i="5" s="1"/>
  <c r="AH27" i="4"/>
  <c r="BN39" i="5" s="1"/>
  <c r="AG27" i="4"/>
  <c r="BL39" i="5" s="1"/>
  <c r="AF27" i="4"/>
  <c r="BJ39" i="5" s="1"/>
  <c r="AE27" i="4"/>
  <c r="BH39" i="5" s="1"/>
  <c r="AB27" i="4"/>
  <c r="BB39" i="5" s="1"/>
  <c r="AA27" i="4"/>
  <c r="AZ39" i="5" s="1"/>
  <c r="Z27" i="4"/>
  <c r="AX39" i="5" s="1"/>
  <c r="Y27" i="4"/>
  <c r="AV39" i="5" s="1"/>
  <c r="X27" i="4"/>
  <c r="AT39" i="5" s="1"/>
  <c r="W27" i="4"/>
  <c r="AR39" i="5" s="1"/>
  <c r="T27" i="4"/>
  <c r="AL39" i="5" s="1"/>
  <c r="S27" i="4"/>
  <c r="AJ39" i="5" s="1"/>
  <c r="R27" i="4"/>
  <c r="AH39" i="5" s="1"/>
  <c r="Q27" i="4"/>
  <c r="AF39" i="5" s="1"/>
  <c r="P27" i="4"/>
  <c r="AD39" i="5" s="1"/>
  <c r="O27" i="4"/>
  <c r="AB39" i="5" s="1"/>
  <c r="L27" i="4"/>
  <c r="V39" i="5" s="1"/>
  <c r="K27" i="4"/>
  <c r="T39" i="5" s="1"/>
  <c r="J27" i="4"/>
  <c r="R39" i="5" s="1"/>
  <c r="I27" i="4"/>
  <c r="P39" i="5" s="1"/>
  <c r="H27" i="4"/>
  <c r="N39" i="5" s="1"/>
  <c r="G27" i="4"/>
  <c r="L39" i="5" s="1"/>
  <c r="D27" i="4"/>
  <c r="G39" i="5" s="1"/>
  <c r="B27" i="4"/>
  <c r="C39" i="5" s="1"/>
  <c r="AJ26" i="4"/>
  <c r="BR38" i="5" s="1"/>
  <c r="AI26" i="4"/>
  <c r="BP38" i="5" s="1"/>
  <c r="AH26" i="4"/>
  <c r="BN38" i="5" s="1"/>
  <c r="AG26" i="4"/>
  <c r="BL38" i="5" s="1"/>
  <c r="AF26" i="4"/>
  <c r="BJ38" i="5" s="1"/>
  <c r="AE26" i="4"/>
  <c r="BH38" i="5" s="1"/>
  <c r="AB26" i="4"/>
  <c r="BB38" i="5" s="1"/>
  <c r="AA26" i="4"/>
  <c r="AZ38" i="5" s="1"/>
  <c r="Z26" i="4"/>
  <c r="AX38" i="5" s="1"/>
  <c r="Y26" i="4"/>
  <c r="AV38" i="5" s="1"/>
  <c r="X26" i="4"/>
  <c r="AT38" i="5" s="1"/>
  <c r="W26" i="4"/>
  <c r="AR38" i="5" s="1"/>
  <c r="T26" i="4"/>
  <c r="AL38" i="5" s="1"/>
  <c r="S26" i="4"/>
  <c r="AJ38" i="5" s="1"/>
  <c r="R26" i="4"/>
  <c r="AH38" i="5" s="1"/>
  <c r="Q26" i="4"/>
  <c r="AF38" i="5" s="1"/>
  <c r="P26" i="4"/>
  <c r="AD38" i="5" s="1"/>
  <c r="O26" i="4"/>
  <c r="AB38" i="5" s="1"/>
  <c r="L26" i="4"/>
  <c r="V38" i="5" s="1"/>
  <c r="K26" i="4"/>
  <c r="T38" i="5" s="1"/>
  <c r="J26" i="4"/>
  <c r="R38" i="5" s="1"/>
  <c r="I26" i="4"/>
  <c r="P38" i="5" s="1"/>
  <c r="H26" i="4"/>
  <c r="N38" i="5" s="1"/>
  <c r="G26" i="4"/>
  <c r="L38" i="5" s="1"/>
  <c r="D26" i="4"/>
  <c r="G38" i="5" s="1"/>
  <c r="B26" i="4"/>
  <c r="C38" i="5" s="1"/>
  <c r="AJ25" i="4"/>
  <c r="BR37" i="5" s="1"/>
  <c r="AI25" i="4"/>
  <c r="BP37" i="5" s="1"/>
  <c r="AH25" i="4"/>
  <c r="BN37" i="5" s="1"/>
  <c r="AG25" i="4"/>
  <c r="BL37" i="5" s="1"/>
  <c r="AF25" i="4"/>
  <c r="BJ37" i="5" s="1"/>
  <c r="AE25" i="4"/>
  <c r="BH37" i="5" s="1"/>
  <c r="AB25" i="4"/>
  <c r="BB37" i="5" s="1"/>
  <c r="AA25" i="4"/>
  <c r="AZ37" i="5" s="1"/>
  <c r="Z25" i="4"/>
  <c r="AX37" i="5" s="1"/>
  <c r="Y25" i="4"/>
  <c r="AV37" i="5" s="1"/>
  <c r="X25" i="4"/>
  <c r="AT37" i="5" s="1"/>
  <c r="W25" i="4"/>
  <c r="AR37" i="5" s="1"/>
  <c r="T25" i="4"/>
  <c r="AL37" i="5" s="1"/>
  <c r="S25" i="4"/>
  <c r="AJ37" i="5" s="1"/>
  <c r="R25" i="4"/>
  <c r="AH37" i="5" s="1"/>
  <c r="Q25" i="4"/>
  <c r="AF37" i="5" s="1"/>
  <c r="P25" i="4"/>
  <c r="AD37" i="5" s="1"/>
  <c r="O25" i="4"/>
  <c r="AB37" i="5" s="1"/>
  <c r="L25" i="4"/>
  <c r="V37" i="5" s="1"/>
  <c r="K25" i="4"/>
  <c r="T37" i="5" s="1"/>
  <c r="J25" i="4"/>
  <c r="R37" i="5" s="1"/>
  <c r="I25" i="4"/>
  <c r="P37" i="5" s="1"/>
  <c r="H25" i="4"/>
  <c r="N37" i="5" s="1"/>
  <c r="G25" i="4"/>
  <c r="L37" i="5" s="1"/>
  <c r="D25" i="4"/>
  <c r="G37" i="5" s="1"/>
  <c r="B25" i="4"/>
  <c r="C37" i="5" s="1"/>
  <c r="D24" i="4"/>
  <c r="G36" i="5" s="1"/>
  <c r="B24" i="4"/>
  <c r="C36" i="5" s="1"/>
  <c r="AJ23" i="4"/>
  <c r="BR35" i="5" s="1"/>
  <c r="AI23" i="4"/>
  <c r="BP35" i="5" s="1"/>
  <c r="AH23" i="4"/>
  <c r="BN35" i="5" s="1"/>
  <c r="AG23" i="4"/>
  <c r="BL35" i="5" s="1"/>
  <c r="AF23" i="4"/>
  <c r="BJ35" i="5" s="1"/>
  <c r="AE23" i="4"/>
  <c r="BH35" i="5" s="1"/>
  <c r="AB23" i="4"/>
  <c r="BB35" i="5" s="1"/>
  <c r="AA23" i="4"/>
  <c r="AZ35" i="5" s="1"/>
  <c r="Z23" i="4"/>
  <c r="AX35" i="5" s="1"/>
  <c r="Y23" i="4"/>
  <c r="AV35" i="5" s="1"/>
  <c r="X23" i="4"/>
  <c r="AT35" i="5" s="1"/>
  <c r="W23" i="4"/>
  <c r="AR35" i="5" s="1"/>
  <c r="T23" i="4"/>
  <c r="AL35" i="5" s="1"/>
  <c r="S23" i="4"/>
  <c r="AJ35" i="5" s="1"/>
  <c r="R23" i="4"/>
  <c r="AH35" i="5" s="1"/>
  <c r="Q23" i="4"/>
  <c r="AF35" i="5" s="1"/>
  <c r="P23" i="4"/>
  <c r="AD35" i="5" s="1"/>
  <c r="O23" i="4"/>
  <c r="AB35" i="5" s="1"/>
  <c r="L23" i="4"/>
  <c r="V35" i="5" s="1"/>
  <c r="K23" i="4"/>
  <c r="T35" i="5" s="1"/>
  <c r="J23" i="4"/>
  <c r="R35" i="5" s="1"/>
  <c r="I23" i="4"/>
  <c r="P35" i="5" s="1"/>
  <c r="H23" i="4"/>
  <c r="N35" i="5" s="1"/>
  <c r="G23" i="4"/>
  <c r="L35" i="5" s="1"/>
  <c r="D23" i="4"/>
  <c r="G35" i="5" s="1"/>
  <c r="B23" i="4"/>
  <c r="C35" i="5" s="1"/>
  <c r="D22" i="4"/>
  <c r="G34" i="5" s="1"/>
  <c r="B22" i="4"/>
  <c r="C34" i="5" s="1"/>
  <c r="AJ21" i="4"/>
  <c r="BR33" i="5" s="1"/>
  <c r="AI21" i="4"/>
  <c r="BP33" i="5" s="1"/>
  <c r="AH21" i="4"/>
  <c r="BN33" i="5" s="1"/>
  <c r="AG21" i="4"/>
  <c r="BL33" i="5" s="1"/>
  <c r="AF21" i="4"/>
  <c r="BJ33" i="5" s="1"/>
  <c r="AE21" i="4"/>
  <c r="BH33" i="5" s="1"/>
  <c r="AB21" i="4"/>
  <c r="BB33" i="5" s="1"/>
  <c r="AA21" i="4"/>
  <c r="AZ33" i="5" s="1"/>
  <c r="Z21" i="4"/>
  <c r="AX33" i="5" s="1"/>
  <c r="Y21" i="4"/>
  <c r="AV33" i="5" s="1"/>
  <c r="X21" i="4"/>
  <c r="AT33" i="5" s="1"/>
  <c r="W21" i="4"/>
  <c r="AR33" i="5" s="1"/>
  <c r="T21" i="4"/>
  <c r="AL33" i="5" s="1"/>
  <c r="S21" i="4"/>
  <c r="AJ33" i="5" s="1"/>
  <c r="R21" i="4"/>
  <c r="AH33" i="5" s="1"/>
  <c r="Q21" i="4"/>
  <c r="AF33" i="5" s="1"/>
  <c r="P21" i="4"/>
  <c r="AD33" i="5" s="1"/>
  <c r="O21" i="4"/>
  <c r="AB33" i="5" s="1"/>
  <c r="L21" i="4"/>
  <c r="V33" i="5" s="1"/>
  <c r="K21" i="4"/>
  <c r="T33" i="5" s="1"/>
  <c r="J21" i="4"/>
  <c r="R33" i="5" s="1"/>
  <c r="I21" i="4"/>
  <c r="P33" i="5" s="1"/>
  <c r="H21" i="4"/>
  <c r="N33" i="5" s="1"/>
  <c r="G21" i="4"/>
  <c r="L33" i="5" s="1"/>
  <c r="D21" i="4"/>
  <c r="G33" i="5" s="1"/>
  <c r="B21" i="4"/>
  <c r="C33" i="5" s="1"/>
  <c r="AJ20" i="4"/>
  <c r="BR32" i="5" s="1"/>
  <c r="AI20" i="4"/>
  <c r="BP32" i="5" s="1"/>
  <c r="AH20" i="4"/>
  <c r="BN32" i="5" s="1"/>
  <c r="AG20" i="4"/>
  <c r="BL32" i="5" s="1"/>
  <c r="AF20" i="4"/>
  <c r="BJ32" i="5" s="1"/>
  <c r="AE20" i="4"/>
  <c r="BH32" i="5" s="1"/>
  <c r="AB20" i="4"/>
  <c r="BB32" i="5" s="1"/>
  <c r="AA20" i="4"/>
  <c r="AZ32" i="5" s="1"/>
  <c r="Z20" i="4"/>
  <c r="AX32" i="5" s="1"/>
  <c r="Y20" i="4"/>
  <c r="AV32" i="5" s="1"/>
  <c r="X20" i="4"/>
  <c r="AT32" i="5" s="1"/>
  <c r="W20" i="4"/>
  <c r="AR32" i="5" s="1"/>
  <c r="T20" i="4"/>
  <c r="AL32" i="5" s="1"/>
  <c r="S20" i="4"/>
  <c r="AJ32" i="5" s="1"/>
  <c r="R20" i="4"/>
  <c r="AH32" i="5" s="1"/>
  <c r="Q20" i="4"/>
  <c r="AF32" i="5" s="1"/>
  <c r="P20" i="4"/>
  <c r="AD32" i="5" s="1"/>
  <c r="O20" i="4"/>
  <c r="AB32" i="5" s="1"/>
  <c r="L20" i="4"/>
  <c r="V32" i="5" s="1"/>
  <c r="K20" i="4"/>
  <c r="T32" i="5" s="1"/>
  <c r="J20" i="4"/>
  <c r="R32" i="5" s="1"/>
  <c r="I20" i="4"/>
  <c r="P32" i="5" s="1"/>
  <c r="H20" i="4"/>
  <c r="N32" i="5" s="1"/>
  <c r="G20" i="4"/>
  <c r="L32" i="5" s="1"/>
  <c r="D20" i="4"/>
  <c r="G32" i="5" s="1"/>
  <c r="B20" i="4"/>
  <c r="C32" i="5" s="1"/>
  <c r="AJ19" i="4"/>
  <c r="BR31" i="5" s="1"/>
  <c r="AI19" i="4"/>
  <c r="BP31" i="5" s="1"/>
  <c r="AH19" i="4"/>
  <c r="BN31" i="5" s="1"/>
  <c r="AG19" i="4"/>
  <c r="BL31" i="5" s="1"/>
  <c r="AF19" i="4"/>
  <c r="BJ31" i="5" s="1"/>
  <c r="AE19" i="4"/>
  <c r="BH31" i="5" s="1"/>
  <c r="AB19" i="4"/>
  <c r="BB31" i="5" s="1"/>
  <c r="AA19" i="4"/>
  <c r="AZ31" i="5" s="1"/>
  <c r="Z19" i="4"/>
  <c r="AX31" i="5" s="1"/>
  <c r="Y19" i="4"/>
  <c r="AV31" i="5" s="1"/>
  <c r="X19" i="4"/>
  <c r="AT31" i="5" s="1"/>
  <c r="W19" i="4"/>
  <c r="AR31" i="5" s="1"/>
  <c r="T19" i="4"/>
  <c r="AL31" i="5" s="1"/>
  <c r="S19" i="4"/>
  <c r="AJ31" i="5" s="1"/>
  <c r="R19" i="4"/>
  <c r="AH31" i="5" s="1"/>
  <c r="Q19" i="4"/>
  <c r="AF31" i="5" s="1"/>
  <c r="P19" i="4"/>
  <c r="AD31" i="5" s="1"/>
  <c r="O19" i="4"/>
  <c r="AB31" i="5" s="1"/>
  <c r="L19" i="4"/>
  <c r="V31" i="5" s="1"/>
  <c r="K19" i="4"/>
  <c r="T31" i="5" s="1"/>
  <c r="J19" i="4"/>
  <c r="R31" i="5" s="1"/>
  <c r="I19" i="4"/>
  <c r="P31" i="5" s="1"/>
  <c r="H19" i="4"/>
  <c r="N31" i="5" s="1"/>
  <c r="G19" i="4"/>
  <c r="L31" i="5" s="1"/>
  <c r="D19" i="4"/>
  <c r="G31" i="5" s="1"/>
  <c r="B19" i="4"/>
  <c r="C31" i="5" s="1"/>
  <c r="D18" i="4"/>
  <c r="G30" i="5" s="1"/>
  <c r="B18" i="4"/>
  <c r="C30" i="5" s="1"/>
  <c r="AJ17" i="4"/>
  <c r="BR29" i="5" s="1"/>
  <c r="AI17" i="4"/>
  <c r="BP29" i="5" s="1"/>
  <c r="AH17" i="4"/>
  <c r="BN29" i="5" s="1"/>
  <c r="AG17" i="4"/>
  <c r="BL29" i="5" s="1"/>
  <c r="AF17" i="4"/>
  <c r="BJ29" i="5" s="1"/>
  <c r="AE17" i="4"/>
  <c r="BH29" i="5" s="1"/>
  <c r="AB17" i="4"/>
  <c r="BB29" i="5" s="1"/>
  <c r="AA17" i="4"/>
  <c r="AZ29" i="5" s="1"/>
  <c r="Z17" i="4"/>
  <c r="AX29" i="5" s="1"/>
  <c r="Y17" i="4"/>
  <c r="AV29" i="5" s="1"/>
  <c r="X17" i="4"/>
  <c r="AT29" i="5" s="1"/>
  <c r="W17" i="4"/>
  <c r="AR29" i="5" s="1"/>
  <c r="T17" i="4"/>
  <c r="AL29" i="5" s="1"/>
  <c r="S17" i="4"/>
  <c r="AJ29" i="5" s="1"/>
  <c r="R17" i="4"/>
  <c r="AH29" i="5" s="1"/>
  <c r="Q17" i="4"/>
  <c r="AF29" i="5" s="1"/>
  <c r="P17" i="4"/>
  <c r="AD29" i="5" s="1"/>
  <c r="O17" i="4"/>
  <c r="AB29" i="5" s="1"/>
  <c r="L17" i="4"/>
  <c r="V29" i="5" s="1"/>
  <c r="K17" i="4"/>
  <c r="T29" i="5" s="1"/>
  <c r="J17" i="4"/>
  <c r="R29" i="5" s="1"/>
  <c r="I17" i="4"/>
  <c r="P29" i="5" s="1"/>
  <c r="H17" i="4"/>
  <c r="N29" i="5" s="1"/>
  <c r="G17" i="4"/>
  <c r="L29" i="5" s="1"/>
  <c r="D17" i="4"/>
  <c r="G29" i="5" s="1"/>
  <c r="B17" i="4"/>
  <c r="C29" i="5" s="1"/>
  <c r="D16" i="4"/>
  <c r="G28" i="5" s="1"/>
  <c r="B16" i="4"/>
  <c r="C28" i="5" s="1"/>
  <c r="AI14" i="4"/>
  <c r="BP25" i="5" s="1"/>
  <c r="AG14" i="4"/>
  <c r="BL25" i="5" s="1"/>
  <c r="AE14" i="4"/>
  <c r="BH25" i="5" s="1"/>
  <c r="AA14" i="4"/>
  <c r="AZ25" i="5" s="1"/>
  <c r="Y14" i="4"/>
  <c r="AV25" i="5" s="1"/>
  <c r="W14" i="4"/>
  <c r="AR25" i="5" s="1"/>
  <c r="S14" i="4"/>
  <c r="AJ25" i="5" s="1"/>
  <c r="Q14" i="4"/>
  <c r="AF25" i="5" s="1"/>
  <c r="O14" i="4"/>
  <c r="AB25" i="5" s="1"/>
  <c r="K14" i="4"/>
  <c r="T25" i="5" s="1"/>
  <c r="I14" i="4"/>
  <c r="P25" i="5" s="1"/>
  <c r="G14" i="4"/>
  <c r="L25" i="5" s="1"/>
  <c r="D13" i="4"/>
  <c r="B10" i="4"/>
  <c r="B9" i="4"/>
  <c r="B8" i="4"/>
  <c r="B7" i="4"/>
  <c r="B6" i="4"/>
  <c r="B5" i="4"/>
  <c r="B4" i="4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S18" i="4" s="1"/>
  <c r="AJ30" i="5" s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G1273" i="1"/>
  <c r="AE1272" i="1"/>
  <c r="G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G1219" i="1"/>
  <c r="AE1218" i="1"/>
  <c r="G1218" i="1"/>
  <c r="AE1217" i="1"/>
  <c r="G1217" i="1"/>
  <c r="AE1216" i="1"/>
  <c r="G1216" i="1"/>
  <c r="AE1215" i="1"/>
  <c r="G1215" i="1"/>
  <c r="AE1214" i="1"/>
  <c r="G1214" i="1"/>
  <c r="AE1213" i="1"/>
  <c r="AE1212" i="1"/>
  <c r="AE1211" i="1"/>
  <c r="G1211" i="1"/>
  <c r="AE1210" i="1"/>
  <c r="G1210" i="1"/>
  <c r="AE1209" i="1"/>
  <c r="G1209" i="1"/>
  <c r="AE1208" i="1"/>
  <c r="G1208" i="1"/>
  <c r="AE1207" i="1"/>
  <c r="G1207" i="1"/>
  <c r="AE1206" i="1"/>
  <c r="AE1205" i="1"/>
  <c r="G1205" i="1"/>
  <c r="AE1204" i="1"/>
  <c r="J1204" i="1"/>
  <c r="AE1203" i="1"/>
  <c r="J1203" i="1"/>
  <c r="G1203" i="1"/>
  <c r="AE1202" i="1"/>
  <c r="J1202" i="1"/>
  <c r="G1202" i="1"/>
  <c r="AE1201" i="1"/>
  <c r="AE1200" i="1"/>
  <c r="AE1199" i="1"/>
  <c r="AE1198" i="1"/>
  <c r="AE1197" i="1"/>
  <c r="G1197" i="1"/>
  <c r="AE1196" i="1"/>
  <c r="G1196" i="1"/>
  <c r="AE1195" i="1"/>
  <c r="G1195" i="1"/>
  <c r="AE1194" i="1"/>
  <c r="G1194" i="1"/>
  <c r="AE1193" i="1"/>
  <c r="AE1192" i="1"/>
  <c r="AE1191" i="1"/>
  <c r="AE1190" i="1"/>
  <c r="G1190" i="1"/>
  <c r="AE1189" i="1"/>
  <c r="G1189" i="1"/>
  <c r="AE1188" i="1"/>
  <c r="G1188" i="1"/>
  <c r="AE1187" i="1"/>
  <c r="G1187" i="1"/>
  <c r="AE1186" i="1"/>
  <c r="G1186" i="1"/>
  <c r="AE1185" i="1"/>
  <c r="G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G1104" i="1"/>
  <c r="AE1103" i="1"/>
  <c r="G1103" i="1"/>
  <c r="AE1102" i="1"/>
  <c r="G1102" i="1"/>
  <c r="AE1101" i="1"/>
  <c r="G1101" i="1"/>
  <c r="AE1100" i="1"/>
  <c r="G1100" i="1"/>
  <c r="AE1099" i="1"/>
  <c r="G1099" i="1"/>
  <c r="AE1098" i="1"/>
  <c r="G1098" i="1"/>
  <c r="AE1097" i="1"/>
  <c r="G1097" i="1"/>
  <c r="AE1096" i="1"/>
  <c r="G1096" i="1"/>
  <c r="AE1095" i="1"/>
  <c r="G1095" i="1"/>
  <c r="AE1094" i="1"/>
  <c r="G1094" i="1"/>
  <c r="AE1093" i="1"/>
  <c r="G1093" i="1"/>
  <c r="AE1092" i="1"/>
  <c r="G1092" i="1"/>
  <c r="AE1091" i="1"/>
  <c r="G1091" i="1"/>
  <c r="AE1090" i="1"/>
  <c r="G1090" i="1"/>
  <c r="AE1089" i="1"/>
  <c r="G1089" i="1"/>
  <c r="AE1088" i="1"/>
  <c r="G1088" i="1"/>
  <c r="AE1087" i="1"/>
  <c r="G1087" i="1"/>
  <c r="AE1086" i="1"/>
  <c r="G1086" i="1"/>
  <c r="AE1085" i="1"/>
  <c r="G1085" i="1"/>
  <c r="AE1084" i="1"/>
  <c r="G1084" i="1"/>
  <c r="AE1083" i="1"/>
  <c r="G1083" i="1"/>
  <c r="AE1082" i="1"/>
  <c r="G1082" i="1"/>
  <c r="AE1081" i="1"/>
  <c r="G1081" i="1"/>
  <c r="AE1080" i="1"/>
  <c r="G1080" i="1"/>
  <c r="AE1079" i="1"/>
  <c r="G1079" i="1"/>
  <c r="AE1078" i="1"/>
  <c r="G1078" i="1"/>
  <c r="AE1077" i="1"/>
  <c r="G1077" i="1"/>
  <c r="AE1076" i="1"/>
  <c r="G1076" i="1"/>
  <c r="AE1075" i="1"/>
  <c r="G1075" i="1"/>
  <c r="AE1074" i="1"/>
  <c r="G1074" i="1"/>
  <c r="AE1073" i="1"/>
  <c r="G1073" i="1"/>
  <c r="AE1072" i="1"/>
  <c r="G1072" i="1"/>
  <c r="AE1071" i="1"/>
  <c r="G1071" i="1"/>
  <c r="AE1070" i="1"/>
  <c r="G1070" i="1"/>
  <c r="AE1069" i="1"/>
  <c r="G1069" i="1"/>
  <c r="AE1068" i="1"/>
  <c r="G1068" i="1"/>
  <c r="AE1067" i="1"/>
  <c r="G1067" i="1"/>
  <c r="AE1066" i="1"/>
  <c r="AE1065" i="1"/>
  <c r="J1065" i="1"/>
  <c r="G1065" i="1"/>
  <c r="AE1064" i="1"/>
  <c r="J1064" i="1"/>
  <c r="G1064" i="1"/>
  <c r="AE1063" i="1"/>
  <c r="J1063" i="1"/>
  <c r="G1063" i="1"/>
  <c r="AE1062" i="1"/>
  <c r="J1062" i="1"/>
  <c r="G1062" i="1"/>
  <c r="AE1061" i="1"/>
  <c r="J1061" i="1"/>
  <c r="G1061" i="1"/>
  <c r="AE1060" i="1"/>
  <c r="J1060" i="1"/>
  <c r="G1060" i="1"/>
  <c r="AE1059" i="1"/>
  <c r="J1059" i="1"/>
  <c r="G1059" i="1"/>
  <c r="AE1058" i="1"/>
  <c r="G1058" i="1"/>
  <c r="AE1057" i="1"/>
  <c r="G1057" i="1"/>
  <c r="AE1056" i="1"/>
  <c r="J1056" i="1"/>
  <c r="AE1055" i="1"/>
  <c r="AE1054" i="1"/>
  <c r="AE1053" i="1"/>
  <c r="AE1052" i="1"/>
  <c r="AE1051" i="1"/>
  <c r="AE1050" i="1"/>
  <c r="G1050" i="1"/>
  <c r="AE1049" i="1"/>
  <c r="G1049" i="1"/>
  <c r="AE1048" i="1"/>
  <c r="G1048" i="1"/>
  <c r="AE1047" i="1"/>
  <c r="G1047" i="1"/>
  <c r="AE1046" i="1"/>
  <c r="G1046" i="1"/>
  <c r="AE1045" i="1"/>
  <c r="G1045" i="1"/>
  <c r="AE1044" i="1"/>
  <c r="G1044" i="1"/>
  <c r="AE1043" i="1"/>
  <c r="G1043" i="1"/>
  <c r="AE1042" i="1"/>
  <c r="G1042" i="1"/>
  <c r="AE1041" i="1"/>
  <c r="AE1040" i="1"/>
  <c r="G1040" i="1"/>
  <c r="AE1039" i="1"/>
  <c r="G1039" i="1"/>
  <c r="AE1038" i="1"/>
  <c r="G1038" i="1"/>
  <c r="AE1037" i="1"/>
  <c r="G1037" i="1"/>
  <c r="AE1036" i="1"/>
  <c r="G1036" i="1"/>
  <c r="AE1035" i="1"/>
  <c r="G1035" i="1"/>
  <c r="AE1034" i="1"/>
  <c r="G1034" i="1"/>
  <c r="AE1033" i="1"/>
  <c r="G1033" i="1"/>
  <c r="AE1032" i="1"/>
  <c r="G1032" i="1"/>
  <c r="AE1031" i="1"/>
  <c r="G1031" i="1"/>
  <c r="AE1030" i="1"/>
  <c r="G1030" i="1"/>
  <c r="AE1029" i="1"/>
  <c r="G1029" i="1"/>
  <c r="AE1028" i="1"/>
  <c r="AE1027" i="1"/>
  <c r="G1027" i="1"/>
  <c r="AE1026" i="1"/>
  <c r="G1026" i="1"/>
  <c r="AE1025" i="1"/>
  <c r="G1025" i="1"/>
  <c r="AE1024" i="1"/>
  <c r="G1024" i="1"/>
  <c r="AE1023" i="1"/>
  <c r="G1023" i="1"/>
  <c r="AE1022" i="1"/>
  <c r="G1022" i="1"/>
  <c r="AE1021" i="1"/>
  <c r="G1021" i="1"/>
  <c r="AE1020" i="1"/>
  <c r="G1020" i="1"/>
  <c r="AE1019" i="1"/>
  <c r="G1019" i="1"/>
  <c r="AE1018" i="1"/>
  <c r="G1018" i="1"/>
  <c r="AE1017" i="1"/>
  <c r="G1017" i="1"/>
  <c r="AE1016" i="1"/>
  <c r="G1016" i="1"/>
  <c r="AE1015" i="1"/>
  <c r="G1015" i="1"/>
  <c r="AE1014" i="1"/>
  <c r="G1014" i="1"/>
  <c r="AE1013" i="1"/>
  <c r="G1013" i="1"/>
  <c r="AE1012" i="1"/>
  <c r="G1012" i="1"/>
  <c r="AE1011" i="1"/>
  <c r="G1011" i="1"/>
  <c r="AE1010" i="1"/>
  <c r="G1010" i="1"/>
  <c r="AE1009" i="1"/>
  <c r="G1009" i="1"/>
  <c r="AE1008" i="1"/>
  <c r="G1008" i="1"/>
  <c r="AE1007" i="1"/>
  <c r="G1007" i="1"/>
  <c r="AE1006" i="1"/>
  <c r="G1006" i="1"/>
  <c r="AE1005" i="1"/>
  <c r="G1005" i="1"/>
  <c r="AE1004" i="1"/>
  <c r="G1004" i="1"/>
  <c r="AE1003" i="1"/>
  <c r="G1003" i="1"/>
  <c r="AE1002" i="1"/>
  <c r="G1002" i="1"/>
  <c r="AE1001" i="1"/>
  <c r="G1001" i="1"/>
  <c r="AE1000" i="1"/>
  <c r="G1000" i="1"/>
  <c r="AE999" i="1"/>
  <c r="G999" i="1"/>
  <c r="AE998" i="1"/>
  <c r="G998" i="1"/>
  <c r="AE997" i="1"/>
  <c r="G997" i="1"/>
  <c r="AE996" i="1"/>
  <c r="G996" i="1"/>
  <c r="AE995" i="1"/>
  <c r="G995" i="1"/>
  <c r="AE994" i="1"/>
  <c r="G994" i="1"/>
  <c r="AE993" i="1"/>
  <c r="AE992" i="1"/>
  <c r="AE991" i="1"/>
  <c r="G991" i="1"/>
  <c r="AE990" i="1"/>
  <c r="G990" i="1"/>
  <c r="AE989" i="1"/>
  <c r="G989" i="1"/>
  <c r="AE988" i="1"/>
  <c r="G988" i="1"/>
  <c r="AE987" i="1"/>
  <c r="G987" i="1"/>
  <c r="AE986" i="1"/>
  <c r="G986" i="1"/>
  <c r="AE985" i="1"/>
  <c r="G985" i="1"/>
  <c r="AE984" i="1"/>
  <c r="G984" i="1"/>
  <c r="AE983" i="1"/>
  <c r="G983" i="1"/>
  <c r="AE982" i="1"/>
  <c r="G982" i="1"/>
  <c r="AE981" i="1"/>
  <c r="G981" i="1"/>
  <c r="AE980" i="1"/>
  <c r="G980" i="1"/>
  <c r="AE979" i="1"/>
  <c r="G979" i="1"/>
  <c r="AE978" i="1"/>
  <c r="G978" i="1"/>
  <c r="AE977" i="1"/>
  <c r="G977" i="1"/>
  <c r="AE976" i="1"/>
  <c r="G976" i="1"/>
  <c r="AE975" i="1"/>
  <c r="G975" i="1"/>
  <c r="AE974" i="1"/>
  <c r="G974" i="1"/>
  <c r="AE973" i="1"/>
  <c r="G973" i="1"/>
  <c r="AE972" i="1"/>
  <c r="G972" i="1"/>
  <c r="AE971" i="1"/>
  <c r="G971" i="1"/>
  <c r="AE970" i="1"/>
  <c r="G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G920" i="1"/>
  <c r="AE919" i="1"/>
  <c r="G919" i="1"/>
  <c r="AE918" i="1"/>
  <c r="G918" i="1"/>
  <c r="AE917" i="1"/>
  <c r="G917" i="1"/>
  <c r="AE916" i="1"/>
  <c r="G916" i="1"/>
  <c r="AE915" i="1"/>
  <c r="G915" i="1"/>
  <c r="AE914" i="1"/>
  <c r="G914" i="1"/>
  <c r="AE913" i="1"/>
  <c r="G913" i="1"/>
  <c r="AE912" i="1"/>
  <c r="G912" i="1"/>
  <c r="AE911" i="1"/>
  <c r="AE910" i="1"/>
  <c r="G910" i="1"/>
  <c r="AE909" i="1"/>
  <c r="G909" i="1"/>
  <c r="AE908" i="1"/>
  <c r="G908" i="1"/>
  <c r="AE907" i="1"/>
  <c r="G907" i="1"/>
  <c r="AE906" i="1"/>
  <c r="G906" i="1"/>
  <c r="AE905" i="1"/>
  <c r="G905" i="1"/>
  <c r="AE904" i="1"/>
  <c r="G904" i="1"/>
  <c r="AE903" i="1"/>
  <c r="G903" i="1"/>
  <c r="AE902" i="1"/>
  <c r="G902" i="1"/>
  <c r="AE901" i="1"/>
  <c r="AE900" i="1"/>
  <c r="AE899" i="1"/>
  <c r="AE898" i="1"/>
  <c r="G898" i="1"/>
  <c r="AE897" i="1"/>
  <c r="G897" i="1"/>
  <c r="AE896" i="1"/>
  <c r="G896" i="1"/>
  <c r="AE895" i="1"/>
  <c r="G895" i="1"/>
  <c r="AE894" i="1"/>
  <c r="G894" i="1"/>
  <c r="AE893" i="1"/>
  <c r="G893" i="1"/>
  <c r="AE892" i="1"/>
  <c r="G892" i="1"/>
  <c r="AE891" i="1"/>
  <c r="G891" i="1"/>
  <c r="AE890" i="1"/>
  <c r="G890" i="1"/>
  <c r="AE889" i="1"/>
  <c r="G889" i="1"/>
  <c r="AE888" i="1"/>
  <c r="G888" i="1"/>
  <c r="AE887" i="1"/>
  <c r="G887" i="1"/>
  <c r="AE886" i="1"/>
  <c r="G886" i="1"/>
  <c r="AE885" i="1"/>
  <c r="G885" i="1"/>
  <c r="AE884" i="1"/>
  <c r="G884" i="1"/>
  <c r="AE883" i="1"/>
  <c r="G883" i="1"/>
  <c r="AE882" i="1"/>
  <c r="G882" i="1"/>
  <c r="AE881" i="1"/>
  <c r="G881" i="1"/>
  <c r="AE880" i="1"/>
  <c r="G880" i="1"/>
  <c r="AE879" i="1"/>
  <c r="G879" i="1"/>
  <c r="AE878" i="1"/>
  <c r="G878" i="1"/>
  <c r="AE877" i="1"/>
  <c r="G877" i="1"/>
  <c r="AE876" i="1"/>
  <c r="G876" i="1"/>
  <c r="AE875" i="1"/>
  <c r="G875" i="1"/>
  <c r="AE874" i="1"/>
  <c r="AE873" i="1"/>
  <c r="G873" i="1"/>
  <c r="AE872" i="1"/>
  <c r="G872" i="1"/>
  <c r="AE871" i="1"/>
  <c r="G871" i="1"/>
  <c r="AE870" i="1"/>
  <c r="AE869" i="1"/>
  <c r="G869" i="1"/>
  <c r="AE868" i="1"/>
  <c r="G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G842" i="1"/>
  <c r="AE841" i="1"/>
  <c r="G841" i="1"/>
  <c r="AE840" i="1"/>
  <c r="AE839" i="1"/>
  <c r="AE838" i="1"/>
  <c r="AE837" i="1"/>
  <c r="G837" i="1"/>
  <c r="AE836" i="1"/>
  <c r="G836" i="1"/>
  <c r="AE835" i="1"/>
  <c r="G835" i="1"/>
  <c r="AE834" i="1"/>
  <c r="G834" i="1"/>
  <c r="AE833" i="1"/>
  <c r="G833" i="1"/>
  <c r="AE832" i="1"/>
  <c r="G832" i="1"/>
  <c r="AE831" i="1"/>
  <c r="G831" i="1"/>
  <c r="AE830" i="1"/>
  <c r="G830" i="1"/>
  <c r="AE829" i="1"/>
  <c r="G829" i="1"/>
  <c r="AE828" i="1"/>
  <c r="G828" i="1"/>
  <c r="AE827" i="1"/>
  <c r="G827" i="1"/>
  <c r="AE826" i="1"/>
  <c r="G826" i="1"/>
  <c r="AE825" i="1"/>
  <c r="G825" i="1"/>
  <c r="AE824" i="1"/>
  <c r="G824" i="1"/>
  <c r="AE823" i="1"/>
  <c r="G823" i="1"/>
  <c r="AE822" i="1"/>
  <c r="G822" i="1"/>
  <c r="AE821" i="1"/>
  <c r="G821" i="1"/>
  <c r="AE820" i="1"/>
  <c r="G820" i="1"/>
  <c r="AE819" i="1"/>
  <c r="G819" i="1"/>
  <c r="AE818" i="1"/>
  <c r="G818" i="1"/>
  <c r="AE817" i="1"/>
  <c r="G817" i="1"/>
  <c r="AE816" i="1"/>
  <c r="G816" i="1"/>
  <c r="AE815" i="1"/>
  <c r="G815" i="1"/>
  <c r="AE814" i="1"/>
  <c r="G814" i="1"/>
  <c r="AE813" i="1"/>
  <c r="G813" i="1"/>
  <c r="AE812" i="1"/>
  <c r="G812" i="1"/>
  <c r="AE811" i="1"/>
  <c r="G811" i="1"/>
  <c r="AE810" i="1"/>
  <c r="G810" i="1"/>
  <c r="AE809" i="1"/>
  <c r="G809" i="1"/>
  <c r="AE808" i="1"/>
  <c r="G808" i="1"/>
  <c r="AE807" i="1"/>
  <c r="G807" i="1"/>
  <c r="AE806" i="1"/>
  <c r="G806" i="1"/>
  <c r="AE805" i="1"/>
  <c r="G805" i="1"/>
  <c r="AE804" i="1"/>
  <c r="G804" i="1"/>
  <c r="AE803" i="1"/>
  <c r="G803" i="1"/>
  <c r="AE802" i="1"/>
  <c r="G802" i="1"/>
  <c r="AE801" i="1"/>
  <c r="G801" i="1"/>
  <c r="AE800" i="1"/>
  <c r="G800" i="1"/>
  <c r="AE799" i="1"/>
  <c r="G799" i="1"/>
  <c r="AE798" i="1"/>
  <c r="G798" i="1"/>
  <c r="AE797" i="1"/>
  <c r="G797" i="1"/>
  <c r="AE796" i="1"/>
  <c r="G796" i="1"/>
  <c r="AE795" i="1"/>
  <c r="G795" i="1"/>
  <c r="AE794" i="1"/>
  <c r="G794" i="1"/>
  <c r="AE793" i="1"/>
  <c r="G793" i="1"/>
  <c r="AE792" i="1"/>
  <c r="G792" i="1"/>
  <c r="AE791" i="1"/>
  <c r="G791" i="1"/>
  <c r="AE790" i="1"/>
  <c r="G790" i="1"/>
  <c r="AE789" i="1"/>
  <c r="G789" i="1"/>
  <c r="AE788" i="1"/>
  <c r="G788" i="1"/>
  <c r="AE787" i="1"/>
  <c r="G787" i="1"/>
  <c r="AE786" i="1"/>
  <c r="G786" i="1"/>
  <c r="AE785" i="1"/>
  <c r="G785" i="1"/>
  <c r="AE784" i="1"/>
  <c r="G784" i="1"/>
  <c r="AE783" i="1"/>
  <c r="G783" i="1"/>
  <c r="AE782" i="1"/>
  <c r="G782" i="1"/>
  <c r="AE781" i="1"/>
  <c r="G781" i="1"/>
  <c r="AE780" i="1"/>
  <c r="G780" i="1"/>
  <c r="AE779" i="1"/>
  <c r="G779" i="1"/>
  <c r="AE778" i="1"/>
  <c r="G778" i="1"/>
  <c r="AE777" i="1"/>
  <c r="G777" i="1"/>
  <c r="AE776" i="1"/>
  <c r="G776" i="1"/>
  <c r="AE775" i="1"/>
  <c r="G775" i="1"/>
  <c r="AE774" i="1"/>
  <c r="G774" i="1"/>
  <c r="AE773" i="1"/>
  <c r="G773" i="1"/>
  <c r="AE772" i="1"/>
  <c r="G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G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G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M47" i="4" l="1"/>
  <c r="AC47" i="4"/>
  <c r="AH838" i="2"/>
  <c r="AG56" i="4"/>
  <c r="G18" i="4"/>
  <c r="L30" i="5" s="1"/>
  <c r="AI845" i="2"/>
  <c r="AI875" i="2"/>
  <c r="AH875" i="2"/>
  <c r="AI1047" i="2"/>
  <c r="AH1047" i="2"/>
  <c r="AI1096" i="2"/>
  <c r="AI1102" i="2"/>
  <c r="AH1132" i="2"/>
  <c r="AI1142" i="2"/>
  <c r="AI1157" i="2"/>
  <c r="AI1435" i="2"/>
  <c r="AI1438" i="2"/>
  <c r="AH1455" i="2"/>
  <c r="AI1484" i="2"/>
  <c r="AH1486" i="2"/>
  <c r="AH1550" i="2"/>
  <c r="E74" i="4"/>
  <c r="H86" i="5" s="1"/>
  <c r="AI58" i="2"/>
  <c r="AI689" i="2"/>
  <c r="AI755" i="2"/>
  <c r="AI927" i="2"/>
  <c r="AI1235" i="2"/>
  <c r="AI1236" i="2"/>
  <c r="AH994" i="2"/>
  <c r="AH995" i="2"/>
  <c r="AI1052" i="2"/>
  <c r="AH1067" i="2"/>
  <c r="AI635" i="2"/>
  <c r="AH741" i="2"/>
  <c r="AH772" i="2"/>
  <c r="AH893" i="2"/>
  <c r="AH896" i="2"/>
  <c r="AH915" i="2"/>
  <c r="AI944" i="2"/>
  <c r="AI947" i="2"/>
  <c r="AI992" i="2"/>
  <c r="AH1066" i="2"/>
  <c r="AI1168" i="2"/>
  <c r="AH1448" i="2"/>
  <c r="AL64" i="4"/>
  <c r="V46" i="4"/>
  <c r="AL46" i="4"/>
  <c r="V48" i="4"/>
  <c r="AL48" i="4"/>
  <c r="V50" i="4"/>
  <c r="AL50" i="4"/>
  <c r="U85" i="4"/>
  <c r="AI705" i="2"/>
  <c r="AH705" i="2"/>
  <c r="AI758" i="2"/>
  <c r="AH758" i="2"/>
  <c r="AI768" i="2"/>
  <c r="AH768" i="2"/>
  <c r="AI769" i="2"/>
  <c r="AH769" i="2"/>
  <c r="AI782" i="2"/>
  <c r="AH782" i="2"/>
  <c r="AI783" i="2"/>
  <c r="AH783" i="2"/>
  <c r="AI848" i="2"/>
  <c r="AH848" i="2"/>
  <c r="AI881" i="2"/>
  <c r="AH881" i="2"/>
  <c r="AI939" i="2"/>
  <c r="AH939" i="2"/>
  <c r="AI973" i="2"/>
  <c r="AH973" i="2"/>
  <c r="AI1090" i="2"/>
  <c r="AH1090" i="2"/>
  <c r="AH1091" i="2"/>
  <c r="AI1091" i="2"/>
  <c r="AI1154" i="2"/>
  <c r="AH1154" i="2"/>
  <c r="AI1198" i="2"/>
  <c r="AH1198" i="2"/>
  <c r="AI1233" i="2"/>
  <c r="AH1233" i="2"/>
  <c r="AH1289" i="2"/>
  <c r="AI1289" i="2"/>
  <c r="AI1325" i="2"/>
  <c r="AH1325" i="2"/>
  <c r="AH1540" i="2"/>
  <c r="AI1540" i="2"/>
  <c r="AH833" i="2"/>
  <c r="AH977" i="2"/>
  <c r="AH1021" i="2"/>
  <c r="AI1037" i="2"/>
  <c r="AI1076" i="2"/>
  <c r="AI1300" i="2"/>
  <c r="AI1494" i="2"/>
  <c r="AH18" i="4"/>
  <c r="BN30" i="5" s="1"/>
  <c r="AE18" i="4"/>
  <c r="BH30" i="5" s="1"/>
  <c r="AH706" i="2"/>
  <c r="AI706" i="2"/>
  <c r="AI708" i="2"/>
  <c r="AH708" i="2"/>
  <c r="AI859" i="2"/>
  <c r="AH859" i="2"/>
  <c r="AI872" i="2"/>
  <c r="AH872" i="2"/>
  <c r="AI946" i="2"/>
  <c r="AH946" i="2"/>
  <c r="AH1056" i="2"/>
  <c r="AI1056" i="2"/>
  <c r="AI1284" i="2"/>
  <c r="AH1284" i="2"/>
  <c r="AI1291" i="2"/>
  <c r="AH1291" i="2"/>
  <c r="AH1316" i="2"/>
  <c r="AI1316" i="2"/>
  <c r="AI1322" i="2"/>
  <c r="AH1322" i="2"/>
  <c r="M51" i="4"/>
  <c r="AC51" i="4"/>
  <c r="V52" i="4"/>
  <c r="AL52" i="4"/>
  <c r="M53" i="4"/>
  <c r="AC53" i="4"/>
  <c r="N54" i="4"/>
  <c r="AD54" i="4"/>
  <c r="M57" i="4"/>
  <c r="AC57" i="4"/>
  <c r="AK57" i="4"/>
  <c r="N58" i="4"/>
  <c r="AD58" i="4"/>
  <c r="V60" i="4"/>
  <c r="AL60" i="4"/>
  <c r="N61" i="4"/>
  <c r="AD61" i="4"/>
  <c r="AC62" i="4"/>
  <c r="V63" i="4"/>
  <c r="AL63" i="4"/>
  <c r="M64" i="4"/>
  <c r="AC64" i="4"/>
  <c r="M65" i="4"/>
  <c r="AC65" i="4"/>
  <c r="M67" i="4"/>
  <c r="AH33" i="2"/>
  <c r="AH34" i="2"/>
  <c r="AH53" i="2"/>
  <c r="AH103" i="2"/>
  <c r="AH669" i="2"/>
  <c r="AH680" i="2"/>
  <c r="AI810" i="2"/>
  <c r="AH810" i="2"/>
  <c r="AI818" i="2"/>
  <c r="AH818" i="2"/>
  <c r="AI821" i="2"/>
  <c r="AH821" i="2"/>
  <c r="AH864" i="2"/>
  <c r="AI1019" i="2"/>
  <c r="AH1019" i="2"/>
  <c r="AI1311" i="2"/>
  <c r="AH1311" i="2"/>
  <c r="AH1353" i="2"/>
  <c r="Z31" i="5"/>
  <c r="BF31" i="5"/>
  <c r="N45" i="4"/>
  <c r="AD45" i="4"/>
  <c r="U46" i="4"/>
  <c r="AK46" i="4"/>
  <c r="N47" i="4"/>
  <c r="AD47" i="4"/>
  <c r="U48" i="4"/>
  <c r="AK48" i="4"/>
  <c r="N49" i="4"/>
  <c r="AD49" i="4"/>
  <c r="U50" i="4"/>
  <c r="AK50" i="4"/>
  <c r="N51" i="4"/>
  <c r="AD51" i="4"/>
  <c r="U52" i="4"/>
  <c r="AK52" i="4"/>
  <c r="N53" i="4"/>
  <c r="AD53" i="4"/>
  <c r="U54" i="4"/>
  <c r="AK54" i="4"/>
  <c r="N55" i="4"/>
  <c r="AD55" i="4"/>
  <c r="N57" i="4"/>
  <c r="AD57" i="4"/>
  <c r="U58" i="4"/>
  <c r="V59" i="4"/>
  <c r="AL59" i="4"/>
  <c r="M60" i="4"/>
  <c r="AC60" i="4"/>
  <c r="M61" i="4"/>
  <c r="AC61" i="4"/>
  <c r="V62" i="4"/>
  <c r="AL62" i="4"/>
  <c r="M63" i="4"/>
  <c r="AC63" i="4"/>
  <c r="V64" i="4"/>
  <c r="V65" i="4"/>
  <c r="AL65" i="4"/>
  <c r="V67" i="4"/>
  <c r="AL67" i="4"/>
  <c r="N85" i="4"/>
  <c r="AD85" i="4"/>
  <c r="AH47" i="2"/>
  <c r="AH99" i="2"/>
  <c r="AH128" i="2"/>
  <c r="AH320" i="2"/>
  <c r="AI707" i="2"/>
  <c r="AH707" i="2"/>
  <c r="AI747" i="2"/>
  <c r="AH747" i="2"/>
  <c r="AI750" i="2"/>
  <c r="AI812" i="2"/>
  <c r="AH812" i="2"/>
  <c r="AH920" i="2"/>
  <c r="AI920" i="2"/>
  <c r="AH963" i="2"/>
  <c r="AI1105" i="2"/>
  <c r="AH1323" i="2"/>
  <c r="AI1323" i="2"/>
  <c r="AH652" i="2"/>
  <c r="AI817" i="2"/>
  <c r="AH817" i="2"/>
  <c r="AI933" i="2"/>
  <c r="AH933" i="2"/>
  <c r="AH950" i="2"/>
  <c r="AH951" i="2"/>
  <c r="AI1319" i="2"/>
  <c r="AH1319" i="2"/>
  <c r="AH1331" i="2"/>
  <c r="AI1331" i="2"/>
  <c r="AH976" i="2"/>
  <c r="AI976" i="2"/>
  <c r="AI1038" i="2"/>
  <c r="AH1038" i="2"/>
  <c r="AH1357" i="2"/>
  <c r="AI1357" i="2"/>
  <c r="AI918" i="2"/>
  <c r="AH918" i="2"/>
  <c r="AI1187" i="2"/>
  <c r="AH1187" i="2"/>
  <c r="AH1313" i="2"/>
  <c r="AI1313" i="2"/>
  <c r="AI1330" i="2"/>
  <c r="AH1330" i="2"/>
  <c r="AH1480" i="2"/>
  <c r="AI1480" i="2"/>
  <c r="AH1526" i="2"/>
  <c r="AI1526" i="2"/>
  <c r="AH1445" i="2"/>
  <c r="AH1452" i="2"/>
  <c r="AI1459" i="2"/>
  <c r="AH1487" i="2"/>
  <c r="AI1495" i="2"/>
  <c r="AH1393" i="2"/>
  <c r="AI1460" i="2"/>
  <c r="AI1497" i="2"/>
  <c r="C48" i="5"/>
  <c r="C52" i="5" s="1"/>
  <c r="U45" i="4"/>
  <c r="G48" i="5"/>
  <c r="G52" i="5" s="1"/>
  <c r="Z29" i="5"/>
  <c r="BF29" i="5"/>
  <c r="W18" i="4"/>
  <c r="AR30" i="5" s="1"/>
  <c r="AI1003" i="2"/>
  <c r="AH1003" i="2"/>
  <c r="AI1043" i="2"/>
  <c r="AH1043" i="2"/>
  <c r="AI1306" i="2"/>
  <c r="AH1306" i="2"/>
  <c r="AH1364" i="2"/>
  <c r="AI1364" i="2"/>
  <c r="AI407" i="2"/>
  <c r="AH407" i="2"/>
  <c r="AI413" i="2"/>
  <c r="AH413" i="2"/>
  <c r="AI421" i="2"/>
  <c r="AH421" i="2"/>
  <c r="AI437" i="2"/>
  <c r="AH437" i="2"/>
  <c r="AI813" i="2"/>
  <c r="AH813" i="2"/>
  <c r="AI1380" i="2"/>
  <c r="AH1380" i="2"/>
  <c r="AI1509" i="2"/>
  <c r="AH1509" i="2"/>
  <c r="AI1529" i="2"/>
  <c r="AH1529" i="2"/>
  <c r="AI1543" i="2"/>
  <c r="AH1543" i="2"/>
  <c r="O18" i="4"/>
  <c r="AB30" i="5" s="1"/>
  <c r="AI18" i="4"/>
  <c r="BP30" i="5" s="1"/>
  <c r="AI21" i="2"/>
  <c r="AH21" i="2"/>
  <c r="AI442" i="2"/>
  <c r="AH442" i="2"/>
  <c r="AI1004" i="2"/>
  <c r="AH1004" i="2"/>
  <c r="AI1503" i="2"/>
  <c r="AH1503" i="2"/>
  <c r="AK45" i="4"/>
  <c r="AI45" i="2"/>
  <c r="AH45" i="2"/>
  <c r="AI124" i="2"/>
  <c r="AH124" i="2"/>
  <c r="AI404" i="2"/>
  <c r="AH404" i="2"/>
  <c r="AI406" i="2"/>
  <c r="AH406" i="2"/>
  <c r="AI679" i="2"/>
  <c r="AH679" i="2"/>
  <c r="AI822" i="2"/>
  <c r="AH822" i="2"/>
  <c r="AI1140" i="2"/>
  <c r="AH1140" i="2"/>
  <c r="AI1479" i="2"/>
  <c r="AH1479" i="2"/>
  <c r="AI645" i="2"/>
  <c r="AH645" i="2"/>
  <c r="AI728" i="2"/>
  <c r="AH728" i="2"/>
  <c r="AI762" i="2"/>
  <c r="AH762" i="2"/>
  <c r="AI1207" i="2"/>
  <c r="AH1207" i="2"/>
  <c r="AI1254" i="2"/>
  <c r="AH1254" i="2"/>
  <c r="AI1531" i="2"/>
  <c r="AH1531" i="2"/>
  <c r="AI1549" i="2"/>
  <c r="AH1549" i="2"/>
  <c r="AH1580" i="2"/>
  <c r="AI1580" i="2"/>
  <c r="AH36" i="2"/>
  <c r="AH37" i="2"/>
  <c r="AH400" i="2"/>
  <c r="AH401" i="2"/>
  <c r="AH411" i="2"/>
  <c r="AH625" i="2"/>
  <c r="AH633" i="2"/>
  <c r="AI699" i="2"/>
  <c r="AH699" i="2"/>
  <c r="AH716" i="2"/>
  <c r="AI731" i="2"/>
  <c r="AH731" i="2"/>
  <c r="AH778" i="2"/>
  <c r="AI823" i="2"/>
  <c r="AH823" i="2"/>
  <c r="AI862" i="2"/>
  <c r="AH862" i="2"/>
  <c r="AI916" i="2"/>
  <c r="AH916" i="2"/>
  <c r="AI923" i="2"/>
  <c r="AH923" i="2"/>
  <c r="AH979" i="2"/>
  <c r="AH983" i="2"/>
  <c r="AI983" i="2"/>
  <c r="AI996" i="2"/>
  <c r="AH998" i="2"/>
  <c r="AI1109" i="2"/>
  <c r="AH1109" i="2"/>
  <c r="AI1192" i="2"/>
  <c r="AH1192" i="2"/>
  <c r="AI1243" i="2"/>
  <c r="AH1243" i="2"/>
  <c r="AI1328" i="2"/>
  <c r="AH1328" i="2"/>
  <c r="AH1360" i="2"/>
  <c r="AI1360" i="2"/>
  <c r="AI1362" i="2"/>
  <c r="AH1362" i="2"/>
  <c r="AI1401" i="2"/>
  <c r="AH1404" i="2"/>
  <c r="AH1416" i="2"/>
  <c r="AI1416" i="2"/>
  <c r="AI1493" i="2"/>
  <c r="AH1493" i="2"/>
  <c r="AI644" i="2"/>
  <c r="AH644" i="2"/>
  <c r="AI702" i="2"/>
  <c r="AI703" i="2"/>
  <c r="AI849" i="2"/>
  <c r="AH849" i="2"/>
  <c r="AI908" i="2"/>
  <c r="AH908" i="2"/>
  <c r="AI1025" i="2"/>
  <c r="AH1025" i="2"/>
  <c r="AH1108" i="2"/>
  <c r="AI1108" i="2"/>
  <c r="AH1226" i="2"/>
  <c r="AI1226" i="2"/>
  <c r="AH1400" i="2"/>
  <c r="AI1400" i="2"/>
  <c r="AI1303" i="2"/>
  <c r="AH1303" i="2"/>
  <c r="AI1359" i="2"/>
  <c r="AH1359" i="2"/>
  <c r="AI1429" i="2"/>
  <c r="AH1429" i="2"/>
  <c r="AH1586" i="2"/>
  <c r="AI1586" i="2"/>
  <c r="AI1205" i="2"/>
  <c r="AH1205" i="2"/>
  <c r="AI1305" i="2"/>
  <c r="AH1305" i="2"/>
  <c r="AH1456" i="2"/>
  <c r="AI1456" i="2"/>
  <c r="I87" i="5"/>
  <c r="AI1223" i="2"/>
  <c r="AH1224" i="2"/>
  <c r="AH1377" i="2"/>
  <c r="AI1397" i="2"/>
  <c r="AI1423" i="2"/>
  <c r="AI1498" i="2"/>
  <c r="M45" i="4"/>
  <c r="AC45" i="4"/>
  <c r="M46" i="4"/>
  <c r="AC46" i="4"/>
  <c r="V47" i="4"/>
  <c r="AL47" i="4"/>
  <c r="M48" i="4"/>
  <c r="AC48" i="4"/>
  <c r="V49" i="4"/>
  <c r="AL49" i="4"/>
  <c r="M50" i="4"/>
  <c r="AC50" i="4"/>
  <c r="V51" i="4"/>
  <c r="AL51" i="4"/>
  <c r="M52" i="4"/>
  <c r="AC52" i="4"/>
  <c r="V53" i="4"/>
  <c r="AL53" i="4"/>
  <c r="M54" i="4"/>
  <c r="AC54" i="4"/>
  <c r="V55" i="4"/>
  <c r="AL55" i="4"/>
  <c r="V57" i="4"/>
  <c r="AL57" i="4"/>
  <c r="M58" i="4"/>
  <c r="AC58" i="4"/>
  <c r="AK58" i="4"/>
  <c r="N59" i="4"/>
  <c r="AD59" i="4"/>
  <c r="U60" i="4"/>
  <c r="AK60" i="4"/>
  <c r="U61" i="4"/>
  <c r="AK61" i="4"/>
  <c r="N62" i="4"/>
  <c r="AD62" i="4"/>
  <c r="U63" i="4"/>
  <c r="AK63" i="4"/>
  <c r="N64" i="4"/>
  <c r="AD64" i="4"/>
  <c r="N65" i="4"/>
  <c r="AD65" i="4"/>
  <c r="N67" i="4"/>
  <c r="AD67" i="4"/>
  <c r="V85" i="4"/>
  <c r="AL85" i="4"/>
  <c r="AW30" i="5"/>
  <c r="AI26" i="2"/>
  <c r="AI44" i="2"/>
  <c r="AI57" i="2"/>
  <c r="AH339" i="2"/>
  <c r="AH408" i="2"/>
  <c r="AI408" i="2"/>
  <c r="AH627" i="2"/>
  <c r="AH628" i="2"/>
  <c r="AH631" i="2"/>
  <c r="AI631" i="2"/>
  <c r="AH642" i="2"/>
  <c r="AI642" i="2"/>
  <c r="AH677" i="2"/>
  <c r="AI677" i="2"/>
  <c r="AH683" i="2"/>
  <c r="AH687" i="2"/>
  <c r="AI687" i="2"/>
  <c r="AH690" i="2"/>
  <c r="AH694" i="2"/>
  <c r="AI694" i="2"/>
  <c r="AH713" i="2"/>
  <c r="AI713" i="2"/>
  <c r="AH733" i="2"/>
  <c r="AI733" i="2"/>
  <c r="AH748" i="2"/>
  <c r="AI757" i="2"/>
  <c r="AH757" i="2"/>
  <c r="AI852" i="2"/>
  <c r="AH852" i="2"/>
  <c r="AH868" i="2"/>
  <c r="AH869" i="2"/>
  <c r="AH965" i="2"/>
  <c r="AJ74" i="4"/>
  <c r="BR86" i="5" s="1"/>
  <c r="AH16" i="4"/>
  <c r="BN28" i="5" s="1"/>
  <c r="AH87" i="4"/>
  <c r="AH410" i="2"/>
  <c r="AI410" i="2"/>
  <c r="AI441" i="2"/>
  <c r="AH441" i="2"/>
  <c r="AI649" i="2"/>
  <c r="AH649" i="2"/>
  <c r="AI685" i="2"/>
  <c r="AH685" i="2"/>
  <c r="AI692" i="2"/>
  <c r="AH692" i="2"/>
  <c r="AI954" i="2"/>
  <c r="AH954" i="2"/>
  <c r="AH1275" i="2"/>
  <c r="AI1275" i="2"/>
  <c r="AH1329" i="2"/>
  <c r="AI1329" i="2"/>
  <c r="AH1466" i="2"/>
  <c r="AI1466" i="2"/>
  <c r="AH1476" i="2"/>
  <c r="AI1476" i="2"/>
  <c r="AH1490" i="2"/>
  <c r="AI1490" i="2"/>
  <c r="AH22" i="4"/>
  <c r="BN34" i="5" s="1"/>
  <c r="AH24" i="2"/>
  <c r="AH29" i="2"/>
  <c r="AH38" i="2"/>
  <c r="AH42" i="2"/>
  <c r="AH54" i="2"/>
  <c r="AH62" i="2"/>
  <c r="AH65" i="2"/>
  <c r="AH98" i="2"/>
  <c r="AH415" i="2"/>
  <c r="AI630" i="2"/>
  <c r="AH630" i="2"/>
  <c r="AH671" i="2"/>
  <c r="AI671" i="2"/>
  <c r="AH678" i="2"/>
  <c r="AI678" i="2"/>
  <c r="AH686" i="2"/>
  <c r="AI686" i="2"/>
  <c r="AH693" i="2"/>
  <c r="AI693" i="2"/>
  <c r="AH775" i="2"/>
  <c r="AI835" i="2"/>
  <c r="AH835" i="2"/>
  <c r="AI858" i="2"/>
  <c r="AH858" i="2"/>
  <c r="AI878" i="2"/>
  <c r="AH878" i="2"/>
  <c r="AI890" i="2"/>
  <c r="AH890" i="2"/>
  <c r="AI943" i="2"/>
  <c r="AH943" i="2"/>
  <c r="AI953" i="2"/>
  <c r="AH953" i="2"/>
  <c r="AI1016" i="2"/>
  <c r="AH1016" i="2"/>
  <c r="AI1024" i="2"/>
  <c r="AH1024" i="2"/>
  <c r="AI1028" i="2"/>
  <c r="AH1028" i="2"/>
  <c r="AI1075" i="2"/>
  <c r="AH1075" i="2"/>
  <c r="AH1216" i="2"/>
  <c r="AI1216" i="2"/>
  <c r="AH1388" i="2"/>
  <c r="AI1388" i="2"/>
  <c r="AI73" i="4"/>
  <c r="BP85" i="5" s="1"/>
  <c r="AE84" i="4"/>
  <c r="AE86" i="4" s="1"/>
  <c r="I22" i="4"/>
  <c r="P34" i="5" s="1"/>
  <c r="AP29" i="5"/>
  <c r="BV29" i="5"/>
  <c r="K18" i="4"/>
  <c r="T30" i="5" s="1"/>
  <c r="AA18" i="4"/>
  <c r="AZ30" i="5" s="1"/>
  <c r="AP31" i="5"/>
  <c r="V45" i="4"/>
  <c r="AL45" i="4"/>
  <c r="E46" i="4"/>
  <c r="N46" i="4"/>
  <c r="AD46" i="4"/>
  <c r="U47" i="4"/>
  <c r="AK47" i="4"/>
  <c r="N48" i="4"/>
  <c r="AD48" i="4"/>
  <c r="U49" i="4"/>
  <c r="AK49" i="4"/>
  <c r="N50" i="4"/>
  <c r="AD50" i="4"/>
  <c r="U51" i="4"/>
  <c r="AK51" i="4"/>
  <c r="N52" i="4"/>
  <c r="AD52" i="4"/>
  <c r="U53" i="4"/>
  <c r="AK53" i="4"/>
  <c r="V54" i="4"/>
  <c r="AL54" i="4"/>
  <c r="M55" i="4"/>
  <c r="AC55" i="4"/>
  <c r="U57" i="4"/>
  <c r="V58" i="4"/>
  <c r="AL58" i="4"/>
  <c r="M59" i="4"/>
  <c r="AC59" i="4"/>
  <c r="N60" i="4"/>
  <c r="AD60" i="4"/>
  <c r="V61" i="4"/>
  <c r="AL61" i="4"/>
  <c r="M62" i="4"/>
  <c r="AK62" i="4"/>
  <c r="N63" i="4"/>
  <c r="AD63" i="4"/>
  <c r="U64" i="4"/>
  <c r="AK64" i="4"/>
  <c r="U65" i="4"/>
  <c r="AK65" i="4"/>
  <c r="AC67" i="4"/>
  <c r="M85" i="4"/>
  <c r="AC85" i="4"/>
  <c r="AH27" i="2"/>
  <c r="AH388" i="2"/>
  <c r="AI388" i="2"/>
  <c r="AH403" i="2"/>
  <c r="AI403" i="2"/>
  <c r="AH423" i="2"/>
  <c r="AI670" i="2"/>
  <c r="AH670" i="2"/>
  <c r="AH763" i="2"/>
  <c r="AI825" i="2"/>
  <c r="AH825" i="2"/>
  <c r="AH855" i="2"/>
  <c r="AH931" i="2"/>
  <c r="AI932" i="2"/>
  <c r="AH932" i="2"/>
  <c r="AI936" i="2"/>
  <c r="AH936" i="2"/>
  <c r="AI940" i="2"/>
  <c r="AH940" i="2"/>
  <c r="AI1053" i="2"/>
  <c r="AH1053" i="2"/>
  <c r="AI1170" i="2"/>
  <c r="AH1170" i="2"/>
  <c r="AH700" i="2"/>
  <c r="AI700" i="2"/>
  <c r="AI840" i="2"/>
  <c r="AH840" i="2"/>
  <c r="AI975" i="2"/>
  <c r="AH975" i="2"/>
  <c r="AI1040" i="2"/>
  <c r="AH1040" i="2"/>
  <c r="AI1055" i="2"/>
  <c r="AH1055" i="2"/>
  <c r="AI1220" i="2"/>
  <c r="AH1220" i="2"/>
  <c r="AH1225" i="2"/>
  <c r="AI1225" i="2"/>
  <c r="AH1277" i="2"/>
  <c r="AI1277" i="2"/>
  <c r="AH1354" i="2"/>
  <c r="AI1354" i="2"/>
  <c r="AH684" i="2"/>
  <c r="AI684" i="2"/>
  <c r="AH691" i="2"/>
  <c r="AI691" i="2"/>
  <c r="AI727" i="2"/>
  <c r="AH727" i="2"/>
  <c r="AI819" i="2"/>
  <c r="AH819" i="2"/>
  <c r="AI846" i="2"/>
  <c r="AH846" i="2"/>
  <c r="AI889" i="2"/>
  <c r="AH889" i="2"/>
  <c r="AI897" i="2"/>
  <c r="AH897" i="2"/>
  <c r="AI912" i="2"/>
  <c r="AH912" i="2"/>
  <c r="AI948" i="2"/>
  <c r="AH948" i="2"/>
  <c r="AI1087" i="2"/>
  <c r="AH1087" i="2"/>
  <c r="AH1351" i="2"/>
  <c r="AI1351" i="2"/>
  <c r="AI1412" i="2"/>
  <c r="AH1412" i="2"/>
  <c r="AI969" i="2"/>
  <c r="AH969" i="2"/>
  <c r="AI1015" i="2"/>
  <c r="AH1015" i="2"/>
  <c r="AI1030" i="2"/>
  <c r="AH1030" i="2"/>
  <c r="AI1176" i="2"/>
  <c r="AH1176" i="2"/>
  <c r="AH1334" i="2"/>
  <c r="AI1334" i="2"/>
  <c r="AH1381" i="2"/>
  <c r="AI1381" i="2"/>
  <c r="AI1383" i="2"/>
  <c r="AH1383" i="2"/>
  <c r="AI1428" i="2"/>
  <c r="AH1428" i="2"/>
  <c r="AI1465" i="2"/>
  <c r="AH1465" i="2"/>
  <c r="AI1034" i="2"/>
  <c r="AH1034" i="2"/>
  <c r="AI1070" i="2"/>
  <c r="AH1070" i="2"/>
  <c r="AI1165" i="2"/>
  <c r="AH1165" i="2"/>
  <c r="AI1217" i="2"/>
  <c r="AH1217" i="2"/>
  <c r="AI1240" i="2"/>
  <c r="AH1240" i="2"/>
  <c r="AH1245" i="2"/>
  <c r="AI1245" i="2"/>
  <c r="AH1312" i="2"/>
  <c r="AI1312" i="2"/>
  <c r="AH1504" i="2"/>
  <c r="AI1504" i="2"/>
  <c r="AH1116" i="2"/>
  <c r="AI1116" i="2"/>
  <c r="AH1195" i="2"/>
  <c r="AI1195" i="2"/>
  <c r="AH1215" i="2"/>
  <c r="AI1215" i="2"/>
  <c r="AH1219" i="2"/>
  <c r="AI1219" i="2"/>
  <c r="AH1222" i="2"/>
  <c r="AI1222" i="2"/>
  <c r="AH1247" i="2"/>
  <c r="AI1247" i="2"/>
  <c r="AI1290" i="2"/>
  <c r="AH1290" i="2"/>
  <c r="AH1296" i="2"/>
  <c r="AI1296" i="2"/>
  <c r="AH1473" i="2"/>
  <c r="AI1473" i="2"/>
  <c r="AI1475" i="2"/>
  <c r="AH1475" i="2"/>
  <c r="AH1566" i="2"/>
  <c r="AI1566" i="2"/>
  <c r="AH1569" i="2"/>
  <c r="AI1569" i="2"/>
  <c r="AH1036" i="2"/>
  <c r="AH1063" i="2"/>
  <c r="AI1089" i="2"/>
  <c r="AH1089" i="2"/>
  <c r="AH1095" i="2"/>
  <c r="AH1097" i="2"/>
  <c r="AH1135" i="2"/>
  <c r="AH1158" i="2"/>
  <c r="AH1188" i="2"/>
  <c r="AI1188" i="2"/>
  <c r="AH1191" i="2"/>
  <c r="AI1191" i="2"/>
  <c r="AH1194" i="2"/>
  <c r="AH1238" i="2"/>
  <c r="AI1241" i="2"/>
  <c r="AH1241" i="2"/>
  <c r="AH1282" i="2"/>
  <c r="AI1282" i="2"/>
  <c r="AI1295" i="2"/>
  <c r="AH1295" i="2"/>
  <c r="AH1346" i="2"/>
  <c r="AI1346" i="2"/>
  <c r="AH1371" i="2"/>
  <c r="AI1371" i="2"/>
  <c r="AI1396" i="2"/>
  <c r="AH1432" i="2"/>
  <c r="AI1432" i="2"/>
  <c r="AH1453" i="2"/>
  <c r="AI1453" i="2"/>
  <c r="AH1472" i="2"/>
  <c r="AH1477" i="2"/>
  <c r="AI1477" i="2"/>
  <c r="AH1491" i="2"/>
  <c r="AI1491" i="2"/>
  <c r="AI1541" i="2"/>
  <c r="AI1565" i="2"/>
  <c r="AH1565" i="2"/>
  <c r="AH1405" i="2"/>
  <c r="AI1405" i="2"/>
  <c r="AH1507" i="2"/>
  <c r="AI1507" i="2"/>
  <c r="AI1567" i="2"/>
  <c r="AH1567" i="2"/>
  <c r="AI1570" i="2"/>
  <c r="AH1570" i="2"/>
  <c r="AH1413" i="2"/>
  <c r="AI1413" i="2"/>
  <c r="AH1430" i="2"/>
  <c r="AI1430" i="2"/>
  <c r="S39" i="5"/>
  <c r="G22" i="4"/>
  <c r="K22" i="4"/>
  <c r="T34" i="5" s="1"/>
  <c r="O22" i="4"/>
  <c r="S22" i="4"/>
  <c r="AJ34" i="5" s="1"/>
  <c r="W22" i="4"/>
  <c r="AA22" i="4"/>
  <c r="AZ34" i="5" s="1"/>
  <c r="AE22" i="4"/>
  <c r="AI22" i="4"/>
  <c r="BP34" i="5" s="1"/>
  <c r="G24" i="4"/>
  <c r="K24" i="4"/>
  <c r="T36" i="5" s="1"/>
  <c r="O24" i="4"/>
  <c r="S24" i="4"/>
  <c r="AJ36" i="5" s="1"/>
  <c r="W24" i="4"/>
  <c r="AA24" i="4"/>
  <c r="AZ36" i="5" s="1"/>
  <c r="AE24" i="4"/>
  <c r="AI24" i="4"/>
  <c r="BP36" i="5" s="1"/>
  <c r="B36" i="4"/>
  <c r="B40" i="4" s="1"/>
  <c r="G38" i="4"/>
  <c r="K38" i="4"/>
  <c r="T50" i="5" s="1"/>
  <c r="O38" i="4"/>
  <c r="S38" i="4"/>
  <c r="AJ50" i="5" s="1"/>
  <c r="W38" i="4"/>
  <c r="AA38" i="4"/>
  <c r="AZ50" i="5" s="1"/>
  <c r="AE38" i="4"/>
  <c r="AI38" i="4"/>
  <c r="BP50" i="5" s="1"/>
  <c r="E44" i="4"/>
  <c r="N44" i="4"/>
  <c r="V44" i="4"/>
  <c r="AD44" i="4"/>
  <c r="AL44" i="4"/>
  <c r="E48" i="4"/>
  <c r="E52" i="4"/>
  <c r="E56" i="4"/>
  <c r="J56" i="4"/>
  <c r="R56" i="4"/>
  <c r="Z56" i="4"/>
  <c r="AH56" i="4"/>
  <c r="E60" i="4"/>
  <c r="E61" i="4"/>
  <c r="C77" i="5"/>
  <c r="H66" i="4"/>
  <c r="R66" i="4"/>
  <c r="X66" i="4"/>
  <c r="AH66" i="4"/>
  <c r="E68" i="4"/>
  <c r="K68" i="4"/>
  <c r="P68" i="4"/>
  <c r="AA68" i="4"/>
  <c r="AF68" i="4"/>
  <c r="G73" i="4"/>
  <c r="L73" i="4"/>
  <c r="R73" i="4"/>
  <c r="W73" i="4"/>
  <c r="AB73" i="4"/>
  <c r="AH73" i="4"/>
  <c r="G74" i="4"/>
  <c r="L74" i="4"/>
  <c r="V86" i="5" s="1"/>
  <c r="R74" i="4"/>
  <c r="AH86" i="5" s="1"/>
  <c r="W74" i="4"/>
  <c r="AB74" i="4"/>
  <c r="BB86" i="5" s="1"/>
  <c r="AH74" i="4"/>
  <c r="BN86" i="5" s="1"/>
  <c r="B75" i="4"/>
  <c r="C87" i="5" s="1"/>
  <c r="C107" i="5"/>
  <c r="B86" i="4"/>
  <c r="I84" i="4"/>
  <c r="I86" i="4" s="1"/>
  <c r="S84" i="4"/>
  <c r="S86" i="4" s="1"/>
  <c r="Y84" i="4"/>
  <c r="Y86" i="4" s="1"/>
  <c r="AI84" i="4"/>
  <c r="AI86" i="4" s="1"/>
  <c r="J87" i="4"/>
  <c r="R87" i="4"/>
  <c r="Z87" i="4"/>
  <c r="AI372" i="2"/>
  <c r="AH372" i="2"/>
  <c r="AH885" i="2"/>
  <c r="AI885" i="2"/>
  <c r="AH934" i="2"/>
  <c r="AI934" i="2"/>
  <c r="AI1049" i="2"/>
  <c r="AH1049" i="2"/>
  <c r="AI1310" i="2"/>
  <c r="AH1310" i="2"/>
  <c r="AI1336" i="2"/>
  <c r="AH1336" i="2"/>
  <c r="AI1342" i="2"/>
  <c r="AH1342" i="2"/>
  <c r="AI1461" i="2"/>
  <c r="AH1461" i="2"/>
  <c r="H16" i="4"/>
  <c r="L16" i="4"/>
  <c r="P16" i="4"/>
  <c r="T16" i="4"/>
  <c r="X16" i="4"/>
  <c r="AB16" i="4"/>
  <c r="AF16" i="4"/>
  <c r="AJ16" i="4"/>
  <c r="H18" i="4"/>
  <c r="L18" i="4"/>
  <c r="V30" i="5" s="1"/>
  <c r="P18" i="4"/>
  <c r="T18" i="4"/>
  <c r="AL30" i="5" s="1"/>
  <c r="X18" i="4"/>
  <c r="AB18" i="4"/>
  <c r="BB30" i="5" s="1"/>
  <c r="AF18" i="4"/>
  <c r="AJ18" i="4"/>
  <c r="BR30" i="5" s="1"/>
  <c r="BV31" i="5"/>
  <c r="Z32" i="5"/>
  <c r="AP32" i="5"/>
  <c r="BF32" i="5"/>
  <c r="BV32" i="5"/>
  <c r="Z33" i="5"/>
  <c r="AP33" i="5"/>
  <c r="BF33" i="5"/>
  <c r="BV33" i="5"/>
  <c r="H22" i="4"/>
  <c r="L22" i="4"/>
  <c r="V34" i="5" s="1"/>
  <c r="P22" i="4"/>
  <c r="T22" i="4"/>
  <c r="AL34" i="5" s="1"/>
  <c r="X22" i="4"/>
  <c r="AB22" i="4"/>
  <c r="BB34" i="5" s="1"/>
  <c r="AF22" i="4"/>
  <c r="AJ22" i="4"/>
  <c r="BR34" i="5" s="1"/>
  <c r="Z35" i="5"/>
  <c r="AP35" i="5"/>
  <c r="BF35" i="5"/>
  <c r="BV35" i="5"/>
  <c r="H24" i="4"/>
  <c r="L24" i="4"/>
  <c r="V36" i="5" s="1"/>
  <c r="P24" i="4"/>
  <c r="T24" i="4"/>
  <c r="AL36" i="5" s="1"/>
  <c r="X24" i="4"/>
  <c r="AB24" i="4"/>
  <c r="BB36" i="5" s="1"/>
  <c r="AF24" i="4"/>
  <c r="AJ24" i="4"/>
  <c r="BR36" i="5" s="1"/>
  <c r="Z37" i="5"/>
  <c r="AP37" i="5"/>
  <c r="BF37" i="5"/>
  <c r="BV37" i="5"/>
  <c r="Z38" i="5"/>
  <c r="AP38" i="5"/>
  <c r="BF38" i="5"/>
  <c r="BV38" i="5"/>
  <c r="Z39" i="5"/>
  <c r="AP39" i="5"/>
  <c r="BF39" i="5"/>
  <c r="BV39" i="5"/>
  <c r="Z40" i="5"/>
  <c r="AP40" i="5"/>
  <c r="BF40" i="5"/>
  <c r="BV40" i="5"/>
  <c r="Z41" i="5"/>
  <c r="AP41" i="5"/>
  <c r="BF41" i="5"/>
  <c r="BV41" i="5"/>
  <c r="Z42" i="5"/>
  <c r="AP42" i="5"/>
  <c r="BF42" i="5"/>
  <c r="BV42" i="5"/>
  <c r="Z43" i="5"/>
  <c r="AP43" i="5"/>
  <c r="BF43" i="5"/>
  <c r="BV43" i="5"/>
  <c r="Z44" i="5"/>
  <c r="AP44" i="5"/>
  <c r="BF44" i="5"/>
  <c r="BV44" i="5"/>
  <c r="Z45" i="5"/>
  <c r="AP45" i="5"/>
  <c r="BF45" i="5"/>
  <c r="BV45" i="5"/>
  <c r="Z46" i="5"/>
  <c r="AP46" i="5"/>
  <c r="BF46" i="5"/>
  <c r="BV46" i="5"/>
  <c r="Z47" i="5"/>
  <c r="AP47" i="5"/>
  <c r="BF47" i="5"/>
  <c r="BV47" i="5"/>
  <c r="H38" i="4"/>
  <c r="L38" i="4"/>
  <c r="V50" i="5" s="1"/>
  <c r="P38" i="4"/>
  <c r="T38" i="4"/>
  <c r="AL50" i="5" s="1"/>
  <c r="X38" i="4"/>
  <c r="AB38" i="4"/>
  <c r="BB50" i="5" s="1"/>
  <c r="AF38" i="4"/>
  <c r="AJ38" i="4"/>
  <c r="BR50" i="5" s="1"/>
  <c r="C81" i="5"/>
  <c r="E45" i="4"/>
  <c r="E49" i="4"/>
  <c r="E53" i="4"/>
  <c r="G56" i="4"/>
  <c r="K56" i="4"/>
  <c r="O56" i="4"/>
  <c r="S56" i="4"/>
  <c r="W56" i="4"/>
  <c r="AA56" i="4"/>
  <c r="AE56" i="4"/>
  <c r="AI56" i="4"/>
  <c r="E57" i="4"/>
  <c r="E62" i="4"/>
  <c r="I66" i="4"/>
  <c r="T66" i="4"/>
  <c r="Y66" i="4"/>
  <c r="AJ66" i="4"/>
  <c r="G68" i="4"/>
  <c r="L68" i="4"/>
  <c r="R68" i="4"/>
  <c r="W68" i="4"/>
  <c r="AB68" i="4"/>
  <c r="AH68" i="4"/>
  <c r="B69" i="4"/>
  <c r="H73" i="4"/>
  <c r="S73" i="4"/>
  <c r="X73" i="4"/>
  <c r="H74" i="4"/>
  <c r="S74" i="4"/>
  <c r="AJ86" i="5" s="1"/>
  <c r="X74" i="4"/>
  <c r="AI74" i="4"/>
  <c r="BP86" i="5" s="1"/>
  <c r="J84" i="4"/>
  <c r="J86" i="4" s="1"/>
  <c r="O84" i="4"/>
  <c r="Z84" i="4"/>
  <c r="Z86" i="4" s="1"/>
  <c r="BQ80" i="5"/>
  <c r="BM80" i="5"/>
  <c r="BI80" i="5"/>
  <c r="BA80" i="5"/>
  <c r="AW80" i="5"/>
  <c r="AS80" i="5"/>
  <c r="AK80" i="5"/>
  <c r="AG80" i="5"/>
  <c r="AC80" i="5"/>
  <c r="U80" i="5"/>
  <c r="Q80" i="5"/>
  <c r="M80" i="5"/>
  <c r="H80" i="5"/>
  <c r="BP77" i="5"/>
  <c r="BL77" i="5"/>
  <c r="BH77" i="5"/>
  <c r="AZ77" i="5"/>
  <c r="AV77" i="5"/>
  <c r="AR77" i="5"/>
  <c r="AJ77" i="5"/>
  <c r="AF77" i="5"/>
  <c r="AB77" i="5"/>
  <c r="T77" i="5"/>
  <c r="P77" i="5"/>
  <c r="L77" i="5"/>
  <c r="BQ76" i="5"/>
  <c r="BM76" i="5"/>
  <c r="BI76" i="5"/>
  <c r="BA76" i="5"/>
  <c r="AW76" i="5"/>
  <c r="AS76" i="5"/>
  <c r="AK76" i="5"/>
  <c r="AG76" i="5"/>
  <c r="AC76" i="5"/>
  <c r="U76" i="5"/>
  <c r="Q76" i="5"/>
  <c r="M76" i="5"/>
  <c r="H76" i="5"/>
  <c r="BM79" i="5"/>
  <c r="BH79" i="5"/>
  <c r="AW79" i="5"/>
  <c r="AR79" i="5"/>
  <c r="AG79" i="5"/>
  <c r="AB79" i="5"/>
  <c r="Q79" i="5"/>
  <c r="L79" i="5"/>
  <c r="BM78" i="5"/>
  <c r="BH78" i="5"/>
  <c r="AW78" i="5"/>
  <c r="AR78" i="5"/>
  <c r="AG78" i="5"/>
  <c r="AB78" i="5"/>
  <c r="Q78" i="5"/>
  <c r="L78" i="5"/>
  <c r="BM77" i="5"/>
  <c r="AW77" i="5"/>
  <c r="AG77" i="5"/>
  <c r="Q77" i="5"/>
  <c r="BP76" i="5"/>
  <c r="AZ76" i="5"/>
  <c r="AJ76" i="5"/>
  <c r="T76" i="5"/>
  <c r="BI75" i="5"/>
  <c r="BP74" i="5"/>
  <c r="BL74" i="5"/>
  <c r="BH74" i="5"/>
  <c r="AZ74" i="5"/>
  <c r="AV74" i="5"/>
  <c r="AR74" i="5"/>
  <c r="AJ74" i="5"/>
  <c r="AF74" i="5"/>
  <c r="AB74" i="5"/>
  <c r="T74" i="5"/>
  <c r="P74" i="5"/>
  <c r="L74" i="5"/>
  <c r="BQ73" i="5"/>
  <c r="BM73" i="5"/>
  <c r="BI73" i="5"/>
  <c r="BA73" i="5"/>
  <c r="AW73" i="5"/>
  <c r="AS73" i="5"/>
  <c r="AK73" i="5"/>
  <c r="BH80" i="5"/>
  <c r="AR80" i="5"/>
  <c r="AB80" i="5"/>
  <c r="L80" i="5"/>
  <c r="BQ79" i="5"/>
  <c r="BL79" i="5"/>
  <c r="BA79" i="5"/>
  <c r="AV79" i="5"/>
  <c r="AK79" i="5"/>
  <c r="AF79" i="5"/>
  <c r="U79" i="5"/>
  <c r="P79" i="5"/>
  <c r="BQ78" i="5"/>
  <c r="BL78" i="5"/>
  <c r="BA78" i="5"/>
  <c r="AV78" i="5"/>
  <c r="AK78" i="5"/>
  <c r="AF78" i="5"/>
  <c r="U78" i="5"/>
  <c r="P78" i="5"/>
  <c r="BQ77" i="5"/>
  <c r="BA77" i="5"/>
  <c r="AK77" i="5"/>
  <c r="U77" i="5"/>
  <c r="BM75" i="5"/>
  <c r="BH75" i="5"/>
  <c r="BP73" i="5"/>
  <c r="BL73" i="5"/>
  <c r="BH73" i="5"/>
  <c r="AZ73" i="5"/>
  <c r="AV73" i="5"/>
  <c r="AR73" i="5"/>
  <c r="AJ73" i="5"/>
  <c r="AF73" i="5"/>
  <c r="AB73" i="5"/>
  <c r="T73" i="5"/>
  <c r="P73" i="5"/>
  <c r="L73" i="5"/>
  <c r="AZ80" i="5"/>
  <c r="T80" i="5"/>
  <c r="AZ79" i="5"/>
  <c r="T79" i="5"/>
  <c r="AS78" i="5"/>
  <c r="M78" i="5"/>
  <c r="AV76" i="5"/>
  <c r="P76" i="5"/>
  <c r="AZ75" i="5"/>
  <c r="AR75" i="5"/>
  <c r="AJ75" i="5"/>
  <c r="AB75" i="5"/>
  <c r="T75" i="5"/>
  <c r="L75" i="5"/>
  <c r="BM74" i="5"/>
  <c r="AW74" i="5"/>
  <c r="AG74" i="5"/>
  <c r="Q74" i="5"/>
  <c r="H74" i="5"/>
  <c r="H73" i="5"/>
  <c r="BP71" i="5"/>
  <c r="BL71" i="5"/>
  <c r="BH71" i="5"/>
  <c r="AZ71" i="5"/>
  <c r="AV71" i="5"/>
  <c r="AR71" i="5"/>
  <c r="AJ71" i="5"/>
  <c r="AF71" i="5"/>
  <c r="AB71" i="5"/>
  <c r="T71" i="5"/>
  <c r="P71" i="5"/>
  <c r="L71" i="5"/>
  <c r="BQ70" i="5"/>
  <c r="BM70" i="5"/>
  <c r="BI70" i="5"/>
  <c r="BA70" i="5"/>
  <c r="AW70" i="5"/>
  <c r="AS70" i="5"/>
  <c r="AK70" i="5"/>
  <c r="AG70" i="5"/>
  <c r="AC70" i="5"/>
  <c r="U70" i="5"/>
  <c r="Q70" i="5"/>
  <c r="M70" i="5"/>
  <c r="H70" i="5"/>
  <c r="BP67" i="5"/>
  <c r="BL67" i="5"/>
  <c r="BH67" i="5"/>
  <c r="AZ67" i="5"/>
  <c r="AV67" i="5"/>
  <c r="AR67" i="5"/>
  <c r="AJ67" i="5"/>
  <c r="AF67" i="5"/>
  <c r="AB67" i="5"/>
  <c r="T67" i="5"/>
  <c r="P67" i="5"/>
  <c r="L67" i="5"/>
  <c r="BQ66" i="5"/>
  <c r="BM66" i="5"/>
  <c r="BI66" i="5"/>
  <c r="BA66" i="5"/>
  <c r="AW66" i="5"/>
  <c r="AS66" i="5"/>
  <c r="AK66" i="5"/>
  <c r="AG66" i="5"/>
  <c r="AC66" i="5"/>
  <c r="U66" i="5"/>
  <c r="Q66" i="5"/>
  <c r="M66" i="5"/>
  <c r="H66" i="5"/>
  <c r="BP63" i="5"/>
  <c r="BL63" i="5"/>
  <c r="BH63" i="5"/>
  <c r="AZ63" i="5"/>
  <c r="AV63" i="5"/>
  <c r="AR63" i="5"/>
  <c r="AJ63" i="5"/>
  <c r="AF63" i="5"/>
  <c r="AB63" i="5"/>
  <c r="T63" i="5"/>
  <c r="P63" i="5"/>
  <c r="L63" i="5"/>
  <c r="BQ62" i="5"/>
  <c r="BM62" i="5"/>
  <c r="BI62" i="5"/>
  <c r="BA62" i="5"/>
  <c r="AW62" i="5"/>
  <c r="AS62" i="5"/>
  <c r="AK62" i="5"/>
  <c r="AG62" i="5"/>
  <c r="AC62" i="5"/>
  <c r="U62" i="5"/>
  <c r="Q62" i="5"/>
  <c r="M62" i="5"/>
  <c r="H62" i="5"/>
  <c r="BP59" i="5"/>
  <c r="BL59" i="5"/>
  <c r="BH59" i="5"/>
  <c r="AZ59" i="5"/>
  <c r="AV59" i="5"/>
  <c r="AR59" i="5"/>
  <c r="AJ59" i="5"/>
  <c r="AF59" i="5"/>
  <c r="AB59" i="5"/>
  <c r="T59" i="5"/>
  <c r="P59" i="5"/>
  <c r="L59" i="5"/>
  <c r="BQ58" i="5"/>
  <c r="BM58" i="5"/>
  <c r="BI58" i="5"/>
  <c r="AV80" i="5"/>
  <c r="P80" i="5"/>
  <c r="BI79" i="5"/>
  <c r="AC79" i="5"/>
  <c r="H79" i="5"/>
  <c r="AZ78" i="5"/>
  <c r="T78" i="5"/>
  <c r="AS77" i="5"/>
  <c r="M77" i="5"/>
  <c r="AR76" i="5"/>
  <c r="L76" i="5"/>
  <c r="BQ75" i="5"/>
  <c r="AW75" i="5"/>
  <c r="AG75" i="5"/>
  <c r="Q75" i="5"/>
  <c r="AC73" i="5"/>
  <c r="M73" i="5"/>
  <c r="BP70" i="5"/>
  <c r="BL70" i="5"/>
  <c r="BH70" i="5"/>
  <c r="AZ70" i="5"/>
  <c r="AV70" i="5"/>
  <c r="AR70" i="5"/>
  <c r="AJ70" i="5"/>
  <c r="AF70" i="5"/>
  <c r="AB70" i="5"/>
  <c r="T70" i="5"/>
  <c r="P70" i="5"/>
  <c r="L70" i="5"/>
  <c r="BQ69" i="5"/>
  <c r="BM69" i="5"/>
  <c r="BI69" i="5"/>
  <c r="BA69" i="5"/>
  <c r="AW69" i="5"/>
  <c r="AS69" i="5"/>
  <c r="AJ80" i="5"/>
  <c r="M79" i="5"/>
  <c r="AJ78" i="5"/>
  <c r="BI77" i="5"/>
  <c r="AF76" i="5"/>
  <c r="BP75" i="5"/>
  <c r="AV75" i="5"/>
  <c r="AF75" i="5"/>
  <c r="P75" i="5"/>
  <c r="U73" i="5"/>
  <c r="BM72" i="5"/>
  <c r="AW72" i="5"/>
  <c r="AG72" i="5"/>
  <c r="Q72" i="5"/>
  <c r="AK69" i="5"/>
  <c r="AF69" i="5"/>
  <c r="U69" i="5"/>
  <c r="P69" i="5"/>
  <c r="BQ68" i="5"/>
  <c r="BL68" i="5"/>
  <c r="BA68" i="5"/>
  <c r="AV68" i="5"/>
  <c r="AK68" i="5"/>
  <c r="AF68" i="5"/>
  <c r="U68" i="5"/>
  <c r="P68" i="5"/>
  <c r="BQ67" i="5"/>
  <c r="BA67" i="5"/>
  <c r="AK67" i="5"/>
  <c r="U67" i="5"/>
  <c r="BM65" i="5"/>
  <c r="BH65" i="5"/>
  <c r="AW65" i="5"/>
  <c r="AR65" i="5"/>
  <c r="AG65" i="5"/>
  <c r="AB65" i="5"/>
  <c r="Q65" i="5"/>
  <c r="L65" i="5"/>
  <c r="BM64" i="5"/>
  <c r="BH64" i="5"/>
  <c r="AW64" i="5"/>
  <c r="AR64" i="5"/>
  <c r="AG64" i="5"/>
  <c r="AB64" i="5"/>
  <c r="Q64" i="5"/>
  <c r="L64" i="5"/>
  <c r="BM63" i="5"/>
  <c r="AW63" i="5"/>
  <c r="AG63" i="5"/>
  <c r="Q63" i="5"/>
  <c r="BP62" i="5"/>
  <c r="AZ62" i="5"/>
  <c r="AJ62" i="5"/>
  <c r="T62" i="5"/>
  <c r="BI61" i="5"/>
  <c r="AS61" i="5"/>
  <c r="AC61" i="5"/>
  <c r="M61" i="5"/>
  <c r="H61" i="5"/>
  <c r="BI60" i="5"/>
  <c r="AS60" i="5"/>
  <c r="AC60" i="5"/>
  <c r="M60" i="5"/>
  <c r="BI59" i="5"/>
  <c r="AS59" i="5"/>
  <c r="AC59" i="5"/>
  <c r="M59" i="5"/>
  <c r="BL58" i="5"/>
  <c r="BP56" i="5"/>
  <c r="BL56" i="5"/>
  <c r="BH56" i="5"/>
  <c r="AZ56" i="5"/>
  <c r="AV56" i="5"/>
  <c r="AR56" i="5"/>
  <c r="AJ56" i="5"/>
  <c r="AF56" i="5"/>
  <c r="AB56" i="5"/>
  <c r="T56" i="5"/>
  <c r="P56" i="5"/>
  <c r="L56" i="5"/>
  <c r="AF80" i="5"/>
  <c r="BP79" i="5"/>
  <c r="AC78" i="5"/>
  <c r="AB76" i="5"/>
  <c r="BL75" i="5"/>
  <c r="AS75" i="5"/>
  <c r="AC75" i="5"/>
  <c r="M75" i="5"/>
  <c r="BI74" i="5"/>
  <c r="AS74" i="5"/>
  <c r="AC74" i="5"/>
  <c r="M74" i="5"/>
  <c r="Q73" i="5"/>
  <c r="BL72" i="5"/>
  <c r="AV72" i="5"/>
  <c r="AF72" i="5"/>
  <c r="P72" i="5"/>
  <c r="H72" i="5"/>
  <c r="BQ71" i="5"/>
  <c r="BI71" i="5"/>
  <c r="BA71" i="5"/>
  <c r="AS71" i="5"/>
  <c r="AK71" i="5"/>
  <c r="AC71" i="5"/>
  <c r="U71" i="5"/>
  <c r="M71" i="5"/>
  <c r="BL69" i="5"/>
  <c r="AV69" i="5"/>
  <c r="AJ69" i="5"/>
  <c r="T69" i="5"/>
  <c r="BP68" i="5"/>
  <c r="AZ68" i="5"/>
  <c r="AJ68" i="5"/>
  <c r="T68" i="5"/>
  <c r="H68" i="5"/>
  <c r="H67" i="5"/>
  <c r="BH66" i="5"/>
  <c r="AR66" i="5"/>
  <c r="AB66" i="5"/>
  <c r="L66" i="5"/>
  <c r="BQ65" i="5"/>
  <c r="BL65" i="5"/>
  <c r="BA65" i="5"/>
  <c r="AV65" i="5"/>
  <c r="AK65" i="5"/>
  <c r="AF65" i="5"/>
  <c r="U65" i="5"/>
  <c r="P65" i="5"/>
  <c r="BQ64" i="5"/>
  <c r="BL64" i="5"/>
  <c r="BA64" i="5"/>
  <c r="AV64" i="5"/>
  <c r="AK64" i="5"/>
  <c r="AF64" i="5"/>
  <c r="U64" i="5"/>
  <c r="P64" i="5"/>
  <c r="BQ63" i="5"/>
  <c r="BA63" i="5"/>
  <c r="AK63" i="5"/>
  <c r="U63" i="5"/>
  <c r="BM61" i="5"/>
  <c r="BH61" i="5"/>
  <c r="AW61" i="5"/>
  <c r="AR61" i="5"/>
  <c r="AG61" i="5"/>
  <c r="AB61" i="5"/>
  <c r="Q61" i="5"/>
  <c r="L61" i="5"/>
  <c r="BM60" i="5"/>
  <c r="BH60" i="5"/>
  <c r="AW60" i="5"/>
  <c r="AR60" i="5"/>
  <c r="AG60" i="5"/>
  <c r="AB60" i="5"/>
  <c r="Q60" i="5"/>
  <c r="L60" i="5"/>
  <c r="BM59" i="5"/>
  <c r="AW59" i="5"/>
  <c r="AG59" i="5"/>
  <c r="Q59" i="5"/>
  <c r="BP58" i="5"/>
  <c r="BA58" i="5"/>
  <c r="AW58" i="5"/>
  <c r="AS58" i="5"/>
  <c r="AK58" i="5"/>
  <c r="AG58" i="5"/>
  <c r="AC58" i="5"/>
  <c r="U58" i="5"/>
  <c r="Q58" i="5"/>
  <c r="M58" i="5"/>
  <c r="H58" i="5"/>
  <c r="H78" i="5"/>
  <c r="BL76" i="5"/>
  <c r="AK75" i="5"/>
  <c r="H75" i="5"/>
  <c r="BI72" i="5"/>
  <c r="AS72" i="5"/>
  <c r="AC72" i="5"/>
  <c r="M72" i="5"/>
  <c r="BH69" i="5"/>
  <c r="AR69" i="5"/>
  <c r="AG69" i="5"/>
  <c r="L69" i="5"/>
  <c r="AS68" i="5"/>
  <c r="M68" i="5"/>
  <c r="AW67" i="5"/>
  <c r="Q67" i="5"/>
  <c r="AZ66" i="5"/>
  <c r="T66" i="5"/>
  <c r="AZ65" i="5"/>
  <c r="T65" i="5"/>
  <c r="AS64" i="5"/>
  <c r="M64" i="5"/>
  <c r="AV62" i="5"/>
  <c r="P62" i="5"/>
  <c r="AZ61" i="5"/>
  <c r="T61" i="5"/>
  <c r="BL60" i="5"/>
  <c r="BA60" i="5"/>
  <c r="AF60" i="5"/>
  <c r="U60" i="5"/>
  <c r="BM57" i="5"/>
  <c r="AW57" i="5"/>
  <c r="AG57" i="5"/>
  <c r="Q57" i="5"/>
  <c r="AS79" i="5"/>
  <c r="BP78" i="5"/>
  <c r="BH76" i="5"/>
  <c r="BA74" i="5"/>
  <c r="U74" i="5"/>
  <c r="BH72" i="5"/>
  <c r="AR72" i="5"/>
  <c r="AB72" i="5"/>
  <c r="L72" i="5"/>
  <c r="BM71" i="5"/>
  <c r="AW71" i="5"/>
  <c r="AG71" i="5"/>
  <c r="Q71" i="5"/>
  <c r="AC69" i="5"/>
  <c r="BM68" i="5"/>
  <c r="AR68" i="5"/>
  <c r="AG68" i="5"/>
  <c r="L68" i="5"/>
  <c r="AS67" i="5"/>
  <c r="M67" i="5"/>
  <c r="AV66" i="5"/>
  <c r="P66" i="5"/>
  <c r="BI65" i="5"/>
  <c r="AC65" i="5"/>
  <c r="H65" i="5"/>
  <c r="AZ64" i="5"/>
  <c r="T64" i="5"/>
  <c r="AS63" i="5"/>
  <c r="M63" i="5"/>
  <c r="AR62" i="5"/>
  <c r="L62" i="5"/>
  <c r="BQ61" i="5"/>
  <c r="AV61" i="5"/>
  <c r="AK61" i="5"/>
  <c r="P61" i="5"/>
  <c r="AZ60" i="5"/>
  <c r="T60" i="5"/>
  <c r="H60" i="5"/>
  <c r="BA59" i="5"/>
  <c r="U59" i="5"/>
  <c r="AZ58" i="5"/>
  <c r="AR58" i="5"/>
  <c r="AJ58" i="5"/>
  <c r="AB58" i="5"/>
  <c r="T58" i="5"/>
  <c r="L58" i="5"/>
  <c r="BL57" i="5"/>
  <c r="AV57" i="5"/>
  <c r="AF57" i="5"/>
  <c r="P57" i="5"/>
  <c r="H57" i="5"/>
  <c r="BQ56" i="5"/>
  <c r="BI56" i="5"/>
  <c r="BA56" i="5"/>
  <c r="AS56" i="5"/>
  <c r="AK56" i="5"/>
  <c r="AC56" i="5"/>
  <c r="U56" i="5"/>
  <c r="M56" i="5"/>
  <c r="BP80" i="5"/>
  <c r="AC77" i="5"/>
  <c r="BA75" i="5"/>
  <c r="AK74" i="5"/>
  <c r="BP72" i="5"/>
  <c r="AJ72" i="5"/>
  <c r="BP69" i="5"/>
  <c r="Q69" i="5"/>
  <c r="BI68" i="5"/>
  <c r="BI67" i="5"/>
  <c r="AF66" i="5"/>
  <c r="BP65" i="5"/>
  <c r="AC64" i="5"/>
  <c r="AB62" i="5"/>
  <c r="BL61" i="5"/>
  <c r="U61" i="5"/>
  <c r="AK60" i="5"/>
  <c r="P60" i="5"/>
  <c r="BH58" i="5"/>
  <c r="BQ57" i="5"/>
  <c r="BA57" i="5"/>
  <c r="AK57" i="5"/>
  <c r="U57" i="5"/>
  <c r="BL80" i="5"/>
  <c r="BI78" i="5"/>
  <c r="BA72" i="5"/>
  <c r="U72" i="5"/>
  <c r="M69" i="5"/>
  <c r="BH68" i="5"/>
  <c r="Q68" i="5"/>
  <c r="AG67" i="5"/>
  <c r="BP66" i="5"/>
  <c r="AS65" i="5"/>
  <c r="BP64" i="5"/>
  <c r="H64" i="5"/>
  <c r="AC63" i="5"/>
  <c r="H63" i="5"/>
  <c r="BL62" i="5"/>
  <c r="AJ61" i="5"/>
  <c r="AJ60" i="5"/>
  <c r="AK59" i="5"/>
  <c r="BP57" i="5"/>
  <c r="AZ57" i="5"/>
  <c r="AJ57" i="5"/>
  <c r="T57" i="5"/>
  <c r="H56" i="5"/>
  <c r="AK72" i="5"/>
  <c r="AB69" i="5"/>
  <c r="AW68" i="5"/>
  <c r="M65" i="5"/>
  <c r="BI64" i="5"/>
  <c r="BA61" i="5"/>
  <c r="BP60" i="5"/>
  <c r="AV58" i="5"/>
  <c r="P58" i="5"/>
  <c r="BI57" i="5"/>
  <c r="AC57" i="5"/>
  <c r="BM56" i="5"/>
  <c r="AG56" i="5"/>
  <c r="AZ72" i="5"/>
  <c r="H69" i="5"/>
  <c r="BM67" i="5"/>
  <c r="AJ64" i="5"/>
  <c r="BP61" i="5"/>
  <c r="BQ60" i="5"/>
  <c r="H59" i="5"/>
  <c r="AR57" i="5"/>
  <c r="BD57" i="5" s="1"/>
  <c r="L57" i="5"/>
  <c r="AJ79" i="5"/>
  <c r="H71" i="5"/>
  <c r="AC68" i="5"/>
  <c r="BH62" i="5"/>
  <c r="AS57" i="5"/>
  <c r="H77" i="5"/>
  <c r="U75" i="5"/>
  <c r="AJ65" i="5"/>
  <c r="AF61" i="5"/>
  <c r="BQ59" i="5"/>
  <c r="AF58" i="5"/>
  <c r="BH57" i="5"/>
  <c r="AW56" i="5"/>
  <c r="BQ74" i="5"/>
  <c r="BL66" i="5"/>
  <c r="AF62" i="5"/>
  <c r="AV60" i="5"/>
  <c r="AB57" i="5"/>
  <c r="AG73" i="5"/>
  <c r="T72" i="5"/>
  <c r="BQ72" i="5"/>
  <c r="AB68" i="5"/>
  <c r="M57" i="5"/>
  <c r="AZ69" i="5"/>
  <c r="AJ66" i="5"/>
  <c r="AC67" i="5"/>
  <c r="Q56" i="5"/>
  <c r="BO85" i="5"/>
  <c r="BI85" i="5"/>
  <c r="AY85" i="5"/>
  <c r="AS85" i="5"/>
  <c r="AI85" i="5"/>
  <c r="AC85" i="5"/>
  <c r="S85" i="5"/>
  <c r="M85" i="5"/>
  <c r="BS85" i="5"/>
  <c r="AW85" i="5"/>
  <c r="U85" i="5"/>
  <c r="O85" i="5"/>
  <c r="BQ85" i="5"/>
  <c r="BK85" i="5"/>
  <c r="BC85" i="5"/>
  <c r="AG85" i="5"/>
  <c r="BA85" i="5"/>
  <c r="AM85" i="5"/>
  <c r="BM85" i="5"/>
  <c r="AK85" i="5"/>
  <c r="W85" i="5"/>
  <c r="AE85" i="5"/>
  <c r="AU85" i="5"/>
  <c r="Q85" i="5"/>
  <c r="F17" i="5"/>
  <c r="H17" i="5" s="1"/>
  <c r="I17" i="5" s="1"/>
  <c r="AI19" i="2"/>
  <c r="AI30" i="2"/>
  <c r="AH30" i="2"/>
  <c r="AH35" i="2"/>
  <c r="AH43" i="2"/>
  <c r="AH46" i="2"/>
  <c r="AI52" i="2"/>
  <c r="AH52" i="2"/>
  <c r="AI61" i="2"/>
  <c r="AH61" i="2"/>
  <c r="AI668" i="2"/>
  <c r="AH668" i="2"/>
  <c r="AI832" i="2"/>
  <c r="AH832" i="2"/>
  <c r="AH917" i="2"/>
  <c r="AI917" i="2"/>
  <c r="AH1023" i="2"/>
  <c r="AI1023" i="2"/>
  <c r="AH1039" i="2"/>
  <c r="AI1039" i="2"/>
  <c r="AI1279" i="2"/>
  <c r="AH1279" i="2"/>
  <c r="AG73" i="4"/>
  <c r="Y73" i="4"/>
  <c r="Q73" i="4"/>
  <c r="I73" i="4"/>
  <c r="AG68" i="4"/>
  <c r="Y68" i="4"/>
  <c r="Q68" i="4"/>
  <c r="I68" i="4"/>
  <c r="AJ84" i="4"/>
  <c r="AJ86" i="4" s="1"/>
  <c r="AF84" i="4"/>
  <c r="AB84" i="4"/>
  <c r="AB86" i="4" s="1"/>
  <c r="X84" i="4"/>
  <c r="T84" i="4"/>
  <c r="T86" i="4" s="1"/>
  <c r="P84" i="4"/>
  <c r="L84" i="4"/>
  <c r="L86" i="4" s="1"/>
  <c r="H84" i="4"/>
  <c r="AI66" i="4"/>
  <c r="AE66" i="4"/>
  <c r="AA66" i="4"/>
  <c r="W66" i="4"/>
  <c r="S66" i="4"/>
  <c r="O66" i="4"/>
  <c r="K66" i="4"/>
  <c r="G66" i="4"/>
  <c r="I16" i="4"/>
  <c r="Q16" i="4"/>
  <c r="Y16" i="4"/>
  <c r="AG16" i="4"/>
  <c r="M17" i="4"/>
  <c r="X29" i="5" s="1"/>
  <c r="AC17" i="4"/>
  <c r="BD29" i="5" s="1"/>
  <c r="AK19" i="4"/>
  <c r="BT31" i="5" s="1"/>
  <c r="U20" i="4"/>
  <c r="AN32" i="5" s="1"/>
  <c r="AK20" i="4"/>
  <c r="BT32" i="5" s="1"/>
  <c r="U21" i="4"/>
  <c r="AN33" i="5" s="1"/>
  <c r="AC21" i="4"/>
  <c r="BD33" i="5" s="1"/>
  <c r="Q22" i="4"/>
  <c r="AF34" i="5" s="1"/>
  <c r="Y22" i="4"/>
  <c r="AV34" i="5" s="1"/>
  <c r="AG22" i="4"/>
  <c r="BL34" i="5" s="1"/>
  <c r="U23" i="4"/>
  <c r="AN35" i="5" s="1"/>
  <c r="AC23" i="4"/>
  <c r="BD35" i="5" s="1"/>
  <c r="I24" i="4"/>
  <c r="P36" i="5" s="1"/>
  <c r="Q24" i="4"/>
  <c r="AF36" i="5" s="1"/>
  <c r="Y24" i="4"/>
  <c r="AV36" i="5" s="1"/>
  <c r="AG24" i="4"/>
  <c r="BL36" i="5" s="1"/>
  <c r="U25" i="4"/>
  <c r="AN37" i="5" s="1"/>
  <c r="AC25" i="4"/>
  <c r="BD37" i="5" s="1"/>
  <c r="M26" i="4"/>
  <c r="X38" i="5" s="1"/>
  <c r="AC26" i="4"/>
  <c r="BD38" i="5" s="1"/>
  <c r="U27" i="4"/>
  <c r="AN39" i="5" s="1"/>
  <c r="AK27" i="4"/>
  <c r="BT39" i="5" s="1"/>
  <c r="U28" i="4"/>
  <c r="AN40" i="5" s="1"/>
  <c r="AC29" i="4"/>
  <c r="BD41" i="5" s="1"/>
  <c r="M30" i="4"/>
  <c r="X42" i="5" s="1"/>
  <c r="AC30" i="4"/>
  <c r="BD42" i="5" s="1"/>
  <c r="AK31" i="4"/>
  <c r="BT43" i="5" s="1"/>
  <c r="U32" i="4"/>
  <c r="AN44" i="5" s="1"/>
  <c r="AK32" i="4"/>
  <c r="BT44" i="5" s="1"/>
  <c r="AK33" i="4"/>
  <c r="BT45" i="5" s="1"/>
  <c r="U34" i="4"/>
  <c r="AN46" i="5" s="1"/>
  <c r="AK34" i="4"/>
  <c r="BT46" i="5" s="1"/>
  <c r="E50" i="4"/>
  <c r="E54" i="4"/>
  <c r="H56" i="4"/>
  <c r="L56" i="4"/>
  <c r="P56" i="4"/>
  <c r="T56" i="4"/>
  <c r="X56" i="4"/>
  <c r="AB56" i="4"/>
  <c r="AF56" i="4"/>
  <c r="AJ56" i="4"/>
  <c r="E58" i="4"/>
  <c r="E63" i="4"/>
  <c r="E65" i="4"/>
  <c r="J66" i="4"/>
  <c r="P66" i="4"/>
  <c r="Z66" i="4"/>
  <c r="AF66" i="4"/>
  <c r="AL66" i="4" s="1"/>
  <c r="H68" i="4"/>
  <c r="S68" i="4"/>
  <c r="X68" i="4"/>
  <c r="AI68" i="4"/>
  <c r="J73" i="4"/>
  <c r="O73" i="4"/>
  <c r="T73" i="4"/>
  <c r="Z73" i="4"/>
  <c r="AE73" i="4"/>
  <c r="AJ73" i="4"/>
  <c r="J74" i="4"/>
  <c r="R86" i="5" s="1"/>
  <c r="O74" i="4"/>
  <c r="T74" i="4"/>
  <c r="AL86" i="5" s="1"/>
  <c r="Z74" i="4"/>
  <c r="AX86" i="5" s="1"/>
  <c r="AE74" i="4"/>
  <c r="K84" i="4"/>
  <c r="K86" i="4" s="1"/>
  <c r="Q84" i="4"/>
  <c r="Q86" i="4" s="1"/>
  <c r="AA84" i="4"/>
  <c r="AA86" i="4" s="1"/>
  <c r="AG84" i="4"/>
  <c r="AG86" i="4" s="1"/>
  <c r="D86" i="4"/>
  <c r="B17" i="5"/>
  <c r="F19" i="5" s="1"/>
  <c r="D91" i="5"/>
  <c r="BQ50" i="5"/>
  <c r="BM50" i="5"/>
  <c r="BI50" i="5"/>
  <c r="BA50" i="5"/>
  <c r="AW50" i="5"/>
  <c r="AS50" i="5"/>
  <c r="AK50" i="5"/>
  <c r="AG50" i="5"/>
  <c r="Q50" i="5"/>
  <c r="E50" i="5"/>
  <c r="BM47" i="5"/>
  <c r="AW47" i="5"/>
  <c r="AG47" i="5"/>
  <c r="Q47" i="5"/>
  <c r="E47" i="5"/>
  <c r="C17" i="5"/>
  <c r="E17" i="5" s="1"/>
  <c r="BS50" i="5"/>
  <c r="BK50" i="5"/>
  <c r="BC50" i="5"/>
  <c r="AU50" i="5"/>
  <c r="AM50" i="5"/>
  <c r="AE50" i="5"/>
  <c r="U50" i="5"/>
  <c r="O50" i="5"/>
  <c r="I50" i="5"/>
  <c r="BQ47" i="5"/>
  <c r="BK47" i="5"/>
  <c r="BA47" i="5"/>
  <c r="AU47" i="5"/>
  <c r="AK47" i="5"/>
  <c r="AE47" i="5"/>
  <c r="U47" i="5"/>
  <c r="O47" i="5"/>
  <c r="I47" i="5"/>
  <c r="BS46" i="5"/>
  <c r="BO46" i="5"/>
  <c r="BK46" i="5"/>
  <c r="BC46" i="5"/>
  <c r="AY46" i="5"/>
  <c r="AU46" i="5"/>
  <c r="AM46" i="5"/>
  <c r="AI46" i="5"/>
  <c r="AE46" i="5"/>
  <c r="W46" i="5"/>
  <c r="S46" i="5"/>
  <c r="O46" i="5"/>
  <c r="BS45" i="5"/>
  <c r="BO45" i="5"/>
  <c r="BK45" i="5"/>
  <c r="BC45" i="5"/>
  <c r="AY45" i="5"/>
  <c r="AU45" i="5"/>
  <c r="AM45" i="5"/>
  <c r="AI45" i="5"/>
  <c r="AE45" i="5"/>
  <c r="W45" i="5"/>
  <c r="S45" i="5"/>
  <c r="O45" i="5"/>
  <c r="BS44" i="5"/>
  <c r="BO44" i="5"/>
  <c r="BK44" i="5"/>
  <c r="BC44" i="5"/>
  <c r="AY44" i="5"/>
  <c r="AU44" i="5"/>
  <c r="AM44" i="5"/>
  <c r="AI44" i="5"/>
  <c r="AE44" i="5"/>
  <c r="W44" i="5"/>
  <c r="S44" i="5"/>
  <c r="O44" i="5"/>
  <c r="BS43" i="5"/>
  <c r="BO43" i="5"/>
  <c r="BK43" i="5"/>
  <c r="BC43" i="5"/>
  <c r="AY43" i="5"/>
  <c r="AU43" i="5"/>
  <c r="AM43" i="5"/>
  <c r="AI43" i="5"/>
  <c r="AE43" i="5"/>
  <c r="W43" i="5"/>
  <c r="S43" i="5"/>
  <c r="O43" i="5"/>
  <c r="BS42" i="5"/>
  <c r="BO42" i="5"/>
  <c r="BK42" i="5"/>
  <c r="BC42" i="5"/>
  <c r="AY42" i="5"/>
  <c r="AU42" i="5"/>
  <c r="AM42" i="5"/>
  <c r="AI42" i="5"/>
  <c r="AE42" i="5"/>
  <c r="W42" i="5"/>
  <c r="S42" i="5"/>
  <c r="O42" i="5"/>
  <c r="BS41" i="5"/>
  <c r="BO41" i="5"/>
  <c r="BK41" i="5"/>
  <c r="BC41" i="5"/>
  <c r="AY41" i="5"/>
  <c r="AU41" i="5"/>
  <c r="AM41" i="5"/>
  <c r="AI41" i="5"/>
  <c r="AE41" i="5"/>
  <c r="W41" i="5"/>
  <c r="S41" i="5"/>
  <c r="O41" i="5"/>
  <c r="BS40" i="5"/>
  <c r="S50" i="5"/>
  <c r="BO47" i="5"/>
  <c r="AI47" i="5"/>
  <c r="I46" i="5"/>
  <c r="I45" i="5"/>
  <c r="I44" i="5"/>
  <c r="I43" i="5"/>
  <c r="I42" i="5"/>
  <c r="I41" i="5"/>
  <c r="BO40" i="5"/>
  <c r="AY40" i="5"/>
  <c r="AI40" i="5"/>
  <c r="S40" i="5"/>
  <c r="BM39" i="5"/>
  <c r="AW39" i="5"/>
  <c r="AG39" i="5"/>
  <c r="Q39" i="5"/>
  <c r="E39" i="5"/>
  <c r="BO38" i="5"/>
  <c r="AY38" i="5"/>
  <c r="AI38" i="5"/>
  <c r="S38" i="5"/>
  <c r="BM37" i="5"/>
  <c r="AW37" i="5"/>
  <c r="AG37" i="5"/>
  <c r="Q37" i="5"/>
  <c r="E37" i="5"/>
  <c r="BO36" i="5"/>
  <c r="AY36" i="5"/>
  <c r="AI36" i="5"/>
  <c r="S36" i="5"/>
  <c r="BM35" i="5"/>
  <c r="AW35" i="5"/>
  <c r="AG35" i="5"/>
  <c r="Q35" i="5"/>
  <c r="E35" i="5"/>
  <c r="BO34" i="5"/>
  <c r="AY34" i="5"/>
  <c r="AI34" i="5"/>
  <c r="S34" i="5"/>
  <c r="BM33" i="5"/>
  <c r="AW33" i="5"/>
  <c r="AG33" i="5"/>
  <c r="Q33" i="5"/>
  <c r="E33" i="5"/>
  <c r="BO32" i="5"/>
  <c r="AY32" i="5"/>
  <c r="AI32" i="5"/>
  <c r="S32" i="5"/>
  <c r="BM31" i="5"/>
  <c r="AW31" i="5"/>
  <c r="AG31" i="5"/>
  <c r="Q31" i="5"/>
  <c r="E31" i="5"/>
  <c r="BO30" i="5"/>
  <c r="AY30" i="5"/>
  <c r="AI30" i="5"/>
  <c r="S30" i="5"/>
  <c r="BM29" i="5"/>
  <c r="AW29" i="5"/>
  <c r="AG29" i="5"/>
  <c r="Q29" i="5"/>
  <c r="E29" i="5"/>
  <c r="BO28" i="5"/>
  <c r="AY28" i="5"/>
  <c r="AI28" i="5"/>
  <c r="S28" i="5"/>
  <c r="AC50" i="5"/>
  <c r="AO50" i="5" s="1"/>
  <c r="BC47" i="5"/>
  <c r="AS47" i="5"/>
  <c r="BE47" i="5" s="1"/>
  <c r="W47" i="5"/>
  <c r="M47" i="5"/>
  <c r="BM46" i="5"/>
  <c r="AW46" i="5"/>
  <c r="AG46" i="5"/>
  <c r="Q46" i="5"/>
  <c r="BM45" i="5"/>
  <c r="AW45" i="5"/>
  <c r="AG45" i="5"/>
  <c r="Q45" i="5"/>
  <c r="BM44" i="5"/>
  <c r="AW44" i="5"/>
  <c r="AG44" i="5"/>
  <c r="Q44" i="5"/>
  <c r="BM43" i="5"/>
  <c r="AW43" i="5"/>
  <c r="AG43" i="5"/>
  <c r="Q43" i="5"/>
  <c r="BM42" i="5"/>
  <c r="AW42" i="5"/>
  <c r="AG42" i="5"/>
  <c r="Q42" i="5"/>
  <c r="BM41" i="5"/>
  <c r="AW41" i="5"/>
  <c r="AG41" i="5"/>
  <c r="Q41" i="5"/>
  <c r="BI40" i="5"/>
  <c r="BC40" i="5"/>
  <c r="AS40" i="5"/>
  <c r="AM40" i="5"/>
  <c r="AC40" i="5"/>
  <c r="W40" i="5"/>
  <c r="M40" i="5"/>
  <c r="BQ39" i="5"/>
  <c r="BK39" i="5"/>
  <c r="BA39" i="5"/>
  <c r="AU39" i="5"/>
  <c r="AK39" i="5"/>
  <c r="AE39" i="5"/>
  <c r="U39" i="5"/>
  <c r="O39" i="5"/>
  <c r="I39" i="5"/>
  <c r="BS38" i="5"/>
  <c r="BI38" i="5"/>
  <c r="BC38" i="5"/>
  <c r="AS38" i="5"/>
  <c r="AM38" i="5"/>
  <c r="AC38" i="5"/>
  <c r="W38" i="5"/>
  <c r="M38" i="5"/>
  <c r="BQ37" i="5"/>
  <c r="BK37" i="5"/>
  <c r="BA37" i="5"/>
  <c r="AU37" i="5"/>
  <c r="AK37" i="5"/>
  <c r="AE37" i="5"/>
  <c r="U37" i="5"/>
  <c r="O37" i="5"/>
  <c r="I37" i="5"/>
  <c r="BS36" i="5"/>
  <c r="BI36" i="5"/>
  <c r="BC36" i="5"/>
  <c r="AS36" i="5"/>
  <c r="AM36" i="5"/>
  <c r="AC36" i="5"/>
  <c r="W36" i="5"/>
  <c r="M36" i="5"/>
  <c r="BQ35" i="5"/>
  <c r="BK35" i="5"/>
  <c r="BA35" i="5"/>
  <c r="AU35" i="5"/>
  <c r="AK35" i="5"/>
  <c r="AE35" i="5"/>
  <c r="U35" i="5"/>
  <c r="O35" i="5"/>
  <c r="I35" i="5"/>
  <c r="BS34" i="5"/>
  <c r="BI34" i="5"/>
  <c r="BC34" i="5"/>
  <c r="AS34" i="5"/>
  <c r="AM34" i="5"/>
  <c r="AC34" i="5"/>
  <c r="W34" i="5"/>
  <c r="M34" i="5"/>
  <c r="BQ33" i="5"/>
  <c r="BK33" i="5"/>
  <c r="BA33" i="5"/>
  <c r="AU33" i="5"/>
  <c r="AK33" i="5"/>
  <c r="AE33" i="5"/>
  <c r="U33" i="5"/>
  <c r="O33" i="5"/>
  <c r="I33" i="5"/>
  <c r="BS32" i="5"/>
  <c r="BI32" i="5"/>
  <c r="BC32" i="5"/>
  <c r="AS32" i="5"/>
  <c r="AM32" i="5"/>
  <c r="AC32" i="5"/>
  <c r="W32" i="5"/>
  <c r="M32" i="5"/>
  <c r="BQ31" i="5"/>
  <c r="BK31" i="5"/>
  <c r="BA31" i="5"/>
  <c r="AU31" i="5"/>
  <c r="AK31" i="5"/>
  <c r="AE31" i="5"/>
  <c r="U31" i="5"/>
  <c r="O31" i="5"/>
  <c r="I31" i="5"/>
  <c r="BS30" i="5"/>
  <c r="BI30" i="5"/>
  <c r="BC30" i="5"/>
  <c r="AS30" i="5"/>
  <c r="AM30" i="5"/>
  <c r="AC30" i="5"/>
  <c r="W30" i="5"/>
  <c r="M30" i="5"/>
  <c r="BQ29" i="5"/>
  <c r="BK29" i="5"/>
  <c r="BA29" i="5"/>
  <c r="AU29" i="5"/>
  <c r="AK29" i="5"/>
  <c r="AE29" i="5"/>
  <c r="U29" i="5"/>
  <c r="O29" i="5"/>
  <c r="I29" i="5"/>
  <c r="BS28" i="5"/>
  <c r="BI28" i="5"/>
  <c r="BC28" i="5"/>
  <c r="AS28" i="5"/>
  <c r="AM28" i="5"/>
  <c r="AC28" i="5"/>
  <c r="W28" i="5"/>
  <c r="M28" i="5"/>
  <c r="S47" i="5"/>
  <c r="E46" i="5"/>
  <c r="E44" i="5"/>
  <c r="E42" i="5"/>
  <c r="AW40" i="5"/>
  <c r="Q40" i="5"/>
  <c r="E40" i="5"/>
  <c r="BO39" i="5"/>
  <c r="AI39" i="5"/>
  <c r="BM38" i="5"/>
  <c r="AG38" i="5"/>
  <c r="AY37" i="5"/>
  <c r="S37" i="5"/>
  <c r="AW36" i="5"/>
  <c r="Q36" i="5"/>
  <c r="E36" i="5"/>
  <c r="BO35" i="5"/>
  <c r="AI35" i="5"/>
  <c r="BM34" i="5"/>
  <c r="AG34" i="5"/>
  <c r="AY33" i="5"/>
  <c r="BO50" i="5"/>
  <c r="AI50" i="5"/>
  <c r="M50" i="5"/>
  <c r="Y50" i="5" s="1"/>
  <c r="BS47" i="5"/>
  <c r="AC47" i="5"/>
  <c r="AO47" i="5" s="1"/>
  <c r="BI46" i="5"/>
  <c r="AS46" i="5"/>
  <c r="AC46" i="5"/>
  <c r="M46" i="5"/>
  <c r="BQ45" i="5"/>
  <c r="BA45" i="5"/>
  <c r="AK45" i="5"/>
  <c r="U45" i="5"/>
  <c r="BI44" i="5"/>
  <c r="AS44" i="5"/>
  <c r="AC44" i="5"/>
  <c r="M44" i="5"/>
  <c r="BQ43" i="5"/>
  <c r="BA43" i="5"/>
  <c r="AK43" i="5"/>
  <c r="U43" i="5"/>
  <c r="BI42" i="5"/>
  <c r="AS42" i="5"/>
  <c r="AC42" i="5"/>
  <c r="M42" i="5"/>
  <c r="BQ41" i="5"/>
  <c r="BA41" i="5"/>
  <c r="AK41" i="5"/>
  <c r="U41" i="5"/>
  <c r="BK40" i="5"/>
  <c r="BW40" i="5" s="1"/>
  <c r="BA40" i="5"/>
  <c r="AE40" i="5"/>
  <c r="AQ40" i="5" s="1"/>
  <c r="U40" i="5"/>
  <c r="I40" i="5"/>
  <c r="BS39" i="5"/>
  <c r="BI39" i="5"/>
  <c r="BU39" i="5" s="1"/>
  <c r="AM39" i="5"/>
  <c r="AC39" i="5"/>
  <c r="AO39" i="5" s="1"/>
  <c r="W50" i="5"/>
  <c r="AM47" i="5"/>
  <c r="BQ46" i="5"/>
  <c r="AK46" i="5"/>
  <c r="AS45" i="5"/>
  <c r="BE45" i="5" s="1"/>
  <c r="M45" i="5"/>
  <c r="BA44" i="5"/>
  <c r="U44" i="5"/>
  <c r="BI43" i="5"/>
  <c r="BU43" i="5" s="1"/>
  <c r="AC43" i="5"/>
  <c r="AO43" i="5" s="1"/>
  <c r="BQ42" i="5"/>
  <c r="AK42" i="5"/>
  <c r="AS41" i="5"/>
  <c r="BE41" i="5" s="1"/>
  <c r="M41" i="5"/>
  <c r="AK40" i="5"/>
  <c r="O40" i="5"/>
  <c r="AA40" i="5" s="1"/>
  <c r="AS39" i="5"/>
  <c r="BE39" i="5" s="1"/>
  <c r="W39" i="5"/>
  <c r="AU38" i="5"/>
  <c r="BG38" i="5" s="1"/>
  <c r="AE38" i="5"/>
  <c r="AQ38" i="5" s="1"/>
  <c r="Q38" i="5"/>
  <c r="BI37" i="5"/>
  <c r="BU37" i="5" s="1"/>
  <c r="BK36" i="5"/>
  <c r="BW36" i="5" s="1"/>
  <c r="AU36" i="5"/>
  <c r="BG36" i="5" s="1"/>
  <c r="AG36" i="5"/>
  <c r="U36" i="5"/>
  <c r="S35" i="5"/>
  <c r="BK34" i="5"/>
  <c r="BW34" i="5" s="1"/>
  <c r="AW34" i="5"/>
  <c r="AK34" i="5"/>
  <c r="U34" i="5"/>
  <c r="E34" i="5"/>
  <c r="AM33" i="5"/>
  <c r="AC33" i="5"/>
  <c r="AO33" i="5" s="1"/>
  <c r="BQ32" i="5"/>
  <c r="AU32" i="5"/>
  <c r="BG32" i="5" s="1"/>
  <c r="AK32" i="5"/>
  <c r="O32" i="5"/>
  <c r="AA32" i="5" s="1"/>
  <c r="BC31" i="5"/>
  <c r="AS31" i="5"/>
  <c r="BE31" i="5" s="1"/>
  <c r="W31" i="5"/>
  <c r="M31" i="5"/>
  <c r="Y31" i="5" s="1"/>
  <c r="BK30" i="5"/>
  <c r="BW30" i="5" s="1"/>
  <c r="BA30" i="5"/>
  <c r="AE30" i="5"/>
  <c r="AQ30" i="5" s="1"/>
  <c r="U30" i="5"/>
  <c r="I30" i="5"/>
  <c r="BS29" i="5"/>
  <c r="BI29" i="5"/>
  <c r="BU29" i="5" s="1"/>
  <c r="AM29" i="5"/>
  <c r="AC29" i="5"/>
  <c r="AO29" i="5" s="1"/>
  <c r="BQ28" i="5"/>
  <c r="AU28" i="5"/>
  <c r="AK28" i="5"/>
  <c r="O28" i="5"/>
  <c r="AY47" i="5"/>
  <c r="E43" i="5"/>
  <c r="BM40" i="5"/>
  <c r="AY39" i="5"/>
  <c r="BK38" i="5"/>
  <c r="BW38" i="5" s="1"/>
  <c r="AW38" i="5"/>
  <c r="AK38" i="5"/>
  <c r="U38" i="5"/>
  <c r="E38" i="5"/>
  <c r="AI37" i="5"/>
  <c r="W37" i="5"/>
  <c r="BM36" i="5"/>
  <c r="BA36" i="5"/>
  <c r="AK36" i="5"/>
  <c r="I36" i="5"/>
  <c r="AY35" i="5"/>
  <c r="AM35" i="5"/>
  <c r="W35" i="5"/>
  <c r="BQ34" i="5"/>
  <c r="BA34" i="5"/>
  <c r="I34" i="5"/>
  <c r="BO33" i="5"/>
  <c r="BC33" i="5"/>
  <c r="S33" i="5"/>
  <c r="AW32" i="5"/>
  <c r="Q32" i="5"/>
  <c r="E32" i="5"/>
  <c r="BO31" i="5"/>
  <c r="AI31" i="5"/>
  <c r="BM30" i="5"/>
  <c r="AG30" i="5"/>
  <c r="AY29" i="5"/>
  <c r="S29" i="5"/>
  <c r="AW28" i="5"/>
  <c r="Q28" i="5"/>
  <c r="E28" i="5"/>
  <c r="E45" i="5"/>
  <c r="O38" i="5"/>
  <c r="AA38" i="5" s="1"/>
  <c r="AC37" i="5"/>
  <c r="AO37" i="5" s="1"/>
  <c r="O36" i="5"/>
  <c r="AA36" i="5" s="1"/>
  <c r="BI35" i="5"/>
  <c r="BU35" i="5" s="1"/>
  <c r="AU34" i="5"/>
  <c r="BG34" i="5" s="1"/>
  <c r="Q34" i="5"/>
  <c r="BI33" i="5"/>
  <c r="BU33" i="5" s="1"/>
  <c r="AI33" i="5"/>
  <c r="BM32" i="5"/>
  <c r="AY31" i="5"/>
  <c r="Q30" i="5"/>
  <c r="BO29" i="5"/>
  <c r="AG28" i="5"/>
  <c r="AY50" i="5"/>
  <c r="U46" i="5"/>
  <c r="AC45" i="5"/>
  <c r="AO45" i="5" s="1"/>
  <c r="AK44" i="5"/>
  <c r="AS43" i="5"/>
  <c r="BE43" i="5" s="1"/>
  <c r="BA42" i="5"/>
  <c r="BI41" i="5"/>
  <c r="BU41" i="5" s="1"/>
  <c r="BQ40" i="5"/>
  <c r="BC39" i="5"/>
  <c r="M39" i="5"/>
  <c r="Y39" i="5" s="1"/>
  <c r="BA38" i="5"/>
  <c r="BO37" i="5"/>
  <c r="AM37" i="5"/>
  <c r="M37" i="5"/>
  <c r="Y37" i="5" s="1"/>
  <c r="BS35" i="5"/>
  <c r="M35" i="5"/>
  <c r="Y35" i="5" s="1"/>
  <c r="BS33" i="5"/>
  <c r="AS33" i="5"/>
  <c r="BE33" i="5" s="1"/>
  <c r="W33" i="5"/>
  <c r="BA32" i="5"/>
  <c r="AE32" i="5"/>
  <c r="AQ32" i="5" s="1"/>
  <c r="I32" i="5"/>
  <c r="BI31" i="5"/>
  <c r="BU31" i="5" s="1"/>
  <c r="AM31" i="5"/>
  <c r="BQ30" i="5"/>
  <c r="AU30" i="5"/>
  <c r="BG30" i="5" s="1"/>
  <c r="BC29" i="5"/>
  <c r="M29" i="5"/>
  <c r="Y29" i="5" s="1"/>
  <c r="BK28" i="5"/>
  <c r="U28" i="5"/>
  <c r="BA46" i="5"/>
  <c r="BQ44" i="5"/>
  <c r="M43" i="5"/>
  <c r="AC41" i="5"/>
  <c r="AO41" i="5" s="1"/>
  <c r="BQ38" i="5"/>
  <c r="I38" i="5"/>
  <c r="BC35" i="5"/>
  <c r="O34" i="5"/>
  <c r="AA34" i="5" s="1"/>
  <c r="BK32" i="5"/>
  <c r="BW32" i="5" s="1"/>
  <c r="U32" i="5"/>
  <c r="AK30" i="5"/>
  <c r="W29" i="5"/>
  <c r="BA28" i="5"/>
  <c r="I28" i="5"/>
  <c r="E41" i="5"/>
  <c r="BS37" i="5"/>
  <c r="AE36" i="5"/>
  <c r="AQ36" i="5" s="1"/>
  <c r="AS35" i="5"/>
  <c r="BE35" i="5" s="1"/>
  <c r="BI47" i="5"/>
  <c r="BU47" i="5" s="1"/>
  <c r="BI45" i="5"/>
  <c r="BU45" i="5" s="1"/>
  <c r="U42" i="5"/>
  <c r="AU40" i="5"/>
  <c r="BG40" i="5" s="1"/>
  <c r="BC37" i="5"/>
  <c r="BQ36" i="5"/>
  <c r="AC35" i="5"/>
  <c r="AO35" i="5" s="1"/>
  <c r="M33" i="5"/>
  <c r="Y33" i="5" s="1"/>
  <c r="BS31" i="5"/>
  <c r="AC31" i="5"/>
  <c r="AO31" i="5" s="1"/>
  <c r="O30" i="5"/>
  <c r="AA30" i="5" s="1"/>
  <c r="AS29" i="5"/>
  <c r="BE29" i="5" s="1"/>
  <c r="AE28" i="5"/>
  <c r="AG32" i="5"/>
  <c r="E30" i="5"/>
  <c r="AS37" i="5"/>
  <c r="BE37" i="5" s="1"/>
  <c r="AE34" i="5"/>
  <c r="AQ34" i="5" s="1"/>
  <c r="AI29" i="5"/>
  <c r="AG40" i="5"/>
  <c r="S31" i="5"/>
  <c r="BM28" i="5"/>
  <c r="AI64" i="2"/>
  <c r="AH64" i="2"/>
  <c r="AI125" i="2"/>
  <c r="AH125" i="2"/>
  <c r="AI205" i="2"/>
  <c r="AH205" i="2"/>
  <c r="AI432" i="2"/>
  <c r="AH432" i="2"/>
  <c r="AI777" i="2"/>
  <c r="AH777" i="2"/>
  <c r="AI865" i="2"/>
  <c r="AH865" i="2"/>
  <c r="BI63" i="5"/>
  <c r="AG74" i="4"/>
  <c r="BL86" i="5" s="1"/>
  <c r="Y74" i="4"/>
  <c r="AV86" i="5" s="1"/>
  <c r="Q74" i="4"/>
  <c r="AF86" i="5" s="1"/>
  <c r="I74" i="4"/>
  <c r="P86" i="5" s="1"/>
  <c r="AJ87" i="4"/>
  <c r="AF87" i="4"/>
  <c r="AB87" i="4"/>
  <c r="X87" i="4"/>
  <c r="T87" i="4"/>
  <c r="P87" i="4"/>
  <c r="L87" i="4"/>
  <c r="H87" i="4"/>
  <c r="AI87" i="4"/>
  <c r="AE87" i="4"/>
  <c r="AA87" i="4"/>
  <c r="W87" i="4"/>
  <c r="S87" i="4"/>
  <c r="O87" i="4"/>
  <c r="K87" i="4"/>
  <c r="G87" i="4"/>
  <c r="G16" i="4"/>
  <c r="K16" i="4"/>
  <c r="O16" i="4"/>
  <c r="S16" i="4"/>
  <c r="W16" i="4"/>
  <c r="AA16" i="4"/>
  <c r="AE16" i="4"/>
  <c r="AI16" i="4"/>
  <c r="B13" i="4"/>
  <c r="C16" i="4" s="1"/>
  <c r="U17" i="4"/>
  <c r="AN29" i="5" s="1"/>
  <c r="AK17" i="4"/>
  <c r="BT29" i="5" s="1"/>
  <c r="I18" i="4"/>
  <c r="P30" i="5" s="1"/>
  <c r="Q18" i="4"/>
  <c r="AF30" i="5" s="1"/>
  <c r="Y18" i="4"/>
  <c r="AV30" i="5" s="1"/>
  <c r="AG18" i="4"/>
  <c r="BL30" i="5" s="1"/>
  <c r="M19" i="4"/>
  <c r="X31" i="5" s="1"/>
  <c r="U19" i="4"/>
  <c r="AN31" i="5" s="1"/>
  <c r="AC19" i="4"/>
  <c r="BD31" i="5" s="1"/>
  <c r="M20" i="4"/>
  <c r="X32" i="5" s="1"/>
  <c r="AC20" i="4"/>
  <c r="BD32" i="5" s="1"/>
  <c r="M21" i="4"/>
  <c r="X33" i="5" s="1"/>
  <c r="AK21" i="4"/>
  <c r="BT33" i="5" s="1"/>
  <c r="M23" i="4"/>
  <c r="X35" i="5" s="1"/>
  <c r="AK23" i="4"/>
  <c r="BT35" i="5" s="1"/>
  <c r="M25" i="4"/>
  <c r="X37" i="5" s="1"/>
  <c r="AK25" i="4"/>
  <c r="BT37" i="5" s="1"/>
  <c r="U26" i="4"/>
  <c r="AN38" i="5" s="1"/>
  <c r="AK26" i="4"/>
  <c r="BT38" i="5" s="1"/>
  <c r="M27" i="4"/>
  <c r="X39" i="5" s="1"/>
  <c r="AC27" i="4"/>
  <c r="BD39" i="5" s="1"/>
  <c r="M28" i="4"/>
  <c r="X40" i="5" s="1"/>
  <c r="AC28" i="4"/>
  <c r="BD40" i="5" s="1"/>
  <c r="AK28" i="4"/>
  <c r="BT40" i="5" s="1"/>
  <c r="M29" i="4"/>
  <c r="X41" i="5" s="1"/>
  <c r="U29" i="4"/>
  <c r="AN41" i="5" s="1"/>
  <c r="AK29" i="4"/>
  <c r="BT41" i="5" s="1"/>
  <c r="U30" i="4"/>
  <c r="AN42" i="5" s="1"/>
  <c r="AK30" i="4"/>
  <c r="BT42" i="5" s="1"/>
  <c r="M31" i="4"/>
  <c r="X43" i="5" s="1"/>
  <c r="U31" i="4"/>
  <c r="AN43" i="5" s="1"/>
  <c r="AC31" i="4"/>
  <c r="BD43" i="5" s="1"/>
  <c r="M32" i="4"/>
  <c r="X44" i="5" s="1"/>
  <c r="AC32" i="4"/>
  <c r="BD44" i="5" s="1"/>
  <c r="M33" i="4"/>
  <c r="X45" i="5" s="1"/>
  <c r="U33" i="4"/>
  <c r="AN45" i="5" s="1"/>
  <c r="AC33" i="4"/>
  <c r="BD45" i="5" s="1"/>
  <c r="M34" i="4"/>
  <c r="X46" i="5" s="1"/>
  <c r="AC34" i="4"/>
  <c r="BD46" i="5" s="1"/>
  <c r="M35" i="4"/>
  <c r="X47" i="5" s="1"/>
  <c r="U35" i="4"/>
  <c r="AN47" i="5" s="1"/>
  <c r="AC35" i="4"/>
  <c r="BD47" i="5" s="1"/>
  <c r="AK35" i="4"/>
  <c r="BT47" i="5" s="1"/>
  <c r="D36" i="4"/>
  <c r="E85" i="4" s="1"/>
  <c r="I38" i="4"/>
  <c r="P50" i="5" s="1"/>
  <c r="Q38" i="4"/>
  <c r="AF50" i="5" s="1"/>
  <c r="Y38" i="4"/>
  <c r="AV50" i="5" s="1"/>
  <c r="AG38" i="4"/>
  <c r="BL50" i="5" s="1"/>
  <c r="J16" i="4"/>
  <c r="R16" i="4"/>
  <c r="Z16" i="4"/>
  <c r="N17" i="4"/>
  <c r="V17" i="4"/>
  <c r="AD17" i="4"/>
  <c r="AL17" i="4"/>
  <c r="J18" i="4"/>
  <c r="R30" i="5" s="1"/>
  <c r="R18" i="4"/>
  <c r="AH30" i="5" s="1"/>
  <c r="Z18" i="4"/>
  <c r="AX30" i="5" s="1"/>
  <c r="N19" i="4"/>
  <c r="V19" i="4"/>
  <c r="AD19" i="4"/>
  <c r="AL19" i="4"/>
  <c r="N20" i="4"/>
  <c r="V20" i="4"/>
  <c r="AD20" i="4"/>
  <c r="AL20" i="4"/>
  <c r="N21" i="4"/>
  <c r="V21" i="4"/>
  <c r="AD21" i="4"/>
  <c r="AL21" i="4"/>
  <c r="J22" i="4"/>
  <c r="R34" i="5" s="1"/>
  <c r="R22" i="4"/>
  <c r="AH34" i="5" s="1"/>
  <c r="Z22" i="4"/>
  <c r="AX34" i="5" s="1"/>
  <c r="N23" i="4"/>
  <c r="V23" i="4"/>
  <c r="AD23" i="4"/>
  <c r="AL23" i="4"/>
  <c r="J24" i="4"/>
  <c r="R36" i="5" s="1"/>
  <c r="R24" i="4"/>
  <c r="AH36" i="5" s="1"/>
  <c r="Z24" i="4"/>
  <c r="AX36" i="5" s="1"/>
  <c r="AH24" i="4"/>
  <c r="BN36" i="5" s="1"/>
  <c r="N25" i="4"/>
  <c r="V25" i="4"/>
  <c r="AD25" i="4"/>
  <c r="AL25" i="4"/>
  <c r="N26" i="4"/>
  <c r="V26" i="4"/>
  <c r="AD26" i="4"/>
  <c r="AL26" i="4"/>
  <c r="N27" i="4"/>
  <c r="V27" i="4"/>
  <c r="AD27" i="4"/>
  <c r="AL27" i="4"/>
  <c r="N28" i="4"/>
  <c r="V28" i="4"/>
  <c r="AD28" i="4"/>
  <c r="AL28" i="4"/>
  <c r="N29" i="4"/>
  <c r="V29" i="4"/>
  <c r="AD29" i="4"/>
  <c r="AL29" i="4"/>
  <c r="N30" i="4"/>
  <c r="V30" i="4"/>
  <c r="AD30" i="4"/>
  <c r="AL30" i="4"/>
  <c r="N31" i="4"/>
  <c r="V31" i="4"/>
  <c r="AD31" i="4"/>
  <c r="AL31" i="4"/>
  <c r="N32" i="4"/>
  <c r="V32" i="4"/>
  <c r="AD32" i="4"/>
  <c r="AL32" i="4"/>
  <c r="N33" i="4"/>
  <c r="V33" i="4"/>
  <c r="AD33" i="4"/>
  <c r="AL33" i="4"/>
  <c r="N34" i="4"/>
  <c r="V34" i="4"/>
  <c r="AD34" i="4"/>
  <c r="AL34" i="4"/>
  <c r="N35" i="4"/>
  <c r="V35" i="4"/>
  <c r="AD35" i="4"/>
  <c r="AL35" i="4"/>
  <c r="J38" i="4"/>
  <c r="R50" i="5" s="1"/>
  <c r="R38" i="4"/>
  <c r="AH50" i="5" s="1"/>
  <c r="Z38" i="4"/>
  <c r="AX50" i="5" s="1"/>
  <c r="AH38" i="4"/>
  <c r="BN50" i="5" s="1"/>
  <c r="E56" i="5"/>
  <c r="D69" i="4"/>
  <c r="E69" i="4" s="1"/>
  <c r="M44" i="4"/>
  <c r="U44" i="4"/>
  <c r="AC44" i="4"/>
  <c r="AK44" i="4"/>
  <c r="C45" i="4"/>
  <c r="D57" i="5" s="1"/>
  <c r="E47" i="4"/>
  <c r="C49" i="4"/>
  <c r="D61" i="5" s="1"/>
  <c r="E51" i="4"/>
  <c r="C53" i="4"/>
  <c r="D65" i="5" s="1"/>
  <c r="E55" i="4"/>
  <c r="I56" i="4"/>
  <c r="I69" i="4" s="1"/>
  <c r="Q56" i="4"/>
  <c r="Y56" i="4"/>
  <c r="Y69" i="4" s="1"/>
  <c r="E59" i="4"/>
  <c r="C62" i="4"/>
  <c r="D74" i="5" s="1"/>
  <c r="E64" i="4"/>
  <c r="E66" i="4"/>
  <c r="L66" i="4"/>
  <c r="Q66" i="4"/>
  <c r="AB66" i="4"/>
  <c r="AG66" i="4"/>
  <c r="AG69" i="4" s="1"/>
  <c r="E79" i="5"/>
  <c r="E67" i="4"/>
  <c r="J68" i="4"/>
  <c r="O68" i="4"/>
  <c r="U68" i="4" s="1"/>
  <c r="T68" i="4"/>
  <c r="Z68" i="4"/>
  <c r="AE68" i="4"/>
  <c r="AK68" i="4" s="1"/>
  <c r="AJ68" i="4"/>
  <c r="E73" i="4"/>
  <c r="K73" i="4"/>
  <c r="P73" i="4"/>
  <c r="AA73" i="4"/>
  <c r="AF73" i="4"/>
  <c r="K74" i="4"/>
  <c r="T86" i="5" s="1"/>
  <c r="P74" i="4"/>
  <c r="AA74" i="4"/>
  <c r="AZ86" i="5" s="1"/>
  <c r="AF74" i="4"/>
  <c r="G84" i="4"/>
  <c r="R84" i="4"/>
  <c r="R86" i="4" s="1"/>
  <c r="W84" i="4"/>
  <c r="AH84" i="4"/>
  <c r="AH86" i="4" s="1"/>
  <c r="C108" i="5"/>
  <c r="C85" i="4"/>
  <c r="D108" i="5" s="1"/>
  <c r="I87" i="4"/>
  <c r="Q87" i="4"/>
  <c r="Y87" i="4"/>
  <c r="AG87" i="4"/>
  <c r="AI28" i="2"/>
  <c r="AH28" i="2"/>
  <c r="BK86" i="5"/>
  <c r="AU86" i="5"/>
  <c r="AE86" i="5"/>
  <c r="O86" i="5"/>
  <c r="BO86" i="5"/>
  <c r="BA86" i="5"/>
  <c r="AS86" i="5"/>
  <c r="AM86" i="5"/>
  <c r="Q86" i="5"/>
  <c r="BM86" i="5"/>
  <c r="AY86" i="5"/>
  <c r="AK86" i="5"/>
  <c r="AC86" i="5"/>
  <c r="W86" i="5"/>
  <c r="BI86" i="5"/>
  <c r="AG86" i="5"/>
  <c r="S86" i="5"/>
  <c r="BS86" i="5"/>
  <c r="M86" i="5"/>
  <c r="BQ86" i="5"/>
  <c r="AI86" i="5"/>
  <c r="U86" i="5"/>
  <c r="BC86" i="5"/>
  <c r="AW86" i="5"/>
  <c r="AI55" i="2"/>
  <c r="AH55" i="2"/>
  <c r="AH56" i="2"/>
  <c r="AH93" i="2"/>
  <c r="AI296" i="2"/>
  <c r="AH296" i="2"/>
  <c r="AI319" i="2"/>
  <c r="AH319" i="2"/>
  <c r="AI414" i="2"/>
  <c r="AH414" i="2"/>
  <c r="AI664" i="2"/>
  <c r="AH664" i="2"/>
  <c r="AI673" i="2"/>
  <c r="AH673" i="2"/>
  <c r="AI787" i="2"/>
  <c r="AH787" i="2"/>
  <c r="AI857" i="2"/>
  <c r="AH857" i="2"/>
  <c r="AI877" i="2"/>
  <c r="AH877" i="2"/>
  <c r="AH997" i="2"/>
  <c r="AI997" i="2"/>
  <c r="AI1012" i="2"/>
  <c r="AH1012" i="2"/>
  <c r="AI1069" i="2"/>
  <c r="AH1069" i="2"/>
  <c r="AH1088" i="2"/>
  <c r="AI1088" i="2"/>
  <c r="AH1098" i="2"/>
  <c r="AI1098" i="2"/>
  <c r="AI204" i="2"/>
  <c r="AH204" i="2"/>
  <c r="AI481" i="2"/>
  <c r="AH481" i="2"/>
  <c r="AI638" i="2"/>
  <c r="AH638" i="2"/>
  <c r="AI672" i="2"/>
  <c r="AH672" i="2"/>
  <c r="AI735" i="2"/>
  <c r="AH735" i="2"/>
  <c r="AH831" i="2"/>
  <c r="AI831" i="2"/>
  <c r="AH847" i="2"/>
  <c r="AI847" i="2"/>
  <c r="AH856" i="2"/>
  <c r="AI856" i="2"/>
  <c r="AI874" i="2"/>
  <c r="AH874" i="2"/>
  <c r="AI895" i="2"/>
  <c r="AH895" i="2"/>
  <c r="AI942" i="2"/>
  <c r="AH942" i="2"/>
  <c r="AH949" i="2"/>
  <c r="AI949" i="2"/>
  <c r="AH1035" i="2"/>
  <c r="AI1035" i="2"/>
  <c r="AI1060" i="2"/>
  <c r="AH1060" i="2"/>
  <c r="AI1104" i="2"/>
  <c r="AH1104" i="2"/>
  <c r="AH1163" i="2"/>
  <c r="AI1163" i="2"/>
  <c r="AI1186" i="2"/>
  <c r="AH1186" i="2"/>
  <c r="AH1232" i="2"/>
  <c r="AI1232" i="2"/>
  <c r="AI405" i="2"/>
  <c r="AH405" i="2"/>
  <c r="AI626" i="2"/>
  <c r="AH626" i="2"/>
  <c r="AI643" i="2"/>
  <c r="AH643" i="2"/>
  <c r="AI651" i="2"/>
  <c r="AH651" i="2"/>
  <c r="AH726" i="2"/>
  <c r="AI726" i="2"/>
  <c r="AH824" i="2"/>
  <c r="AI824" i="2"/>
  <c r="AI854" i="2"/>
  <c r="AH854" i="2"/>
  <c r="AI883" i="2"/>
  <c r="AH883" i="2"/>
  <c r="AI922" i="2"/>
  <c r="AH922" i="2"/>
  <c r="AI961" i="2"/>
  <c r="AH961" i="2"/>
  <c r="AH990" i="2"/>
  <c r="AI990" i="2"/>
  <c r="AI1134" i="2"/>
  <c r="AH1134" i="2"/>
  <c r="AH1150" i="2"/>
  <c r="AI1150" i="2"/>
  <c r="AH1203" i="2"/>
  <c r="AI1203" i="2"/>
  <c r="AI1414" i="2"/>
  <c r="AH1414" i="2"/>
  <c r="AI653" i="2"/>
  <c r="AH653" i="2"/>
  <c r="AI675" i="2"/>
  <c r="AH675" i="2"/>
  <c r="AI698" i="2"/>
  <c r="AH698" i="2"/>
  <c r="AH722" i="2"/>
  <c r="AH739" i="2"/>
  <c r="AI739" i="2"/>
  <c r="AI767" i="2"/>
  <c r="AH767" i="2"/>
  <c r="AH820" i="2"/>
  <c r="AI820" i="2"/>
  <c r="AI880" i="2"/>
  <c r="AH880" i="2"/>
  <c r="AH938" i="2"/>
  <c r="AH957" i="2"/>
  <c r="AI957" i="2"/>
  <c r="AH978" i="2"/>
  <c r="AI978" i="2"/>
  <c r="AH1045" i="2"/>
  <c r="AI1045" i="2"/>
  <c r="AI1107" i="2"/>
  <c r="AH1107" i="2"/>
  <c r="AH1131" i="2"/>
  <c r="AI1131" i="2"/>
  <c r="AI1156" i="2"/>
  <c r="AH1156" i="2"/>
  <c r="AH1175" i="2"/>
  <c r="AI1175" i="2"/>
  <c r="AI1183" i="2"/>
  <c r="AH1183" i="2"/>
  <c r="AI1253" i="2"/>
  <c r="AH1253" i="2"/>
  <c r="AI1395" i="2"/>
  <c r="AH1395" i="2"/>
  <c r="AH1068" i="2"/>
  <c r="AI1068" i="2"/>
  <c r="AH1092" i="2"/>
  <c r="AI1092" i="2"/>
  <c r="AH1103" i="2"/>
  <c r="AI1103" i="2"/>
  <c r="AH1117" i="2"/>
  <c r="AI1117" i="2"/>
  <c r="AH1155" i="2"/>
  <c r="AI1155" i="2"/>
  <c r="AH1182" i="2"/>
  <c r="AI1182" i="2"/>
  <c r="AI1270" i="2"/>
  <c r="AH1270" i="2"/>
  <c r="AI1273" i="2"/>
  <c r="AH1273" i="2"/>
  <c r="AI1373" i="2"/>
  <c r="AH1373" i="2"/>
  <c r="AI1376" i="2"/>
  <c r="AH1376" i="2"/>
  <c r="AI1444" i="2"/>
  <c r="AH1444" i="2"/>
  <c r="E86" i="5"/>
  <c r="E85" i="5"/>
  <c r="F78" i="5"/>
  <c r="F75" i="5"/>
  <c r="F80" i="5"/>
  <c r="F79" i="5"/>
  <c r="F74" i="5"/>
  <c r="F77" i="5"/>
  <c r="F76" i="5"/>
  <c r="F72" i="5"/>
  <c r="F68" i="5"/>
  <c r="F64" i="5"/>
  <c r="F60" i="5"/>
  <c r="F73" i="5"/>
  <c r="F71" i="5"/>
  <c r="F69" i="5"/>
  <c r="F59" i="5"/>
  <c r="F57" i="5"/>
  <c r="F70" i="5"/>
  <c r="F66" i="5"/>
  <c r="F65" i="5"/>
  <c r="F56" i="5"/>
  <c r="F67" i="5"/>
  <c r="F63" i="5"/>
  <c r="F62" i="5"/>
  <c r="F61" i="5"/>
  <c r="F58" i="5"/>
  <c r="AH759" i="2"/>
  <c r="AI759" i="2"/>
  <c r="AH776" i="2"/>
  <c r="AI776" i="2"/>
  <c r="AH853" i="2"/>
  <c r="AI853" i="2"/>
  <c r="AH860" i="2"/>
  <c r="AI860" i="2"/>
  <c r="AH873" i="2"/>
  <c r="AI873" i="2"/>
  <c r="AH894" i="2"/>
  <c r="AI894" i="2"/>
  <c r="AH921" i="2"/>
  <c r="AI921" i="2"/>
  <c r="AH928" i="2"/>
  <c r="AI928" i="2"/>
  <c r="AH941" i="2"/>
  <c r="AI941" i="2"/>
  <c r="AH960" i="2"/>
  <c r="AI960" i="2"/>
  <c r="AH981" i="2"/>
  <c r="AI981" i="2"/>
  <c r="AH1000" i="2"/>
  <c r="AI1000" i="2"/>
  <c r="AH1079" i="2"/>
  <c r="AH1110" i="2"/>
  <c r="AI1110" i="2"/>
  <c r="AH1125" i="2"/>
  <c r="AI1125" i="2"/>
  <c r="AH1129" i="2"/>
  <c r="AH1137" i="2"/>
  <c r="AI1137" i="2"/>
  <c r="AH1138" i="2"/>
  <c r="AH1189" i="2"/>
  <c r="AI1189" i="2"/>
  <c r="AH1190" i="2"/>
  <c r="AH1209" i="2"/>
  <c r="AH1221" i="2"/>
  <c r="AI1221" i="2"/>
  <c r="AH1260" i="2"/>
  <c r="AI1261" i="2"/>
  <c r="AH1261" i="2"/>
  <c r="AI1283" i="2"/>
  <c r="AH1283" i="2"/>
  <c r="AI1297" i="2"/>
  <c r="AH1297" i="2"/>
  <c r="AI1302" i="2"/>
  <c r="AH1302" i="2"/>
  <c r="AH1318" i="2"/>
  <c r="AI1348" i="2"/>
  <c r="AH1348" i="2"/>
  <c r="AI1355" i="2"/>
  <c r="AH1355" i="2"/>
  <c r="AI1557" i="2"/>
  <c r="AH1557" i="2"/>
  <c r="D75" i="4"/>
  <c r="G87" i="5" s="1"/>
  <c r="C87" i="4"/>
  <c r="D110" i="5" s="1"/>
  <c r="BP110" i="5"/>
  <c r="BL110" i="5"/>
  <c r="BH110" i="5"/>
  <c r="AZ110" i="5"/>
  <c r="AV110" i="5"/>
  <c r="AR110" i="5"/>
  <c r="AJ110" i="5"/>
  <c r="AF110" i="5"/>
  <c r="AB110" i="5"/>
  <c r="T110" i="5"/>
  <c r="P110" i="5"/>
  <c r="L110" i="5"/>
  <c r="BP108" i="5"/>
  <c r="BL108" i="5"/>
  <c r="BH108" i="5"/>
  <c r="AZ108" i="5"/>
  <c r="AV108" i="5"/>
  <c r="AR108" i="5"/>
  <c r="AJ108" i="5"/>
  <c r="AF108" i="5"/>
  <c r="AB108" i="5"/>
  <c r="T108" i="5"/>
  <c r="P108" i="5"/>
  <c r="L108" i="5"/>
  <c r="BP107" i="5"/>
  <c r="BP109" i="5" s="1"/>
  <c r="BL107" i="5"/>
  <c r="BL109" i="5" s="1"/>
  <c r="BH107" i="5"/>
  <c r="AZ107" i="5"/>
  <c r="AZ109" i="5" s="1"/>
  <c r="AV107" i="5"/>
  <c r="AV109" i="5" s="1"/>
  <c r="AR107" i="5"/>
  <c r="AJ107" i="5"/>
  <c r="AJ109" i="5" s="1"/>
  <c r="AF107" i="5"/>
  <c r="AF109" i="5" s="1"/>
  <c r="AB107" i="5"/>
  <c r="T107" i="5"/>
  <c r="T109" i="5" s="1"/>
  <c r="P107" i="5"/>
  <c r="P109" i="5" s="1"/>
  <c r="L107" i="5"/>
  <c r="BQ110" i="5"/>
  <c r="BI110" i="5"/>
  <c r="BA110" i="5"/>
  <c r="AS110" i="5"/>
  <c r="AK110" i="5"/>
  <c r="AC110" i="5"/>
  <c r="U110" i="5"/>
  <c r="M110" i="5"/>
  <c r="BQ108" i="5"/>
  <c r="BI108" i="5"/>
  <c r="BA108" i="5"/>
  <c r="AS108" i="5"/>
  <c r="AK108" i="5"/>
  <c r="AC108" i="5"/>
  <c r="U108" i="5"/>
  <c r="M108" i="5"/>
  <c r="BQ107" i="5"/>
  <c r="BI107" i="5"/>
  <c r="BA107" i="5"/>
  <c r="AS107" i="5"/>
  <c r="AK107" i="5"/>
  <c r="AC107" i="5"/>
  <c r="U107" i="5"/>
  <c r="M107" i="5"/>
  <c r="BM108" i="5"/>
  <c r="AW108" i="5"/>
  <c r="AG108" i="5"/>
  <c r="Q108" i="5"/>
  <c r="AW110" i="5"/>
  <c r="Q110" i="5"/>
  <c r="H108" i="5"/>
  <c r="AW107" i="5"/>
  <c r="Q107" i="5"/>
  <c r="AG107" i="5"/>
  <c r="BM110" i="5"/>
  <c r="H110" i="5"/>
  <c r="H107" i="5"/>
  <c r="AG110" i="5"/>
  <c r="BM107" i="5"/>
  <c r="F110" i="5"/>
  <c r="F108" i="5"/>
  <c r="F107" i="5"/>
  <c r="AH719" i="2"/>
  <c r="AI719" i="2"/>
  <c r="AH773" i="2"/>
  <c r="AI773" i="2"/>
  <c r="AH837" i="2"/>
  <c r="AI837" i="2"/>
  <c r="AH850" i="2"/>
  <c r="AI850" i="2"/>
  <c r="AH867" i="2"/>
  <c r="AI867" i="2"/>
  <c r="AH888" i="2"/>
  <c r="AI888" i="2"/>
  <c r="AH898" i="2"/>
  <c r="AI898" i="2"/>
  <c r="AH911" i="2"/>
  <c r="AI911" i="2"/>
  <c r="AH925" i="2"/>
  <c r="AI925" i="2"/>
  <c r="AH945" i="2"/>
  <c r="AI945" i="2"/>
  <c r="AH974" i="2"/>
  <c r="AI974" i="2"/>
  <c r="AH988" i="2"/>
  <c r="AI988" i="2"/>
  <c r="AH993" i="2"/>
  <c r="AI993" i="2"/>
  <c r="AH1002" i="2"/>
  <c r="AI1002" i="2"/>
  <c r="AH1014" i="2"/>
  <c r="AI1014" i="2"/>
  <c r="AH1042" i="2"/>
  <c r="AI1042" i="2"/>
  <c r="AH1062" i="2"/>
  <c r="AI1062" i="2"/>
  <c r="AH1166" i="2"/>
  <c r="AI1166" i="2"/>
  <c r="AH1196" i="2"/>
  <c r="AI1196" i="2"/>
  <c r="AI1324" i="2"/>
  <c r="AH1324" i="2"/>
  <c r="AI1345" i="2"/>
  <c r="AH1345" i="2"/>
  <c r="AI1389" i="2"/>
  <c r="AH1389" i="2"/>
  <c r="AI1474" i="2"/>
  <c r="AH1474" i="2"/>
  <c r="AI1502" i="2"/>
  <c r="AH1502" i="2"/>
  <c r="AI1576" i="2"/>
  <c r="AH1576" i="2"/>
  <c r="AI1321" i="2"/>
  <c r="AH1321" i="2"/>
  <c r="AI1361" i="2"/>
  <c r="AH1361" i="2"/>
  <c r="AI1370" i="2"/>
  <c r="AH1370" i="2"/>
  <c r="AI1382" i="2"/>
  <c r="AH1382" i="2"/>
  <c r="AI1398" i="2"/>
  <c r="AH1398" i="2"/>
  <c r="AI1406" i="2"/>
  <c r="AH1406" i="2"/>
  <c r="AI1421" i="2"/>
  <c r="AH1421" i="2"/>
  <c r="AI1436" i="2"/>
  <c r="AH1436" i="2"/>
  <c r="AI1447" i="2"/>
  <c r="AH1447" i="2"/>
  <c r="AI1454" i="2"/>
  <c r="AH1454" i="2"/>
  <c r="AI1464" i="2"/>
  <c r="AH1464" i="2"/>
  <c r="AI1492" i="2"/>
  <c r="AH1492" i="2"/>
  <c r="AI1571" i="2"/>
  <c r="AH1571" i="2"/>
  <c r="AI1278" i="2"/>
  <c r="AH1278" i="2"/>
  <c r="AI1335" i="2"/>
  <c r="AH1335" i="2"/>
  <c r="AI1347" i="2"/>
  <c r="AH1347" i="2"/>
  <c r="AI1368" i="2"/>
  <c r="AH1368" i="2"/>
  <c r="AI1403" i="2"/>
  <c r="AH1403" i="2"/>
  <c r="AI1418" i="2"/>
  <c r="AH1418" i="2"/>
  <c r="AI1427" i="2"/>
  <c r="AH1427" i="2"/>
  <c r="AI1451" i="2"/>
  <c r="AH1451" i="2"/>
  <c r="AI1573" i="2"/>
  <c r="AH1573" i="2"/>
  <c r="AI1365" i="2"/>
  <c r="AH1365" i="2"/>
  <c r="AI1367" i="2"/>
  <c r="AH1367" i="2"/>
  <c r="AI1410" i="2"/>
  <c r="AH1410" i="2"/>
  <c r="AH1425" i="2"/>
  <c r="AH1442" i="2"/>
  <c r="AH1489" i="2"/>
  <c r="AI1402" i="2"/>
  <c r="AH1402" i="2"/>
  <c r="AI1417" i="2"/>
  <c r="AH1417" i="2"/>
  <c r="AI1439" i="2"/>
  <c r="AH1439" i="2"/>
  <c r="AI1450" i="2"/>
  <c r="AH1450" i="2"/>
  <c r="AH1544" i="2"/>
  <c r="AI1544" i="2"/>
  <c r="AI1579" i="2"/>
  <c r="AH1579" i="2"/>
  <c r="AI1527" i="2"/>
  <c r="AH1552" i="2"/>
  <c r="AH1561" i="2"/>
  <c r="I109" i="5"/>
  <c r="C102" i="5"/>
  <c r="AI69" i="4" l="1"/>
  <c r="AA69" i="4"/>
  <c r="S69" i="4"/>
  <c r="K69" i="4"/>
  <c r="Y47" i="5"/>
  <c r="AN69" i="5"/>
  <c r="BT76" i="5"/>
  <c r="AN76" i="5"/>
  <c r="C84" i="4"/>
  <c r="D107" i="5" s="1"/>
  <c r="Y43" i="5"/>
  <c r="AW48" i="5"/>
  <c r="AW52" i="5" s="1"/>
  <c r="BT57" i="5"/>
  <c r="BT62" i="5"/>
  <c r="Q69" i="4"/>
  <c r="BM48" i="5"/>
  <c r="BM52" i="5" s="1"/>
  <c r="Y45" i="5"/>
  <c r="BG41" i="5"/>
  <c r="BG42" i="5"/>
  <c r="BG43" i="5"/>
  <c r="BG44" i="5"/>
  <c r="BG45" i="5"/>
  <c r="BG46" i="5"/>
  <c r="AH69" i="4"/>
  <c r="N87" i="4"/>
  <c r="AD87" i="4"/>
  <c r="AL56" i="4"/>
  <c r="V56" i="4"/>
  <c r="BT58" i="5"/>
  <c r="BD58" i="5"/>
  <c r="BD62" i="5"/>
  <c r="X68" i="5"/>
  <c r="BT72" i="5"/>
  <c r="X69" i="5"/>
  <c r="AN70" i="5"/>
  <c r="BD76" i="5"/>
  <c r="AN59" i="5"/>
  <c r="BD63" i="5"/>
  <c r="BT67" i="5"/>
  <c r="X71" i="5"/>
  <c r="AN75" i="5"/>
  <c r="X73" i="5"/>
  <c r="BD80" i="5"/>
  <c r="AN74" i="5"/>
  <c r="BT77" i="5"/>
  <c r="AN68" i="5"/>
  <c r="R69" i="4"/>
  <c r="V87" i="4"/>
  <c r="AL87" i="4"/>
  <c r="V66" i="4"/>
  <c r="AD56" i="4"/>
  <c r="N56" i="4"/>
  <c r="BD68" i="5"/>
  <c r="AJ69" i="4"/>
  <c r="T69" i="4"/>
  <c r="O69" i="4"/>
  <c r="Z69" i="4"/>
  <c r="X108" i="5"/>
  <c r="X110" i="5"/>
  <c r="BG86" i="5"/>
  <c r="AB69" i="4"/>
  <c r="L69" i="4"/>
  <c r="J69" i="4"/>
  <c r="D28" i="5"/>
  <c r="S108" i="5"/>
  <c r="R108" i="5"/>
  <c r="AU107" i="5"/>
  <c r="AS109" i="5"/>
  <c r="AT107" i="5"/>
  <c r="BE107" i="5"/>
  <c r="AU108" i="5"/>
  <c r="AT108" i="5"/>
  <c r="BE108" i="5"/>
  <c r="AU110" i="5"/>
  <c r="AT110" i="5"/>
  <c r="BE110" i="5"/>
  <c r="AI110" i="5"/>
  <c r="AH110" i="5"/>
  <c r="F81" i="5"/>
  <c r="E87" i="5"/>
  <c r="AA86" i="5"/>
  <c r="BJ86" i="5"/>
  <c r="AL74" i="4"/>
  <c r="BV86" i="5" s="1"/>
  <c r="BJ85" i="5"/>
  <c r="AL73" i="4"/>
  <c r="AF75" i="4"/>
  <c r="BJ87" i="5" s="1"/>
  <c r="H85" i="5"/>
  <c r="E75" i="4"/>
  <c r="H87" i="5" s="1"/>
  <c r="E81" i="5"/>
  <c r="AH28" i="5"/>
  <c r="AH48" i="5" s="1"/>
  <c r="AH52" i="5" s="1"/>
  <c r="R36" i="4"/>
  <c r="R40" i="4" s="1"/>
  <c r="BP28" i="5"/>
  <c r="BP48" i="5" s="1"/>
  <c r="BP52" i="5" s="1"/>
  <c r="AI36" i="4"/>
  <c r="AI40" i="4" s="1"/>
  <c r="AJ28" i="5"/>
  <c r="AJ48" i="5" s="1"/>
  <c r="AJ52" i="5" s="1"/>
  <c r="S36" i="4"/>
  <c r="S40" i="4" s="1"/>
  <c r="M87" i="4"/>
  <c r="AC87" i="4"/>
  <c r="BK63" i="5"/>
  <c r="BU63" i="5"/>
  <c r="BJ63" i="5"/>
  <c r="U48" i="5"/>
  <c r="U52" i="5" s="1"/>
  <c r="E48" i="5"/>
  <c r="E52" i="5" s="1"/>
  <c r="G69" i="5" s="1"/>
  <c r="O48" i="5"/>
  <c r="O52" i="5" s="1"/>
  <c r="AA28" i="5"/>
  <c r="Y42" i="5"/>
  <c r="Y44" i="5"/>
  <c r="Y46" i="5"/>
  <c r="AC48" i="5"/>
  <c r="AC52" i="5" s="1"/>
  <c r="AO28" i="5"/>
  <c r="BI48" i="5"/>
  <c r="BI52" i="5" s="1"/>
  <c r="BU28" i="5"/>
  <c r="AA31" i="5"/>
  <c r="BG31" i="5"/>
  <c r="Y32" i="5"/>
  <c r="BE32" i="5"/>
  <c r="AQ35" i="5"/>
  <c r="BW35" i="5"/>
  <c r="AO36" i="5"/>
  <c r="BU36" i="5"/>
  <c r="AA39" i="5"/>
  <c r="BG39" i="5"/>
  <c r="Y40" i="5"/>
  <c r="BE40" i="5"/>
  <c r="S48" i="5"/>
  <c r="S52" i="5" s="1"/>
  <c r="AA41" i="5"/>
  <c r="AA42" i="5"/>
  <c r="AA43" i="5"/>
  <c r="AA44" i="5"/>
  <c r="AA45" i="5"/>
  <c r="AA46" i="5"/>
  <c r="AQ50" i="5"/>
  <c r="BW50" i="5"/>
  <c r="BE50" i="5"/>
  <c r="E87" i="4"/>
  <c r="BH85" i="5"/>
  <c r="AK73" i="4"/>
  <c r="AE75" i="4"/>
  <c r="BH87" i="5" s="1"/>
  <c r="R85" i="5"/>
  <c r="J75" i="4"/>
  <c r="R87" i="5" s="1"/>
  <c r="N68" i="4"/>
  <c r="AV28" i="5"/>
  <c r="AV48" i="5" s="1"/>
  <c r="AV52" i="5" s="1"/>
  <c r="Y36" i="4"/>
  <c r="Y40" i="4" s="1"/>
  <c r="AF85" i="5"/>
  <c r="Q75" i="4"/>
  <c r="AF87" i="5" s="1"/>
  <c r="AE87" i="5"/>
  <c r="AQ85" i="5"/>
  <c r="AM87" i="5"/>
  <c r="BK87" i="5"/>
  <c r="BW85" i="5"/>
  <c r="AW87" i="5"/>
  <c r="AC87" i="5"/>
  <c r="AO85" i="5"/>
  <c r="BI87" i="5"/>
  <c r="BU85" i="5"/>
  <c r="BS72" i="5"/>
  <c r="BR72" i="5"/>
  <c r="AW81" i="5"/>
  <c r="AY56" i="5"/>
  <c r="AX56" i="5"/>
  <c r="AU57" i="5"/>
  <c r="AT57" i="5"/>
  <c r="BE57" i="5"/>
  <c r="BS60" i="5"/>
  <c r="BR60" i="5"/>
  <c r="AE57" i="5"/>
  <c r="AD57" i="5"/>
  <c r="AO57" i="5"/>
  <c r="AY68" i="5"/>
  <c r="AX68" i="5"/>
  <c r="AM59" i="5"/>
  <c r="AL59" i="5"/>
  <c r="AT65" i="5"/>
  <c r="AU65" i="5"/>
  <c r="BE65" i="5"/>
  <c r="BT68" i="5"/>
  <c r="J68" i="5" s="1"/>
  <c r="BK78" i="5"/>
  <c r="BU78" i="5"/>
  <c r="BJ78" i="5"/>
  <c r="BC57" i="5"/>
  <c r="BB57" i="5"/>
  <c r="AM60" i="5"/>
  <c r="AL60" i="5"/>
  <c r="AE64" i="5"/>
  <c r="AO64" i="5"/>
  <c r="AD64" i="5"/>
  <c r="BU68" i="5"/>
  <c r="BJ68" i="5"/>
  <c r="BK68" i="5" s="1"/>
  <c r="AK81" i="5"/>
  <c r="AM56" i="5"/>
  <c r="AL56" i="5"/>
  <c r="BQ81" i="5"/>
  <c r="BS56" i="5"/>
  <c r="BR56" i="5"/>
  <c r="AN58" i="5"/>
  <c r="W59" i="5"/>
  <c r="V59" i="5"/>
  <c r="BR61" i="5"/>
  <c r="BS61" i="5"/>
  <c r="AU63" i="5"/>
  <c r="BE63" i="5"/>
  <c r="AT63" i="5"/>
  <c r="AD65" i="5"/>
  <c r="AO65" i="5"/>
  <c r="AE65" i="5"/>
  <c r="O67" i="5"/>
  <c r="Y67" i="5"/>
  <c r="N67" i="5"/>
  <c r="AI71" i="5"/>
  <c r="AH71" i="5"/>
  <c r="AN72" i="5"/>
  <c r="BC74" i="5"/>
  <c r="BB74" i="5"/>
  <c r="S57" i="5"/>
  <c r="R57" i="5"/>
  <c r="W60" i="5"/>
  <c r="V60" i="5"/>
  <c r="O64" i="5"/>
  <c r="Y64" i="5"/>
  <c r="N64" i="5"/>
  <c r="O68" i="5"/>
  <c r="Y68" i="5"/>
  <c r="N68" i="5"/>
  <c r="BD69" i="5"/>
  <c r="AU72" i="5"/>
  <c r="AT72" i="5"/>
  <c r="BE72" i="5"/>
  <c r="R58" i="5"/>
  <c r="S58" i="5"/>
  <c r="AL58" i="5"/>
  <c r="AM58" i="5"/>
  <c r="BN59" i="5"/>
  <c r="BO59" i="5"/>
  <c r="AI60" i="5"/>
  <c r="AH60" i="5"/>
  <c r="BO60" i="5"/>
  <c r="BN60" i="5"/>
  <c r="AH61" i="5"/>
  <c r="AI61" i="5"/>
  <c r="BN61" i="5"/>
  <c r="BO61" i="5"/>
  <c r="BR63" i="5"/>
  <c r="BS63" i="5"/>
  <c r="AM64" i="5"/>
  <c r="AL64" i="5"/>
  <c r="BS64" i="5"/>
  <c r="BR64" i="5"/>
  <c r="AL65" i="5"/>
  <c r="AM65" i="5"/>
  <c r="BR65" i="5"/>
  <c r="BS65" i="5"/>
  <c r="BT66" i="5"/>
  <c r="W71" i="5"/>
  <c r="V71" i="5"/>
  <c r="BC71" i="5"/>
  <c r="BB71" i="5"/>
  <c r="S73" i="5"/>
  <c r="R73" i="5"/>
  <c r="BK74" i="5"/>
  <c r="BU74" i="5"/>
  <c r="BJ74" i="5"/>
  <c r="AB81" i="5"/>
  <c r="AN56" i="5"/>
  <c r="AV81" i="5"/>
  <c r="BP81" i="5"/>
  <c r="BE59" i="5"/>
  <c r="AT59" i="5"/>
  <c r="AU59" i="5"/>
  <c r="AU60" i="5"/>
  <c r="BE60" i="5"/>
  <c r="AT60" i="5"/>
  <c r="AD61" i="5"/>
  <c r="AO61" i="5"/>
  <c r="AE61" i="5"/>
  <c r="AI63" i="5"/>
  <c r="AH63" i="5"/>
  <c r="S64" i="5"/>
  <c r="R64" i="5"/>
  <c r="AY64" i="5"/>
  <c r="AX64" i="5"/>
  <c r="R65" i="5"/>
  <c r="S65" i="5"/>
  <c r="AX65" i="5"/>
  <c r="AY65" i="5"/>
  <c r="AL67" i="5"/>
  <c r="AM67" i="5"/>
  <c r="W68" i="5"/>
  <c r="V68" i="5"/>
  <c r="BB68" i="5"/>
  <c r="BC68" i="5" s="1"/>
  <c r="V69" i="5"/>
  <c r="W69" i="5"/>
  <c r="AI72" i="5"/>
  <c r="AH72" i="5"/>
  <c r="BJ69" i="5"/>
  <c r="BU69" i="5"/>
  <c r="BK69" i="5"/>
  <c r="BT70" i="5"/>
  <c r="AO73" i="5"/>
  <c r="AD73" i="5"/>
  <c r="AE73" i="5"/>
  <c r="BR75" i="5"/>
  <c r="BS75" i="5"/>
  <c r="AU77" i="5"/>
  <c r="BE77" i="5"/>
  <c r="AT77" i="5"/>
  <c r="AD79" i="5"/>
  <c r="AO79" i="5"/>
  <c r="AE79" i="5"/>
  <c r="BU58" i="5"/>
  <c r="BK58" i="5"/>
  <c r="BJ58" i="5"/>
  <c r="BT59" i="5"/>
  <c r="Y62" i="5"/>
  <c r="O62" i="5"/>
  <c r="N62" i="5"/>
  <c r="AI62" i="5"/>
  <c r="AH62" i="5"/>
  <c r="BC62" i="5"/>
  <c r="BB62" i="5"/>
  <c r="X63" i="5"/>
  <c r="AO66" i="5"/>
  <c r="AD66" i="5"/>
  <c r="AE66" i="5"/>
  <c r="AY66" i="5"/>
  <c r="AX66" i="5"/>
  <c r="BS66" i="5"/>
  <c r="BR66" i="5"/>
  <c r="AN67" i="5"/>
  <c r="W70" i="5"/>
  <c r="V70" i="5"/>
  <c r="BE70" i="5"/>
  <c r="AU70" i="5"/>
  <c r="AT70" i="5"/>
  <c r="BN70" i="5"/>
  <c r="BO70" i="5"/>
  <c r="BD71" i="5"/>
  <c r="S74" i="5"/>
  <c r="R74" i="5"/>
  <c r="X75" i="5"/>
  <c r="BD75" i="5"/>
  <c r="O78" i="5"/>
  <c r="N78" i="5"/>
  <c r="Y78" i="5"/>
  <c r="BD73" i="5"/>
  <c r="V77" i="5"/>
  <c r="W77" i="5"/>
  <c r="X80" i="5"/>
  <c r="AM73" i="5"/>
  <c r="AL73" i="5"/>
  <c r="BU73" i="5"/>
  <c r="BJ73" i="5"/>
  <c r="BK73" i="5"/>
  <c r="BT74" i="5"/>
  <c r="R77" i="5"/>
  <c r="S77" i="5"/>
  <c r="X78" i="5"/>
  <c r="BD78" i="5"/>
  <c r="X79" i="5"/>
  <c r="BD79" i="5"/>
  <c r="AO76" i="5"/>
  <c r="AE76" i="5"/>
  <c r="AD76" i="5"/>
  <c r="AY76" i="5"/>
  <c r="AX76" i="5"/>
  <c r="BR76" i="5"/>
  <c r="BS76" i="5"/>
  <c r="AN77" i="5"/>
  <c r="V80" i="5"/>
  <c r="W80" i="5" s="1"/>
  <c r="BE80" i="5"/>
  <c r="AT80" i="5"/>
  <c r="AU80" i="5" s="1"/>
  <c r="BN80" i="5"/>
  <c r="BO80" i="5" s="1"/>
  <c r="O86" i="4"/>
  <c r="U84" i="4"/>
  <c r="U86" i="4" s="1"/>
  <c r="AJ85" i="5"/>
  <c r="S75" i="4"/>
  <c r="AJ87" i="5" s="1"/>
  <c r="C59" i="4"/>
  <c r="D71" i="5" s="1"/>
  <c r="C51" i="4"/>
  <c r="D63" i="5" s="1"/>
  <c r="AT50" i="5"/>
  <c r="BF50" i="5" s="1"/>
  <c r="AD38" i="4"/>
  <c r="N50" i="5"/>
  <c r="Z50" i="5" s="1"/>
  <c r="N38" i="4"/>
  <c r="C33" i="4"/>
  <c r="D45" i="5" s="1"/>
  <c r="C29" i="4"/>
  <c r="D41" i="5" s="1"/>
  <c r="C25" i="4"/>
  <c r="D37" i="5" s="1"/>
  <c r="AT36" i="5"/>
  <c r="BF36" i="5" s="1"/>
  <c r="AD24" i="4"/>
  <c r="N36" i="5"/>
  <c r="Z36" i="5" s="1"/>
  <c r="N24" i="4"/>
  <c r="BJ34" i="5"/>
  <c r="BV34" i="5" s="1"/>
  <c r="AL22" i="4"/>
  <c r="AD34" i="5"/>
  <c r="AP34" i="5" s="1"/>
  <c r="V22" i="4"/>
  <c r="C21" i="4"/>
  <c r="D33" i="5" s="1"/>
  <c r="C18" i="4"/>
  <c r="D30" i="5" s="1"/>
  <c r="BB28" i="5"/>
  <c r="BB48" i="5" s="1"/>
  <c r="BB52" i="5" s="1"/>
  <c r="AB36" i="4"/>
  <c r="AB40" i="4" s="1"/>
  <c r="L36" i="4"/>
  <c r="L40" i="4" s="1"/>
  <c r="V28" i="5"/>
  <c r="V48" i="5" s="1"/>
  <c r="V52" i="5" s="1"/>
  <c r="AR86" i="5"/>
  <c r="AC74" i="4"/>
  <c r="BD86" i="5" s="1"/>
  <c r="BN85" i="5"/>
  <c r="AH75" i="4"/>
  <c r="BN87" i="5" s="1"/>
  <c r="V85" i="5"/>
  <c r="L75" i="4"/>
  <c r="V87" i="5" s="1"/>
  <c r="V68" i="4"/>
  <c r="V69" i="4" s="1"/>
  <c r="AD66" i="4"/>
  <c r="AR36" i="5"/>
  <c r="AC24" i="4"/>
  <c r="BD36" i="5" s="1"/>
  <c r="L36" i="5"/>
  <c r="M24" i="4"/>
  <c r="X36" i="5" s="1"/>
  <c r="AR34" i="5"/>
  <c r="AC22" i="4"/>
  <c r="BD34" i="5" s="1"/>
  <c r="L34" i="5"/>
  <c r="M22" i="4"/>
  <c r="X34" i="5" s="1"/>
  <c r="P69" i="4"/>
  <c r="AY107" i="5"/>
  <c r="AX107" i="5"/>
  <c r="AW109" i="5"/>
  <c r="O107" i="5"/>
  <c r="M109" i="5"/>
  <c r="N107" i="5"/>
  <c r="Y107" i="5"/>
  <c r="O108" i="5"/>
  <c r="N108" i="5"/>
  <c r="Y108" i="5"/>
  <c r="O110" i="5"/>
  <c r="N110" i="5"/>
  <c r="Y110" i="5"/>
  <c r="L109" i="5"/>
  <c r="X109" i="5" s="1"/>
  <c r="X107" i="5"/>
  <c r="F109" i="5"/>
  <c r="AI107" i="5"/>
  <c r="AH107" i="5"/>
  <c r="AG109" i="5"/>
  <c r="S110" i="5"/>
  <c r="R110" i="5"/>
  <c r="AY108" i="5"/>
  <c r="AX108" i="5"/>
  <c r="AE107" i="5"/>
  <c r="AC109" i="5"/>
  <c r="AD107" i="5"/>
  <c r="AO107" i="5"/>
  <c r="BK107" i="5"/>
  <c r="BI109" i="5"/>
  <c r="BJ107" i="5"/>
  <c r="BU107" i="5"/>
  <c r="AE108" i="5"/>
  <c r="AD108" i="5"/>
  <c r="AO108" i="5"/>
  <c r="BK108" i="5"/>
  <c r="BJ108" i="5"/>
  <c r="BU108" i="5"/>
  <c r="AE110" i="5"/>
  <c r="AD110" i="5"/>
  <c r="AO110" i="5"/>
  <c r="BK110" i="5"/>
  <c r="BJ110" i="5"/>
  <c r="BU110" i="5"/>
  <c r="AR109" i="5"/>
  <c r="BD109" i="5" s="1"/>
  <c r="BD107" i="5"/>
  <c r="BD108" i="5"/>
  <c r="BD110" i="5"/>
  <c r="H109" i="5"/>
  <c r="S107" i="5"/>
  <c r="R107" i="5"/>
  <c r="Q109" i="5"/>
  <c r="AY110" i="5"/>
  <c r="AX110" i="5"/>
  <c r="BO108" i="5"/>
  <c r="BN108" i="5"/>
  <c r="AM107" i="5"/>
  <c r="AK109" i="5"/>
  <c r="AL107" i="5"/>
  <c r="BS107" i="5"/>
  <c r="BQ109" i="5"/>
  <c r="BR107" i="5"/>
  <c r="AM108" i="5"/>
  <c r="AL108" i="5"/>
  <c r="BS108" i="5"/>
  <c r="BR108" i="5"/>
  <c r="AM110" i="5"/>
  <c r="AL110" i="5"/>
  <c r="BS110" i="5"/>
  <c r="BR110" i="5"/>
  <c r="AB109" i="5"/>
  <c r="AN109" i="5" s="1"/>
  <c r="AN107" i="5"/>
  <c r="AN108" i="5"/>
  <c r="AN110" i="5"/>
  <c r="G62" i="5"/>
  <c r="Y86" i="5"/>
  <c r="BU86" i="5"/>
  <c r="BE86" i="5"/>
  <c r="AQ86" i="5"/>
  <c r="W86" i="4"/>
  <c r="AC84" i="4"/>
  <c r="AC86" i="4" s="1"/>
  <c r="AZ85" i="5"/>
  <c r="AA75" i="4"/>
  <c r="AZ87" i="5" s="1"/>
  <c r="C57" i="4"/>
  <c r="D69" i="5" s="1"/>
  <c r="R28" i="5"/>
  <c r="R48" i="5" s="1"/>
  <c r="R52" i="5" s="1"/>
  <c r="J36" i="4"/>
  <c r="J40" i="4" s="1"/>
  <c r="AK18" i="4"/>
  <c r="BT30" i="5" s="1"/>
  <c r="U18" i="4"/>
  <c r="AN30" i="5" s="1"/>
  <c r="BH28" i="5"/>
  <c r="AK16" i="4"/>
  <c r="AE36" i="4"/>
  <c r="AE40" i="4" s="1"/>
  <c r="AB28" i="5"/>
  <c r="U16" i="4"/>
  <c r="O36" i="4"/>
  <c r="O40" i="4" s="1"/>
  <c r="AE48" i="5"/>
  <c r="AE52" i="5" s="1"/>
  <c r="AQ28" i="5"/>
  <c r="BK48" i="5"/>
  <c r="BK52" i="5" s="1"/>
  <c r="BW28" i="5"/>
  <c r="Q48" i="5"/>
  <c r="Q52" i="5" s="1"/>
  <c r="AK48" i="5"/>
  <c r="AK52" i="5" s="1"/>
  <c r="Y41" i="5"/>
  <c r="AO42" i="5"/>
  <c r="AO44" i="5"/>
  <c r="AO46" i="5"/>
  <c r="AM48" i="5"/>
  <c r="AM52" i="5" s="1"/>
  <c r="BS48" i="5"/>
  <c r="BS52" i="5" s="1"/>
  <c r="AQ29" i="5"/>
  <c r="BW29" i="5"/>
  <c r="AO30" i="5"/>
  <c r="BU30" i="5"/>
  <c r="AA33" i="5"/>
  <c r="BG33" i="5"/>
  <c r="Y34" i="5"/>
  <c r="BE34" i="5"/>
  <c r="AQ37" i="5"/>
  <c r="BW37" i="5"/>
  <c r="AO38" i="5"/>
  <c r="BU38" i="5"/>
  <c r="AI48" i="5"/>
  <c r="AI52" i="5" s="1"/>
  <c r="BW41" i="5"/>
  <c r="BW42" i="5"/>
  <c r="BW43" i="5"/>
  <c r="BW44" i="5"/>
  <c r="BW45" i="5"/>
  <c r="BW46" i="5"/>
  <c r="AA47" i="5"/>
  <c r="BG47" i="5"/>
  <c r="E109" i="5"/>
  <c r="E86" i="4"/>
  <c r="AB86" i="5"/>
  <c r="U74" i="4"/>
  <c r="AN86" i="5" s="1"/>
  <c r="AX85" i="5"/>
  <c r="Z75" i="4"/>
  <c r="AX87" i="5" s="1"/>
  <c r="AF28" i="5"/>
  <c r="AF48" i="5" s="1"/>
  <c r="AF52" i="5" s="1"/>
  <c r="Q36" i="4"/>
  <c r="Q40" i="4" s="1"/>
  <c r="U66" i="4"/>
  <c r="AK66" i="4"/>
  <c r="P86" i="4"/>
  <c r="V84" i="4"/>
  <c r="V86" i="4" s="1"/>
  <c r="AF86" i="4"/>
  <c r="AL84" i="4"/>
  <c r="AL86" i="4" s="1"/>
  <c r="AV85" i="5"/>
  <c r="Y75" i="4"/>
  <c r="AV87" i="5" s="1"/>
  <c r="W87" i="5"/>
  <c r="BA87" i="5"/>
  <c r="BQ87" i="5"/>
  <c r="BS87" i="5"/>
  <c r="AI87" i="5"/>
  <c r="BO87" i="5"/>
  <c r="X57" i="5"/>
  <c r="BK57" i="5"/>
  <c r="BJ57" i="5"/>
  <c r="BU57" i="5"/>
  <c r="BB61" i="5"/>
  <c r="BC61" i="5"/>
  <c r="AE63" i="5"/>
  <c r="AD63" i="5"/>
  <c r="AO63" i="5"/>
  <c r="N69" i="5"/>
  <c r="Y69" i="5"/>
  <c r="O69" i="5"/>
  <c r="BS57" i="5"/>
  <c r="BR57" i="5"/>
  <c r="V61" i="5"/>
  <c r="W61" i="5"/>
  <c r="R69" i="5"/>
  <c r="S69" i="5"/>
  <c r="AM74" i="5"/>
  <c r="AL74" i="5"/>
  <c r="M81" i="5"/>
  <c r="O56" i="5"/>
  <c r="N56" i="5"/>
  <c r="Y56" i="5"/>
  <c r="AS81" i="5"/>
  <c r="AU56" i="5"/>
  <c r="AT56" i="5"/>
  <c r="BE56" i="5"/>
  <c r="BC59" i="5"/>
  <c r="BB59" i="5"/>
  <c r="X62" i="5"/>
  <c r="BJ65" i="5"/>
  <c r="BU65" i="5"/>
  <c r="BK65" i="5"/>
  <c r="AU67" i="5"/>
  <c r="BE67" i="5"/>
  <c r="AT67" i="5"/>
  <c r="BO68" i="5"/>
  <c r="BN68" i="5"/>
  <c r="AY71" i="5"/>
  <c r="AX71" i="5"/>
  <c r="BD72" i="5"/>
  <c r="AI57" i="5"/>
  <c r="AH57" i="5"/>
  <c r="AU64" i="5"/>
  <c r="AT64" i="5"/>
  <c r="BE64" i="5"/>
  <c r="AU68" i="5"/>
  <c r="BE68" i="5"/>
  <c r="AT68" i="5"/>
  <c r="BT69" i="5"/>
  <c r="BU72" i="5"/>
  <c r="BK72" i="5"/>
  <c r="BJ72" i="5"/>
  <c r="V58" i="5"/>
  <c r="W58" i="5"/>
  <c r="BE58" i="5"/>
  <c r="AT58" i="5"/>
  <c r="AU58" i="5"/>
  <c r="R59" i="5"/>
  <c r="S59" i="5"/>
  <c r="X60" i="5"/>
  <c r="BD60" i="5"/>
  <c r="X61" i="5"/>
  <c r="BD61" i="5"/>
  <c r="V63" i="5"/>
  <c r="W63" i="5"/>
  <c r="X66" i="5"/>
  <c r="AE71" i="5"/>
  <c r="AD71" i="5"/>
  <c r="AO71" i="5"/>
  <c r="BK71" i="5"/>
  <c r="BJ71" i="5"/>
  <c r="BU71" i="5"/>
  <c r="O74" i="5"/>
  <c r="Y74" i="5"/>
  <c r="N74" i="5"/>
  <c r="O75" i="5"/>
  <c r="N75" i="5"/>
  <c r="Y75" i="5"/>
  <c r="X56" i="5"/>
  <c r="L81" i="5"/>
  <c r="AF81" i="5"/>
  <c r="AZ81" i="5"/>
  <c r="BK59" i="5"/>
  <c r="BJ59" i="5"/>
  <c r="BU59" i="5"/>
  <c r="BK60" i="5"/>
  <c r="BU60" i="5"/>
  <c r="BJ60" i="5"/>
  <c r="AT61" i="5"/>
  <c r="BE61" i="5"/>
  <c r="AU61" i="5"/>
  <c r="AY63" i="5"/>
  <c r="AX63" i="5"/>
  <c r="AN64" i="5"/>
  <c r="BT64" i="5"/>
  <c r="AN65" i="5"/>
  <c r="BT65" i="5"/>
  <c r="BC67" i="5"/>
  <c r="BB67" i="5"/>
  <c r="AY72" i="5"/>
  <c r="AX72" i="5"/>
  <c r="BK77" i="5"/>
  <c r="BU77" i="5"/>
  <c r="BJ77" i="5"/>
  <c r="AT69" i="5"/>
  <c r="BE69" i="5"/>
  <c r="AU69" i="5"/>
  <c r="BN69" i="5"/>
  <c r="BO69" i="5"/>
  <c r="BD70" i="5"/>
  <c r="S75" i="5"/>
  <c r="R75" i="5"/>
  <c r="X76" i="5"/>
  <c r="J76" i="5" s="1"/>
  <c r="BJ79" i="5"/>
  <c r="BU79" i="5"/>
  <c r="BK79" i="5"/>
  <c r="BN58" i="5"/>
  <c r="BO58" i="5"/>
  <c r="BD59" i="5"/>
  <c r="S62" i="5"/>
  <c r="R62" i="5"/>
  <c r="AL62" i="5"/>
  <c r="AM62" i="5"/>
  <c r="BU62" i="5"/>
  <c r="BK62" i="5"/>
  <c r="BJ62" i="5"/>
  <c r="BT63" i="5"/>
  <c r="Y66" i="5"/>
  <c r="N66" i="5"/>
  <c r="O66" i="5"/>
  <c r="AI66" i="5"/>
  <c r="AH66" i="5"/>
  <c r="BC66" i="5"/>
  <c r="BB66" i="5"/>
  <c r="X67" i="5"/>
  <c r="AO70" i="5"/>
  <c r="AE70" i="5"/>
  <c r="AD70" i="5"/>
  <c r="AX70" i="5"/>
  <c r="AY70" i="5"/>
  <c r="BS70" i="5"/>
  <c r="BR70" i="5"/>
  <c r="AN71" i="5"/>
  <c r="AI74" i="5"/>
  <c r="AH74" i="5"/>
  <c r="AU78" i="5"/>
  <c r="BE78" i="5"/>
  <c r="AT78" i="5"/>
  <c r="AN73" i="5"/>
  <c r="AL77" i="5"/>
  <c r="AM77" i="5"/>
  <c r="V78" i="5"/>
  <c r="W78" i="5" s="1"/>
  <c r="BC78" i="5"/>
  <c r="BB78" i="5"/>
  <c r="V79" i="5"/>
  <c r="W79" i="5"/>
  <c r="BB79" i="5"/>
  <c r="BC79" i="5"/>
  <c r="AN80" i="5"/>
  <c r="BE73" i="5"/>
  <c r="AT73" i="5"/>
  <c r="AU73" i="5"/>
  <c r="BO73" i="5"/>
  <c r="BN73" i="5"/>
  <c r="BD74" i="5"/>
  <c r="AI77" i="5"/>
  <c r="AH77" i="5"/>
  <c r="S78" i="5"/>
  <c r="R78" i="5"/>
  <c r="AY78" i="5"/>
  <c r="AX78" i="5"/>
  <c r="R79" i="5"/>
  <c r="S79" i="5"/>
  <c r="AX79" i="5"/>
  <c r="AY79" i="5"/>
  <c r="Y76" i="5"/>
  <c r="O76" i="5"/>
  <c r="N76" i="5"/>
  <c r="AI76" i="5"/>
  <c r="AH76" i="5"/>
  <c r="BC76" i="5"/>
  <c r="BB76" i="5"/>
  <c r="X77" i="5"/>
  <c r="AO80" i="5"/>
  <c r="AD80" i="5"/>
  <c r="AE80" i="5" s="1"/>
  <c r="AX80" i="5"/>
  <c r="AY80" i="5" s="1"/>
  <c r="BR80" i="5"/>
  <c r="BS80" i="5" s="1"/>
  <c r="N86" i="5"/>
  <c r="N74" i="4"/>
  <c r="Z86" i="5" s="1"/>
  <c r="N85" i="5"/>
  <c r="N73" i="4"/>
  <c r="H75" i="4"/>
  <c r="N87" i="5" s="1"/>
  <c r="M68" i="4"/>
  <c r="AC56" i="4"/>
  <c r="M56" i="4"/>
  <c r="C38" i="4"/>
  <c r="D50" i="5" s="1"/>
  <c r="C32" i="4"/>
  <c r="D44" i="5" s="1"/>
  <c r="C28" i="4"/>
  <c r="D40" i="5" s="1"/>
  <c r="C24" i="4"/>
  <c r="D36" i="5" s="1"/>
  <c r="C20" i="4"/>
  <c r="D32" i="5" s="1"/>
  <c r="BJ30" i="5"/>
  <c r="BV30" i="5" s="1"/>
  <c r="AL18" i="4"/>
  <c r="AD30" i="5"/>
  <c r="AP30" i="5" s="1"/>
  <c r="V18" i="4"/>
  <c r="C17" i="4"/>
  <c r="D29" i="5" s="1"/>
  <c r="AT28" i="5"/>
  <c r="AD16" i="4"/>
  <c r="X36" i="4"/>
  <c r="X40" i="4" s="1"/>
  <c r="N28" i="5"/>
  <c r="N16" i="4"/>
  <c r="H36" i="4"/>
  <c r="H40" i="4" s="1"/>
  <c r="BB85" i="5"/>
  <c r="AB75" i="4"/>
  <c r="BB87" i="5" s="1"/>
  <c r="L85" i="5"/>
  <c r="M73" i="4"/>
  <c r="G75" i="4"/>
  <c r="L87" i="5" s="1"/>
  <c r="BH50" i="5"/>
  <c r="BT50" i="5" s="1"/>
  <c r="AK38" i="4"/>
  <c r="AB50" i="5"/>
  <c r="AN50" i="5" s="1"/>
  <c r="U38" i="4"/>
  <c r="H69" i="4"/>
  <c r="G69" i="4"/>
  <c r="AF69" i="4"/>
  <c r="AD86" i="5"/>
  <c r="V74" i="4"/>
  <c r="AP86" i="5" s="1"/>
  <c r="AD85" i="5"/>
  <c r="V73" i="4"/>
  <c r="P75" i="4"/>
  <c r="AD87" i="5" s="1"/>
  <c r="AZ28" i="5"/>
  <c r="AZ48" i="5" s="1"/>
  <c r="AZ52" i="5" s="1"/>
  <c r="AA36" i="4"/>
  <c r="AA40" i="4" s="1"/>
  <c r="T28" i="5"/>
  <c r="T48" i="5" s="1"/>
  <c r="T52" i="5" s="1"/>
  <c r="K36" i="4"/>
  <c r="K40" i="4" s="1"/>
  <c r="U87" i="4"/>
  <c r="AK87" i="4"/>
  <c r="I48" i="5"/>
  <c r="I52" i="5" s="1"/>
  <c r="J32" i="5" s="1"/>
  <c r="AG48" i="5"/>
  <c r="AG52" i="5" s="1"/>
  <c r="AU48" i="5"/>
  <c r="AU52" i="5" s="1"/>
  <c r="BG28" i="5"/>
  <c r="BE42" i="5"/>
  <c r="BE44" i="5"/>
  <c r="BE46" i="5"/>
  <c r="M48" i="5"/>
  <c r="M52" i="5" s="1"/>
  <c r="Y28" i="5"/>
  <c r="AS48" i="5"/>
  <c r="AS52" i="5" s="1"/>
  <c r="BE28" i="5"/>
  <c r="AQ31" i="5"/>
  <c r="BW31" i="5"/>
  <c r="AO32" i="5"/>
  <c r="BU32" i="5"/>
  <c r="AA35" i="5"/>
  <c r="BG35" i="5"/>
  <c r="Y36" i="5"/>
  <c r="BE36" i="5"/>
  <c r="AQ39" i="5"/>
  <c r="BW39" i="5"/>
  <c r="AO40" i="5"/>
  <c r="BU40" i="5"/>
  <c r="AY48" i="5"/>
  <c r="AY52" i="5" s="1"/>
  <c r="AA50" i="5"/>
  <c r="BG50" i="5"/>
  <c r="BH86" i="5"/>
  <c r="AK74" i="4"/>
  <c r="BT86" i="5" s="1"/>
  <c r="AL85" i="5"/>
  <c r="T75" i="4"/>
  <c r="AL87" i="5" s="1"/>
  <c r="AD68" i="4"/>
  <c r="AD69" i="4" s="1"/>
  <c r="P28" i="5"/>
  <c r="P48" i="5" s="1"/>
  <c r="P52" i="5" s="1"/>
  <c r="I36" i="4"/>
  <c r="I40" i="4" s="1"/>
  <c r="BL85" i="5"/>
  <c r="AG75" i="4"/>
  <c r="BL87" i="5" s="1"/>
  <c r="Q87" i="5"/>
  <c r="AK87" i="5"/>
  <c r="AG87" i="5"/>
  <c r="O87" i="5"/>
  <c r="AA85" i="5"/>
  <c r="Y85" i="5"/>
  <c r="M87" i="5"/>
  <c r="BE85" i="5"/>
  <c r="AS87" i="5"/>
  <c r="Q81" i="5"/>
  <c r="S56" i="5"/>
  <c r="R56" i="5"/>
  <c r="O57" i="5"/>
  <c r="N57" i="5"/>
  <c r="Y57" i="5"/>
  <c r="AI73" i="5"/>
  <c r="AH73" i="5"/>
  <c r="W75" i="5"/>
  <c r="V75" i="5"/>
  <c r="AE68" i="5"/>
  <c r="AO68" i="5"/>
  <c r="AD68" i="5"/>
  <c r="AG81" i="5"/>
  <c r="AI56" i="5"/>
  <c r="AH56" i="5"/>
  <c r="BK64" i="5"/>
  <c r="BU64" i="5"/>
  <c r="BJ64" i="5"/>
  <c r="AM72" i="5"/>
  <c r="AL72" i="5"/>
  <c r="AI67" i="5"/>
  <c r="AH67" i="5"/>
  <c r="W72" i="5"/>
  <c r="V72" i="5"/>
  <c r="W57" i="5"/>
  <c r="V57" i="5"/>
  <c r="BB75" i="5"/>
  <c r="BC75" i="5"/>
  <c r="U81" i="5"/>
  <c r="W56" i="5"/>
  <c r="V56" i="5"/>
  <c r="BA81" i="5"/>
  <c r="BC56" i="5"/>
  <c r="BB56" i="5"/>
  <c r="X58" i="5"/>
  <c r="AL61" i="5"/>
  <c r="AM61" i="5"/>
  <c r="AD69" i="5"/>
  <c r="AO69" i="5"/>
  <c r="AE69" i="5"/>
  <c r="BO71" i="5"/>
  <c r="BN71" i="5"/>
  <c r="AY57" i="5"/>
  <c r="AX57" i="5"/>
  <c r="BC60" i="5"/>
  <c r="BB60" i="5"/>
  <c r="S67" i="5"/>
  <c r="R67" i="5"/>
  <c r="O72" i="5"/>
  <c r="N72" i="5"/>
  <c r="Y72" i="5"/>
  <c r="AD58" i="5"/>
  <c r="AO58" i="5"/>
  <c r="AE58" i="5"/>
  <c r="AX58" i="5"/>
  <c r="AY58" i="5"/>
  <c r="AH59" i="5"/>
  <c r="AI59" i="5"/>
  <c r="S60" i="5"/>
  <c r="R60" i="5"/>
  <c r="AY60" i="5"/>
  <c r="AX60" i="5"/>
  <c r="R61" i="5"/>
  <c r="S61" i="5"/>
  <c r="AX61" i="5"/>
  <c r="AY61" i="5"/>
  <c r="AL63" i="5"/>
  <c r="AM63" i="5"/>
  <c r="W64" i="5"/>
  <c r="V64" i="5"/>
  <c r="BC64" i="5"/>
  <c r="BB64" i="5"/>
  <c r="V65" i="5"/>
  <c r="W65" i="5"/>
  <c r="BB65" i="5"/>
  <c r="BC65" i="5"/>
  <c r="AN66" i="5"/>
  <c r="AM71" i="5"/>
  <c r="AL71" i="5"/>
  <c r="BS71" i="5"/>
  <c r="BR71" i="5"/>
  <c r="AE74" i="5"/>
  <c r="AO74" i="5"/>
  <c r="AD74" i="5"/>
  <c r="AE75" i="5"/>
  <c r="AD75" i="5"/>
  <c r="AO75" i="5"/>
  <c r="AO78" i="5"/>
  <c r="AD78" i="5"/>
  <c r="AE78" i="5" s="1"/>
  <c r="P81" i="5"/>
  <c r="AJ81" i="5"/>
  <c r="BH81" i="5"/>
  <c r="BT56" i="5"/>
  <c r="Y59" i="5"/>
  <c r="N59" i="5"/>
  <c r="O59" i="5"/>
  <c r="O60" i="5"/>
  <c r="N60" i="5"/>
  <c r="Y60" i="5"/>
  <c r="BJ61" i="5"/>
  <c r="BU61" i="5"/>
  <c r="BK61" i="5"/>
  <c r="BO63" i="5"/>
  <c r="BN63" i="5"/>
  <c r="AI64" i="5"/>
  <c r="AH64" i="5"/>
  <c r="BO64" i="5"/>
  <c r="BN64" i="5"/>
  <c r="AH65" i="5"/>
  <c r="AI65" i="5"/>
  <c r="BN65" i="5"/>
  <c r="BO65" i="5"/>
  <c r="BR67" i="5"/>
  <c r="BS67" i="5"/>
  <c r="AM68" i="5"/>
  <c r="AL68" i="5"/>
  <c r="BS68" i="5"/>
  <c r="BR68" i="5"/>
  <c r="AL69" i="5"/>
  <c r="AM69" i="5"/>
  <c r="BO72" i="5"/>
  <c r="BN72" i="5"/>
  <c r="AX69" i="5"/>
  <c r="AY69" i="5"/>
  <c r="BR69" i="5"/>
  <c r="BS69" i="5"/>
  <c r="AI75" i="5"/>
  <c r="AH75" i="5"/>
  <c r="BR58" i="5"/>
  <c r="BS58" i="5"/>
  <c r="W62" i="5"/>
  <c r="V62" i="5"/>
  <c r="BE62" i="5"/>
  <c r="AU62" i="5"/>
  <c r="AT62" i="5"/>
  <c r="BO62" i="5"/>
  <c r="BN62" i="5"/>
  <c r="S66" i="5"/>
  <c r="R66" i="5"/>
  <c r="AM66" i="5"/>
  <c r="AL66" i="5"/>
  <c r="BU66" i="5"/>
  <c r="BJ66" i="5"/>
  <c r="BK66" i="5"/>
  <c r="Y70" i="5"/>
  <c r="O70" i="5"/>
  <c r="N70" i="5"/>
  <c r="AH70" i="5"/>
  <c r="AI70" i="5"/>
  <c r="BC70" i="5"/>
  <c r="BB70" i="5"/>
  <c r="AY74" i="5"/>
  <c r="AX74" i="5"/>
  <c r="BT75" i="5"/>
  <c r="BB77" i="5"/>
  <c r="BC77" i="5"/>
  <c r="AY73" i="5"/>
  <c r="AX73" i="5"/>
  <c r="BS73" i="5"/>
  <c r="BR73" i="5"/>
  <c r="AY77" i="5"/>
  <c r="AX77" i="5"/>
  <c r="AN78" i="5"/>
  <c r="BT78" i="5"/>
  <c r="AN79" i="5"/>
  <c r="BT79" i="5"/>
  <c r="S76" i="5"/>
  <c r="R76" i="5"/>
  <c r="AL76" i="5"/>
  <c r="AM76" i="5"/>
  <c r="BU76" i="5"/>
  <c r="BK76" i="5"/>
  <c r="BJ76" i="5"/>
  <c r="Y80" i="5"/>
  <c r="N80" i="5"/>
  <c r="O80" i="5" s="1"/>
  <c r="AH80" i="5"/>
  <c r="AI80" i="5" s="1"/>
  <c r="BB80" i="5"/>
  <c r="BC80" i="5" s="1"/>
  <c r="C74" i="4"/>
  <c r="D86" i="5" s="1"/>
  <c r="C73" i="4"/>
  <c r="AC68" i="4"/>
  <c r="C64" i="4"/>
  <c r="D76" i="5" s="1"/>
  <c r="C55" i="4"/>
  <c r="D67" i="5" s="1"/>
  <c r="C47" i="4"/>
  <c r="D59" i="5" s="1"/>
  <c r="BJ50" i="5"/>
  <c r="BV50" i="5" s="1"/>
  <c r="AL38" i="4"/>
  <c r="AD50" i="5"/>
  <c r="AP50" i="5" s="1"/>
  <c r="V38" i="4"/>
  <c r="C35" i="4"/>
  <c r="D47" i="5" s="1"/>
  <c r="C31" i="4"/>
  <c r="D43" i="5" s="1"/>
  <c r="C27" i="4"/>
  <c r="D39" i="5" s="1"/>
  <c r="BJ36" i="5"/>
  <c r="BV36" i="5" s="1"/>
  <c r="AL24" i="4"/>
  <c r="AD36" i="5"/>
  <c r="AP36" i="5" s="1"/>
  <c r="V24" i="4"/>
  <c r="C23" i="4"/>
  <c r="D35" i="5" s="1"/>
  <c r="AT34" i="5"/>
  <c r="BF34" i="5" s="1"/>
  <c r="AD22" i="4"/>
  <c r="N34" i="5"/>
  <c r="Z34" i="5" s="1"/>
  <c r="N22" i="4"/>
  <c r="BR28" i="5"/>
  <c r="BR48" i="5" s="1"/>
  <c r="BR52" i="5" s="1"/>
  <c r="AJ36" i="4"/>
  <c r="AJ40" i="4" s="1"/>
  <c r="AL28" i="5"/>
  <c r="AL48" i="5" s="1"/>
  <c r="AL52" i="5" s="1"/>
  <c r="T36" i="4"/>
  <c r="T40" i="4" s="1"/>
  <c r="C109" i="5"/>
  <c r="C86" i="4"/>
  <c r="D109" i="5" s="1"/>
  <c r="AR85" i="5"/>
  <c r="AC73" i="4"/>
  <c r="W75" i="4"/>
  <c r="AR87" i="5" s="1"/>
  <c r="AL68" i="4"/>
  <c r="N66" i="4"/>
  <c r="N69" i="4" s="1"/>
  <c r="BH36" i="5"/>
  <c r="AK24" i="4"/>
  <c r="BT36" i="5" s="1"/>
  <c r="AB36" i="5"/>
  <c r="U24" i="4"/>
  <c r="AN36" i="5" s="1"/>
  <c r="BH34" i="5"/>
  <c r="AK22" i="4"/>
  <c r="BT34" i="5" s="1"/>
  <c r="AB34" i="5"/>
  <c r="U22" i="4"/>
  <c r="AN34" i="5" s="1"/>
  <c r="AI75" i="4"/>
  <c r="BP87" i="5" s="1"/>
  <c r="X69" i="4"/>
  <c r="AH36" i="4"/>
  <c r="AH40" i="4" s="1"/>
  <c r="AK84" i="4"/>
  <c r="AK86" i="4" s="1"/>
  <c r="G75" i="5"/>
  <c r="BO107" i="5"/>
  <c r="BN107" i="5"/>
  <c r="BM109" i="5"/>
  <c r="BO110" i="5"/>
  <c r="BN110" i="5"/>
  <c r="AI108" i="5"/>
  <c r="AH108" i="5"/>
  <c r="W107" i="5"/>
  <c r="U109" i="5"/>
  <c r="V107" i="5"/>
  <c r="BC107" i="5"/>
  <c r="BA109" i="5"/>
  <c r="BB107" i="5"/>
  <c r="W108" i="5"/>
  <c r="V108" i="5"/>
  <c r="BC108" i="5"/>
  <c r="BB108" i="5"/>
  <c r="W110" i="5"/>
  <c r="V110" i="5"/>
  <c r="BC110" i="5"/>
  <c r="BB110" i="5"/>
  <c r="BH109" i="5"/>
  <c r="BT109" i="5" s="1"/>
  <c r="BT107" i="5"/>
  <c r="BT108" i="5"/>
  <c r="BT110" i="5"/>
  <c r="AO86" i="5"/>
  <c r="BW86" i="5"/>
  <c r="G86" i="4"/>
  <c r="M84" i="4"/>
  <c r="M86" i="4" s="1"/>
  <c r="T85" i="5"/>
  <c r="K75" i="4"/>
  <c r="T87" i="5" s="1"/>
  <c r="AX28" i="5"/>
  <c r="AX48" i="5" s="1"/>
  <c r="AX52" i="5" s="1"/>
  <c r="Z36" i="4"/>
  <c r="Z40" i="4" s="1"/>
  <c r="D40" i="4"/>
  <c r="E84" i="4"/>
  <c r="AC18" i="4"/>
  <c r="BD30" i="5" s="1"/>
  <c r="M18" i="4"/>
  <c r="X30" i="5" s="1"/>
  <c r="C44" i="4"/>
  <c r="D56" i="5" s="1"/>
  <c r="C68" i="4"/>
  <c r="D80" i="5" s="1"/>
  <c r="C67" i="4"/>
  <c r="D79" i="5" s="1"/>
  <c r="C61" i="4"/>
  <c r="D73" i="5" s="1"/>
  <c r="C56" i="4"/>
  <c r="D68" i="5" s="1"/>
  <c r="C52" i="4"/>
  <c r="D64" i="5" s="1"/>
  <c r="C48" i="4"/>
  <c r="D60" i="5" s="1"/>
  <c r="C66" i="4"/>
  <c r="D78" i="5" s="1"/>
  <c r="C63" i="4"/>
  <c r="D75" i="5" s="1"/>
  <c r="C54" i="4"/>
  <c r="D66" i="5" s="1"/>
  <c r="C50" i="4"/>
  <c r="D62" i="5" s="1"/>
  <c r="C46" i="4"/>
  <c r="D58" i="5" s="1"/>
  <c r="AR28" i="5"/>
  <c r="AR48" i="5" s="1"/>
  <c r="AC16" i="4"/>
  <c r="W36" i="4"/>
  <c r="W40" i="4" s="1"/>
  <c r="L28" i="5"/>
  <c r="M16" i="4"/>
  <c r="G36" i="4"/>
  <c r="G40" i="4" s="1"/>
  <c r="BA48" i="5"/>
  <c r="BA52" i="5" s="1"/>
  <c r="BQ48" i="5"/>
  <c r="BQ52" i="5" s="1"/>
  <c r="BU42" i="5"/>
  <c r="BU44" i="5"/>
  <c r="BU46" i="5"/>
  <c r="F40" i="5"/>
  <c r="W48" i="5"/>
  <c r="W52" i="5" s="1"/>
  <c r="BC48" i="5"/>
  <c r="BC52" i="5" s="1"/>
  <c r="AA29" i="5"/>
  <c r="BG29" i="5"/>
  <c r="Y30" i="5"/>
  <c r="BE30" i="5"/>
  <c r="AQ33" i="5"/>
  <c r="BW33" i="5"/>
  <c r="AO34" i="5"/>
  <c r="BU34" i="5"/>
  <c r="AA37" i="5"/>
  <c r="BG37" i="5"/>
  <c r="Y38" i="5"/>
  <c r="BE38" i="5"/>
  <c r="BO48" i="5"/>
  <c r="BO52" i="5" s="1"/>
  <c r="AQ41" i="5"/>
  <c r="AQ42" i="5"/>
  <c r="AQ43" i="5"/>
  <c r="AQ44" i="5"/>
  <c r="AQ45" i="5"/>
  <c r="AQ46" i="5"/>
  <c r="AQ47" i="5"/>
  <c r="BW47" i="5"/>
  <c r="BU50" i="5"/>
  <c r="BR85" i="5"/>
  <c r="AJ75" i="4"/>
  <c r="BR87" i="5" s="1"/>
  <c r="AB85" i="5"/>
  <c r="U73" i="4"/>
  <c r="O75" i="4"/>
  <c r="AB87" i="5" s="1"/>
  <c r="C60" i="4"/>
  <c r="D72" i="5" s="1"/>
  <c r="BL28" i="5"/>
  <c r="BL48" i="5" s="1"/>
  <c r="BL52" i="5" s="1"/>
  <c r="AG36" i="4"/>
  <c r="AG40" i="4" s="1"/>
  <c r="M66" i="4"/>
  <c r="AC66" i="4"/>
  <c r="H86" i="4"/>
  <c r="N84" i="4"/>
  <c r="N86" i="4" s="1"/>
  <c r="X86" i="4"/>
  <c r="AD84" i="4"/>
  <c r="AD86" i="4" s="1"/>
  <c r="P85" i="5"/>
  <c r="I75" i="4"/>
  <c r="P87" i="5" s="1"/>
  <c r="AU87" i="5"/>
  <c r="BG85" i="5"/>
  <c r="BM87" i="5"/>
  <c r="BC87" i="5"/>
  <c r="U87" i="5"/>
  <c r="S87" i="5"/>
  <c r="AY87" i="5"/>
  <c r="AE67" i="5"/>
  <c r="AO67" i="5"/>
  <c r="AD67" i="5"/>
  <c r="AN57" i="5"/>
  <c r="BS74" i="5"/>
  <c r="BR74" i="5"/>
  <c r="BS59" i="5"/>
  <c r="BR59" i="5"/>
  <c r="BO67" i="5"/>
  <c r="BN67" i="5"/>
  <c r="BM81" i="5"/>
  <c r="BO56" i="5"/>
  <c r="BN56" i="5"/>
  <c r="N65" i="5"/>
  <c r="Y65" i="5"/>
  <c r="O65" i="5"/>
  <c r="H81" i="5"/>
  <c r="S68" i="5"/>
  <c r="R68" i="5"/>
  <c r="BC72" i="5"/>
  <c r="BB72" i="5"/>
  <c r="AM57" i="5"/>
  <c r="AL57" i="5"/>
  <c r="AN62" i="5"/>
  <c r="BK67" i="5"/>
  <c r="BU67" i="5"/>
  <c r="BJ67" i="5"/>
  <c r="AE77" i="5"/>
  <c r="AD77" i="5"/>
  <c r="AO77" i="5"/>
  <c r="AC81" i="5"/>
  <c r="AE56" i="5"/>
  <c r="AD56" i="5"/>
  <c r="AO56" i="5"/>
  <c r="BI81" i="5"/>
  <c r="BK56" i="5"/>
  <c r="BJ56" i="5"/>
  <c r="BU56" i="5"/>
  <c r="O63" i="5"/>
  <c r="Y63" i="5"/>
  <c r="N63" i="5"/>
  <c r="AI68" i="5"/>
  <c r="AH68" i="5"/>
  <c r="S71" i="5"/>
  <c r="R71" i="5"/>
  <c r="X72" i="5"/>
  <c r="W74" i="5"/>
  <c r="V74" i="5"/>
  <c r="AT79" i="5"/>
  <c r="AU79" i="5"/>
  <c r="BE79" i="5"/>
  <c r="BO57" i="5"/>
  <c r="BN57" i="5"/>
  <c r="AY67" i="5"/>
  <c r="AX67" i="5"/>
  <c r="AH69" i="5"/>
  <c r="AI69" i="5"/>
  <c r="AE72" i="5"/>
  <c r="AD72" i="5"/>
  <c r="AO72" i="5"/>
  <c r="AM75" i="5"/>
  <c r="AL75" i="5"/>
  <c r="N58" i="5"/>
  <c r="Y58" i="5"/>
  <c r="O58" i="5"/>
  <c r="AH58" i="5"/>
  <c r="AI58" i="5"/>
  <c r="BB58" i="5"/>
  <c r="BC58" i="5"/>
  <c r="AX59" i="5"/>
  <c r="AY59" i="5"/>
  <c r="AN60" i="5"/>
  <c r="BT60" i="5"/>
  <c r="AN61" i="5"/>
  <c r="BT61" i="5"/>
  <c r="BB63" i="5"/>
  <c r="BC63" i="5"/>
  <c r="BD66" i="5"/>
  <c r="O71" i="5"/>
  <c r="N71" i="5"/>
  <c r="Y71" i="5"/>
  <c r="AU71" i="5"/>
  <c r="AT71" i="5"/>
  <c r="BE71" i="5"/>
  <c r="AU74" i="5"/>
  <c r="BE74" i="5"/>
  <c r="AT74" i="5"/>
  <c r="AU75" i="5"/>
  <c r="AT75" i="5"/>
  <c r="BE75" i="5"/>
  <c r="T81" i="5"/>
  <c r="AR81" i="5"/>
  <c r="BD56" i="5"/>
  <c r="BL81" i="5"/>
  <c r="AE59" i="5"/>
  <c r="AO59" i="5"/>
  <c r="AD59" i="5"/>
  <c r="AE60" i="5"/>
  <c r="AO60" i="5"/>
  <c r="AD60" i="5"/>
  <c r="N61" i="5"/>
  <c r="O61" i="5"/>
  <c r="Y61" i="5"/>
  <c r="R63" i="5"/>
  <c r="S63" i="5"/>
  <c r="X64" i="5"/>
  <c r="BD64" i="5"/>
  <c r="X65" i="5"/>
  <c r="BD65" i="5"/>
  <c r="W67" i="5"/>
  <c r="V67" i="5"/>
  <c r="S72" i="5"/>
  <c r="R72" i="5"/>
  <c r="W73" i="5"/>
  <c r="V73" i="5"/>
  <c r="N79" i="5"/>
  <c r="Y79" i="5"/>
  <c r="O79" i="5"/>
  <c r="BB69" i="5"/>
  <c r="BC69" i="5"/>
  <c r="X70" i="5"/>
  <c r="Y73" i="5"/>
  <c r="N73" i="5"/>
  <c r="O73" i="5"/>
  <c r="AY75" i="5"/>
  <c r="AX75" i="5"/>
  <c r="O77" i="5"/>
  <c r="Y77" i="5"/>
  <c r="N77" i="5"/>
  <c r="X59" i="5"/>
  <c r="AO62" i="5"/>
  <c r="AE62" i="5"/>
  <c r="AD62" i="5"/>
  <c r="AY62" i="5"/>
  <c r="AX62" i="5"/>
  <c r="BR62" i="5"/>
  <c r="BS62" i="5"/>
  <c r="AN63" i="5"/>
  <c r="W66" i="5"/>
  <c r="V66" i="5"/>
  <c r="BE66" i="5"/>
  <c r="AT66" i="5"/>
  <c r="AU66" i="5"/>
  <c r="BO66" i="5"/>
  <c r="BN66" i="5"/>
  <c r="BD67" i="5"/>
  <c r="R70" i="5"/>
  <c r="S70" i="5"/>
  <c r="AM70" i="5"/>
  <c r="AL70" i="5"/>
  <c r="BU70" i="5"/>
  <c r="BK70" i="5"/>
  <c r="BJ70" i="5"/>
  <c r="BT71" i="5"/>
  <c r="BO74" i="5"/>
  <c r="BN74" i="5"/>
  <c r="BT73" i="5"/>
  <c r="BN75" i="5"/>
  <c r="BO75" i="5"/>
  <c r="BR77" i="5"/>
  <c r="BS77" i="5"/>
  <c r="AM78" i="5"/>
  <c r="AL78" i="5"/>
  <c r="BS78" i="5"/>
  <c r="BR78" i="5"/>
  <c r="AL79" i="5"/>
  <c r="AM79" i="5"/>
  <c r="BR79" i="5"/>
  <c r="BS79" i="5"/>
  <c r="BT80" i="5"/>
  <c r="BC73" i="5"/>
  <c r="BB73" i="5"/>
  <c r="X74" i="5"/>
  <c r="BJ75" i="5"/>
  <c r="BU75" i="5"/>
  <c r="BK75" i="5"/>
  <c r="BO77" i="5"/>
  <c r="BN77" i="5"/>
  <c r="AI78" i="5"/>
  <c r="AH78" i="5"/>
  <c r="BO78" i="5"/>
  <c r="BN78" i="5"/>
  <c r="AH79" i="5"/>
  <c r="AI79" i="5"/>
  <c r="BN79" i="5"/>
  <c r="BO79" i="5"/>
  <c r="W76" i="5"/>
  <c r="V76" i="5"/>
  <c r="BE76" i="5"/>
  <c r="AU76" i="5"/>
  <c r="AT76" i="5"/>
  <c r="BO76" i="5"/>
  <c r="BN76" i="5"/>
  <c r="BD77" i="5"/>
  <c r="R80" i="5"/>
  <c r="S80" i="5" s="1"/>
  <c r="AL80" i="5"/>
  <c r="AM80" i="5" s="1"/>
  <c r="BU80" i="5"/>
  <c r="BJ80" i="5"/>
  <c r="BK80" i="5" s="1"/>
  <c r="AT86" i="5"/>
  <c r="AD74" i="4"/>
  <c r="BF86" i="5" s="1"/>
  <c r="AT85" i="5"/>
  <c r="AD73" i="4"/>
  <c r="X75" i="4"/>
  <c r="AT87" i="5" s="1"/>
  <c r="C69" i="4"/>
  <c r="AK56" i="4"/>
  <c r="U56" i="4"/>
  <c r="U69" i="4" s="1"/>
  <c r="C34" i="4"/>
  <c r="D46" i="5" s="1"/>
  <c r="C30" i="4"/>
  <c r="D42" i="5" s="1"/>
  <c r="C26" i="4"/>
  <c r="D38" i="5" s="1"/>
  <c r="C22" i="4"/>
  <c r="D34" i="5" s="1"/>
  <c r="C19" i="4"/>
  <c r="D31" i="5" s="1"/>
  <c r="AT30" i="5"/>
  <c r="BF30" i="5" s="1"/>
  <c r="AD18" i="4"/>
  <c r="N30" i="5"/>
  <c r="Z30" i="5" s="1"/>
  <c r="N18" i="4"/>
  <c r="BJ28" i="5"/>
  <c r="AL16" i="4"/>
  <c r="AF36" i="4"/>
  <c r="AF40" i="4" s="1"/>
  <c r="AD28" i="5"/>
  <c r="V16" i="4"/>
  <c r="P36" i="4"/>
  <c r="P40" i="4" s="1"/>
  <c r="L86" i="5"/>
  <c r="M74" i="4"/>
  <c r="X86" i="5" s="1"/>
  <c r="AH85" i="5"/>
  <c r="R75" i="4"/>
  <c r="AH87" i="5" s="1"/>
  <c r="C65" i="4"/>
  <c r="D77" i="5" s="1"/>
  <c r="C58" i="4"/>
  <c r="D70" i="5" s="1"/>
  <c r="AR50" i="5"/>
  <c r="BD50" i="5" s="1"/>
  <c r="AC38" i="4"/>
  <c r="L50" i="5"/>
  <c r="X50" i="5" s="1"/>
  <c r="M38" i="4"/>
  <c r="AE69" i="4"/>
  <c r="W69" i="4"/>
  <c r="BN48" i="5"/>
  <c r="BN52" i="5" s="1"/>
  <c r="J40" i="5" l="1"/>
  <c r="J39" i="5"/>
  <c r="G78" i="5"/>
  <c r="F36" i="5"/>
  <c r="G70" i="5"/>
  <c r="G76" i="5"/>
  <c r="G107" i="5"/>
  <c r="G110" i="5"/>
  <c r="AK69" i="4"/>
  <c r="J73" i="5"/>
  <c r="AL69" i="4"/>
  <c r="J69" i="5"/>
  <c r="J46" i="5"/>
  <c r="J72" i="5"/>
  <c r="J29" i="5"/>
  <c r="J38" i="5"/>
  <c r="J30" i="5"/>
  <c r="J31" i="5"/>
  <c r="AC69" i="4"/>
  <c r="J42" i="5"/>
  <c r="J34" i="5"/>
  <c r="J58" i="5"/>
  <c r="BE87" i="5"/>
  <c r="AL36" i="4"/>
  <c r="AL40" i="4" s="1"/>
  <c r="J74" i="5"/>
  <c r="J70" i="5"/>
  <c r="J108" i="5"/>
  <c r="M69" i="4"/>
  <c r="J47" i="5"/>
  <c r="L48" i="5"/>
  <c r="J41" i="5"/>
  <c r="BU87" i="5"/>
  <c r="AQ87" i="5"/>
  <c r="J59" i="5"/>
  <c r="J64" i="5"/>
  <c r="BG87" i="5"/>
  <c r="J60" i="5"/>
  <c r="J50" i="5"/>
  <c r="J110" i="5"/>
  <c r="J109" i="5"/>
  <c r="N109" i="5"/>
  <c r="J78" i="5"/>
  <c r="BF75" i="5"/>
  <c r="BG75" i="5"/>
  <c r="BV67" i="5"/>
  <c r="BW67" i="5"/>
  <c r="BD28" i="5"/>
  <c r="BD48" i="5" s="1"/>
  <c r="BD52" i="5" s="1"/>
  <c r="AC36" i="4"/>
  <c r="AC40" i="4" s="1"/>
  <c r="BC109" i="5"/>
  <c r="BB109" i="5"/>
  <c r="AA59" i="5"/>
  <c r="Z59" i="5"/>
  <c r="AQ74" i="5"/>
  <c r="AP74" i="5"/>
  <c r="BB81" i="5"/>
  <c r="BC81" i="5" s="1"/>
  <c r="R81" i="5"/>
  <c r="S81" i="5" s="1"/>
  <c r="AP76" i="5"/>
  <c r="AQ76" i="5"/>
  <c r="AD48" i="5"/>
  <c r="AD52" i="5" s="1"/>
  <c r="AP28" i="5"/>
  <c r="AP48" i="5" s="1"/>
  <c r="AP52" i="5" s="1"/>
  <c r="AO81" i="5"/>
  <c r="AQ56" i="5"/>
  <c r="AP56" i="5"/>
  <c r="AP67" i="5"/>
  <c r="AQ67" i="5"/>
  <c r="AQ75" i="5"/>
  <c r="AP75" i="5"/>
  <c r="J77" i="5"/>
  <c r="AA66" i="5"/>
  <c r="Z66" i="5"/>
  <c r="BW71" i="5"/>
  <c r="BV71" i="5"/>
  <c r="AQ107" i="5"/>
  <c r="AP107" i="5"/>
  <c r="AL81" i="5"/>
  <c r="AM81" i="5" s="1"/>
  <c r="F37" i="5"/>
  <c r="BU48" i="5"/>
  <c r="BU52" i="5" s="1"/>
  <c r="F46" i="5"/>
  <c r="BW63" i="5"/>
  <c r="BV63" i="5"/>
  <c r="G57" i="5"/>
  <c r="AU109" i="5"/>
  <c r="BE109" i="5"/>
  <c r="AT109" i="5"/>
  <c r="C36" i="4"/>
  <c r="C40" i="4" s="1"/>
  <c r="BF85" i="5"/>
  <c r="AD75" i="4"/>
  <c r="BF87" i="5" s="1"/>
  <c r="BF76" i="5"/>
  <c r="BG76" i="5"/>
  <c r="BG66" i="5"/>
  <c r="BF66" i="5"/>
  <c r="Z79" i="5"/>
  <c r="AA79" i="5"/>
  <c r="BD81" i="5"/>
  <c r="AA71" i="5"/>
  <c r="Z71" i="5"/>
  <c r="AN85" i="5"/>
  <c r="U75" i="4"/>
  <c r="AN87" i="5" s="1"/>
  <c r="F35" i="5"/>
  <c r="F34" i="5"/>
  <c r="F45" i="5"/>
  <c r="X28" i="5"/>
  <c r="X48" i="5" s="1"/>
  <c r="X52" i="5" s="1"/>
  <c r="M36" i="4"/>
  <c r="M40" i="4" s="1"/>
  <c r="AR52" i="5"/>
  <c r="D81" i="5"/>
  <c r="E21" i="4"/>
  <c r="H33" i="5" s="1"/>
  <c r="E26" i="4"/>
  <c r="H38" i="5" s="1"/>
  <c r="E30" i="4"/>
  <c r="H42" i="5" s="1"/>
  <c r="E34" i="4"/>
  <c r="H46" i="5" s="1"/>
  <c r="E16" i="4"/>
  <c r="E17" i="4"/>
  <c r="H29" i="5" s="1"/>
  <c r="E22" i="4"/>
  <c r="H34" i="5" s="1"/>
  <c r="E23" i="4"/>
  <c r="H35" i="5" s="1"/>
  <c r="E27" i="4"/>
  <c r="H39" i="5" s="1"/>
  <c r="E31" i="4"/>
  <c r="H43" i="5" s="1"/>
  <c r="E35" i="4"/>
  <c r="H47" i="5" s="1"/>
  <c r="E18" i="4"/>
  <c r="H30" i="5" s="1"/>
  <c r="E19" i="4"/>
  <c r="H31" i="5" s="1"/>
  <c r="E24" i="4"/>
  <c r="H36" i="5" s="1"/>
  <c r="E28" i="4"/>
  <c r="H40" i="5" s="1"/>
  <c r="E32" i="4"/>
  <c r="H44" i="5" s="1"/>
  <c r="E38" i="4"/>
  <c r="H50" i="5" s="1"/>
  <c r="E20" i="4"/>
  <c r="H32" i="5" s="1"/>
  <c r="E25" i="4"/>
  <c r="H37" i="5" s="1"/>
  <c r="E29" i="4"/>
  <c r="H41" i="5" s="1"/>
  <c r="E33" i="4"/>
  <c r="H45" i="5" s="1"/>
  <c r="G74" i="5"/>
  <c r="G67" i="5"/>
  <c r="BO109" i="5"/>
  <c r="BN109" i="5"/>
  <c r="G77" i="5"/>
  <c r="Z70" i="5"/>
  <c r="AA70" i="5"/>
  <c r="BF62" i="5"/>
  <c r="BG62" i="5"/>
  <c r="BV61" i="5"/>
  <c r="BW61" i="5"/>
  <c r="BT81" i="5"/>
  <c r="AP69" i="5"/>
  <c r="AQ69" i="5"/>
  <c r="AQ68" i="5"/>
  <c r="AP68" i="5"/>
  <c r="J45" i="5"/>
  <c r="J37" i="5"/>
  <c r="Y48" i="5"/>
  <c r="Y52" i="5" s="1"/>
  <c r="J28" i="5"/>
  <c r="X85" i="5"/>
  <c r="M75" i="4"/>
  <c r="X87" i="5" s="1"/>
  <c r="AD36" i="4"/>
  <c r="AD40" i="4" s="1"/>
  <c r="Z85" i="5"/>
  <c r="N75" i="4"/>
  <c r="Z87" i="5" s="1"/>
  <c r="BG78" i="5"/>
  <c r="BF78" i="5"/>
  <c r="J71" i="5"/>
  <c r="J67" i="5"/>
  <c r="BV79" i="5"/>
  <c r="BW79" i="5"/>
  <c r="BW77" i="5"/>
  <c r="BV77" i="5"/>
  <c r="BW60" i="5"/>
  <c r="BV60" i="5"/>
  <c r="X81" i="5"/>
  <c r="J56" i="5"/>
  <c r="BG58" i="5"/>
  <c r="BF58" i="5"/>
  <c r="BF68" i="5"/>
  <c r="BG68" i="5" s="1"/>
  <c r="BV65" i="5"/>
  <c r="BW65" i="5"/>
  <c r="AT81" i="5"/>
  <c r="AU81" i="5" s="1"/>
  <c r="N81" i="5"/>
  <c r="O81" i="5" s="1"/>
  <c r="AQ63" i="5"/>
  <c r="AP63" i="5"/>
  <c r="J57" i="5"/>
  <c r="J44" i="5"/>
  <c r="J35" i="5"/>
  <c r="J36" i="5"/>
  <c r="BT28" i="5"/>
  <c r="BT48" i="5" s="1"/>
  <c r="BT52" i="5" s="1"/>
  <c r="AK36" i="4"/>
  <c r="AK40" i="4" s="1"/>
  <c r="G60" i="5"/>
  <c r="AM109" i="5"/>
  <c r="AL109" i="5"/>
  <c r="AQ108" i="5"/>
  <c r="AP108" i="5"/>
  <c r="J107" i="5"/>
  <c r="AA107" i="5"/>
  <c r="Z107" i="5"/>
  <c r="AY109" i="5"/>
  <c r="AX109" i="5"/>
  <c r="J80" i="5"/>
  <c r="Z78" i="5"/>
  <c r="AA78" i="5" s="1"/>
  <c r="J75" i="5"/>
  <c r="BF70" i="5"/>
  <c r="BG70" i="5"/>
  <c r="AP79" i="5"/>
  <c r="AQ79" i="5"/>
  <c r="BV69" i="5"/>
  <c r="BW69" i="5"/>
  <c r="BW74" i="5"/>
  <c r="BV74" i="5"/>
  <c r="AP65" i="5"/>
  <c r="AQ65" i="5"/>
  <c r="BR81" i="5"/>
  <c r="BS81" i="5" s="1"/>
  <c r="AQ64" i="5"/>
  <c r="AP64" i="5"/>
  <c r="BW87" i="5"/>
  <c r="BT85" i="5"/>
  <c r="AK75" i="4"/>
  <c r="BT87" i="5" s="1"/>
  <c r="F50" i="5"/>
  <c r="F29" i="5"/>
  <c r="AA48" i="5"/>
  <c r="AA52" i="5" s="1"/>
  <c r="G79" i="5"/>
  <c r="G56" i="5"/>
  <c r="D48" i="5"/>
  <c r="D52" i="5" s="1"/>
  <c r="BG74" i="5"/>
  <c r="BF74" i="5"/>
  <c r="AQ77" i="5"/>
  <c r="AP77" i="5"/>
  <c r="BV66" i="5"/>
  <c r="BW66" i="5"/>
  <c r="AA72" i="5"/>
  <c r="Z72" i="5"/>
  <c r="BW48" i="5"/>
  <c r="BW52" i="5" s="1"/>
  <c r="BW107" i="5"/>
  <c r="BV107" i="5"/>
  <c r="BG77" i="5"/>
  <c r="BF77" i="5"/>
  <c r="AP61" i="5"/>
  <c r="AQ61" i="5"/>
  <c r="BG110" i="5"/>
  <c r="BF110" i="5"/>
  <c r="AA77" i="5"/>
  <c r="Z77" i="5"/>
  <c r="BG71" i="5"/>
  <c r="BF71" i="5"/>
  <c r="Z58" i="5"/>
  <c r="AA58" i="5"/>
  <c r="AQ72" i="5"/>
  <c r="AP72" i="5"/>
  <c r="AA63" i="5"/>
  <c r="Z63" i="5"/>
  <c r="F47" i="5"/>
  <c r="L52" i="5"/>
  <c r="G68" i="5"/>
  <c r="G58" i="5"/>
  <c r="G63" i="5"/>
  <c r="BV76" i="5"/>
  <c r="BW76" i="5"/>
  <c r="AP78" i="5"/>
  <c r="AQ78" i="5" s="1"/>
  <c r="AP58" i="5"/>
  <c r="AQ58" i="5"/>
  <c r="AA87" i="5"/>
  <c r="F43" i="5"/>
  <c r="J86" i="5"/>
  <c r="J85" i="5"/>
  <c r="AP85" i="5"/>
  <c r="V75" i="4"/>
  <c r="AP87" i="5" s="1"/>
  <c r="G64" i="5"/>
  <c r="N36" i="4"/>
  <c r="N40" i="4" s="1"/>
  <c r="AT48" i="5"/>
  <c r="AT52" i="5" s="1"/>
  <c r="BF28" i="5"/>
  <c r="BF48" i="5" s="1"/>
  <c r="BF52" i="5" s="1"/>
  <c r="BF69" i="5"/>
  <c r="BG69" i="5"/>
  <c r="BF61" i="5"/>
  <c r="BG61" i="5"/>
  <c r="AA75" i="5"/>
  <c r="Z75" i="5"/>
  <c r="AA74" i="5"/>
  <c r="Z74" i="5"/>
  <c r="J66" i="5"/>
  <c r="J61" i="5"/>
  <c r="BW72" i="5"/>
  <c r="BV72" i="5"/>
  <c r="BF67" i="5"/>
  <c r="BG67" i="5"/>
  <c r="BE81" i="5"/>
  <c r="BG56" i="5"/>
  <c r="BF56" i="5"/>
  <c r="Y81" i="5"/>
  <c r="AA56" i="5"/>
  <c r="Z56" i="5"/>
  <c r="BW57" i="5"/>
  <c r="BV57" i="5"/>
  <c r="F39" i="5"/>
  <c r="F32" i="5"/>
  <c r="F41" i="5"/>
  <c r="AN28" i="5"/>
  <c r="AN48" i="5" s="1"/>
  <c r="AN52" i="5" s="1"/>
  <c r="U36" i="4"/>
  <c r="U40" i="4" s="1"/>
  <c r="BH48" i="5"/>
  <c r="BH52" i="5" s="1"/>
  <c r="F86" i="5"/>
  <c r="G59" i="5"/>
  <c r="BS109" i="5"/>
  <c r="BR109" i="5"/>
  <c r="BW108" i="5"/>
  <c r="BV108" i="5"/>
  <c r="BK109" i="5"/>
  <c r="BU109" i="5"/>
  <c r="BJ109" i="5"/>
  <c r="AE109" i="5"/>
  <c r="AO109" i="5"/>
  <c r="AD109" i="5"/>
  <c r="AA108" i="5"/>
  <c r="Z108" i="5"/>
  <c r="BF80" i="5"/>
  <c r="BG80" i="5" s="1"/>
  <c r="J79" i="5"/>
  <c r="BW73" i="5"/>
  <c r="BV73" i="5"/>
  <c r="AQ73" i="5"/>
  <c r="AP73" i="5"/>
  <c r="AN81" i="5"/>
  <c r="BG72" i="5"/>
  <c r="BF72" i="5"/>
  <c r="AA64" i="5"/>
  <c r="Z64" i="5"/>
  <c r="Z67" i="5"/>
  <c r="AA67" i="5"/>
  <c r="BV68" i="5"/>
  <c r="BW68" i="5" s="1"/>
  <c r="AQ57" i="5"/>
  <c r="AP57" i="5"/>
  <c r="AO87" i="5"/>
  <c r="AO48" i="5"/>
  <c r="AO52" i="5" s="1"/>
  <c r="BV85" i="5"/>
  <c r="AL75" i="4"/>
  <c r="BV87" i="5" s="1"/>
  <c r="G72" i="5"/>
  <c r="G81" i="5"/>
  <c r="BG107" i="5"/>
  <c r="BF107" i="5"/>
  <c r="AA73" i="5"/>
  <c r="Z73" i="5"/>
  <c r="BU81" i="5"/>
  <c r="BW56" i="5"/>
  <c r="BV56" i="5"/>
  <c r="BG48" i="5"/>
  <c r="BG52" i="5" s="1"/>
  <c r="AP70" i="5"/>
  <c r="AQ70" i="5"/>
  <c r="BV62" i="5"/>
  <c r="BW62" i="5"/>
  <c r="BW110" i="5"/>
  <c r="BV110" i="5"/>
  <c r="AI109" i="5"/>
  <c r="AH109" i="5"/>
  <c r="J63" i="5"/>
  <c r="BG63" i="5"/>
  <c r="BF63" i="5"/>
  <c r="BW78" i="5"/>
  <c r="BV78" i="5"/>
  <c r="AX81" i="5"/>
  <c r="AY81" i="5" s="1"/>
  <c r="J65" i="5"/>
  <c r="AQ59" i="5"/>
  <c r="AP59" i="5"/>
  <c r="V36" i="4"/>
  <c r="V40" i="4" s="1"/>
  <c r="BJ48" i="5"/>
  <c r="BJ52" i="5" s="1"/>
  <c r="BV28" i="5"/>
  <c r="BV48" i="5" s="1"/>
  <c r="BV52" i="5" s="1"/>
  <c r="BV80" i="5"/>
  <c r="BW80" i="5" s="1"/>
  <c r="BV75" i="5"/>
  <c r="BW75" i="5"/>
  <c r="BV70" i="5"/>
  <c r="BW70" i="5"/>
  <c r="AP62" i="5"/>
  <c r="AQ62" i="5"/>
  <c r="Z61" i="5"/>
  <c r="AA61" i="5"/>
  <c r="AQ60" i="5"/>
  <c r="AP60" i="5"/>
  <c r="BF79" i="5"/>
  <c r="BG79" i="5"/>
  <c r="BJ81" i="5"/>
  <c r="BK81" i="5" s="1"/>
  <c r="AD81" i="5"/>
  <c r="AE81" i="5" s="1"/>
  <c r="Z65" i="5"/>
  <c r="AA65" i="5"/>
  <c r="BN81" i="5"/>
  <c r="BO81" i="5" s="1"/>
  <c r="F44" i="5"/>
  <c r="F38" i="5"/>
  <c r="F30" i="5"/>
  <c r="G71" i="5"/>
  <c r="W109" i="5"/>
  <c r="V109" i="5"/>
  <c r="BD85" i="5"/>
  <c r="AC75" i="4"/>
  <c r="BD87" i="5" s="1"/>
  <c r="D85" i="5"/>
  <c r="C75" i="4"/>
  <c r="D87" i="5" s="1"/>
  <c r="Z80" i="5"/>
  <c r="AA80" i="5" s="1"/>
  <c r="AA60" i="5"/>
  <c r="Z60" i="5"/>
  <c r="V81" i="5"/>
  <c r="W81" i="5" s="1"/>
  <c r="BW64" i="5"/>
  <c r="BV64" i="5"/>
  <c r="AH81" i="5"/>
  <c r="AI81" i="5" s="1"/>
  <c r="AA57" i="5"/>
  <c r="Z57" i="5"/>
  <c r="Y87" i="5"/>
  <c r="F33" i="5"/>
  <c r="BE48" i="5"/>
  <c r="BE52" i="5" s="1"/>
  <c r="F42" i="5"/>
  <c r="G66" i="5"/>
  <c r="N48" i="5"/>
  <c r="N52" i="5" s="1"/>
  <c r="Z28" i="5"/>
  <c r="Z48" i="5" s="1"/>
  <c r="Z52" i="5" s="1"/>
  <c r="AP80" i="5"/>
  <c r="AQ80" i="5" s="1"/>
  <c r="Z76" i="5"/>
  <c r="AA76" i="5"/>
  <c r="BG73" i="5"/>
  <c r="BF73" i="5"/>
  <c r="BW59" i="5"/>
  <c r="BV59" i="5"/>
  <c r="AQ71" i="5"/>
  <c r="AP71" i="5"/>
  <c r="BG64" i="5"/>
  <c r="BF64" i="5"/>
  <c r="J62" i="5"/>
  <c r="Z69" i="5"/>
  <c r="AA69" i="5"/>
  <c r="F31" i="5"/>
  <c r="AQ48" i="5"/>
  <c r="AQ52" i="5" s="1"/>
  <c r="AB48" i="5"/>
  <c r="AB52" i="5" s="1"/>
  <c r="G80" i="5"/>
  <c r="G65" i="5"/>
  <c r="S109" i="5"/>
  <c r="R109" i="5"/>
  <c r="G108" i="5"/>
  <c r="G109" i="5" s="1"/>
  <c r="AQ110" i="5"/>
  <c r="AP110" i="5"/>
  <c r="AA110" i="5"/>
  <c r="Z110" i="5"/>
  <c r="O109" i="5"/>
  <c r="Y109" i="5"/>
  <c r="AP66" i="5"/>
  <c r="AQ66" i="5"/>
  <c r="Z62" i="5"/>
  <c r="AA62" i="5"/>
  <c r="BW58" i="5"/>
  <c r="BV58" i="5"/>
  <c r="BG60" i="5"/>
  <c r="BF60" i="5"/>
  <c r="BG59" i="5"/>
  <c r="BF59" i="5"/>
  <c r="AA68" i="5"/>
  <c r="Z68" i="5"/>
  <c r="BF65" i="5"/>
  <c r="BG65" i="5"/>
  <c r="BG57" i="5"/>
  <c r="BF57" i="5"/>
  <c r="J43" i="5"/>
  <c r="J33" i="5"/>
  <c r="F28" i="5"/>
  <c r="F85" i="5"/>
  <c r="G73" i="5"/>
  <c r="G61" i="5"/>
  <c r="BG108" i="5"/>
  <c r="BF108" i="5"/>
  <c r="J81" i="5" l="1"/>
  <c r="BW109" i="5"/>
  <c r="BV109" i="5"/>
  <c r="J48" i="5"/>
  <c r="J52" i="5" s="1"/>
  <c r="H28" i="5"/>
  <c r="H48" i="5" s="1"/>
  <c r="H52" i="5" s="1"/>
  <c r="E36" i="4"/>
  <c r="E40" i="4" s="1"/>
  <c r="F87" i="5"/>
  <c r="AA109" i="5"/>
  <c r="Z109" i="5"/>
  <c r="BV81" i="5"/>
  <c r="BW81" i="5" s="1"/>
  <c r="AQ109" i="5"/>
  <c r="AP109" i="5"/>
  <c r="BF81" i="5"/>
  <c r="BG81" i="5" s="1"/>
  <c r="F48" i="5"/>
  <c r="F52" i="5" s="1"/>
  <c r="Z81" i="5"/>
  <c r="AA81" i="5" s="1"/>
  <c r="J87" i="5"/>
  <c r="BG109" i="5"/>
  <c r="BF109" i="5"/>
  <c r="AP81" i="5"/>
  <c r="AQ81" i="5" s="1"/>
</calcChain>
</file>

<file path=xl/sharedStrings.xml><?xml version="1.0" encoding="utf-8"?>
<sst xmlns="http://schemas.openxmlformats.org/spreadsheetml/2006/main" count="32626" uniqueCount="8310">
  <si>
    <t>на ________ год (на _________ период)</t>
  </si>
  <si>
    <t>Наименование заказчика</t>
  </si>
  <si>
    <t>Адрес местонахождения заказчика</t>
  </si>
  <si>
    <t>Телефон заказчика</t>
  </si>
  <si>
    <t>Электронная почта заказчика</t>
  </si>
  <si>
    <t>ИНН</t>
  </si>
  <si>
    <t>КПП</t>
  </si>
  <si>
    <t>ОКАТО</t>
  </si>
  <si>
    <t>Условия договора</t>
  </si>
  <si>
    <t>Способ закупки</t>
  </si>
  <si>
    <t>Закупка в электронной форме</t>
  </si>
  <si>
    <t>Наименование ЭТП</t>
  </si>
  <si>
    <t>Особая закупочная ситуация</t>
  </si>
  <si>
    <t>Основание закупки у ЕП</t>
  </si>
  <si>
    <t>Инициатор закупки</t>
  </si>
  <si>
    <t>Предмет договора</t>
  </si>
  <si>
    <t>Минимально необходимые требования, предъявляемые к закупаемым товарам (работам, услугам)</t>
  </si>
  <si>
    <t>Единица измерения</t>
  </si>
  <si>
    <t>Сведения о количестве (объеме)</t>
  </si>
  <si>
    <t>Регион поставки товаров (выполнения работ, оказания услуг)</t>
  </si>
  <si>
    <t>Источник финансирования (статья расходов)</t>
  </si>
  <si>
    <t>График осуществления процедур закупки</t>
  </si>
  <si>
    <t>Наименование</t>
  </si>
  <si>
    <t>Код по ОКАТО</t>
  </si>
  <si>
    <t>Срок исполнения договора (месяц, год)</t>
  </si>
  <si>
    <t>да/нет</t>
  </si>
  <si>
    <t>Цена договора</t>
  </si>
  <si>
    <t>11.1</t>
  </si>
  <si>
    <t>11.2</t>
  </si>
  <si>
    <t>__________________________________________________________________     ________________ "  " ______________ 20__ г.</t>
  </si>
  <si>
    <t xml:space="preserve"> (Ф.И.О., должность руководителя (уполномоченного лица) заказчика)         (подпись)        (дата утверждения)</t>
  </si>
  <si>
    <t xml:space="preserve">                                                                             МП</t>
  </si>
  <si>
    <t>Сведения о НМЦ договора (цене лота)</t>
  </si>
  <si>
    <t xml:space="preserve">Дата размещения извещения о закупке </t>
  </si>
  <si>
    <t>Дата рассмотрения заявок</t>
  </si>
  <si>
    <t>Срок исполнения договора</t>
  </si>
  <si>
    <t>(дд.мм.гггг)</t>
  </si>
  <si>
    <t>План
(мм.гггг)</t>
  </si>
  <si>
    <t>Факт
(дд.мм.гггг)</t>
  </si>
  <si>
    <t>План
(дд.мм.гггг)</t>
  </si>
  <si>
    <t>План</t>
  </si>
  <si>
    <t>Особые закупочные ситуации</t>
  </si>
  <si>
    <t>Код</t>
  </si>
  <si>
    <t>Статусы закупки:</t>
  </si>
  <si>
    <t>Закупки в рамках реализации ГОЗ</t>
  </si>
  <si>
    <t>ГОЗ</t>
  </si>
  <si>
    <t>Подготовка к проведению</t>
  </si>
  <si>
    <t>Анонсирование</t>
  </si>
  <si>
    <t>Закупки в целях реализации ФЦП</t>
  </si>
  <si>
    <t>ФЦП</t>
  </si>
  <si>
    <t>Закупки для реализации системных проектов</t>
  </si>
  <si>
    <t>РСП</t>
  </si>
  <si>
    <t>Заключение договора</t>
  </si>
  <si>
    <t>Закупки продукции по инфраструктурным видам деятельности</t>
  </si>
  <si>
    <t>ИВД</t>
  </si>
  <si>
    <t>Закупки инновационной и высокотехнологичной продукции</t>
  </si>
  <si>
    <t>ИВП</t>
  </si>
  <si>
    <t>Закупки с участием субъектов малого и среднего предпринимательства</t>
  </si>
  <si>
    <t>МСП</t>
  </si>
  <si>
    <t>Признана несостоявшейся</t>
  </si>
  <si>
    <t>Отменена</t>
  </si>
  <si>
    <t>Приостановлена</t>
  </si>
  <si>
    <t>Завершена</t>
  </si>
  <si>
    <t>Планируемая дата или период размещения извещения о закупке (месяц, год)</t>
  </si>
  <si>
    <t>6.6.2(1)</t>
  </si>
  <si>
    <t>6.6.2(2)</t>
  </si>
  <si>
    <t>6.6.2(3)</t>
  </si>
  <si>
    <t>6.6.2(4)</t>
  </si>
  <si>
    <t>6.6.2(5)</t>
  </si>
  <si>
    <t>6.6.2(6)</t>
  </si>
  <si>
    <t>6.6.2(7)</t>
  </si>
  <si>
    <t>6.6.2(8)</t>
  </si>
  <si>
    <t>6.6.2(10)</t>
  </si>
  <si>
    <t>6.6.2(11)</t>
  </si>
  <si>
    <t>6.6.2(12)</t>
  </si>
  <si>
    <t>6.6.2(13)</t>
  </si>
  <si>
    <t>6.6.2(14)</t>
  </si>
  <si>
    <t>6.6.2(15)</t>
  </si>
  <si>
    <t>6.6.2(16)</t>
  </si>
  <si>
    <t>6.6.2(17)</t>
  </si>
  <si>
    <t>6.6.2(18)</t>
  </si>
  <si>
    <t>6.6.2(19)</t>
  </si>
  <si>
    <t>6.6.2(20)</t>
  </si>
  <si>
    <t>6.6.2(21)</t>
  </si>
  <si>
    <t>6.6.2(22)</t>
  </si>
  <si>
    <t>6.6.2(23)</t>
  </si>
  <si>
    <t>6.6.2(24)</t>
  </si>
  <si>
    <t>6.6.2(25)</t>
  </si>
  <si>
    <t>6.6.2(26)</t>
  </si>
  <si>
    <t>6.6.2(27)</t>
  </si>
  <si>
    <t>6.6.2(28)</t>
  </si>
  <si>
    <t>6.6.2(29)</t>
  </si>
  <si>
    <t>6.6.2(30)</t>
  </si>
  <si>
    <t>6.6.2(33)</t>
  </si>
  <si>
    <t>6.6.2(34)</t>
  </si>
  <si>
    <t>6.6.2(35)</t>
  </si>
  <si>
    <t>6.6.2(37)</t>
  </si>
  <si>
    <t>6.6.2(38)</t>
  </si>
  <si>
    <t>Не применимо</t>
  </si>
  <si>
    <t>Открытый конкурс</t>
  </si>
  <si>
    <t>ОК</t>
  </si>
  <si>
    <t>Открытый аукцион</t>
  </si>
  <si>
    <t>ОА</t>
  </si>
  <si>
    <t>Открытый редукцион</t>
  </si>
  <si>
    <t>ОР</t>
  </si>
  <si>
    <t>Открытый запрос предложений</t>
  </si>
  <si>
    <t>ОЗП</t>
  </si>
  <si>
    <t>Открытый запрос котировок</t>
  </si>
  <si>
    <t>ОЗК</t>
  </si>
  <si>
    <t>Закупка у единственного поставщика</t>
  </si>
  <si>
    <t>ЕП</t>
  </si>
  <si>
    <t>Прочие маркеры:</t>
  </si>
  <si>
    <t>Да</t>
  </si>
  <si>
    <t>Нет</t>
  </si>
  <si>
    <t>Плановые показатели закупочной деятельности</t>
  </si>
  <si>
    <t>Количество</t>
  </si>
  <si>
    <t>%</t>
  </si>
  <si>
    <t>Общее количество закупок</t>
  </si>
  <si>
    <t>Общая сумма закупок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</si>
  <si>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</si>
  <si>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</si>
  <si>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</si>
  <si>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</si>
  <si>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</si>
  <si>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</si>
  <si>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</si>
  <si>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</si>
  <si>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</si>
  <si>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</si>
  <si>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</si>
  <si>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</si>
  <si>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</si>
  <si>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</si>
  <si>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</si>
  <si>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</si>
  <si>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</si>
  <si>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</si>
  <si>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</si>
  <si>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</si>
  <si>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</si>
  <si>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</si>
  <si>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15.1</t>
  </si>
  <si>
    <t>15.3</t>
  </si>
  <si>
    <t>15.4</t>
  </si>
  <si>
    <t>15.8</t>
  </si>
  <si>
    <t>15.9</t>
  </si>
  <si>
    <t>15.10</t>
  </si>
  <si>
    <t>Участниками которых являются любые участники процедуры закупки, в том числе субъекты МСП</t>
  </si>
  <si>
    <t>Закупки у МСП:</t>
  </si>
  <si>
    <t>Участниками которых являются только субъекты МСП</t>
  </si>
  <si>
    <t>В отношении участников которых устанавливается требование о привлечении к исполнению договора субподрядчиков (соисполнителей) из числа субъектов МСП</t>
  </si>
  <si>
    <t>26</t>
  </si>
  <si>
    <t>27</t>
  </si>
  <si>
    <t>28</t>
  </si>
  <si>
    <t>По статусам закупок</t>
  </si>
  <si>
    <t>30</t>
  </si>
  <si>
    <t>Перечень потенциальных поставщиков</t>
  </si>
  <si>
    <t>15.11</t>
  </si>
  <si>
    <t>Основные условия предложения победителя/ЕП</t>
  </si>
  <si>
    <t>Код по ОКЕИ</t>
  </si>
  <si>
    <t>Дата получения ЗП запроса на проведение закупки</t>
  </si>
  <si>
    <t>Способ закупки (факт)</t>
  </si>
  <si>
    <t>19.16.3(1)</t>
  </si>
  <si>
    <t>19.16.3(2)</t>
  </si>
  <si>
    <t>19.16.3(3)</t>
  </si>
  <si>
    <t>11.3</t>
  </si>
  <si>
    <t>Закрытый конкурс</t>
  </si>
  <si>
    <t>Закрытый аукцион</t>
  </si>
  <si>
    <t>Закрытый редукцион</t>
  </si>
  <si>
    <t>Закрытый запрос предложений</t>
  </si>
  <si>
    <t>Закрытый запрос котировок</t>
  </si>
  <si>
    <t>Открытый конкурс с квалификационным отбором</t>
  </si>
  <si>
    <t>ОКсКО</t>
  </si>
  <si>
    <t>ОАсКО</t>
  </si>
  <si>
    <t>ОРсКО</t>
  </si>
  <si>
    <t>Открытый аукцион с квалификационным отбором</t>
  </si>
  <si>
    <t>Открытый редукцион с квалификационным отбором</t>
  </si>
  <si>
    <t>Открытый запрос предложений с квалификационным отбором</t>
  </si>
  <si>
    <t>ОЗПсКО</t>
  </si>
  <si>
    <t>ОЗКсКО</t>
  </si>
  <si>
    <t>Открытый запрос котировок с квалификационным отбором</t>
  </si>
  <si>
    <t>Закрытый конкурс с квалификационным отбором</t>
  </si>
  <si>
    <t>Закрытый аукцион с квалификационным отбором</t>
  </si>
  <si>
    <t>Закрытый редукцион с квалификационным отбором</t>
  </si>
  <si>
    <t>Закрытый запрос предложений с квалификационным отбором</t>
  </si>
  <si>
    <t>Закрытый запрос котировок с квалификационным отбором</t>
  </si>
  <si>
    <t>ЗК</t>
  </si>
  <si>
    <t>ЗКсКО</t>
  </si>
  <si>
    <t>ЗА</t>
  </si>
  <si>
    <t>ЗАсКО</t>
  </si>
  <si>
    <t>ЗРсКО</t>
  </si>
  <si>
    <t>ЗР</t>
  </si>
  <si>
    <t>ЗЗП</t>
  </si>
  <si>
    <t>ЗЗПсКО</t>
  </si>
  <si>
    <t>ЗЗКсКО</t>
  </si>
  <si>
    <t>ЗЗК</t>
  </si>
  <si>
    <t>Квалификационный отбор для серии закупок</t>
  </si>
  <si>
    <t>КОСЗ</t>
  </si>
  <si>
    <t>Перечень организаторов</t>
  </si>
  <si>
    <t>ОАО "РТ-Логистика"</t>
  </si>
  <si>
    <t>ОАО "РТ-Медицина"</t>
  </si>
  <si>
    <t>ООО "РТ-Информ"</t>
  </si>
  <si>
    <t>ООО "РТ-Комплектимпекс"</t>
  </si>
  <si>
    <t>ООО "РТ-Экспо"</t>
  </si>
  <si>
    <t>Сторонний организатор закупки</t>
  </si>
  <si>
    <t>Статус (этап) закупки</t>
  </si>
  <si>
    <t>Наименование контрагента</t>
  </si>
  <si>
    <t>ИНН контрагента</t>
  </si>
  <si>
    <t>ИНН победителя/ЕП</t>
  </si>
  <si>
    <t>Наименование победителя закупки/ЕП</t>
  </si>
  <si>
    <t>Наименование организатора</t>
  </si>
  <si>
    <t>Индивидуальный № квалификационного отбора</t>
  </si>
  <si>
    <t>Примечание</t>
  </si>
  <si>
    <t>Индивидуальный номер</t>
  </si>
  <si>
    <t>Предмет договора (Наименование закупаемой продукции, работ, услуг)</t>
  </si>
  <si>
    <t>23</t>
  </si>
  <si>
    <t>24</t>
  </si>
  <si>
    <t>Способ закупки (план)</t>
  </si>
  <si>
    <t>Дата заключения договора</t>
  </si>
  <si>
    <t>Экономический эффект</t>
  </si>
  <si>
    <t>В стоимостном выражении</t>
  </si>
  <si>
    <t>В процентном выражении</t>
  </si>
  <si>
    <t>руб.</t>
  </si>
  <si>
    <t>Количество участников, подавших предложения</t>
  </si>
  <si>
    <t>Количество участников, предложения которых были отклонены</t>
  </si>
  <si>
    <t>Цена договора, руб.</t>
  </si>
  <si>
    <t>Реквизиты договора</t>
  </si>
  <si>
    <t>№</t>
  </si>
  <si>
    <t>Для закрытых закупок и закупок по результатам квалификационного отбора для серии закупок</t>
  </si>
  <si>
    <t>Закупка у МСП</t>
  </si>
  <si>
    <t>32</t>
  </si>
  <si>
    <t>29</t>
  </si>
  <si>
    <t>31</t>
  </si>
  <si>
    <t>33</t>
  </si>
  <si>
    <t>34</t>
  </si>
  <si>
    <t>35</t>
  </si>
  <si>
    <t>36</t>
  </si>
  <si>
    <t>37</t>
  </si>
  <si>
    <t>Наличие жалоб по закупке</t>
  </si>
  <si>
    <t>Итого по конкурентным закупкам:</t>
  </si>
  <si>
    <t>% от общего количества</t>
  </si>
  <si>
    <t>%  от общего количества</t>
  </si>
  <si>
    <t>Итого по сторонним организаторам:</t>
  </si>
  <si>
    <t>% от общей суммы закупок</t>
  </si>
  <si>
    <t>Закупки, проводимые сторонними организаторами</t>
  </si>
  <si>
    <t>Форма закупки</t>
  </si>
  <si>
    <t>Электронная</t>
  </si>
  <si>
    <t>Факт</t>
  </si>
  <si>
    <t>Открытый конкурс с КО</t>
  </si>
  <si>
    <t>Открытый аукцион с КО</t>
  </si>
  <si>
    <t>Открытый редукцион с КО</t>
  </si>
  <si>
    <t>Открытый запрос предложений с КО</t>
  </si>
  <si>
    <t>Открытый запрос котировок с КО</t>
  </si>
  <si>
    <t>Закрытый конкурс с КО</t>
  </si>
  <si>
    <t>Закрытый аукцион с КО</t>
  </si>
  <si>
    <t>Закрытый редукцион с КО</t>
  </si>
  <si>
    <t>Закрытый запрос предложений с КО</t>
  </si>
  <si>
    <t>Закрытый запрос котировок с КО</t>
  </si>
  <si>
    <t>КО для серии закупок</t>
  </si>
  <si>
    <t>ОБЩИЙ ИТОГ:</t>
  </si>
  <si>
    <t>Итого по формам закупок:</t>
  </si>
  <si>
    <t>Экономический эффект от закупок организатора
(без учета вознаграждения)</t>
  </si>
  <si>
    <t>Закупка по результатам квалификационного отбора для серии закупок</t>
  </si>
  <si>
    <t>Заказчик</t>
  </si>
  <si>
    <t>ГК "Ростех"</t>
  </si>
  <si>
    <t>6.6.2(32)</t>
  </si>
  <si>
    <t>6.6.2(31)</t>
  </si>
  <si>
    <t>6.6.2(36)</t>
  </si>
  <si>
    <t>6.6.2(9)</t>
  </si>
  <si>
    <t>Дата подведения итогов закупки</t>
  </si>
  <si>
    <t>Сумма предложения победителя, руб. (по протоколу подведения итогов закупки/принятия решения о закупке у ЕП)</t>
  </si>
  <si>
    <t>Дата (дд.мм.гггг)</t>
  </si>
  <si>
    <t>Факт
(мм.гггг)/
(мм.гггг-мм.гггг)</t>
  </si>
  <si>
    <t>Отчет об исполнении плановых/сводных плановых показателей закупочной деятельности</t>
  </si>
  <si>
    <t>Отчет об исполнении РПЗ/ПЗ, ПЗИП</t>
  </si>
  <si>
    <t>План закупки</t>
  </si>
  <si>
    <t>РПЗ</t>
  </si>
  <si>
    <t>ПЗ</t>
  </si>
  <si>
    <t>ПЗИП</t>
  </si>
  <si>
    <t>Количество принятых решений</t>
  </si>
  <si>
    <t>Количество лотов, по которым приняты решения</t>
  </si>
  <si>
    <t>I квартал</t>
  </si>
  <si>
    <t>II квартал</t>
  </si>
  <si>
    <t>III квартал</t>
  </si>
  <si>
    <t>IV квартал</t>
  </si>
  <si>
    <t>Итого по кварталу I</t>
  </si>
  <si>
    <t>Итого по кварталу II</t>
  </si>
  <si>
    <t>Итого по кварталу III</t>
  </si>
  <si>
    <t>Итого по кварталу IV</t>
  </si>
  <si>
    <t>НМЦ, руб.</t>
  </si>
  <si>
    <t>Количество, ед.</t>
  </si>
  <si>
    <t>Плановая корректировка</t>
  </si>
  <si>
    <t>Внеплановая корректировка</t>
  </si>
  <si>
    <t>Планируемая сумма расходов в плановом периоде, руб.</t>
  </si>
  <si>
    <t>Сведения о НМЦ договора (цене лота), руб.</t>
  </si>
  <si>
    <t>15.2</t>
  </si>
  <si>
    <t>15.5</t>
  </si>
  <si>
    <t>15.6</t>
  </si>
  <si>
    <t>15.7</t>
  </si>
  <si>
    <t>Реквизиты контракта</t>
  </si>
  <si>
    <t>№, дд.мм.гггг</t>
  </si>
  <si>
    <t>25</t>
  </si>
  <si>
    <t>Стоимостное выражение, руб.</t>
  </si>
  <si>
    <t>на</t>
  </si>
  <si>
    <t>год</t>
  </si>
  <si>
    <t>Год</t>
  </si>
  <si>
    <t xml:space="preserve">Январь </t>
  </si>
  <si>
    <t xml:space="preserve">Февраль </t>
  </si>
  <si>
    <t xml:space="preserve">Март </t>
  </si>
  <si>
    <t xml:space="preserve">Апрель </t>
  </si>
  <si>
    <t xml:space="preserve">Май </t>
  </si>
  <si>
    <t xml:space="preserve">Июнь </t>
  </si>
  <si>
    <t xml:space="preserve">Июль </t>
  </si>
  <si>
    <t xml:space="preserve">Август </t>
  </si>
  <si>
    <t xml:space="preserve">Сентябрь </t>
  </si>
  <si>
    <t xml:space="preserve">Октябрь </t>
  </si>
  <si>
    <t xml:space="preserve">Ноябрь </t>
  </si>
  <si>
    <t xml:space="preserve">Декабрь </t>
  </si>
  <si>
    <t>квартал</t>
  </si>
  <si>
    <t>года</t>
  </si>
  <si>
    <t>Сведения о корректировках РПЗ, ПЗ, ПЗИП</t>
  </si>
  <si>
    <t>Ответственное лицо
(Ф. И. О., e-mail, телефон)</t>
  </si>
  <si>
    <t>АО "Технодинамика"</t>
  </si>
  <si>
    <t>Корпорация</t>
  </si>
  <si>
    <t>Холдинги</t>
  </si>
  <si>
    <t>ОПУ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</si>
  <si>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</si>
  <si>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</si>
  <si>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</si>
  <si>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</si>
  <si>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</si>
  <si>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</si>
  <si>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</si>
  <si>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</si>
  <si>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</si>
  <si>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</si>
  <si>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1200</t>
  </si>
  <si>
    <t>1400</t>
  </si>
  <si>
    <t>1500</t>
  </si>
  <si>
    <t>1600</t>
  </si>
  <si>
    <t>0201</t>
  </si>
  <si>
    <t>0301</t>
  </si>
  <si>
    <t>0401</t>
  </si>
  <si>
    <t>0501</t>
  </si>
  <si>
    <t>0601</t>
  </si>
  <si>
    <t>0701</t>
  </si>
  <si>
    <t>0801</t>
  </si>
  <si>
    <t>0901</t>
  </si>
  <si>
    <t>1001</t>
  </si>
  <si>
    <t>1201</t>
  </si>
  <si>
    <t>1401</t>
  </si>
  <si>
    <t>1501</t>
  </si>
  <si>
    <t>1601</t>
  </si>
  <si>
    <t>0202</t>
  </si>
  <si>
    <t>0302</t>
  </si>
  <si>
    <t>0402</t>
  </si>
  <si>
    <t>0502</t>
  </si>
  <si>
    <t>0602</t>
  </si>
  <si>
    <t>0702</t>
  </si>
  <si>
    <t>0802</t>
  </si>
  <si>
    <t>0902</t>
  </si>
  <si>
    <t>1002</t>
  </si>
  <si>
    <t>1202</t>
  </si>
  <si>
    <t>1402</t>
  </si>
  <si>
    <t>1502</t>
  </si>
  <si>
    <t>1602</t>
  </si>
  <si>
    <t>0203</t>
  </si>
  <si>
    <t>0303</t>
  </si>
  <si>
    <t>0403</t>
  </si>
  <si>
    <t>0603</t>
  </si>
  <si>
    <t>0703</t>
  </si>
  <si>
    <t>0903</t>
  </si>
  <si>
    <t>1003</t>
  </si>
  <si>
    <t>1203</t>
  </si>
  <si>
    <t>1403</t>
  </si>
  <si>
    <t>1603</t>
  </si>
  <si>
    <t>0204</t>
  </si>
  <si>
    <t>0404</t>
  </si>
  <si>
    <t>0504</t>
  </si>
  <si>
    <t>0604</t>
  </si>
  <si>
    <t>0804</t>
  </si>
  <si>
    <t>0904</t>
  </si>
  <si>
    <t>1004</t>
  </si>
  <si>
    <t>1204</t>
  </si>
  <si>
    <t>1404</t>
  </si>
  <si>
    <t>1504</t>
  </si>
  <si>
    <t>1604</t>
  </si>
  <si>
    <t>0205</t>
  </si>
  <si>
    <t>0405</t>
  </si>
  <si>
    <t>0505</t>
  </si>
  <si>
    <t>0605</t>
  </si>
  <si>
    <t>0805</t>
  </si>
  <si>
    <t>0905</t>
  </si>
  <si>
    <t>1005</t>
  </si>
  <si>
    <t>1205</t>
  </si>
  <si>
    <t>1405</t>
  </si>
  <si>
    <t>1605</t>
  </si>
  <si>
    <t>0206</t>
  </si>
  <si>
    <t>0406</t>
  </si>
  <si>
    <t>0506</t>
  </si>
  <si>
    <t>0606</t>
  </si>
  <si>
    <t>0806</t>
  </si>
  <si>
    <t>0906</t>
  </si>
  <si>
    <t>1006</t>
  </si>
  <si>
    <t>1206</t>
  </si>
  <si>
    <t>1406</t>
  </si>
  <si>
    <t>1606</t>
  </si>
  <si>
    <t>0207</t>
  </si>
  <si>
    <t>0407</t>
  </si>
  <si>
    <t>0507</t>
  </si>
  <si>
    <t>0607</t>
  </si>
  <si>
    <t>0807</t>
  </si>
  <si>
    <t>1007</t>
  </si>
  <si>
    <t>1207</t>
  </si>
  <si>
    <t>1407</t>
  </si>
  <si>
    <t>1607</t>
  </si>
  <si>
    <t>0208</t>
  </si>
  <si>
    <t>0408</t>
  </si>
  <si>
    <t>0508</t>
  </si>
  <si>
    <t>0608</t>
  </si>
  <si>
    <t>0808</t>
  </si>
  <si>
    <t>1008</t>
  </si>
  <si>
    <t>1208</t>
  </si>
  <si>
    <t>1408</t>
  </si>
  <si>
    <t>1608</t>
  </si>
  <si>
    <t>0209</t>
  </si>
  <si>
    <t>0409</t>
  </si>
  <si>
    <t>0609</t>
  </si>
  <si>
    <t>0809</t>
  </si>
  <si>
    <t>1009</t>
  </si>
  <si>
    <t>1209</t>
  </si>
  <si>
    <t>1409</t>
  </si>
  <si>
    <t>1609</t>
  </si>
  <si>
    <t>0210</t>
  </si>
  <si>
    <t>0410</t>
  </si>
  <si>
    <t>0610</t>
  </si>
  <si>
    <t>0810</t>
  </si>
  <si>
    <t>1010</t>
  </si>
  <si>
    <t>1210</t>
  </si>
  <si>
    <t>1410</t>
  </si>
  <si>
    <t>1610</t>
  </si>
  <si>
    <t>0211</t>
  </si>
  <si>
    <t>0411</t>
  </si>
  <si>
    <t>0511</t>
  </si>
  <si>
    <t>0611</t>
  </si>
  <si>
    <t>0811</t>
  </si>
  <si>
    <t>1011</t>
  </si>
  <si>
    <t>1211</t>
  </si>
  <si>
    <t>1411</t>
  </si>
  <si>
    <t>1611</t>
  </si>
  <si>
    <t>0412</t>
  </si>
  <si>
    <t>0512</t>
  </si>
  <si>
    <t>0612</t>
  </si>
  <si>
    <t>0812</t>
  </si>
  <si>
    <t>1012</t>
  </si>
  <si>
    <t>1212</t>
  </si>
  <si>
    <t>1412</t>
  </si>
  <si>
    <t>1612</t>
  </si>
  <si>
    <t>0413</t>
  </si>
  <si>
    <t>0613</t>
  </si>
  <si>
    <t>0813</t>
  </si>
  <si>
    <t>1013</t>
  </si>
  <si>
    <t>1213</t>
  </si>
  <si>
    <t>1413</t>
  </si>
  <si>
    <t>1613</t>
  </si>
  <si>
    <t>0214</t>
  </si>
  <si>
    <t>0414</t>
  </si>
  <si>
    <t>0514</t>
  </si>
  <si>
    <t>0614</t>
  </si>
  <si>
    <t>0814</t>
  </si>
  <si>
    <t>1014</t>
  </si>
  <si>
    <t>1214</t>
  </si>
  <si>
    <t>1414</t>
  </si>
  <si>
    <t>1614</t>
  </si>
  <si>
    <t>0515</t>
  </si>
  <si>
    <t>0615</t>
  </si>
  <si>
    <t>0815</t>
  </si>
  <si>
    <t>1215</t>
  </si>
  <si>
    <t>1415</t>
  </si>
  <si>
    <t>0616</t>
  </si>
  <si>
    <t>0816</t>
  </si>
  <si>
    <t>1216</t>
  </si>
  <si>
    <t>1416</t>
  </si>
  <si>
    <t>0517</t>
  </si>
  <si>
    <t>0617</t>
  </si>
  <si>
    <t>0817</t>
  </si>
  <si>
    <t>1217</t>
  </si>
  <si>
    <t>0618</t>
  </si>
  <si>
    <t>0818</t>
  </si>
  <si>
    <t>1418</t>
  </si>
  <si>
    <t>0519</t>
  </si>
  <si>
    <t>0619</t>
  </si>
  <si>
    <t>0819</t>
  </si>
  <si>
    <t>1219</t>
  </si>
  <si>
    <t>1419</t>
  </si>
  <si>
    <t>0620</t>
  </si>
  <si>
    <t>0820</t>
  </si>
  <si>
    <t>1420</t>
  </si>
  <si>
    <t>0521</t>
  </si>
  <si>
    <t>0621</t>
  </si>
  <si>
    <t>0821</t>
  </si>
  <si>
    <t>1421</t>
  </si>
  <si>
    <t>0522</t>
  </si>
  <si>
    <t>0622</t>
  </si>
  <si>
    <t>0822</t>
  </si>
  <si>
    <t>1422</t>
  </si>
  <si>
    <t>0523</t>
  </si>
  <si>
    <t>0623</t>
  </si>
  <si>
    <t>0823</t>
  </si>
  <si>
    <t>1423</t>
  </si>
  <si>
    <t>0524</t>
  </si>
  <si>
    <t>0624</t>
  </si>
  <si>
    <t>0824</t>
  </si>
  <si>
    <t>1424</t>
  </si>
  <si>
    <t>0525</t>
  </si>
  <si>
    <t>0625</t>
  </si>
  <si>
    <t>0825</t>
  </si>
  <si>
    <t>0526</t>
  </si>
  <si>
    <t>0626</t>
  </si>
  <si>
    <t>0826</t>
  </si>
  <si>
    <t>1426</t>
  </si>
  <si>
    <t>0527</t>
  </si>
  <si>
    <t>0627</t>
  </si>
  <si>
    <t>0528</t>
  </si>
  <si>
    <t>0628</t>
  </si>
  <si>
    <t>0828</t>
  </si>
  <si>
    <t>1428</t>
  </si>
  <si>
    <t>0529</t>
  </si>
  <si>
    <t>0629</t>
  </si>
  <si>
    <t>0829</t>
  </si>
  <si>
    <t>1429</t>
  </si>
  <si>
    <t>0530</t>
  </si>
  <si>
    <t>0630</t>
  </si>
  <si>
    <t>0830</t>
  </si>
  <si>
    <t>1430</t>
  </si>
  <si>
    <t>0531</t>
  </si>
  <si>
    <t>0631</t>
  </si>
  <si>
    <t>1431</t>
  </si>
  <si>
    <t>0532</t>
  </si>
  <si>
    <t>0632</t>
  </si>
  <si>
    <t>0832</t>
  </si>
  <si>
    <t>1432</t>
  </si>
  <si>
    <t>0533</t>
  </si>
  <si>
    <t>0633</t>
  </si>
  <si>
    <t>0833</t>
  </si>
  <si>
    <t>1433</t>
  </si>
  <si>
    <t>0534</t>
  </si>
  <si>
    <t>0634</t>
  </si>
  <si>
    <t>0834</t>
  </si>
  <si>
    <t>1434</t>
  </si>
  <si>
    <t>0535</t>
  </si>
  <si>
    <t>0635</t>
  </si>
  <si>
    <t>0835</t>
  </si>
  <si>
    <t>1435</t>
  </si>
  <si>
    <t>0536</t>
  </si>
  <si>
    <t>0636</t>
  </si>
  <si>
    <t>0836</t>
  </si>
  <si>
    <t>1436</t>
  </si>
  <si>
    <t>0537</t>
  </si>
  <si>
    <t>0637</t>
  </si>
  <si>
    <t>1437</t>
  </si>
  <si>
    <t>0538</t>
  </si>
  <si>
    <t>0638</t>
  </si>
  <si>
    <t>0838</t>
  </si>
  <si>
    <t>1438</t>
  </si>
  <si>
    <t>0539</t>
  </si>
  <si>
    <t>0639</t>
  </si>
  <si>
    <t>0839</t>
  </si>
  <si>
    <t>1439</t>
  </si>
  <si>
    <t>0540</t>
  </si>
  <si>
    <t>0640</t>
  </si>
  <si>
    <t>0840</t>
  </si>
  <si>
    <t>1440</t>
  </si>
  <si>
    <t>0541</t>
  </si>
  <si>
    <t>0641</t>
  </si>
  <si>
    <t>0841</t>
  </si>
  <si>
    <t>1441</t>
  </si>
  <si>
    <t>0542</t>
  </si>
  <si>
    <t>0642</t>
  </si>
  <si>
    <t>0842</t>
  </si>
  <si>
    <t>1442</t>
  </si>
  <si>
    <t>0643</t>
  </si>
  <si>
    <t>0843</t>
  </si>
  <si>
    <t>1443</t>
  </si>
  <si>
    <t>0544</t>
  </si>
  <si>
    <t>0644</t>
  </si>
  <si>
    <t>0844</t>
  </si>
  <si>
    <t>0545</t>
  </si>
  <si>
    <t>0645</t>
  </si>
  <si>
    <t>0646</t>
  </si>
  <si>
    <t>0846</t>
  </si>
  <si>
    <t>0647</t>
  </si>
  <si>
    <t>0847</t>
  </si>
  <si>
    <t>0548</t>
  </si>
  <si>
    <t>0648</t>
  </si>
  <si>
    <t>0848</t>
  </si>
  <si>
    <t>0549</t>
  </si>
  <si>
    <t>0649</t>
  </si>
  <si>
    <t>0650</t>
  </si>
  <si>
    <t>0651</t>
  </si>
  <si>
    <t>0653</t>
  </si>
  <si>
    <t>0654</t>
  </si>
  <si>
    <t>0655</t>
  </si>
  <si>
    <t>0656</t>
  </si>
  <si>
    <t>Расширенный план централизованных (консолидированных) закупок</t>
  </si>
  <si>
    <t>Дата открытия доступа к заявкам/вскрытия конвертов</t>
  </si>
  <si>
    <t>1615</t>
  </si>
  <si>
    <t>1616</t>
  </si>
  <si>
    <t>1617</t>
  </si>
  <si>
    <t>1618</t>
  </si>
  <si>
    <t>Прочие организации Корпорации</t>
  </si>
  <si>
    <t>Расширенный план закупки товаров (работ, услуг)</t>
  </si>
  <si>
    <t>Код по ОКДП2</t>
  </si>
  <si>
    <t>Код по ОКВЭД2</t>
  </si>
  <si>
    <t>Код по ОКПД2</t>
  </si>
  <si>
    <t>АО "Вертолеты России"</t>
  </si>
  <si>
    <t>АО "Станкопром"</t>
  </si>
  <si>
    <t>ООО "РТ-Страхование"</t>
  </si>
  <si>
    <t>АО "НПО "Высокоточные комплексы"</t>
  </si>
  <si>
    <t>В случае отсутствия организации в представленном списке, код Заказчика такой организации присваивается функцией закупочной деятельности ГК "Ростех" в индивидуальном порядке, по запросу.</t>
  </si>
  <si>
    <t>ООО "РТ-Развитие бизнеса"</t>
  </si>
  <si>
    <t>АО "Концерн "Автоматика"</t>
  </si>
  <si>
    <t>АО "Объединенная двигателестроительная корпорация"</t>
  </si>
  <si>
    <t>АО "Концерн Радиоэлектронные технологии"</t>
  </si>
  <si>
    <t>АО "НПК "Технологии машиностроения"</t>
  </si>
  <si>
    <t>АО "Объединенная приборостроительная компания"</t>
  </si>
  <si>
    <t>АО "Российская электроника"</t>
  </si>
  <si>
    <t>АО "РТ-Авто"</t>
  </si>
  <si>
    <t>АО "Национальная иммунобиологическая компания"</t>
  </si>
  <si>
    <t>АО "РТ-Химические технологии и композиционные материалы"</t>
  </si>
  <si>
    <t>АО "Швабе"</t>
  </si>
  <si>
    <t>6.6.2(39)</t>
  </si>
  <si>
    <t>6.6.2(40)</t>
  </si>
  <si>
    <t>6.6.2(41)</t>
  </si>
  <si>
    <t>6.6.2(42)</t>
  </si>
  <si>
    <t>6.6.2(43)</t>
  </si>
  <si>
    <t>6.6.2(44)</t>
  </si>
  <si>
    <t>6.6.2(45)</t>
  </si>
  <si>
    <t>6.6.2(46)</t>
  </si>
  <si>
    <t>6.6.2(47)</t>
  </si>
  <si>
    <t>6.6.2(48)</t>
  </si>
  <si>
    <t>6.6.2(49)</t>
  </si>
  <si>
    <t>6.6.2(50)</t>
  </si>
  <si>
    <t>1619</t>
  </si>
  <si>
    <t>0550</t>
  </si>
  <si>
    <t>0551</t>
  </si>
  <si>
    <t>0552</t>
  </si>
  <si>
    <t>0553</t>
  </si>
  <si>
    <t>0554</t>
  </si>
  <si>
    <t>0556</t>
  </si>
  <si>
    <t>0558</t>
  </si>
  <si>
    <t>0559</t>
  </si>
  <si>
    <t>0566</t>
  </si>
  <si>
    <t>0567</t>
  </si>
  <si>
    <t>0568</t>
  </si>
  <si>
    <t>0570</t>
  </si>
  <si>
    <t>0571</t>
  </si>
  <si>
    <t>0572</t>
  </si>
  <si>
    <t>0576</t>
  </si>
  <si>
    <t>0578</t>
  </si>
  <si>
    <t>0580</t>
  </si>
  <si>
    <t>0581</t>
  </si>
  <si>
    <t>0582</t>
  </si>
  <si>
    <t>0583</t>
  </si>
  <si>
    <t>0584</t>
  </si>
  <si>
    <t>0585</t>
  </si>
  <si>
    <t>0587</t>
  </si>
  <si>
    <t>0588</t>
  </si>
  <si>
    <t>0589</t>
  </si>
  <si>
    <t>0592</t>
  </si>
  <si>
    <t>0304</t>
  </si>
  <si>
    <t>0305</t>
  </si>
  <si>
    <t>0306</t>
  </si>
  <si>
    <t>0307</t>
  </si>
  <si>
    <t>1802</t>
  </si>
  <si>
    <t>1803</t>
  </si>
  <si>
    <t>1703</t>
  </si>
  <si>
    <t>1704</t>
  </si>
  <si>
    <t>1708</t>
  </si>
  <si>
    <t>1713</t>
  </si>
  <si>
    <t>1718</t>
  </si>
  <si>
    <t>Государственная корпорация "Ростех"</t>
  </si>
  <si>
    <t>акционерное общество Башкирское Производственное Объединение "Прогресс"</t>
  </si>
  <si>
    <t>акционерное общество "Внешнеэкономическое объединение "Станкоимпорт"</t>
  </si>
  <si>
    <t>акционерное общество "Научно-исследовательский институт "Гириконд"</t>
  </si>
  <si>
    <t>акционерное общество "Федеральный испытательный исследовательский центр машиностроения"</t>
  </si>
  <si>
    <t>акционерное общество "Научно-исследовательский машиностроительный институт"</t>
  </si>
  <si>
    <t xml:space="preserve">акционерное общество "РТ-Биотехпром" </t>
  </si>
  <si>
    <t>акционерное общество "Государственный оптический институт имени С.И. Вавилова"</t>
  </si>
  <si>
    <t>акционерное общество "Уфимское агрегатное предприятие "Гидравлика"</t>
  </si>
  <si>
    <t>акционерное общество "Научно-производственное объединение "Квант"</t>
  </si>
  <si>
    <t>акционерное общество "РТ-Охрана"</t>
  </si>
  <si>
    <t>общество с ограниченной ответственностью "Национальный Центр Информатизации"</t>
  </si>
  <si>
    <t>акционерное общество "Калугаприбор"</t>
  </si>
  <si>
    <t>общество с ограниченной ответственностью "Внешнеэкономическое объединение "Станкоимпорт"</t>
  </si>
  <si>
    <t>акционерное общество "Научно-исследовательский институт газоразрядных приборов "Плазма"</t>
  </si>
  <si>
    <t>акционерное общество "Научно-исследовательский конструкторско-технологический институт двигателей"</t>
  </si>
  <si>
    <t>акционерное общество "Ремонтно-механический завод "Енисей"</t>
  </si>
  <si>
    <t>акционерное общество "Научно-исследовательский институт резиновых полимерных изделий"</t>
  </si>
  <si>
    <t>открытое акционерное общество "Загорский оптико-механический завод"</t>
  </si>
  <si>
    <t>акционерное общество "Уральский научно-исследовательский химический институт с опытным заводом"</t>
  </si>
  <si>
    <t>акционерное общество "Уфимское агрегатное производственное объединение"</t>
  </si>
  <si>
    <t>акционерное общество "Брянский электромеханический завод"</t>
  </si>
  <si>
    <t>общество с ограниченной ответственностью "РТ-Глобальные ресурсы"</t>
  </si>
  <si>
    <t>акционерное общество "Калужский электромеханический завод"</t>
  </si>
  <si>
    <t>акционерное общество "ВНИИавтогенмаш"</t>
  </si>
  <si>
    <t>акционерное общество "Конструкторское бюро по ремонтным мастерским и автофургонам"</t>
  </si>
  <si>
    <t>акционерное общество "Государственный научно-исследовательский институт биосинтеза белковых веществ"</t>
  </si>
  <si>
    <t>акционерное общество "Национальный центр лазерных систем и комплексов "Астрофизика"</t>
  </si>
  <si>
    <t>акционерное общество "Восточный научно-исследовательский углехимический институт"</t>
  </si>
  <si>
    <t>акционерное общество "Уфимское научно- производственное предприятие "Молния"</t>
  </si>
  <si>
    <t>ООО "Управляющая компания "Верейская 29"</t>
  </si>
  <si>
    <t>акционерное общество "Всероссийский научно-исследовательский институт "Градиент"</t>
  </si>
  <si>
    <t>общество с ограниченной ответственностью "Авиакапитал-Сервис"</t>
  </si>
  <si>
    <t>акционерное общество "Пензенский Научно-исследовательский институт"</t>
  </si>
  <si>
    <t>акционерное общество "Научно-исследовательский институт природных, синтетических алмазов и инструмента"</t>
  </si>
  <si>
    <t>акционерное общество "Рязанский завод металлокерамических приборов"</t>
  </si>
  <si>
    <t>акционерное общество "Центральный институт по проектированию машиностроительных предприятий "Центромашпроект"</t>
  </si>
  <si>
    <t>открытое акционерное общество "Московское производственное объединение "Металлист"</t>
  </si>
  <si>
    <t>акционерное общество "Научно-исследовательский институт "Полюс" им. М.Ф. Стельмаха"</t>
  </si>
  <si>
    <t>акционерное общество "Обнинское научно-производственное предприятие "Технология" им. А.Г.Ромашина"</t>
  </si>
  <si>
    <t>открытое акционерное общество "Иркутский научно-исследовательский институт авиационной технологии и организации производства"</t>
  </si>
  <si>
    <t>акционерное общество "Конструкторское бюро по радиоконтролю, навигации и связи"</t>
  </si>
  <si>
    <t>акционерное общество Пензенское производственное объединение "Электроприбор"</t>
  </si>
  <si>
    <t>открытое акционерное общество "Научно-исследовательский проектно-технологический институт "МИКРОН"</t>
  </si>
  <si>
    <t>акционерное общество "Российский научно-исследовательский институт "Электронстандарт"</t>
  </si>
  <si>
    <t>акционерное общество "Центральное конструкторско-технологическое бюро полимерных материалов с опытным производством"</t>
  </si>
  <si>
    <t>акционерное общество "Кожа"</t>
  </si>
  <si>
    <t>акционерное общество "Научно-исследовательский и технологический институт оптического материаловедения Всероссийского научного центра "Государственный оптический институт им. С.И. Вавилова"</t>
  </si>
  <si>
    <t>общество с ограниченной ответственностью "Хим-Трейд"</t>
  </si>
  <si>
    <t>акционерное общество "Научно-производственное предприятие "Респиратор"</t>
  </si>
  <si>
    <t>акционерное общество "Калужский завод радиотехнической аппаратуры"</t>
  </si>
  <si>
    <t>акционерное общество "Уфимский завод микроэлектроники Магнетрон"</t>
  </si>
  <si>
    <t>акционерное общество "Омский опытно-промышленный завод "Нефтехимавтоматика"</t>
  </si>
  <si>
    <t>акционерное общество "Научно-исследовательский институт "Феррит-Домен"</t>
  </si>
  <si>
    <t>акционерное общество "Новосибирский механический завод "Искра"</t>
  </si>
  <si>
    <t>открытое акционерное общество "Колюбакинский игольный завод"</t>
  </si>
  <si>
    <t>акционерное общество "Научно-производственное объединение "Государственный институт прикладной оптики"</t>
  </si>
  <si>
    <t>акционерное общество "Государственный ордена Трудового Красного Знамени научно-исследовательский институт химии и технологии элементоорганических соединений"</t>
  </si>
  <si>
    <t>акционерное общество "Уфимский проектно-конструкторский институт авиационной промышленности "Уфаавиапроект"</t>
  </si>
  <si>
    <t>акционерное общество "Калужский научно-исследовательский радиотехнический институт"</t>
  </si>
  <si>
    <t>Общество с ограниченной ответственностью "РТ-ТехСервис"</t>
  </si>
  <si>
    <t>акционерное общество "Научно-производственное предприятие "Сигнал"</t>
  </si>
  <si>
    <t>открытое акционерное общество "РТ-Станкоинструмент"</t>
  </si>
  <si>
    <t>акционерное общество "Центральный научно-исследовательский институт измерительной аппаратуры"</t>
  </si>
  <si>
    <t>акционерное общество "Ордена Трудового Красного Знамени специальный научно-исследовательский и проектный институт "СоюзпромНИИпроект"</t>
  </si>
  <si>
    <t>акционерное общество "Научно-производственное объединение "Оптика"</t>
  </si>
  <si>
    <t>акционерное общество "Научно-исследовательский институт синтетического волокна с экспериментальным заводом"</t>
  </si>
  <si>
    <t>акционерное общество "Публичное акционерное общество "Электропривод"</t>
  </si>
  <si>
    <t>акционерное общество "Научно-исследовательский институт "Экран"</t>
  </si>
  <si>
    <t>Общество с ограниченной ответственностью "РТ-Энергоэффективность"</t>
  </si>
  <si>
    <t>общество с ограниченной ответственностью "Савеловский машиностроительный завод"</t>
  </si>
  <si>
    <t>закрытое акционерное общество "Торговый дом "РОСЭЛ"</t>
  </si>
  <si>
    <t>открытое акционерное общество "Центральное научно-конструкторское бюро"</t>
  </si>
  <si>
    <t>акционерное общество "Производственное объединение "Уральский оптико-механический завод" имени Э.С. Яламова"</t>
  </si>
  <si>
    <t>акционерное общество "Всероссийский научно-исследовательский институт токов высокой частоты имени В.П.Вологдина"</t>
  </si>
  <si>
    <t>акционерное общество "Ульяновский государственный проектно-конструкторский институт авиационной промышленности"</t>
  </si>
  <si>
    <t>акционерное общество "Научно-исследовательский институт специальных информационно-измерительных систем"</t>
  </si>
  <si>
    <t>открытое акционерное общество "ВНИИИНСТРУМЕНТ"</t>
  </si>
  <si>
    <t>открытое акционерное общество "Федеральный научно-технический центр "Информхиммаш"</t>
  </si>
  <si>
    <t>акционерное общество "Швабе – Исследования"</t>
  </si>
  <si>
    <t>открытое акционерное общество "ВНЕШНЕЭКОНОМИЧЕСКОЕ ОБЪЕДИНЕНИЕ "СОЮЗХИМЭКСПОРТ"</t>
  </si>
  <si>
    <t>открытое акционерное общество "Московский завод электромеханизмов"</t>
  </si>
  <si>
    <t>открытое акционерное общество "Микротехника"</t>
  </si>
  <si>
    <t>общество с ограниченной ответственностью "Завод индустриальных покрытий"</t>
  </si>
  <si>
    <t>открытое акционерное общество "Расчет"</t>
  </si>
  <si>
    <t>акционерное общество "Швабе – Оборона и Защита"</t>
  </si>
  <si>
    <t>открытое акционерное общество "Научно-исследовательский институт текстильных материалов"</t>
  </si>
  <si>
    <t>публичное акционерное общество "Брянское специальное конструкторское бюро"</t>
  </si>
  <si>
    <t>Общество с ограниченной ответственностью "Внешнеэкономическое объединение "Технопромэкспорт"</t>
  </si>
  <si>
    <t>открытое акционерное общество "Всероссийский научно-исследовательский проектно-конструкторский и технологический институт электромашиностроения"</t>
  </si>
  <si>
    <t>открытое акционерное общество "Центральный научно-исследовательский институт  "Циклон"</t>
  </si>
  <si>
    <t>открытое акционерное общество "Бийское производственное объединение "Сибприбормаш"</t>
  </si>
  <si>
    <t>акционерное общество "Швабе – Приборы"</t>
  </si>
  <si>
    <t>акционерное общество "Ленинградский Северный завод"</t>
  </si>
  <si>
    <t xml:space="preserve"> акционерное общество "Телевизионный завод "Садко"</t>
  </si>
  <si>
    <t>акционерное общество "РЭМОС-Пермские моторы"</t>
  </si>
  <si>
    <t>открытое акционерное общество "Научно-исследовательский институт электронных приборов"</t>
  </si>
  <si>
    <t>акционерное общество "Техмашсервис"</t>
  </si>
  <si>
    <t>акционерное общество "Швабе – Технологическая лаборатория"</t>
  </si>
  <si>
    <t>акционерное общество "Научно-исследовательский институт парашютостроения"</t>
  </si>
  <si>
    <t>акционерное общество "Научно-производственное объединение "Радиоэлектроника" им.В.И.Шимко"</t>
  </si>
  <si>
    <t>акционерное общество "Ульяновский научно-исследовательский институт авиационной технологии и организации производства"</t>
  </si>
  <si>
    <t>открытое акционерное общество "Научно-производственное предприятие "Темп"</t>
  </si>
  <si>
    <t>акционерное общество "Швабе – Фотоприбор"</t>
  </si>
  <si>
    <t>акционерное общество "Авиационно-сервисный центр  "Авиационное оборудование"</t>
  </si>
  <si>
    <t>акционерное общество "Казанское приборостроительное конструкторское бюро"</t>
  </si>
  <si>
    <t>Акционерное общество "Янтарный Ювелирпром"</t>
  </si>
  <si>
    <t>акционерное общество "Инструментальный завод-Пермские моторы"</t>
  </si>
  <si>
    <t>акционерное общество "Нижегородский институт технологии и организации производства"</t>
  </si>
  <si>
    <t>открытое акционерное общество "Испытательно-контрактное предприятие "РИТМ"</t>
  </si>
  <si>
    <t>открытое акционерное общество "Швабе – Фотосистемы"</t>
  </si>
  <si>
    <t>акционерное общество "Котласский электромеханический завод"</t>
  </si>
  <si>
    <t>акционерное общество "Научно-исследовательский институт развития соединителей и изделий специальной электроники"</t>
  </si>
  <si>
    <t>акционерное общество "Оптрон"</t>
  </si>
  <si>
    <t>акционерное общество "Чебоксарское производственное объединение имени В.И.Чапаева"</t>
  </si>
  <si>
    <t>акционерное общество "Авиаагрегат"</t>
  </si>
  <si>
    <t>открытое акционерное общество "Научно – производственный центр "САПСАН"</t>
  </si>
  <si>
    <t>открытое акционерное общество "Кемеровский механический завод"</t>
  </si>
  <si>
    <t>открытое акционерное общество "Машиностроительный завод "Маяк"</t>
  </si>
  <si>
    <t>акционерное общество "Автоматика"</t>
  </si>
  <si>
    <t>закрытое акционерное общество "Новые технологии света"</t>
  </si>
  <si>
    <t>акционерное общество "Ленинградский механический завод имени Карла Либкнехта"</t>
  </si>
  <si>
    <t>акционерное общество "Научно-производственное предприятие "Старт" им. А.И. Яскина"</t>
  </si>
  <si>
    <t>акционерное общество "Научно-исследовательский инженерный институт"</t>
  </si>
  <si>
    <t>открытое акционерное общество "Казанский научно-исследовательский технологический институт вычислительной техники"</t>
  </si>
  <si>
    <t>акционерное общество "Германий"</t>
  </si>
  <si>
    <t>акционерное общество "Государственный научно-исследовательский институт "Кристалл"</t>
  </si>
  <si>
    <t>открытое акционерное общество "Московский конструкторско-производственный комплекс "Универсал"</t>
  </si>
  <si>
    <t>акционерное общество "Радиоприборснаб"</t>
  </si>
  <si>
    <t>акционерное общество "Красноармейский научно-исследовательский институт механизации"</t>
  </si>
  <si>
    <t>открытое акционерное общество "Научно-технический центр системы и средства государственного опознавания"</t>
  </si>
  <si>
    <t>акционерное общество "Научно-исследовательский институт полупроводниковых приборов"</t>
  </si>
  <si>
    <t xml:space="preserve">акционерное общество "Завод "Пластмасс" </t>
  </si>
  <si>
    <t>акционерное общество "Нижегородское научно-производственное объединение имени М.В. Фрунзе"</t>
  </si>
  <si>
    <t>Общество с ограниченной ответственностью "РТЛ-Таможенный оператор"</t>
  </si>
  <si>
    <t>акционерное общество  "Завод полупроводниковых приборов"</t>
  </si>
  <si>
    <t>акционерное общество "Химический завод "Планта"</t>
  </si>
  <si>
    <t>открытое акционерное общество "Федеральный научно-производственный центр "Нижегородский научно-исследовательский приборостроительный институт "Кварц" имени А.П. Горшкова"</t>
  </si>
  <si>
    <t>Акционерное общество "Электронный паспорт"</t>
  </si>
  <si>
    <t>акционерное общество "Научно-производственное объединение "Пульсар"</t>
  </si>
  <si>
    <t>акционерное общество "Научно-производственное объединение "Прибор"</t>
  </si>
  <si>
    <t>акционерное общество "Специальное конструкторское бюро радиоизмерительной аппаратуры"</t>
  </si>
  <si>
    <t>акционерное общество  "Научно-производственное предприятие "Циклон-Тест"</t>
  </si>
  <si>
    <t>акционерное общество "Научно-производственное предприятие "Краснознаменец"</t>
  </si>
  <si>
    <t xml:space="preserve"> акционерное общество "Курский Завод "Маяк"</t>
  </si>
  <si>
    <t>акционерное общество  "Научно-производственное предприятие "Восток"</t>
  </si>
  <si>
    <t>акционерное общество "Научно-исследовательский институт полимерных материалов"</t>
  </si>
  <si>
    <t>акционерное общество "Государственный завод "Пульсар"</t>
  </si>
  <si>
    <t>акционерное общество "Научно-исследовательский институт электронных приборов"</t>
  </si>
  <si>
    <t>акционерное общество "Конструкторское бюро завода "Россия"</t>
  </si>
  <si>
    <t>акционерное общество "Новосибирский завод радиодеталей "Оксид"</t>
  </si>
  <si>
    <t>акционерное общество "Научно-производственное объединение "СПЛАВ"</t>
  </si>
  <si>
    <t>акционерное общество  "Научно-исследовательский институт "Платан" с заводом при НИИ"</t>
  </si>
  <si>
    <t>открытое акционерное общество "Федеральный научно-производственный центр "Научно- исследовательский институт прикладной химии"</t>
  </si>
  <si>
    <t xml:space="preserve">акционерное общество "Научно-производственная компания "РИТМ" </t>
  </si>
  <si>
    <t>акционерное общество "Научно-производственное предприятие "Контакт"</t>
  </si>
  <si>
    <t>акционерное общество "Муромский приборостроительный завод"</t>
  </si>
  <si>
    <t>открытое акционерное общество "Концерн "Авиаприборостроение" </t>
  </si>
  <si>
    <t>открытое акционерное общество "Научно-производственное предприятие "Салют"</t>
  </si>
  <si>
    <t>акционерное общество "Научно-исследовательский технологический институт имени П.И.Снегирева"</t>
  </si>
  <si>
    <t>акционерное общество "Научно-исследовательский институт авиационного оборудования"</t>
  </si>
  <si>
    <t>акционерное общество  "Омега"</t>
  </si>
  <si>
    <t>акционерное общество "Новосибирский завод искусственного волокна"</t>
  </si>
  <si>
    <t>акционерное общество "Инженерное сопровождение испытаний "Взлет"</t>
  </si>
  <si>
    <t>Открытое акционерное общество "Государственный научно-исследовательский проектный и конструкторский институт горного дела и металлургии цветных металлов"</t>
  </si>
  <si>
    <t>акционерное общество  "Специальное конструкторско-технологическое бюро по релейной технике"</t>
  </si>
  <si>
    <t>акционерное общество "Производственное объединение "Завод имени Серго"</t>
  </si>
  <si>
    <t>акционерное общество "Государственный Рязанский приборный завод" </t>
  </si>
  <si>
    <t>Общество  с ограниченной ответственностью  "Автоград-Водоканал"</t>
  </si>
  <si>
    <t>акционерное общество  "Внешнеэкономическое объединение "Радиоэкспорт"</t>
  </si>
  <si>
    <t>открытое акционерное общество "Научно-производственное предприятие "Дельта"</t>
  </si>
  <si>
    <t>акционерное общество "Опытно-конструкторское бюро "Электроавтоматика" имени П.А. Ефимова</t>
  </si>
  <si>
    <t>акционерное общество "Научно-исследовательский институт программных средств"</t>
  </si>
  <si>
    <t>открытое акционерное общество "Верхнетуринский машиностроительный завод"</t>
  </si>
  <si>
    <t>акционерное общество "Уфимское приборостроительное производственное объединение"</t>
  </si>
  <si>
    <t>акционерное общество "Информакустика"</t>
  </si>
  <si>
    <t>акционерное общество "Серовский механический завод"</t>
  </si>
  <si>
    <t>акционерное общество "Жигулевский радиозавод"</t>
  </si>
  <si>
    <t>акционерное общество "Специальное проектно-конструкторское бюро средств управления"</t>
  </si>
  <si>
    <t>открытое акционерное общество "Завод имени М.И. Калинина"</t>
  </si>
  <si>
    <t>акционерное общество "Концерн "Авионика"</t>
  </si>
  <si>
    <t>Общество с ограниченной ответственностью "РТ-Капитал"</t>
  </si>
  <si>
    <t>акционерное общество "Новосибирский завод полупроводниковых приборов с ОКБ"</t>
  </si>
  <si>
    <t>акционерное общество "Брянский химический завод имени 50-летия СССР"</t>
  </si>
  <si>
    <t>акционерное общество "Корпорация "Аэрокосмическое оборудование"</t>
  </si>
  <si>
    <t>акционерное общество "Научно-исследовательский институт микроэлектронной аппаратуры "Прогресс"</t>
  </si>
  <si>
    <t>открытое акционерное общество "Машиностроительный завод "Штамп" имени Б.Л. Ванникова"</t>
  </si>
  <si>
    <t>акционерное общество "Научно-производственное предприятие "ЭлТом"</t>
  </si>
  <si>
    <t>акционерное общество "Научно-исследовательский институт средств вычислительной техники"</t>
  </si>
  <si>
    <t>открытое акционерное общество "Нижнеломовский электромеханический завод"</t>
  </si>
  <si>
    <t>открытое акционерное общество "Конструкторское бюро автоматических систем"</t>
  </si>
  <si>
    <t>акционерное общество "Центральное конструкторское бюро специальных радиоматериалов"</t>
  </si>
  <si>
    <t>открытое акционерное общество "Сигнал"</t>
  </si>
  <si>
    <t>акционерное общество "Владыкинский механический завод" </t>
  </si>
  <si>
    <t>акционерное общество "Калужский завод телеграфной аппаратуры"</t>
  </si>
  <si>
    <t>акционерное общество "Научно-производственное объединение  "Базальт"</t>
  </si>
  <si>
    <t>закрытое акционерное общество "Ф-Финанс"</t>
  </si>
  <si>
    <t>акционерное общество "Специальное конструкторское бюро вычислительной техники"</t>
  </si>
  <si>
    <t>открытое акционерное общество "Соликамский завод "Урал"</t>
  </si>
  <si>
    <t>закрытое акционерное общество "Ф-Капитал"</t>
  </si>
  <si>
    <t>акционерное общество "Ново-Вятка"</t>
  </si>
  <si>
    <t>акционерное общество "Ростовский завод "Прибор"</t>
  </si>
  <si>
    <t>акционерное общество Научно-исследовательский институт промышленного телевидения "Растр"</t>
  </si>
  <si>
    <t>открытое акционерное общество "Нововятский механический завод"</t>
  </si>
  <si>
    <t>Общество с ограниченной ответственностью "РТ-Экспо"</t>
  </si>
  <si>
    <t>открытое акционерное общество "Научно-исследовательский информационный вычислительный центр "Контакт"</t>
  </si>
  <si>
    <t xml:space="preserve"> Акционерное общество "Нижегородский научно-технический центр программных средств вычислительной техники"</t>
  </si>
  <si>
    <t>акционерное общество "Научно-производственное объединение "Поиск"</t>
  </si>
  <si>
    <t>акционерное общество "Алексинский опытный механический завод"</t>
  </si>
  <si>
    <t xml:space="preserve"> Акционерное общество "Центральная больница экспертизы летно-испытательного состава"</t>
  </si>
  <si>
    <t>акционерное общество "Спецмагнит"</t>
  </si>
  <si>
    <t>акционерное общество "Краснозаводский химический завод"</t>
  </si>
  <si>
    <t>акционерное общество "Научно-исследовательский и проектно-технологический институт электроугольных изделий"</t>
  </si>
  <si>
    <t>Открытое акционерное общество "Всероссийский научно-исследовательский институт по осушению месторождений полезных ископаемых, защите инженерных сооружений от обводнения, специальным горным работам, геомеханике, геофизике, гидротехнике, геологии и маркшейдерскому делу"</t>
  </si>
  <si>
    <t>акционерное общество "Завод "Марс"</t>
  </si>
  <si>
    <t xml:space="preserve"> Акционерное общество "Главный информационно-вычислительный центр металлургии "Центринформ"</t>
  </si>
  <si>
    <t>акционерное общество "Центральное конструкторское бюро "Дейтон"</t>
  </si>
  <si>
    <t>Открытое акционерное общество "Проектно-конструкторское бюро металлургической теплотехники и энерготехнологии цветной металлургии"</t>
  </si>
  <si>
    <t>акционерное общество "Омский приборостроительный ордена Трудового Красного Знамени завод им. Н.Г.Козицкого"</t>
  </si>
  <si>
    <t>акционерное общество "Внешнеторговое объединение "Электронинторг"</t>
  </si>
  <si>
    <t>открытое акционерное общество "Саратовэлектронпроект"</t>
  </si>
  <si>
    <t>открытое акционерное общество "Научно-исследовательский институт электронных материалов"</t>
  </si>
  <si>
    <t>открытое акционерное общество "Алагирский завод сопротивлений"</t>
  </si>
  <si>
    <t>открытое акционерное общество "Научно-исследовательский институт электронно-механических приборов"</t>
  </si>
  <si>
    <t>акционерное общество "Научно-производственное предприятие "Исток" имени А.И. Шокина"</t>
  </si>
  <si>
    <t>открытое акционерное общество "Научно-производственное предприятие "Пульсар"</t>
  </si>
  <si>
    <t>открытое акционерное общество "Научно-исследовательский институт вакуумной техники им. С.А.Векшинского"</t>
  </si>
  <si>
    <t>Общество с ограниченной ответственностью "РТ-Комплектимпекс"</t>
  </si>
  <si>
    <t>акционерное общество "Научно-производственное предприятие "Алмаз"</t>
  </si>
  <si>
    <t>Открытое акционерное общество "Волгоградхимреактив"</t>
  </si>
  <si>
    <t>открытое акционерное общество "Концерн "Орион"</t>
  </si>
  <si>
    <t>открытое акционерное общество "Октава"</t>
  </si>
  <si>
    <t>Акционерное общество "Научно-технический комплекс Ленэлектронмаш"</t>
  </si>
  <si>
    <t>Акционерное общество "РТ-Строительные технологии"</t>
  </si>
  <si>
    <t>акционерное общество "Научно-исследовательский институт телевидения"</t>
  </si>
  <si>
    <t>Общество с ограниченной ответственностью  "Страховой брокер "РТ-Страхование"</t>
  </si>
  <si>
    <t>Открытое акционерное общество "РТ-Проектные технологии"</t>
  </si>
  <si>
    <t>открытое акционерное общество "Научно-исследовательский и опытно-экспериментальный центр интеллектуальных технологий "Петрокомета"</t>
  </si>
  <si>
    <t>акционерное общество "Конструкторское бюро полупроводникового машиностроения"</t>
  </si>
  <si>
    <t xml:space="preserve">акционерное общество "Научно-производственное предприятие "Кант" </t>
  </si>
  <si>
    <t>акционерное общество "Научно-технический центр современных навигационных технологий "Интернавигация"</t>
  </si>
  <si>
    <t>Акционерное общество "РТ-Финанс"</t>
  </si>
  <si>
    <t>акционерное общество  "Омский научно-исследовательский институт приборостроения"</t>
  </si>
  <si>
    <t>акционерное общество  "Барнаульское специальное конструкторское бюро "Восток"</t>
  </si>
  <si>
    <t>акционерное общество "Радиозавод"</t>
  </si>
  <si>
    <t>открытое акционерное общество "Супертел ДАЛС"</t>
  </si>
  <si>
    <t>акционерное общество "Омское производственное объединение "Иртыш"</t>
  </si>
  <si>
    <t>открытое акционерное общество "Внешнеэкономическое объединение "Машприборинторг"</t>
  </si>
  <si>
    <t>акционерное общество "НПП "Торий"</t>
  </si>
  <si>
    <t>Общество с ограниченной ответственностью "РТ-Интеллектэкспорт"</t>
  </si>
  <si>
    <t>% от суммы Договоров</t>
  </si>
  <si>
    <t>Общее количество закупок с заключенными договорами</t>
  </si>
  <si>
    <t>Общее количество запланированных закупок</t>
  </si>
  <si>
    <t>Общее количество объявленных закупок</t>
  </si>
  <si>
    <t>Закупка размещена</t>
  </si>
  <si>
    <t>8.1</t>
  </si>
  <si>
    <t>8.2</t>
  </si>
  <si>
    <t>Закупка у ЕП</t>
  </si>
  <si>
    <t>% от суммы договоров</t>
  </si>
  <si>
    <t>Общество с ограниченной ответственностью «БК на Русаковской»</t>
  </si>
  <si>
    <t>Акционерное общество «Димитровградский автоагрегатный завод»</t>
  </si>
  <si>
    <t>ФГУП "НПО"Микроген"</t>
  </si>
  <si>
    <t>0907</t>
  </si>
  <si>
    <t>Акционерное общество «Скопинский автоагрегатный завод»</t>
  </si>
  <si>
    <t>Акционерное общество «Сердобский машиностроительный завод»</t>
  </si>
  <si>
    <t>Акционерное общество Сельскохозяйственное предприятие "ЛИДЕР"</t>
  </si>
  <si>
    <t>акционерное общество "Вологодский оптико-механический завод"</t>
  </si>
  <si>
    <t>1015</t>
  </si>
  <si>
    <t>общество с ограниченной ответственностью 
 "Швабе – Екатеринбург"</t>
  </si>
  <si>
    <t>1016</t>
  </si>
  <si>
    <t>общество с ограниченной ответственностью 
 "Швабе – Капитал"</t>
  </si>
  <si>
    <t>1017</t>
  </si>
  <si>
    <t>общество с ограниченной ответственностью 
 "Швабе – Инжиниринг"</t>
  </si>
  <si>
    <t>1018</t>
  </si>
  <si>
    <t>общество с ограниченной ответственностью 
 "Швабе – Медиа"</t>
  </si>
  <si>
    <t>1019</t>
  </si>
  <si>
    <t>1719</t>
  </si>
  <si>
    <t>общество с ограниченной ответственностью 
 "Швабе – Ростов"</t>
  </si>
  <si>
    <t>1020</t>
  </si>
  <si>
    <t>общество с ограниченной ответственностью 
 "Северная топливно-энергетическая компания"</t>
  </si>
  <si>
    <t>1021</t>
  </si>
  <si>
    <t>общество с ограниченной ответственностью 
 "Швабе – Москва"</t>
  </si>
  <si>
    <t>1022</t>
  </si>
  <si>
    <t>общество с ограниченной ответственностью 
 "Швабе – Нижний Новгород"</t>
  </si>
  <si>
    <t>1023</t>
  </si>
  <si>
    <t>общество с ограниченной ответственностью 
 "Швабе – Омск"</t>
  </si>
  <si>
    <t>1024</t>
  </si>
  <si>
    <t>акционерное общество "Калиновский химический завод"</t>
  </si>
  <si>
    <t>0849</t>
  </si>
  <si>
    <t>Общество  с ограниченной ответственностью "Инжиниринговая компания "Технопромэкспорт"</t>
  </si>
  <si>
    <t>Открытое акционерное  общество «Научно-исследовательский институт цветных металлов» «ГИНЦВЕТМЕТ»</t>
  </si>
  <si>
    <t>Открытое акционерное общество «Топливная компания ТВК»</t>
  </si>
  <si>
    <t>112</t>
  </si>
  <si>
    <t>Количество закупок с заключенным договором</t>
  </si>
  <si>
    <t>%  от общего количества закупок с заключенными договорами</t>
  </si>
  <si>
    <t>Цена договоров, руб.</t>
  </si>
  <si>
    <t>7.1</t>
  </si>
  <si>
    <t>Бумажная</t>
  </si>
  <si>
    <t>Всего:</t>
  </si>
  <si>
    <t>Количеcтво квалификационных отборов
для серий закупок</t>
  </si>
  <si>
    <t>Факт (объявлено)</t>
  </si>
  <si>
    <t>№ мес</t>
  </si>
  <si>
    <t>Поквартальное исполнение РПЗ, %</t>
  </si>
  <si>
    <t>ГОДОВОЕ ИСПОЛНЕНИЕ РПЗ, %</t>
  </si>
  <si>
    <t>АО "СИБЕР"</t>
  </si>
  <si>
    <t>общество с ограниченной ответственностью "Частная охранная организация "РТО-Гард"</t>
  </si>
  <si>
    <t>1720</t>
  </si>
  <si>
    <t>Общая сумма закупок с заключенными договорами, руб.</t>
  </si>
  <si>
    <t>* - для закупок, извещение о проведении которых размещено до 1 апреля 2016 года, способ закупки указывается в соответствии с перечнем способов, утвержденным Единым Положением о закупке ГК "Ростех"</t>
  </si>
  <si>
    <t>Способы закупок*</t>
  </si>
  <si>
    <t>Основания ЕП**</t>
  </si>
  <si>
    <t>Иное</t>
  </si>
  <si>
    <t>**  - "Иное" в качестве основания для закупки у ЕП применимо для закупок, извещение о проведении которых размещается до 1 апреля 2016 года; при этом во вкладке "Примечание" указывается основание в соответствии с действующей редакцией положения о закупке Заказчика</t>
  </si>
  <si>
    <t>Закупки в электронной и бумажной формах</t>
  </si>
  <si>
    <t>0593</t>
  </si>
  <si>
    <t>акционерное общество "ЦНИТИ "Техномаш"</t>
  </si>
  <si>
    <t>1.1.1</t>
  </si>
  <si>
    <t>1.1.2</t>
  </si>
  <si>
    <t>1.1.3</t>
  </si>
  <si>
    <t>Номер статьи</t>
  </si>
  <si>
    <t>Наименование статьи</t>
  </si>
  <si>
    <t>1.1.4.1</t>
  </si>
  <si>
    <t>1.1.4.2</t>
  </si>
  <si>
    <t>1.1.4.3</t>
  </si>
  <si>
    <t>1.1.4.4</t>
  </si>
  <si>
    <t>1.1.4.5</t>
  </si>
  <si>
    <t>1.1.4.6</t>
  </si>
  <si>
    <t>1.1.4.7</t>
  </si>
  <si>
    <t>1.1.5</t>
  </si>
  <si>
    <t>1.1.6</t>
  </si>
  <si>
    <t>1.1.7</t>
  </si>
  <si>
    <t>1.1.8</t>
  </si>
  <si>
    <t>1.3.1</t>
  </si>
  <si>
    <t>1.3.2</t>
  </si>
  <si>
    <t>1.3.3.1</t>
  </si>
  <si>
    <t>1.3.3.2</t>
  </si>
  <si>
    <t>1.3.3.3</t>
  </si>
  <si>
    <t>1.3.3.4</t>
  </si>
  <si>
    <t>1.3.3.5</t>
  </si>
  <si>
    <t>1.3.4.1</t>
  </si>
  <si>
    <t>1.3.4.2</t>
  </si>
  <si>
    <t>1.3.4.3</t>
  </si>
  <si>
    <t>1.3.4.4</t>
  </si>
  <si>
    <t>1.3.5.1</t>
  </si>
  <si>
    <t>1.3.5.2</t>
  </si>
  <si>
    <t>1.3.5.3</t>
  </si>
  <si>
    <t>1.3.5.4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</si>
  <si>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</si>
  <si>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</si>
  <si>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</si>
  <si>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</si>
  <si>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</si>
  <si>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</si>
  <si>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</si>
  <si>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</si>
  <si>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</si>
  <si>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</si>
  <si>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</si>
  <si>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</si>
  <si>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</si>
  <si>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</si>
  <si>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</si>
  <si>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</si>
  <si>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1.3.22.1</t>
  </si>
  <si>
    <t>1.3.22.2</t>
  </si>
  <si>
    <t>1.3.23</t>
  </si>
  <si>
    <t>1.3.24</t>
  </si>
  <si>
    <t>1.3.25.1</t>
  </si>
  <si>
    <t>1.3.25.2</t>
  </si>
  <si>
    <t>1.3.26</t>
  </si>
  <si>
    <t>Платежи по оплате работ и услуг головной организации ХК (ИС) (за исключением комиссионных вознаграждений)</t>
  </si>
  <si>
    <t>1.3.27</t>
  </si>
  <si>
    <t>1.3.28</t>
  </si>
  <si>
    <t>1.5</t>
  </si>
  <si>
    <t>Средства, направленные на выплату процентов по кредитам и займам</t>
  </si>
  <si>
    <t>2.1.1.1</t>
  </si>
  <si>
    <t>2.1.1.2</t>
  </si>
  <si>
    <t>2.1.1.3</t>
  </si>
  <si>
    <t>2.1.1.4</t>
  </si>
  <si>
    <t>2.1.2.1</t>
  </si>
  <si>
    <t>2.1.2.2</t>
  </si>
  <si>
    <t>2.1.2.3</t>
  </si>
  <si>
    <t>2.1.3.1</t>
  </si>
  <si>
    <t>2.1.3.2</t>
  </si>
  <si>
    <t>2.1.3.3</t>
  </si>
  <si>
    <t>2.1.3.4</t>
  </si>
  <si>
    <t>2.1.4.1</t>
  </si>
  <si>
    <t>2.1.4.2</t>
  </si>
  <si>
    <t>2.1.4.3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</si>
  <si>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</si>
  <si>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</si>
  <si>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</si>
  <si>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</si>
  <si>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</si>
  <si>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</si>
  <si>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</si>
  <si>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</si>
  <si>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2.2.1.1</t>
  </si>
  <si>
    <t>2.2.1.2</t>
  </si>
  <si>
    <t>2.2.2.1</t>
  </si>
  <si>
    <t>2.2.2.2</t>
  </si>
  <si>
    <t>2.2.2.3</t>
  </si>
  <si>
    <t>2.2.2.4</t>
  </si>
  <si>
    <t>2.2.3.1</t>
  </si>
  <si>
    <t>2.2.3.1.1</t>
  </si>
  <si>
    <t>2.2.3.2</t>
  </si>
  <si>
    <t>2.2.3.3</t>
  </si>
  <si>
    <t>2.2.3.4</t>
  </si>
  <si>
    <t>2.2.3.5</t>
  </si>
  <si>
    <t>2.2.3.6</t>
  </si>
  <si>
    <t>2.2.3.7</t>
  </si>
  <si>
    <t>2.2.3.7.1</t>
  </si>
  <si>
    <t>2.2.3.8</t>
  </si>
  <si>
    <t>2.2.3.9</t>
  </si>
  <si>
    <t>2.2.4.1</t>
  </si>
  <si>
    <t>2.2.4.2</t>
  </si>
  <si>
    <t>2.2.4.3</t>
  </si>
  <si>
    <t xml:space="preserve"> акционерное общество "Центральный научно-исследоватлеьский институт автоматики и гидравлики"</t>
  </si>
  <si>
    <t>Открытое акционерное общество "Серпуховский завод "Металлист"</t>
  </si>
  <si>
    <t>Открытое акционерное общество "Специальное конструкторское бюро "Турбина"</t>
  </si>
  <si>
    <t xml:space="preserve"> акционерное общество"Ротор"</t>
  </si>
  <si>
    <t>Открытое акционерное общество "Центральное конструкторское бюро аппаратостроения"</t>
  </si>
  <si>
    <t>Открытое акционерное общество «Аркус-Д»</t>
  </si>
  <si>
    <t>0594</t>
  </si>
  <si>
    <t>Общество с ограниченной ответственностью "Тенрон"</t>
  </si>
  <si>
    <t>0595</t>
  </si>
  <si>
    <t>Общество с ограниченной ответственностью "Дочернее предприятие Медикотехнический центр НИИПП"</t>
  </si>
  <si>
    <t>0596</t>
  </si>
  <si>
    <t>Акционерное общество "Научно-производственное предприятие "Салют-25"</t>
  </si>
  <si>
    <t>Закрытое акционерное общество "Научно-производственное предприятие "Салют-МИКРО"</t>
  </si>
  <si>
    <t>0597</t>
  </si>
  <si>
    <t>0598</t>
  </si>
  <si>
    <t>Публичное акционерное общество "Институт электронных управляющих машин им. И.С. Брука"</t>
  </si>
  <si>
    <t>общество с ограниченной ответственностью  «РТ-Брокер»</t>
  </si>
  <si>
    <t>акционерное общество «Научно-исследовательский институт технического стекла»</t>
  </si>
  <si>
    <t>Открытое акционерное общество «Смоленский завод радиодеталей»</t>
  </si>
  <si>
    <t>Открытое акционерное общество «Полимер»</t>
  </si>
  <si>
    <t>0850</t>
  </si>
  <si>
    <t>0851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</si>
  <si>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</si>
  <si>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</si>
  <si>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</si>
  <si>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</si>
  <si>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</si>
  <si>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</si>
  <si>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</si>
  <si>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</si>
  <si>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</si>
  <si>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2001</t>
  </si>
  <si>
    <t>2002</t>
  </si>
  <si>
    <t>общество с ограниченной ответственностью "РТ-Развитие бизнеса"</t>
  </si>
  <si>
    <t>общество с ограниченной ответственностью « ТМТ»</t>
  </si>
  <si>
    <t>общество с ограниченной ответственностью «РТ-Мобильные решения»</t>
  </si>
  <si>
    <t>общество с ограниченной ответственностью «Русинформэкспорт»</t>
  </si>
  <si>
    <t>общество с ограниченной ответственностью "Нацпромлизинг"</t>
  </si>
  <si>
    <t>акционерное общество Московский радиозавод «Темп»</t>
  </si>
  <si>
    <t>закрытое акционерное общество «Измеритель-авто»</t>
  </si>
  <si>
    <t>1444</t>
  </si>
  <si>
    <t>1445</t>
  </si>
  <si>
    <t>1446</t>
  </si>
  <si>
    <t>1447</t>
  </si>
  <si>
    <t>1448</t>
  </si>
  <si>
    <t>акцинерное общество «Научно-производственное предприятие «Измеритель»</t>
  </si>
  <si>
    <t>акционерное общество «Раменский приборостроительный завод»</t>
  </si>
  <si>
    <t>акцинерное общество «Альметьевский завод «Радиоприбор»</t>
  </si>
  <si>
    <t>Открытое акционерное общество «Завод «Метеор»</t>
  </si>
  <si>
    <t>0599</t>
  </si>
  <si>
    <t>Общество с ограниченной ответственностью "РТ-Медицина"</t>
  </si>
  <si>
    <t>Акционерное общество"РТ-Логистика"</t>
  </si>
  <si>
    <t>Общество с ограниченной ответственностью "РТ-Информ"</t>
  </si>
  <si>
    <t>акционерное общество "РТ-Пожарная безопасность"</t>
  </si>
  <si>
    <t>Общество с ограниченной ответственностью «Центр закупок и логистики вертолетостроительной индустрии»"</t>
  </si>
  <si>
    <t>Публичное акционерное общество "Казанский вертолетный завод"</t>
  </si>
  <si>
    <t>Публичное акционерное общество "Арсеньевская авиационная компания "Прогресс" им. Н.И. Сазыкина"</t>
  </si>
  <si>
    <t>Общество с ограниченной ответственностью "ВР Литейное производство"</t>
  </si>
  <si>
    <t>акционерное общество "Саратовский агрегатный завод"</t>
  </si>
  <si>
    <t>акционерное общество "Вольский механический завод"</t>
  </si>
  <si>
    <t>акционерное общество "Всероссийский научно-исследовательский институт "Сигнал"</t>
  </si>
  <si>
    <t>акционерное общество "Научно-производственная корпорация Конструкторское бюро машиностроения"</t>
  </si>
  <si>
    <t>акционерное общество "Сафоновский завод "Гидрометприбор"</t>
  </si>
  <si>
    <t>акционерное общество "Конструкторское бюро точного машиностроения им. А.Э.Нудельмана"</t>
  </si>
  <si>
    <t>акционерное общество "Конструкторское бюро приборостроения"</t>
  </si>
  <si>
    <t xml:space="preserve">акционерное общество "НПО "Высокоточные комплексы" </t>
  </si>
  <si>
    <t>акционерное общество "Концерн "Автоматика"</t>
  </si>
  <si>
    <t>акционерное общество "Станкопром"</t>
  </si>
  <si>
    <t>акционерное общество "Росэлектроника"</t>
  </si>
  <si>
    <t>акционерное общество "РТ-Авто"</t>
  </si>
  <si>
    <t xml:space="preserve"> акционерное Общество "Объединенная приборостроительная корпорация"</t>
  </si>
  <si>
    <t>акционерное общество "Научно-производственный концерн "Технологии машиностроения"</t>
  </si>
  <si>
    <t>акционерное общество "Национальная иммунобиологическая компания"</t>
  </si>
  <si>
    <t>акционерное общество "Швабе"</t>
  </si>
  <si>
    <t>акционерное общество "Технодинамика"</t>
  </si>
  <si>
    <t>акционерное общество "Концерн Радиоэлектронные технологии"</t>
  </si>
  <si>
    <t>акционерное общество "СИБЕР"</t>
  </si>
  <si>
    <t>акционерное общество "Объединенная двигателестроительная корпорация"</t>
  </si>
  <si>
    <t>акционерное общество "Московский вертолетный завод им. М.Л. Миля"</t>
  </si>
  <si>
    <t>акционерное общество "Камов"</t>
  </si>
  <si>
    <t>акционерное общество «Ступинское машиностроительное производственное предприятие»</t>
  </si>
  <si>
    <t>акционерное общество "Редуктор-ПМ"</t>
  </si>
  <si>
    <t>акционерное общество "Вертолетная сервисная компания"</t>
  </si>
  <si>
    <t>Публичное акционерное Общество "Роствертол"</t>
  </si>
  <si>
    <t>акционерное общество "Новосибирский авиаремонтный завод"</t>
  </si>
  <si>
    <t>акционерное общество "356  авиационный ремонтный завод"</t>
  </si>
  <si>
    <t>акционерное общество "810 авиационный ремонтный завод"</t>
  </si>
  <si>
    <t>акционерное общество "419 авиационный ремонтный завод"</t>
  </si>
  <si>
    <t>акционерное общество "12 Авиационный ремонтный завод"</t>
  </si>
  <si>
    <t>акционерное общество  "150 авиационный ремонтный завод"</t>
  </si>
  <si>
    <t>акционерное общество "99 завод авиационного технологического оборудования"</t>
  </si>
  <si>
    <t>акционерное общество "Улан-Удэнский авиационный завод"</t>
  </si>
  <si>
    <t>акционерное общество "Кумертауское авиационное производственное предприятие"</t>
  </si>
  <si>
    <t>акционерное общество "Вертолеты России"</t>
  </si>
  <si>
    <t>акционерное общество "РТ-Химические технологии и композиционные материалы"</t>
  </si>
  <si>
    <t>Акционерное общество "Концерн радиостроения "Вега"</t>
  </si>
  <si>
    <t>Акционерное общество "Научно-производственное предприятие "Рубин"</t>
  </si>
  <si>
    <t>Акционерное общество "Московский научно-исследовательский институт связи"</t>
  </si>
  <si>
    <t>Акционерное общество "Рыбинский завод приборостроения"</t>
  </si>
  <si>
    <t>Акционерное общество "Конструкторское бюро "Луч"</t>
  </si>
  <si>
    <t>Акционерное общество "Всероссийский научно-исследовательский институт "ЭТАЛОН"</t>
  </si>
  <si>
    <t xml:space="preserve"> Акционерное общество "Научно-исследователський институт "Кулон"</t>
  </si>
  <si>
    <t>Акционерное общество "Инженерно-маркетинговый центр Концерна "Вега"</t>
  </si>
  <si>
    <t>Акционерное общество "Челябинский радиозавод  "Полет"</t>
  </si>
  <si>
    <t>Акционерное общество "Опытный завод "Интеграл"</t>
  </si>
  <si>
    <t>Акционерное общество "Научно-исследовательский центр электронной вычислительной техники"</t>
  </si>
  <si>
    <t>Акционерное общество "Научно-исследовательский институт "Вектор"</t>
  </si>
  <si>
    <t>Акционерное общество "Завод "Энергия"</t>
  </si>
  <si>
    <t>Акционерное общество "Калужский научно-исследовательский институт телемеханических устройств"</t>
  </si>
  <si>
    <t>Акционерное общество "Долгопрудненское конструкторское бюро автоматики"</t>
  </si>
  <si>
    <t xml:space="preserve"> Акционерное общество "Научно-исследовательский институт  "Аргон"</t>
  </si>
  <si>
    <t>Акционерное общество "Москвский ордена трудового красного знамени научно-исследовательский радиотехнический институт"</t>
  </si>
  <si>
    <t>Акционерное общество "Московский радитехнический институт Российской академии наук"</t>
  </si>
  <si>
    <t>Акционерное общество "Научно-исследовательский институт технологии и автоматизации производства"</t>
  </si>
  <si>
    <t>Акционерное общество "Специальное констукторское бюро"Топаз"</t>
  </si>
  <si>
    <t>Акционерное общество "Концерн "Созвездие"</t>
  </si>
  <si>
    <t>Акционерное общество "Воронежский научно-иследовательский институт "Вега"</t>
  </si>
  <si>
    <t>Акционерное общество "Конструкторское бюро опытных работ"</t>
  </si>
  <si>
    <t>Акционерное общество "Алмаз"</t>
  </si>
  <si>
    <t>Акционерное общество "Воронежское центральное конструкторское бюро"Полюс"</t>
  </si>
  <si>
    <t>Акционерное общество "Краснодарский приборный завод "Каскад"</t>
  </si>
  <si>
    <t>Акционерное общество "Тамбовский научно-исследовательский институт радиотехники "Эфир"</t>
  </si>
  <si>
    <t>Акционерное общество "Конструкторское бюро"Селена"</t>
  </si>
  <si>
    <t>Акционерное общество "Научно-производственное предприятие "Старт"</t>
  </si>
  <si>
    <t>Акционерное общество "Тамбовский завод "Октябрь"</t>
  </si>
  <si>
    <t>Акционерное общество "Тамбовский завод "Ревтруд"</t>
  </si>
  <si>
    <t>Акционерное общество "Научно-производственное предприятие "Волна"</t>
  </si>
  <si>
    <t>Акционерное общество "Научно-исследовательский институт систем связи и управления"</t>
  </si>
  <si>
    <t>Акционерное общество "Научно-исследовательский институт электронной техники"</t>
  </si>
  <si>
    <t>Акционерное общество "Завод "Тамбоваппарат"</t>
  </si>
  <si>
    <t>Акционерное общество "Рязанский радиозавод"</t>
  </si>
  <si>
    <t>Акционерное общество "Янтарь"</t>
  </si>
  <si>
    <t>Акционерное общество "Системы управления"</t>
  </si>
  <si>
    <t>Акционерное общество "Кимовский радиоэлектромеханический завод"</t>
  </si>
  <si>
    <t>Акционерное общество "Концерн "Системпром"</t>
  </si>
  <si>
    <t>Акционерное общество"Научно-исследовательский институт автоматизированных систем и комлексов связи "Нептун"</t>
  </si>
  <si>
    <t>Акционерное общество "Научно-исследовательский институт информационных технологий"</t>
  </si>
  <si>
    <t>Акционерное общество "Научно-исследовательский институт "Масштаб"</t>
  </si>
  <si>
    <t>Акционерное общество "Научно-исследовательский институт "Рубин"</t>
  </si>
  <si>
    <t>Акционерное общество "Научно- производственное объединение "Импульс"</t>
  </si>
  <si>
    <t>Акционерное общество "Научно- производственное предприятие "Полет"</t>
  </si>
  <si>
    <t>Акционерное общество "Научно- производственный центр "Вигстар"</t>
  </si>
  <si>
    <t xml:space="preserve"> Акционерное общество "Ордена трудового красного знамени научно-исследовательский институт автоматической аппаратуры им. Академика В. С. Семенихина"</t>
  </si>
  <si>
    <t>Публичное акционерное общество "Информационные телекоммуникационные технологии"</t>
  </si>
  <si>
    <t>Открытое акционерное общество "Научно-производственный комплекс "Красная Заря"</t>
  </si>
  <si>
    <t>Акционерное общество "ЦНИИ ЭИСУ"</t>
  </si>
  <si>
    <t xml:space="preserve"> Акционерное общество "Научно-производственное предприятие "Радиосвязь"</t>
  </si>
  <si>
    <t>Откртыое акционерное общество "Научно-координаторский центр "Новые технологии"</t>
  </si>
  <si>
    <t xml:space="preserve"> Акционерное общество "Солнечногорский приборный завод"</t>
  </si>
  <si>
    <t>1901</t>
  </si>
  <si>
    <t>акционерное общество "Авиадвигатель"</t>
  </si>
  <si>
    <t>Публичное акционерное общество "КУЗНЕЦОВ"</t>
  </si>
  <si>
    <t>Публичное акционерное общество "Научно-производственное объединение "Сатурн"</t>
  </si>
  <si>
    <t>Публичное акционерное общество "Уфимское моторостроительное производственное объединение"</t>
  </si>
  <si>
    <t>акционерное общество "Московское машиностроительное предприятие имени В.В. Чернышева"</t>
  </si>
  <si>
    <t>акционерное общество "ОДК-газовые турбины"</t>
  </si>
  <si>
    <t>акционерное общество "ЭНЕРГЕТИК-ПЕРМСКИЕ МОТОРЫ</t>
  </si>
  <si>
    <r>
      <t>акционерное общество "</t>
    </r>
    <r>
      <rPr>
        <sz val="10"/>
        <color rgb="FF000000"/>
        <rFont val="Calibri"/>
        <family val="2"/>
        <charset val="204"/>
      </rPr>
      <t>ОДК-Пермские моторы"</t>
    </r>
  </si>
  <si>
    <t>акционерное общество "218 авиационный ремонтный завод"</t>
  </si>
  <si>
    <t>акционерное общество "570 авиационный ремонтный завод"</t>
  </si>
  <si>
    <t>акционерное общество "712 авиационный ремонтный завод"</t>
  </si>
  <si>
    <t>акционерное общество "Арамильский авиационный ремонтный завод"</t>
  </si>
  <si>
    <t>акционерное общество «Научно-производственный центр газотурбостроения «Салют»</t>
  </si>
  <si>
    <t>акционерное общество "Климов"</t>
  </si>
  <si>
    <t>акционерное общество "СТАР"</t>
  </si>
  <si>
    <t>Акционерное общество "Московское конструкторское бюро Компас"</t>
  </si>
  <si>
    <t>акционерное общество «Сатурн – Инструментальный завод»</t>
  </si>
  <si>
    <t>38</t>
  </si>
  <si>
    <t>Привлечение специализированной организации</t>
  </si>
  <si>
    <t>39</t>
  </si>
  <si>
    <t>АО "НПО "Сплав"</t>
  </si>
  <si>
    <t>15.12</t>
  </si>
  <si>
    <t xml:space="preserve">Привлечение специализированной организации </t>
  </si>
  <si>
    <t>Закупка с единичными расценками</t>
  </si>
  <si>
    <t>ЗЕР</t>
  </si>
  <si>
    <t xml:space="preserve">Группа закупок </t>
  </si>
  <si>
    <t>Закупки с НМЦ 50 млн. руб. и более</t>
  </si>
  <si>
    <t>Итого по специализированной организации:</t>
  </si>
  <si>
    <t xml:space="preserve">Прочие закупки с НМЦ 50 млн. руб. и более </t>
  </si>
  <si>
    <t>% от общего количества конкурентных закупок</t>
  </si>
  <si>
    <t>% от общей суммы конкурентных закупок</t>
  </si>
  <si>
    <t xml:space="preserve">Закупки с НМЦ менее 50 млн. руб. </t>
  </si>
  <si>
    <t xml:space="preserve"> </t>
  </si>
  <si>
    <t>Закупки с привелечением специализированной организации</t>
  </si>
  <si>
    <t>Закупки, проводимые с привлечением специализированной организации</t>
  </si>
  <si>
    <t xml:space="preserve">% от общего количества конкурентных закупок </t>
  </si>
  <si>
    <t>%  от общего количества конкурентных закупок с заключенными договорами</t>
  </si>
  <si>
    <t>Экономический эффект от закупок специализированной организации
(без учета вознаграждения)</t>
  </si>
  <si>
    <t>1722</t>
  </si>
  <si>
    <t>акционерное общество «Наро-Фоминский машиностроительный завод»</t>
  </si>
  <si>
    <t>Платежи по закупке сырья и материалов, ПКИ, ТМЦ для производства продукции (прямые переменные затраты в рамках основной деятельности)</t>
  </si>
  <si>
    <t>Платежи по закупке товаров для перепродажи (прямые переменные затраты в рамках основной деятельности)</t>
  </si>
  <si>
    <t>Платежи по субподрядным работам в рамках основной деятельности  (прямые переменные затраты в рамках основной деятельности)</t>
  </si>
  <si>
    <t>Платежи за серийное сопровождение и авторский надзор  (прямые переменные затраты в рамках основной деятельности)</t>
  </si>
  <si>
    <t>Платежи прочим посредникам и агентам за продвижение продукции   (прямые переменные затраты в рамках основной деятельности)</t>
  </si>
  <si>
    <t>Платежи за услуги МО РФ за ВП  (прямые переменные затраты в рамках основной деятельности)</t>
  </si>
  <si>
    <t>Платежи за РОЯЛТИ, ФАПРИД, патентные и иные лицензионные платежи  (прямые переменные затраты в рамках основной деятельности)</t>
  </si>
  <si>
    <t>Платежи по страхованию на контракт  (прямые переменные затраты в рамках основной деятельности)</t>
  </si>
  <si>
    <t>Платежи по банковским гарантиям на контракт  (прямые переменные затраты в рамках основной деятельности)</t>
  </si>
  <si>
    <t>Платежи по прочим коммерческим расходам на контракт  (прямые переменные затраты в рамках основной деятельности)</t>
  </si>
  <si>
    <t>Платежи за транспортные (в т.ч. ж/д) услуги сторонних организаций (искл. арендную плату) (прямые переменные затраты в рамках основной деятельности)</t>
  </si>
  <si>
    <t>Платежи за таможенно-брокерские услуги сторонних организаций  (прямые переменные затраты в рамках основной деятельности)</t>
  </si>
  <si>
    <t>Платежи за складские услуги по хранению и обработке готовой продукции  (прямые переменные затраты в рамках основной деятельности)</t>
  </si>
  <si>
    <t>Платежи за прочие прямые расходы переменного характера  (прямые переменные затраты в рамках основной деятельности)</t>
  </si>
  <si>
    <t>Материальные затраты (материалы, сырье), за исключением ремонта (расходы постоянного характера по основной деятельности)</t>
  </si>
  <si>
    <t>Платежи за ТЭР и коммунальные услуги (расходы постоянного характера по основной деятельности)</t>
  </si>
  <si>
    <t>платежи по аренде зданий, сооружений, помещений (расходы постоянного характера по основной деятельности)</t>
  </si>
  <si>
    <t>платежи по аренде оборудования (искл. ИТ - оборудование) (расходы постоянного характера по основной деятельности)</t>
  </si>
  <si>
    <t>платежи по аренде транспорта (расходы постоянного характера по основной деятельности)</t>
  </si>
  <si>
    <t>платежи по аренде ИТ - оборудования (расходы постоянного характера по основной деятельности)</t>
  </si>
  <si>
    <t>платежи по прочей аренде (расходы постоянного характера по основной деятельности)</t>
  </si>
  <si>
    <t>Платежи по услугам за ремонт зданий и сооружений (расходы постоянного характера по основной деятельности)</t>
  </si>
  <si>
    <t>Платежи по услугам за ремонт оборудования (расходы постоянного характера по основной деятельности)</t>
  </si>
  <si>
    <t>Платежи по услугам за ремонт транспорта (расходы постоянного характера по основной деятельности)</t>
  </si>
  <si>
    <t>Платежи по услугам за прочий ремонт (расходы постоянного характера по основной деятельности)</t>
  </si>
  <si>
    <t>Платежи по услугам за обслуживание зданий и сооружений (расходы постоянного характера по основной деятельности)</t>
  </si>
  <si>
    <t>Платежи по услугам за обслуживание оборудования (расходы постоянного характера по основной деятельности)</t>
  </si>
  <si>
    <t>Платежи по услугам за обслуживание транспорта (расходы постоянного характера по основной деятельности)</t>
  </si>
  <si>
    <t>Платежи по услугам за прочее обслуживание (расходы постоянного характера по основной деятельности)</t>
  </si>
  <si>
    <t>Платежи за услуги страхования (расходы постоянного характера по основной деятельности)</t>
  </si>
  <si>
    <t>Платежи за медицинские осмотры и диспансеризацию (расходы постоянного характера по основной деятельности)</t>
  </si>
  <si>
    <t>Платежи за услуги связи (стационарная, мобильная, услуги передачи данных, прочие услуги связи) (расходы постоянного характера по основной деятельности)</t>
  </si>
  <si>
    <t>Платежи на IT (техподдержка и обслуживание, запчасти и комплектующие, прочие IT-Платежи) (расходы постоянного характера по основной деятельности)</t>
  </si>
  <si>
    <t>Платежи за аудиторские услуги (расходы постоянного характера по основной деятельности)</t>
  </si>
  <si>
    <t>Платежи за юридические услуги (расходы постоянного характера по основной деятельности)</t>
  </si>
  <si>
    <t>Платежи за консультационные услуги (расходы постоянного характера по основной деятельности)</t>
  </si>
  <si>
    <t>Платежи за услуги по физической охране (расходы постоянного характера по основной деятельности)</t>
  </si>
  <si>
    <t>Платежи за услуги по пожарной охране (расходы постоянного характера по основной деятельности)</t>
  </si>
  <si>
    <t>Платежи по социальным программам (расходы постоянного характера по основной деятельности)</t>
  </si>
  <si>
    <t>Платежи за проведение технологического аудита (расходы постоянного характера по основной деятельности)</t>
  </si>
  <si>
    <t>Платежи за внедрение системы управления результатами интеллектуальной деятельности (СУ РИД) (расходы постоянного характера по основной деятельности)</t>
  </si>
  <si>
    <t>Платежи за транспортные (в т.ч. ж/д) услуги сторонних организаций (искл. арендную плату) (расходы постоянного характера по основной деятельности)</t>
  </si>
  <si>
    <t>Платежи за таможенно-брокерские услуги сторонних организаций (расходы постоянного характера по основной деятельности)</t>
  </si>
  <si>
    <t>Платежи за уборку территорий, вывоз мусора, переработку ТБО (расходы постоянного характера по основной деятельности)</t>
  </si>
  <si>
    <t>Платежи за стандартизацию, сертификацию производства (расходы постоянного характера по основной деятельности)</t>
  </si>
  <si>
    <t>Платежи за услуги по рекламе (за искл. спонсорства) (расходы постоянного характера по основной деятельности)</t>
  </si>
  <si>
    <t>Прочие платежи за PR и взаимодействие со СМИ (расходы постоянного характера по основной деятельности)</t>
  </si>
  <si>
    <t>Платежи за услуги по маркетингу (расходы постоянного характера по основной деятельности)</t>
  </si>
  <si>
    <t>Платежи по оплате расходов на спонсорство (расходы постоянного характера по основной деятельности)</t>
  </si>
  <si>
    <t>Платежи по расходам на проведение зарубежных выставок (расходы постоянного характера по основной деятельности)</t>
  </si>
  <si>
    <t>Платежи по расходам на проведение выставок в РФ (расходы постоянного характера по основной деятельности)</t>
  </si>
  <si>
    <t>Экологические платежи (расходы постоянного характера по основной деятельности)</t>
  </si>
  <si>
    <t>Прочие постоянные расходы по текущей деятельности (расходы постоянного характера по основной деятельности)</t>
  </si>
  <si>
    <t>Проектно-изыскательские работы (ПИР) (платежи в составе проектов по техническому перевооружению и реконструкции действующих предприятий)</t>
  </si>
  <si>
    <t>Оборудование (платежи в составе проектов по техническому перевооружению и реконструкции действующих предприятий)</t>
  </si>
  <si>
    <t>Строительно-монтажные работы (СМР) и пуско-наладка оборудования (платежи в составе проектов по техническому перевооружению и реконструкции действующих предприятий)</t>
  </si>
  <si>
    <t>Прочие капитализируемые расходы (платежи в составе проектов по техническому перевооружению и реконструкции действующих предприятий)</t>
  </si>
  <si>
    <t>Давальческие материалы (если есть) (платежи в составе проектов по капитальному строительству продрядным способом)</t>
  </si>
  <si>
    <t>Услуги подрядных организаций (платежи в составе проектов по капитальному строительству продрядным способом)</t>
  </si>
  <si>
    <t>Прочие капитализируемые расходы (платежи в составе проектов по капитальному строительству продрядным способом)</t>
  </si>
  <si>
    <t>Строительные материалы и прочие ТМЦ в составе проекта (платежи в составе проектов по капитальному строительству хозяйственным способом)</t>
  </si>
  <si>
    <t>ФОТ (платежи в составе проектов по капитальному строительству хозяйственным способом)</t>
  </si>
  <si>
    <t>Начисления на ФОТ - обязательные страховые взносы (платежи в составе проектов по капитальному строительству хозяйственным способом)</t>
  </si>
  <si>
    <t>Прочие капитализируемые расходы (платежи в составе проектов по капитальному строительству хозяйственным способом)</t>
  </si>
  <si>
    <t>Закупка оборудования (платежи в составе ИТ-проектов)</t>
  </si>
  <si>
    <t>Закупка ПО (лицензии) (платежи в составе ИТ-проектов)</t>
  </si>
  <si>
    <t>Услуги внешних организаций (платежи в составе ИТ-проектов)</t>
  </si>
  <si>
    <t>НИОКР (платежи в составе проектов)</t>
  </si>
  <si>
    <t>Приобретение имущественных комплексовм (зданий и объектов недвижимости) (платежи в составе проектов)</t>
  </si>
  <si>
    <t>Приобретение основных средств (за искл. имущественного комплекса и оборудования) (платежи в составе проектов)</t>
  </si>
  <si>
    <t>Консультационные услуги (платежи в составе проектов)</t>
  </si>
  <si>
    <t>Юридические услуги (платежи в составе проектов)</t>
  </si>
  <si>
    <t>Стоимость заемного финансирования (капитализируемые проценты) (платежи в составе проектов)</t>
  </si>
  <si>
    <t>Капитализируемые затраты на маркетинг (платежи в составе проектов)</t>
  </si>
  <si>
    <t>Прочие капитализируемые расходы (платежи в составе проектов)</t>
  </si>
  <si>
    <t>Приобретение и реконструкция техники и оборудования (в рамках инвестиций в производственные активы по отдельным капитализируемым затратам)</t>
  </si>
  <si>
    <t>Прочие капитализируемые расходы  (в рамках инвестиций в производственные активы по отдельным капитализируемым затратам)</t>
  </si>
  <si>
    <t>Приобретение транспортных средств (вкл. реконструкцию)  (в рамках инвестиций в коммерческие активы по отдельным капитализируемым затратам)</t>
  </si>
  <si>
    <t>Приобретение оборудования, спецтранспорта (вкл. реконструкцию)  (в рамках инвестиций в коммерческие активы по отдельным капитализируемым затратам)</t>
  </si>
  <si>
    <t>Реконструкция и капитализируемый ремонт автодорог (находящихся вне территории предприятия)  (в рамках инвестиций в коммерческие активы по отдельным капитализируемым затратам)</t>
  </si>
  <si>
    <t>Прочие капитализируемые расходы  (в рамках инвестиций в коммерческие активы по отдельным капитализируемым затратам)</t>
  </si>
  <si>
    <t>Приобретение оборудования  (в рамках инвестиций в общехозяйственные активы по отдельным капитализируемым затратам)</t>
  </si>
  <si>
    <t>в т.ч. IT-оборудования   (в рамках инвестиций в общехозяйственные активы по отдельным капитализируемым затратам)</t>
  </si>
  <si>
    <t>Приобретение административного транспорта   (в рамках инвестиций в общехозяйственные активы по отдельным капитализируемым затратам)</t>
  </si>
  <si>
    <t>Приобретение офисной мебели   (в рамках инвестиций в общехозяйственные активы по отдельным капитализируемым затратам)</t>
  </si>
  <si>
    <t>Приобретение специализированного программного обеспечения (НМА)   (в рамках инвестиций в общехозяйственные активы по отдельным капитализируемым затратам)</t>
  </si>
  <si>
    <t>Приобретение средств и систем связи  (в рамках инвестиций в общехозяйственные активы по отдельным капитализируемым затратам)</t>
  </si>
  <si>
    <t>Капитализируемые расходы на бренд  (в рамках инвестиций в общехозяйственные активы по отдельным капитализируемым затратам)</t>
  </si>
  <si>
    <t>Строительство и капитальный ремонт  (в рамках инвестиций в общехозяйственные активы по отдельным капитализируемым затратам)</t>
  </si>
  <si>
    <t>в т.ч. ИТ  - инфрастркутуры  (в рамках инвестиций в общехозяйственные активы по отдельным капитализируемым затратам)</t>
  </si>
  <si>
    <t>Услуги сторонних организаций по ИТ - расходам  (в рамках инвестиций в общехозяйственные активы по отдельным капитализируемым затратам)</t>
  </si>
  <si>
    <t>Прочие капитализируемые расходы  (в рамках инвестиций в общехозяйственные активы по отдельным капитализируемым затратам)</t>
  </si>
  <si>
    <t>Приобретение оборудования  (в рамках инвестиций в непрофильные активы и объекты социальной сферы по отдельным капитализируемым затратам)</t>
  </si>
  <si>
    <t>Cтроительство  (в рамках инвестиций в непрофильные активы и объекты социальной сферы по отдельным капитализируемым затратам)</t>
  </si>
  <si>
    <t>Прочие капитализируемые расходы  (в рамках инвестиций в непрофильные активы и объекты социальной сферы по отдельным капитализируемым затратам)</t>
  </si>
  <si>
    <t>0503</t>
  </si>
  <si>
    <t>акционерное общество "Мосэлектронпроект"</t>
  </si>
  <si>
    <t>0657</t>
  </si>
  <si>
    <t>0704</t>
  </si>
  <si>
    <t>общество с ограниченной ответственностью "Промышленный холдинг "Автокомпоненты"</t>
  </si>
  <si>
    <t>акционерное общество "Рособоронэкспорт"</t>
  </si>
  <si>
    <t>акционерное общество "Судостроительный завод "Вымпел"</t>
  </si>
  <si>
    <t>акционерное общество "Банк "Российская финансовая корпорация"</t>
  </si>
  <si>
    <t>акционерное общество "ПРОМПОСТАВКА"</t>
  </si>
  <si>
    <t xml:space="preserve">общество с ограниченной ответственностью "РТ-СоцСтрой" </t>
  </si>
  <si>
    <t>общество с ограниченной ответственностью "РТ-Череповецкий завод модульных строительных конструкций"</t>
  </si>
  <si>
    <t>акционерное общество "ТЕВИС"</t>
  </si>
  <si>
    <t>акционерное общество "Тольяттинская энергосбытовая компания"</t>
  </si>
  <si>
    <t>акционерное общество "Акционерное общество "Калининградский янтарный комбинат"</t>
  </si>
  <si>
    <t>акционерное общество "Центральный научно-исследовательский институт точного машиностроения"</t>
  </si>
  <si>
    <t>акционерное общество "КБАЛ им. Л.Н.Кошкина"</t>
  </si>
  <si>
    <t>акционерное общество "Промышленные технологии"</t>
  </si>
  <si>
    <t>акционерное общество "Внешнеэкономическое объединение "Технопромэкспорт"</t>
  </si>
  <si>
    <t>акционерное общество "Внешнеэкономическое объединение "Тяжпромэкспорт"</t>
  </si>
  <si>
    <t>акционерное общество "Нефтегазавтоматика"</t>
  </si>
  <si>
    <t>акционерное общество "РТ-Техприемка"</t>
  </si>
  <si>
    <t>акционерное общество "Ижевский механический завод-2"</t>
  </si>
  <si>
    <t>акционерное общество "Транспортно-выставочный комплекс "Россия"</t>
  </si>
  <si>
    <t>акционерное общество "Научно-исследовательский институт медицинских полимеров"</t>
  </si>
  <si>
    <t>акционерное общество "РТ-Металлургия"</t>
  </si>
  <si>
    <t>акционерное общество "Щербинская типография"</t>
  </si>
  <si>
    <t>акционерное общество "90 экспериментальный завод"</t>
  </si>
  <si>
    <t>акционерное общество "Проектмашдеталь"</t>
  </si>
  <si>
    <t>акционерное общество "Самарский электромеханический завод"</t>
  </si>
  <si>
    <t>акционерное общество "Перовский опытный завод "Нестандартмаш"</t>
  </si>
  <si>
    <t xml:space="preserve">акционерное общество "Техника и технология товаров" </t>
  </si>
  <si>
    <t>акционерное общество "ОПК "ОБОРОНПРОМ"</t>
  </si>
  <si>
    <t>акционерное общество "Объединенные автомобильные технологии"</t>
  </si>
  <si>
    <t>Общество  с ограниченной ответственностью «Ситиэнерго»</t>
  </si>
  <si>
    <t>общество с ограниченной ответственностью 
 "Швабе – Казань"</t>
  </si>
  <si>
    <t>общество с ограниченной ответственностью 
 "Швабе – Санкт-Петербург"</t>
  </si>
  <si>
    <t>общество с ограниченной ответственностью 
 "Швабе – Новосибирск"</t>
  </si>
  <si>
    <t>общество с ограниченной ответственностью 
 "Швабе – Красноярск"</t>
  </si>
  <si>
    <t>общество с ограниченной ответственностью 
 "Швабе – Иркутск"</t>
  </si>
  <si>
    <t>общество с ограниченной ответственностью 
 "Швабе – Хабаровск"</t>
  </si>
  <si>
    <t>общество с ограниченной ответственностью 
 "Швабе – Гостиничный комплекс"</t>
  </si>
  <si>
    <t>общество с ограниченной ответственностью 
 "Швабе – Информационные технологии"</t>
  </si>
  <si>
    <t>общество с ограниченной ответственностью 
 "Швабе – Дизайн"</t>
  </si>
  <si>
    <t>общество с ограниченной ответственностью 
 "Швабе – Лаборатория 1"</t>
  </si>
  <si>
    <t>общество с ограниченной ответственностью 
 "Швабе – Комбинат питания"</t>
  </si>
  <si>
    <t>общество с ограниченной ответственностью 
 "Швабе – Пермь"</t>
  </si>
  <si>
    <t>общество с ограниченной ответственностью 
 "Швабе – Самара"</t>
  </si>
  <si>
    <t>общество с ограниченной ответственностью 
 "Швабе – Калининград"</t>
  </si>
  <si>
    <t>общество с ограниченной ответственностью 
 "Швабе – Волгоград"</t>
  </si>
  <si>
    <t>общество с ограниченной ответственностью 
 "Швабе – Спорт"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</si>
  <si>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</si>
  <si>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</si>
  <si>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</si>
  <si>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</si>
  <si>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</si>
  <si>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</si>
  <si>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</si>
  <si>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</si>
  <si>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</si>
  <si>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</si>
  <si>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</si>
  <si>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</si>
  <si>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</si>
  <si>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</si>
  <si>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</si>
  <si>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</si>
  <si>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</si>
  <si>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45.11</t>
  </si>
  <si>
    <t>45.11.21.000</t>
  </si>
  <si>
    <t>Автомобиль должен предоставляться в следующей комплектации:кондиционер,АВS,подушки безопасности ,автомат.</t>
  </si>
  <si>
    <t>штука</t>
  </si>
  <si>
    <t>Москва</t>
  </si>
  <si>
    <t>не применимо</t>
  </si>
  <si>
    <t>да</t>
  </si>
  <si>
    <t>etprf.ru</t>
  </si>
  <si>
    <t>АО "НИИ "Полюс" им. М.Ф. Стельмаха" тел. отдела закупок 8-495-333-05-02</t>
  </si>
  <si>
    <t>Грузоподъемность не менее 3 тонн, дизельный, с застекленной кабиной для водителя,с возможностью боковой загрузки.</t>
  </si>
  <si>
    <t>45.11.21</t>
  </si>
  <si>
    <t>Автомобиль должен предоставляться в следующей комплектации:кондиционер,АВS,подушки безопасности 8 шт. ,автомат.</t>
  </si>
  <si>
    <t>45.32.1</t>
  </si>
  <si>
    <t>45.32.12.000</t>
  </si>
  <si>
    <t>В соответствии с техническим заданием</t>
  </si>
  <si>
    <t>65.12.3</t>
  </si>
  <si>
    <t>65.12.21</t>
  </si>
  <si>
    <t>ОСАГО расширенная. Выезд агента на место ДТП.</t>
  </si>
  <si>
    <t>45.20</t>
  </si>
  <si>
    <t>45.20.11.000</t>
  </si>
  <si>
    <t>Гарантийный ремонт, ремонт по мере необходимости</t>
  </si>
  <si>
    <t>78.3</t>
  </si>
  <si>
    <t>78.30.14.000</t>
  </si>
  <si>
    <t>Обучение по профессии машинист,повышение квалификации</t>
  </si>
  <si>
    <t>130000 российских рублей</t>
  </si>
  <si>
    <t>19.20</t>
  </si>
  <si>
    <t>19.20.2</t>
  </si>
  <si>
    <t>Поставка бензина Аи92,Аи95,диз.топлива</t>
  </si>
  <si>
    <t>литры кубические</t>
  </si>
  <si>
    <t>1500000,00 российских рублей</t>
  </si>
  <si>
    <t>33.12</t>
  </si>
  <si>
    <t>33.12.29.000</t>
  </si>
  <si>
    <t>Восстановление технических характеристик</t>
  </si>
  <si>
    <t>125000,00 российских рублей</t>
  </si>
  <si>
    <t>58.11</t>
  </si>
  <si>
    <t>В соответствии с требованиями заказчика, указанными в закупочной документации</t>
  </si>
  <si>
    <t>1000000,00 российских рублей</t>
  </si>
  <si>
    <t>59.11</t>
  </si>
  <si>
    <t>59.11.12</t>
  </si>
  <si>
    <t>400000,00 российских рублей</t>
  </si>
  <si>
    <t>58.14</t>
  </si>
  <si>
    <t>58.14.1</t>
  </si>
  <si>
    <t>Своевременная доставка, соответствие техническому заданию.</t>
  </si>
  <si>
    <t>35.14</t>
  </si>
  <si>
    <t>35.1</t>
  </si>
  <si>
    <t>Согласно договору</t>
  </si>
  <si>
    <t>Киловатт-час</t>
  </si>
  <si>
    <t>3500000,00 российских рублей</t>
  </si>
  <si>
    <t>ПАО "Мосэнергосбыт"</t>
  </si>
  <si>
    <t>1500000,00российских рублей</t>
  </si>
  <si>
    <t>1335000,00 российских рублей</t>
  </si>
  <si>
    <t>3430000,00 российских рублей</t>
  </si>
  <si>
    <t>1470000,00 российских рублей</t>
  </si>
  <si>
    <t>3710000,00 российских рублей</t>
  </si>
  <si>
    <t>1590000,00российских рублей</t>
  </si>
  <si>
    <t>3990000,00 российских рублей</t>
  </si>
  <si>
    <t>1710000,00 российских рублей</t>
  </si>
  <si>
    <t>39.00</t>
  </si>
  <si>
    <t>Кубический метр</t>
  </si>
  <si>
    <t>АО "Мосводоканал"</t>
  </si>
  <si>
    <t>280000,00 российских рублей</t>
  </si>
  <si>
    <t>290000,00 российских рублей</t>
  </si>
  <si>
    <t>310000,00 российских рублей</t>
  </si>
  <si>
    <t>300000,00 российских рублей</t>
  </si>
  <si>
    <t>320000,00 российских рублей</t>
  </si>
  <si>
    <t>355000,00 российских рублей</t>
  </si>
  <si>
    <t>340000,00российских рублей</t>
  </si>
  <si>
    <t>25.73</t>
  </si>
  <si>
    <t>согласно техническому заданию</t>
  </si>
  <si>
    <t>150000,00 российских рублей</t>
  </si>
  <si>
    <t>2352000,00 российских рублей</t>
  </si>
  <si>
    <t>2014000,00 российских рублей</t>
  </si>
  <si>
    <t>1684000,00 российских рублей</t>
  </si>
  <si>
    <t>1624000,00 российских рублей</t>
  </si>
  <si>
    <t>450000,00 российских рублей</t>
  </si>
  <si>
    <t>750000,00 российских рублей</t>
  </si>
  <si>
    <t>28.25</t>
  </si>
  <si>
    <t>28.25.12.130</t>
  </si>
  <si>
    <t>796</t>
  </si>
  <si>
    <t>600000,00 российских рублей</t>
  </si>
  <si>
    <t>800000,00 российских рублей</t>
  </si>
  <si>
    <t>27.90</t>
  </si>
  <si>
    <t>27.90.40.190</t>
  </si>
  <si>
    <t>630000,00 российских рублей</t>
  </si>
  <si>
    <t>43.21</t>
  </si>
  <si>
    <t>43.21.10.180</t>
  </si>
  <si>
    <t>825000,00 российских рублей</t>
  </si>
  <si>
    <t>27.40</t>
  </si>
  <si>
    <t>27.40.25</t>
  </si>
  <si>
    <t>116000,00 российских рублей</t>
  </si>
  <si>
    <t>26.11.2</t>
  </si>
  <si>
    <t>25.99.99.000</t>
  </si>
  <si>
    <t>Согласно чертежу, материал CuW (10/90)</t>
  </si>
  <si>
    <t>4800000,00 российских рублей</t>
  </si>
  <si>
    <t>1400000,00 российских рублей</t>
  </si>
  <si>
    <t>26.11.22.119</t>
  </si>
  <si>
    <t>В соответствии с требованиями заказчика, 808 нм, QCW</t>
  </si>
  <si>
    <t>1850000,00 российских рублей</t>
  </si>
  <si>
    <t>25.99.2</t>
  </si>
  <si>
    <t>Материал: нержавейка, графит, ситалл</t>
  </si>
  <si>
    <t>200000,00 российских рублей</t>
  </si>
  <si>
    <t>Материал: нержавеющая сталь, допускается сплав Д16, полное соответствие чертежу</t>
  </si>
  <si>
    <t>100000,00 российских рублей</t>
  </si>
  <si>
    <t>Материал: нержавеющая сталь, титан</t>
  </si>
  <si>
    <t>Материал: медь с последующим нанесением гальванического золочения)</t>
  </si>
  <si>
    <t>Материал: медь, Параметры в соответствии с требованиями заказчика</t>
  </si>
  <si>
    <t>23.99.99</t>
  </si>
  <si>
    <t>Нитрид-алюминиевые пластины и бериллиевая керамика</t>
  </si>
  <si>
    <t>170000,00 российских рублей</t>
  </si>
  <si>
    <t>Изоляторы поликоровые, контактные группы медные с гальваническим золотом, винты, изоляционные пробки</t>
  </si>
  <si>
    <t xml:space="preserve">Четкое соответствие заданным параметрам </t>
  </si>
  <si>
    <t>500000,00 российских рублей</t>
  </si>
  <si>
    <t>Высокая точность, коррозионная устойчивость</t>
  </si>
  <si>
    <t>120000,00 российских рублей</t>
  </si>
  <si>
    <t>25.61</t>
  </si>
  <si>
    <t>25.61.11</t>
  </si>
  <si>
    <t>Четкое соответствие  КД</t>
  </si>
  <si>
    <t>28.99.2</t>
  </si>
  <si>
    <t>28.99.20</t>
  </si>
  <si>
    <t>Строгое соответствие техническому заданию</t>
  </si>
  <si>
    <t>13000000,00 российских рублей</t>
  </si>
  <si>
    <t>31.01</t>
  </si>
  <si>
    <t xml:space="preserve">
31.01.11.190</t>
  </si>
  <si>
    <t>1150000,00 российских рублей</t>
  </si>
  <si>
    <t>1650000,00 российских рублей</t>
  </si>
  <si>
    <t>сопротивление воды не менее 5 Мом</t>
  </si>
  <si>
    <t>26.11</t>
  </si>
  <si>
    <t>26.11.22.110</t>
  </si>
  <si>
    <t>согласно требованиям Заказчика</t>
  </si>
  <si>
    <t>3802500,00 российских рублей</t>
  </si>
  <si>
    <t>41.20</t>
  </si>
  <si>
    <t>41.20.4</t>
  </si>
  <si>
    <t>согласно закупочной документации Заказчика</t>
  </si>
  <si>
    <t>8845000,00 российских рублей</t>
  </si>
  <si>
    <t>13200000,00 российских рублей</t>
  </si>
  <si>
    <t>26.20</t>
  </si>
  <si>
    <t>Товар должен быть новым, не бывшим в употреблении, не восстановленным и не собранным из восстановленных компонентов, и выпускаемым серийно. Внутренние компоненты товара должны быть полностью совместимыми между собой, иметь все необходимые подключения интерфейсных кабелей. В комплект поставки Товара должны быть включены все необходимые шнуры и кабели, носители с драйверами, дистрибутивами программ, необходимыми для работы оборудования.</t>
  </si>
  <si>
    <t>839</t>
  </si>
  <si>
    <t>комплект</t>
  </si>
  <si>
    <t>3742685,52 российских рублей</t>
  </si>
  <si>
    <t>62.01</t>
  </si>
  <si>
    <t>Программное обеспечения должно обеспечивать полную cовместимость с компьютерами на базе Intel, AMD</t>
  </si>
  <si>
    <t>1190000,00 российских рублей</t>
  </si>
  <si>
    <t>25.12</t>
  </si>
  <si>
    <t>25.12.10</t>
  </si>
  <si>
    <t>Выполнение полного объема ремонтно-восстановительных работ ДЗГМ в соответствии с нормативно-техническими к ЗС ГО (СНИП 3.01.09-84)</t>
  </si>
  <si>
    <t>26.30</t>
  </si>
  <si>
    <t>26.30.50.120</t>
  </si>
  <si>
    <t xml:space="preserve">В соответствии с требованием положений ФЗ от 22.07.2008 г. №123-ФЗ "Тех.регламент о требованиях ПБ" и РД 25.964-90 "Система ТО и ремонта автомат.установок пожаратушения, дымоудаления, охранной, пожарной и охранно-пожарной сигнализации. Организация и порядок проведения работ"  </t>
  </si>
  <si>
    <t>22.10.3</t>
  </si>
  <si>
    <t>22.10.30.137</t>
  </si>
  <si>
    <t xml:space="preserve">В соответствии с требованием положениий ПП РФ от 25.04.2012 г.№390 "О противопожарном режиме" и государственным стандартам на закупаемую продукцию </t>
  </si>
  <si>
    <t>37.99</t>
  </si>
  <si>
    <t>32.39.11.111</t>
  </si>
  <si>
    <t xml:space="preserve">Наличия сертификата МЧС РФ на данную продукцию и соответствие государственным стандартам </t>
  </si>
  <si>
    <t>100000,00российских рублей</t>
  </si>
  <si>
    <t>71.12.62</t>
  </si>
  <si>
    <t>71.12.40.120</t>
  </si>
  <si>
    <t>Поверка в соответствии с графиком</t>
  </si>
  <si>
    <t>2200000,00российских рублей</t>
  </si>
  <si>
    <t>46.69.7</t>
  </si>
  <si>
    <t>26.51.43.116</t>
  </si>
  <si>
    <t>Агрегируется из стандарта частоты Ч1-81/3 и компаратора частотного ЧК7-51</t>
  </si>
  <si>
    <t>900000,00российских рублей</t>
  </si>
  <si>
    <t>26.51.43.110</t>
  </si>
  <si>
    <t xml:space="preserve">Цифровой осциллограф, 2 канала; 200 МГц; 2 Гвыб/с; авто- и курсорные измерения; память 2,5 К на канал; БПФ; цветной ЖК дисплей; интерфейс USB, (GPIB опция); </t>
  </si>
  <si>
    <t>200000,00российских рублей</t>
  </si>
  <si>
    <t>сентябрь 2017</t>
  </si>
  <si>
    <t>14.12</t>
  </si>
  <si>
    <t>14.12.3</t>
  </si>
  <si>
    <t>Согласно ГОСТ и ТУ, Должна быть новой, не бывшей в употреблении.</t>
  </si>
  <si>
    <t>500000,00российских рублей</t>
  </si>
  <si>
    <t>13.20.2</t>
  </si>
  <si>
    <t>13.20.20</t>
  </si>
  <si>
    <t>32.91</t>
  </si>
  <si>
    <t>32.91.12</t>
  </si>
  <si>
    <t>Согласно ГОСТ и ТУ Должна быть новой, не бывшей в употреблении.</t>
  </si>
  <si>
    <t>750000,00российских рублей</t>
  </si>
  <si>
    <t>2000000,00российских рублей</t>
  </si>
  <si>
    <t>23.19</t>
  </si>
  <si>
    <t>23.19.26.000</t>
  </si>
  <si>
    <t>ТУЩеМ7.425.03.9.003 Должна быть новой, не бывшей в употреблении.</t>
  </si>
  <si>
    <t>24.32.10</t>
  </si>
  <si>
    <t>Госласно ГОСТи ТУ Должна быть новой, не бывшей в употреблении.</t>
  </si>
  <si>
    <t>2500000,00российских рублей</t>
  </si>
  <si>
    <t>23.13</t>
  </si>
  <si>
    <t>23.1</t>
  </si>
  <si>
    <t>1000000,00российских рублей</t>
  </si>
  <si>
    <t>20.16.10</t>
  </si>
  <si>
    <t>23.13.1</t>
  </si>
  <si>
    <t>006</t>
  </si>
  <si>
    <t>метр</t>
  </si>
  <si>
    <t>20.41</t>
  </si>
  <si>
    <t>24.41.30</t>
  </si>
  <si>
    <t>800000,00российских рублей</t>
  </si>
  <si>
    <t>166</t>
  </si>
  <si>
    <t>килограмм</t>
  </si>
  <si>
    <t>400000,00российских рублей</t>
  </si>
  <si>
    <t>24.45.30.311</t>
  </si>
  <si>
    <t>20.14</t>
  </si>
  <si>
    <t>163</t>
  </si>
  <si>
    <t>грамм</t>
  </si>
  <si>
    <t>24.45</t>
  </si>
  <si>
    <t>24.45.30</t>
  </si>
  <si>
    <t>24.44</t>
  </si>
  <si>
    <t>46.73</t>
  </si>
  <si>
    <t>46.73.1</t>
  </si>
  <si>
    <t>Все товары должны быть безопасны и разрешены для применения на территории РФ</t>
  </si>
  <si>
    <t>1402882,00российских рублей</t>
  </si>
  <si>
    <t>1510486,00российских рублей</t>
  </si>
  <si>
    <t>1350456,00российских рублей</t>
  </si>
  <si>
    <t>1450655,00российских рублей</t>
  </si>
  <si>
    <t>1299631,40российских рублей</t>
  </si>
  <si>
    <t>25.94</t>
  </si>
  <si>
    <t>24.20.13.130</t>
  </si>
  <si>
    <t>1638161,50российских рублей</t>
  </si>
  <si>
    <t>22.21</t>
  </si>
  <si>
    <t>22.21.29.110</t>
  </si>
  <si>
    <t>887332,00российских рублей</t>
  </si>
  <si>
    <t>886564,00российских рублей</t>
  </si>
  <si>
    <t>892651,00российских рублей</t>
  </si>
  <si>
    <t>331254,00российских рублей</t>
  </si>
  <si>
    <t>27.33</t>
  </si>
  <si>
    <t>27.33.1</t>
  </si>
  <si>
    <t>до 1 кВ, сертефецированные в РФ, не бывшие в употребление, гарантия на материалы не менее 12 месяцев</t>
  </si>
  <si>
    <t>5534000,00российских рублей</t>
  </si>
  <si>
    <t>4739000,00российских рублей</t>
  </si>
  <si>
    <t>3962000,00российских рублей</t>
  </si>
  <si>
    <t>3821000,00российских рублей</t>
  </si>
  <si>
    <t>1059000,00российских рублей</t>
  </si>
  <si>
    <t>1765000,00российских рублей</t>
  </si>
  <si>
    <t>1764000,00российских рублей</t>
  </si>
  <si>
    <t>273000,00российских рублей</t>
  </si>
  <si>
    <t>280000,00российских рублей</t>
  </si>
  <si>
    <t>260000,00российских рублей</t>
  </si>
  <si>
    <t>300000,00российских рублей</t>
  </si>
  <si>
    <t>600000,00российских рублей</t>
  </si>
  <si>
    <t>24.10</t>
  </si>
  <si>
    <t>Соответствие ГОСТ Все товары должны быть безопасны и разрешены для применения на территории РФ</t>
  </si>
  <si>
    <t>1800000,00российских рублей</t>
  </si>
  <si>
    <t>24.42</t>
  </si>
  <si>
    <t>1600000,00российских рублей</t>
  </si>
  <si>
    <t>3000000,00российских рублей</t>
  </si>
  <si>
    <t>26.11.1</t>
  </si>
  <si>
    <t>27.33.13</t>
  </si>
  <si>
    <t>Согласно ТУ сертефецированные в РФ, не бывшие в употребление, гарантия на материалы не менее 12 месяцев</t>
  </si>
  <si>
    <t>5000000,00российских рублей</t>
  </si>
  <si>
    <t>фирма MOLEX; Тусо; New Centress; Hirchmann; Dragon City Industries Все товары должны быть безопасны и разрешены для применения на территории РФ</t>
  </si>
  <si>
    <t>120000,00российских рублей</t>
  </si>
  <si>
    <t>27.11.10</t>
  </si>
  <si>
    <t>Согласно ТУ Все товары должны быть безопасны и разрешены для применения на территории РФ</t>
  </si>
  <si>
    <t>134000,00российских рублей</t>
  </si>
  <si>
    <t>АО "Трансвит"</t>
  </si>
  <si>
    <t>22.19.73.116</t>
  </si>
  <si>
    <t>ОАО "Завод им. Г.И. Петровского"</t>
  </si>
  <si>
    <t>23.44.2</t>
  </si>
  <si>
    <t>25.93.15.130</t>
  </si>
  <si>
    <t>160000,00российских рублей</t>
  </si>
  <si>
    <t>АО "Ферроприбор"</t>
  </si>
  <si>
    <t>27.33.13.190</t>
  </si>
  <si>
    <t>410000,00российских рублей</t>
  </si>
  <si>
    <t>АО "НПО НИИРК"</t>
  </si>
  <si>
    <t>515000,00российских рублей</t>
  </si>
  <si>
    <t>ООО НПК "Далекс"</t>
  </si>
  <si>
    <t>NXP Semiconductors Vishay, Philips, Board tipe, International Rectifier, Avago Technologies, Centronic, Rohm, Infineon Technologies, Zetex, Rakon, Discovery</t>
  </si>
  <si>
    <t>Согласно ТУ</t>
  </si>
  <si>
    <t>2100000,00российских рублей</t>
  </si>
  <si>
    <t>АО "ВЗПП-С"</t>
  </si>
  <si>
    <t>International Rectifier, Avago Technologies, Centronic, Rohm, Infineon Technologies, Zetex, Rakon, Discovery, NXP Semiconductors, Vishay, Philips, Board tipe</t>
  </si>
  <si>
    <t>250000,00российских рублей</t>
  </si>
  <si>
    <t>ООО "СШПТ"</t>
  </si>
  <si>
    <t>26.20.4</t>
  </si>
  <si>
    <t>ООО "АЭИЭП"</t>
  </si>
  <si>
    <t>27.9</t>
  </si>
  <si>
    <t>26.11.22.130</t>
  </si>
  <si>
    <t>635000,00российских рублей</t>
  </si>
  <si>
    <t>АО «НИИ «Элпа»</t>
  </si>
  <si>
    <t>26.11.3</t>
  </si>
  <si>
    <t>28.99.51</t>
  </si>
  <si>
    <t>4300000,00российских рублей</t>
  </si>
  <si>
    <t>ПАО "Микрон"</t>
  </si>
  <si>
    <t>"ANALOG DEVICES", "AMD", "ST Microelectronics", "N Semiconductor", "MAXIM", "ALTERA", "Microchip",  "TEXAS INSTRUMENTS", "TOSHIBA"</t>
  </si>
  <si>
    <t>11000000,00российских рублей</t>
  </si>
  <si>
    <t>27.40.15</t>
  </si>
  <si>
    <t>2900000,00российских рублей</t>
  </si>
  <si>
    <t>АО "Завод Стелла"</t>
  </si>
  <si>
    <t>240000,00российских рублей</t>
  </si>
  <si>
    <t>АО "Протон"</t>
  </si>
  <si>
    <t>27.90.5</t>
  </si>
  <si>
    <t>ОАО "Элеконд"</t>
  </si>
  <si>
    <t>27.11.11</t>
  </si>
  <si>
    <t>2950000,00российских рублей</t>
  </si>
  <si>
    <t>ЗАО "МЭЛ"</t>
  </si>
  <si>
    <t>25.94.12</t>
  </si>
  <si>
    <t>Согласно ГОСТ сертефецированные в РФ, не бывшие в употребление, гарантия на материалы не менее 12 месяцев</t>
  </si>
  <si>
    <t>20.59.5</t>
  </si>
  <si>
    <t>350000,00российских рублей</t>
  </si>
  <si>
    <t>АО "Метеор"</t>
  </si>
  <si>
    <t>27.90.11.000</t>
  </si>
  <si>
    <t>Согласно ОСТ сертефецированные в РФ, не бывшие в употребление, гарантия на материалы не менее 12 месяцев</t>
  </si>
  <si>
    <t>325000,00российских рублей</t>
  </si>
  <si>
    <t>ООО "НПО Электрические машины"</t>
  </si>
  <si>
    <t>27.3</t>
  </si>
  <si>
    <t>27.33.13.130</t>
  </si>
  <si>
    <t>GO124, G113,  фирма GAINTA сертефецированные в РФ, не бывшие в употребление, гарантия на материалы не менее 12 месяцев</t>
  </si>
  <si>
    <t>32.1</t>
  </si>
  <si>
    <t>27.90.6</t>
  </si>
  <si>
    <t>650000,00российских рублей</t>
  </si>
  <si>
    <t>ОАО «НПО «ЭРКОН»</t>
  </si>
  <si>
    <t>20.11</t>
  </si>
  <si>
    <t>20.11.11</t>
  </si>
  <si>
    <t>20.59.12</t>
  </si>
  <si>
    <t>АЗ Электроникс Материалс сертефецированные в РФ, не бывшие в употребление, гарантия на материалы не менее 12 месяцев</t>
  </si>
  <si>
    <t>560000,00российских рублей</t>
  </si>
  <si>
    <t>46.34</t>
  </si>
  <si>
    <t>20.14.2</t>
  </si>
  <si>
    <t>Согласно ГОСТ Все товары должны быть безопасны и разрешены для применения на территории РФ</t>
  </si>
  <si>
    <t>308000,00российских рублей</t>
  </si>
  <si>
    <t>168</t>
  </si>
  <si>
    <t>тонна, метрическая тонна</t>
  </si>
  <si>
    <t>440000,00российских рублей</t>
  </si>
  <si>
    <t>1225000,00российских рублей</t>
  </si>
  <si>
    <t>20.1</t>
  </si>
  <si>
    <t>Согласно ГОСТ и ТУ Все товары должны быть безопасны и разрешены для применения на территории РФ</t>
  </si>
  <si>
    <t>литр, кубический дециметр</t>
  </si>
  <si>
    <t>6000000,00российских рублей</t>
  </si>
  <si>
    <t>225500,00российских рублей</t>
  </si>
  <si>
    <t>46.71</t>
  </si>
  <si>
    <t>055</t>
  </si>
  <si>
    <t>квадратный метр</t>
  </si>
  <si>
    <t>540000,00российских рублей</t>
  </si>
  <si>
    <t>778</t>
  </si>
  <si>
    <t>упаковка</t>
  </si>
  <si>
    <t>1440000,00российских рублей</t>
  </si>
  <si>
    <t>157200,00российских рублей</t>
  </si>
  <si>
    <t>22.1</t>
  </si>
  <si>
    <t>20.16</t>
  </si>
  <si>
    <t>28.29</t>
  </si>
  <si>
    <t>20.5</t>
  </si>
  <si>
    <t>1874000,00российских рублей</t>
  </si>
  <si>
    <t>1015000,00российских рублей</t>
  </si>
  <si>
    <t>22.2</t>
  </si>
  <si>
    <t>204500,00российских рублей</t>
  </si>
  <si>
    <t>26.51</t>
  </si>
  <si>
    <t>26.51.43</t>
  </si>
  <si>
    <t>Агрегируется из стандарта частоты Ч1-81/3 и компратора частотного ЧК7-51</t>
  </si>
  <si>
    <t>770000,00российских рублей</t>
  </si>
  <si>
    <t>26.51.42</t>
  </si>
  <si>
    <t>2 канала; 200 МГц; 2Гвыб/с; авто- и курсорные измерения;память 2,5 К на канал;БПФ; цветной ЖК</t>
  </si>
  <si>
    <t>018</t>
  </si>
  <si>
    <t>погонный метр</t>
  </si>
  <si>
    <t>180000,00российских рублей</t>
  </si>
  <si>
    <t>27.90.40</t>
  </si>
  <si>
    <t>До 3,0В, 10ГЦ-2ГГЦ</t>
  </si>
  <si>
    <t>2450000,00российских рублей</t>
  </si>
  <si>
    <t>25.73.60</t>
  </si>
  <si>
    <t>150000,00российских рублей</t>
  </si>
  <si>
    <t>28.29.22.110</t>
  </si>
  <si>
    <t>28.29.22</t>
  </si>
  <si>
    <t>459500,00российских рублей</t>
  </si>
  <si>
    <t>25.73.40</t>
  </si>
  <si>
    <t>2800000,00российских рублей</t>
  </si>
  <si>
    <t>360000,00российских рублей</t>
  </si>
  <si>
    <t>25.73.40.290</t>
  </si>
  <si>
    <t>145000,00российских рублей</t>
  </si>
  <si>
    <t>28.13</t>
  </si>
  <si>
    <t>28.13.21.000</t>
  </si>
  <si>
    <t>170000,00российских рублей</t>
  </si>
  <si>
    <t>27.90.33.110</t>
  </si>
  <si>
    <t>630000,00российских рублей</t>
  </si>
  <si>
    <t>Ускорение до 1000g</t>
  </si>
  <si>
    <t>5500000,00российских рублей</t>
  </si>
  <si>
    <t>28.21</t>
  </si>
  <si>
    <t>28.21.13.119</t>
  </si>
  <si>
    <t>Внутр.объем 1000л., расход воды от 1.1л до 100л в минуту</t>
  </si>
  <si>
    <t>5464890,00российских рублей</t>
  </si>
  <si>
    <t>Внутр.объем 183л.,повышенное давление до 2кг/см2</t>
  </si>
  <si>
    <t>7893780,00российских рублей</t>
  </si>
  <si>
    <t>26.51.66</t>
  </si>
  <si>
    <t>Внутр.объем 100л.,диапазон температур -65…+200)С</t>
  </si>
  <si>
    <t>4000000,00российских рублей</t>
  </si>
  <si>
    <t>28.41</t>
  </si>
  <si>
    <t>28.41.2</t>
  </si>
  <si>
    <t>Мощность 2800Вт, частота шпинделя70-2000 об/мин., напольное исполнение</t>
  </si>
  <si>
    <t>442200,00российских рублей</t>
  </si>
  <si>
    <t>27.90.1</t>
  </si>
  <si>
    <t>28.29.31</t>
  </si>
  <si>
    <t>207000,00российских рублей</t>
  </si>
  <si>
    <t>28.13.1</t>
  </si>
  <si>
    <t>140000,00российских рублей</t>
  </si>
  <si>
    <t>28.25.20.110</t>
  </si>
  <si>
    <t>13000000,00российских рублей</t>
  </si>
  <si>
    <t>27.32</t>
  </si>
  <si>
    <t>27.32.13</t>
  </si>
  <si>
    <t>26.40</t>
  </si>
  <si>
    <t>26.40.4</t>
  </si>
  <si>
    <t>26.51.45.110</t>
  </si>
  <si>
    <t>158170,00российских рублей</t>
  </si>
  <si>
    <t>1650000,00российских рублей</t>
  </si>
  <si>
    <t>1126000,00российских рублей</t>
  </si>
  <si>
    <t>247285,00российских рублей</t>
  </si>
  <si>
    <t>26.70</t>
  </si>
  <si>
    <t>26.70.2</t>
  </si>
  <si>
    <t>208370,00российских рублей</t>
  </si>
  <si>
    <t>25.93</t>
  </si>
  <si>
    <t>25.93.15.120</t>
  </si>
  <si>
    <t>270000,00российских рублей</t>
  </si>
  <si>
    <t>26.40.2</t>
  </si>
  <si>
    <t>507000,00российских рублей</t>
  </si>
  <si>
    <t>28.91</t>
  </si>
  <si>
    <t>194000,00российских рублей</t>
  </si>
  <si>
    <t>26.70.23.120</t>
  </si>
  <si>
    <t xml:space="preserve"> ГН-5П ОАО "Плазма" Все товары должны быть безопасны и разрешены для применения на территории РФ</t>
  </si>
  <si>
    <t>26.51.45.114</t>
  </si>
  <si>
    <t>OPHIR Все товары должны быть безопасны и разрешены для применения на территории РФ</t>
  </si>
  <si>
    <t>138000,00российских рублей</t>
  </si>
  <si>
    <t>394120,00российских рублей</t>
  </si>
  <si>
    <t>26.51.42.120</t>
  </si>
  <si>
    <t>АКИП 4122/4 Все товары должны быть безопасны и разрешены для применения на территории РФ</t>
  </si>
  <si>
    <t>167200,00российских рублей</t>
  </si>
  <si>
    <t>27.90.31.110</t>
  </si>
  <si>
    <t>Напольный на 2 раб.места</t>
  </si>
  <si>
    <t>210000,00российских рублей</t>
  </si>
  <si>
    <t>28.25.13.110</t>
  </si>
  <si>
    <t>MC712R Все товары должны быть безопасны и разрешены для применения на территории РФ</t>
  </si>
  <si>
    <t>1226000,00российских рублей</t>
  </si>
  <si>
    <t>24.41</t>
  </si>
  <si>
    <t>24.41.2</t>
  </si>
  <si>
    <t>Токарно-винторезный станок Иж-250ИТВМ</t>
  </si>
  <si>
    <t>28.41.40</t>
  </si>
  <si>
    <t>Центр вращающийся с хвостовиком с конусом Морзе №2 и №3</t>
  </si>
  <si>
    <t>216000,00российских рублей</t>
  </si>
  <si>
    <t>1416000,00российских рублей</t>
  </si>
  <si>
    <t>2407200,00российских рублей</t>
  </si>
  <si>
    <t>228500,00российских рублей</t>
  </si>
  <si>
    <t>201840,00российских рублей</t>
  </si>
  <si>
    <t xml:space="preserve"> канала, паяльник, фен Все товары должны быть безопасны и разрешены для применения на территории РФ</t>
  </si>
  <si>
    <t>220000,00российских рублей</t>
  </si>
  <si>
    <t>43.34</t>
  </si>
  <si>
    <t>43.34.10.110</t>
  </si>
  <si>
    <t>DF-2,5 Все товары должны быть безопасны и разрешены для применения на территории РФ</t>
  </si>
  <si>
    <t>32.12.12.130</t>
  </si>
  <si>
    <t>292500,00российских рублей</t>
  </si>
  <si>
    <t>25.73.30.290</t>
  </si>
  <si>
    <t>28.21.13</t>
  </si>
  <si>
    <t>Компания МИЛЛАБ Все товары должны быть безопасны и разрешены для применения на территории РФ</t>
  </si>
  <si>
    <t>968150,00российских рублей</t>
  </si>
  <si>
    <t>162</t>
  </si>
  <si>
    <t>метрический карат</t>
  </si>
  <si>
    <t>278495,00российских рублей</t>
  </si>
  <si>
    <t>28.25.12</t>
  </si>
  <si>
    <t>420000,00российских рублей</t>
  </si>
  <si>
    <t>26.51.33</t>
  </si>
  <si>
    <t>28.13.21</t>
  </si>
  <si>
    <t>28.25.14</t>
  </si>
  <si>
    <t>130000,00 российских рублей</t>
  </si>
  <si>
    <t>20.59</t>
  </si>
  <si>
    <t>20.59.52.192</t>
  </si>
  <si>
    <t>248400,00российских рублей</t>
  </si>
  <si>
    <t>24.20.3</t>
  </si>
  <si>
    <t>24.20.33.000</t>
  </si>
  <si>
    <t>22.21.2</t>
  </si>
  <si>
    <t>1228500,00российских рублей</t>
  </si>
  <si>
    <t>22.11</t>
  </si>
  <si>
    <t>22.11.1</t>
  </si>
  <si>
    <t>Летние автомобильные шины Все товары должны быть безопасны и разрешены для применения на территории РФ</t>
  </si>
  <si>
    <t>Зимние автомобильные шины Все товары должны быть безопасны и разрешены для применения на территории РФ</t>
  </si>
  <si>
    <t>32.99</t>
  </si>
  <si>
    <t>32.99.59.000</t>
  </si>
  <si>
    <t>22.23</t>
  </si>
  <si>
    <t>22.23.11</t>
  </si>
  <si>
    <t>Система ГрандЛайн Все товары должны быть безопасны и разрешены для применения на территории РФ</t>
  </si>
  <si>
    <t>16.2</t>
  </si>
  <si>
    <t>Производство "ЗДИ" Все товары должны быть безопасны и разрешены для применения на территории РФ</t>
  </si>
  <si>
    <t>25.72</t>
  </si>
  <si>
    <t>25.72.12.110</t>
  </si>
  <si>
    <t>Цвет золото, AGB</t>
  </si>
  <si>
    <t>47.19</t>
  </si>
  <si>
    <t>47.19.20</t>
  </si>
  <si>
    <t>Кабели телефонные, кабели UTP, телефонные розетки,кабель-каналы.</t>
  </si>
  <si>
    <t>27.32.1</t>
  </si>
  <si>
    <t>Возможность регулировать усилие Все товары должны быть безопасны и разрешены для применения на территории РФ</t>
  </si>
  <si>
    <t>Висячие, врезные, накладные, механический, кодовый электронный  замок.</t>
  </si>
  <si>
    <t>25.21</t>
  </si>
  <si>
    <t>20.30</t>
  </si>
  <si>
    <t>20.30.22</t>
  </si>
  <si>
    <t>24.20</t>
  </si>
  <si>
    <t>Согласно ГОСТ  Все товары должны быть безопасны и разрешены для применения на территории РФ</t>
  </si>
  <si>
    <t>27.20</t>
  </si>
  <si>
    <t>27.20.21</t>
  </si>
  <si>
    <t>Повышенной емкости Все товары должны быть безопасны и разрешены для применения на территории РФ</t>
  </si>
  <si>
    <t>25.62</t>
  </si>
  <si>
    <t>25.62.20</t>
  </si>
  <si>
    <t>ЖГДК 433751.030 ТУ Все товары должны быть безопасны и разрешены для применения на территории РФ</t>
  </si>
  <si>
    <t>24.45.9</t>
  </si>
  <si>
    <t>287500,00российских рублей</t>
  </si>
  <si>
    <t>0,8;   0,8;   0,8;   0,8</t>
  </si>
  <si>
    <t>1648000,00российских рублей</t>
  </si>
  <si>
    <t>соответствие КД</t>
  </si>
  <si>
    <t>137000,00российских рублей</t>
  </si>
  <si>
    <t>"МакроОптика"</t>
  </si>
  <si>
    <t>26.12</t>
  </si>
  <si>
    <t>178000,00российских рублей</t>
  </si>
  <si>
    <t>"Протон"</t>
  </si>
  <si>
    <t>173000,00российских рублей</t>
  </si>
  <si>
    <t>ПАО КМЗ</t>
  </si>
  <si>
    <t>1890000,00российских рублей</t>
  </si>
  <si>
    <t xml:space="preserve"> УНН 190437885</t>
  </si>
  <si>
    <t>"Олмисервис"</t>
  </si>
  <si>
    <t>3012770,00российских рублей</t>
  </si>
  <si>
    <t>"Экситон"</t>
  </si>
  <si>
    <t>22.29</t>
  </si>
  <si>
    <t xml:space="preserve"> "Электрлоприбор"</t>
  </si>
  <si>
    <t>15015000,00российских рублей</t>
  </si>
  <si>
    <t>УНН 190437885</t>
  </si>
  <si>
    <t>184000,00российских рублей</t>
  </si>
  <si>
    <t>"Электроприбор"</t>
  </si>
  <si>
    <t>345000,00российских рублей</t>
  </si>
  <si>
    <t>291000,00российских рублей</t>
  </si>
  <si>
    <t>356000,00российских рублей</t>
  </si>
  <si>
    <t>647000,00российских рублей</t>
  </si>
  <si>
    <t>1926000,00российских рублей</t>
  </si>
  <si>
    <t>2354000,00российских рублей</t>
  </si>
  <si>
    <t>632000,00российских рублей</t>
  </si>
  <si>
    <t>62.09</t>
  </si>
  <si>
    <t>в соответствии с законодательством</t>
  </si>
  <si>
    <t>35.30</t>
  </si>
  <si>
    <t>35.30.1</t>
  </si>
  <si>
    <t>согласно действующим нормативам</t>
  </si>
  <si>
    <t>20000000,00российских рублей</t>
  </si>
  <si>
    <t>90.00</t>
  </si>
  <si>
    <t>40.00.20.122</t>
  </si>
  <si>
    <t>4400000,00российских рублей</t>
  </si>
  <si>
    <t>450000,00российских рублей</t>
  </si>
  <si>
    <t>71.12.53</t>
  </si>
  <si>
    <t>71.12.39.113</t>
  </si>
  <si>
    <t>в соотвествии с природоохранным законодательством</t>
  </si>
  <si>
    <t>38.2</t>
  </si>
  <si>
    <t>38.21</t>
  </si>
  <si>
    <t>370889,28российских рублей</t>
  </si>
  <si>
    <t>82.92</t>
  </si>
  <si>
    <t>22.22.19.000</t>
  </si>
  <si>
    <t>В соответствии с КД</t>
  </si>
  <si>
    <t>850000,00российских рублей</t>
  </si>
  <si>
    <t>31.40.23.190</t>
  </si>
  <si>
    <t>10.51.1</t>
  </si>
  <si>
    <t>10.51.11.110</t>
  </si>
  <si>
    <t>Соответствие ТЗ</t>
  </si>
  <si>
    <t>205000,00российских рублей</t>
  </si>
  <si>
    <t>86.21</t>
  </si>
  <si>
    <t>86.21.10</t>
  </si>
  <si>
    <t>Наличие лицензии на проведение периодических медосмотров</t>
  </si>
  <si>
    <t>71.20.7</t>
  </si>
  <si>
    <t>71.20.19.130</t>
  </si>
  <si>
    <t>Наличие лицензии на проведение СОУТ</t>
  </si>
  <si>
    <t>110000,00российских рублей</t>
  </si>
  <si>
    <t>26.51.3</t>
  </si>
  <si>
    <t>26.51.31.000</t>
  </si>
  <si>
    <t>Соответствие требованиям  нормативных документов</t>
  </si>
  <si>
    <t>122000,00российских рублей</t>
  </si>
  <si>
    <t>81.29.1</t>
  </si>
  <si>
    <t>81.29.11.000</t>
  </si>
  <si>
    <t>Соответствие санитарным правилам</t>
  </si>
  <si>
    <t>904</t>
  </si>
  <si>
    <t>рабочее место</t>
  </si>
  <si>
    <t>51.65.6</t>
  </si>
  <si>
    <t>до 3,0 В, 10 ГЦ - 2 ГГц</t>
  </si>
  <si>
    <t>71.20</t>
  </si>
  <si>
    <t>71.20.13.000</t>
  </si>
  <si>
    <t>43.21.10.290</t>
  </si>
  <si>
    <t>71.20.19.140</t>
  </si>
  <si>
    <t>17.23</t>
  </si>
  <si>
    <t>В соответствии с требованиями установленными заказчиком в документации о закупке</t>
  </si>
  <si>
    <t>26.1</t>
  </si>
  <si>
    <t>Приемка "5" Все товары должны быть безопасны и разрешены для применения на территории РФ</t>
  </si>
  <si>
    <t>216428,87российских рублей</t>
  </si>
  <si>
    <t>27.90.20.110</t>
  </si>
  <si>
    <t>Приемка "5"</t>
  </si>
  <si>
    <t>483800,00российских рублей</t>
  </si>
  <si>
    <t>896304,00российских рублей</t>
  </si>
  <si>
    <t>448152,00российских рублей</t>
  </si>
  <si>
    <t>8843793,90российских рублей</t>
  </si>
  <si>
    <t>14150070,24 российских рублей</t>
  </si>
  <si>
    <t>26.51.8</t>
  </si>
  <si>
    <t>26.51.66.131</t>
  </si>
  <si>
    <t>17726279,50российских рублей</t>
  </si>
  <si>
    <t>12140080,00российских рублей</t>
  </si>
  <si>
    <t>26.70.21.120</t>
  </si>
  <si>
    <t>685766,40российских рублей</t>
  </si>
  <si>
    <t>1005790,72российских рублей</t>
  </si>
  <si>
    <t>23.19.2</t>
  </si>
  <si>
    <t>3226166,96российских рублей</t>
  </si>
  <si>
    <t>27.90.12.120</t>
  </si>
  <si>
    <t>544978,00российских рублей</t>
  </si>
  <si>
    <t>43.29</t>
  </si>
  <si>
    <t>43.29.19</t>
  </si>
  <si>
    <t>согласно ТР ТС 011/2011</t>
  </si>
  <si>
    <t>52.45.1</t>
  </si>
  <si>
    <t>31.62.13</t>
  </si>
  <si>
    <t>40.30.5</t>
  </si>
  <si>
    <t>40.30.10.230</t>
  </si>
  <si>
    <t>46.73.3</t>
  </si>
  <si>
    <t>28.14.12.110</t>
  </si>
  <si>
    <t>3150000,00российских рублей</t>
  </si>
  <si>
    <t>20.59.52.194</t>
  </si>
  <si>
    <t>90.01</t>
  </si>
  <si>
    <t>90.01.11.130</t>
  </si>
  <si>
    <t>33.12.18.000</t>
  </si>
  <si>
    <t>33.2</t>
  </si>
  <si>
    <t>33.20.39.000</t>
  </si>
  <si>
    <t>42.21</t>
  </si>
  <si>
    <t>42.21.12.000</t>
  </si>
  <si>
    <t>71.20.8</t>
  </si>
  <si>
    <t>71.20.19.120</t>
  </si>
  <si>
    <t xml:space="preserve">Экспертная оценка внедрения СМК на предприятии, документация по сертификации, </t>
  </si>
  <si>
    <t>80.30</t>
  </si>
  <si>
    <t>80.30.10.000</t>
  </si>
  <si>
    <t>Аккредитация в Военном регистре</t>
  </si>
  <si>
    <t>58.19</t>
  </si>
  <si>
    <t>Актуализированная версия НД Все товары должны быть безопасны и разрешены для применения на территории РФ</t>
  </si>
  <si>
    <t>760000,00российских рублей</t>
  </si>
  <si>
    <t>115000,00российских рублей</t>
  </si>
  <si>
    <t>Актуализированная версия НД</t>
  </si>
  <si>
    <t>82.30</t>
  </si>
  <si>
    <t>82.30.12</t>
  </si>
  <si>
    <t>в соответствии с требованием заказчика, указанным в закупочной документации</t>
  </si>
  <si>
    <t>936545,94 российских рублей</t>
  </si>
  <si>
    <t>451296,90 российских рублей</t>
  </si>
  <si>
    <t>79.9</t>
  </si>
  <si>
    <t>61.10.1</t>
  </si>
  <si>
    <t>61.10.11</t>
  </si>
  <si>
    <t>В соответствии с Федеральным Законом «О связи» от 7 июля 2003 г. №126-ФЗ</t>
  </si>
  <si>
    <t>355</t>
  </si>
  <si>
    <t>158000,00 российских рублей</t>
  </si>
  <si>
    <t>ПАО МГТС</t>
  </si>
  <si>
    <t>158000,00российских рублей</t>
  </si>
  <si>
    <t>62.02</t>
  </si>
  <si>
    <t>Регулярное пополнение систем новой информацией с периодичностью 1 раз неделю, при наличии средств телекоммуникационной связи возможно пополнение ежедневно.</t>
  </si>
  <si>
    <t>Товар должен быть новым, не бывшим в употреблении, не восстановленным и не собранным из восстановленных компонентов, и  выпускаемым серийно. Не допускается поставка товара с истекшим сроком годности (гарантийным сроком), заявленным Производителем товара.</t>
  </si>
  <si>
    <t>62.01.29.000</t>
  </si>
  <si>
    <t>Права на использование программного обеспечения должны быть переданы Лицензиату  на уловиях простой (неисключительной) либо стандартной лицензии. Программное обеспечения должно обеспечивать полную cовместимость с компьютерами на базе Intel, AMD</t>
  </si>
  <si>
    <t xml:space="preserve">Техподдержка, оказание услуг не позднее 5 дней со дня заявки  </t>
  </si>
  <si>
    <t>686000,00российских рублей</t>
  </si>
  <si>
    <t>73.1</t>
  </si>
  <si>
    <t>70.21.10</t>
  </si>
  <si>
    <t>26.5</t>
  </si>
  <si>
    <t>26.51.33.199</t>
  </si>
  <si>
    <t>36000000,00 российских рублей</t>
  </si>
  <si>
    <t>35000000,00 российских рублей</t>
  </si>
  <si>
    <t>13021400,00 российских рублей</t>
  </si>
  <si>
    <t>355000,00российских рублей</t>
  </si>
  <si>
    <t>468000,00российских рублей</t>
  </si>
  <si>
    <t>3500000,00российских рублей</t>
  </si>
  <si>
    <t>540600,00российских рублей</t>
  </si>
  <si>
    <t>1250000,00российских рублей</t>
  </si>
  <si>
    <t>17300000,00российских рублей</t>
  </si>
  <si>
    <t>157530,00российских рублей</t>
  </si>
  <si>
    <t>212000,00российских рублей</t>
  </si>
  <si>
    <t>5388116,00российских рублей</t>
  </si>
  <si>
    <t>1137266,00российских рублей</t>
  </si>
  <si>
    <t>10734066,00 российских рублей</t>
  </si>
  <si>
    <t>35.30.11.120</t>
  </si>
  <si>
    <t>Согласно Договору</t>
  </si>
  <si>
    <t>238</t>
  </si>
  <si>
    <t>14000000,00российских рублей</t>
  </si>
  <si>
    <t>43.29.19.110</t>
  </si>
  <si>
    <t>33.12.12.000</t>
  </si>
  <si>
    <t>Согласно ФНП, утверждённым приказом Ростехнадзора № 533 от 12.11.2013г.</t>
  </si>
  <si>
    <t>41</t>
  </si>
  <si>
    <t>Согласно требовниям заказчика</t>
  </si>
  <si>
    <t>43.32.1</t>
  </si>
  <si>
    <t>43.32</t>
  </si>
  <si>
    <t>43.22</t>
  </si>
  <si>
    <t>43.22.12.190</t>
  </si>
  <si>
    <t>26.51.66.190</t>
  </si>
  <si>
    <t>26.51.66.120</t>
  </si>
  <si>
    <t>31.01.11.150</t>
  </si>
  <si>
    <t>28.21.13.110</t>
  </si>
  <si>
    <t>198053,33российских рублей</t>
  </si>
  <si>
    <t>25.11.23.120</t>
  </si>
  <si>
    <t>1231400,00российских рублей</t>
  </si>
  <si>
    <t>27.51</t>
  </si>
  <si>
    <t>27.51.28</t>
  </si>
  <si>
    <t>19576200,00российских рублей</t>
  </si>
  <si>
    <t>26.60</t>
  </si>
  <si>
    <t>26.60.12.110</t>
  </si>
  <si>
    <t>2868133,33российских рублей</t>
  </si>
  <si>
    <t>268681,28российских рублей</t>
  </si>
  <si>
    <t>313569,26российских рублей</t>
  </si>
  <si>
    <t>211392,00российских рублей</t>
  </si>
  <si>
    <t>27.51.15.120</t>
  </si>
  <si>
    <t>26.51.53.150</t>
  </si>
  <si>
    <t>26.70.22.150</t>
  </si>
  <si>
    <t>28.21.1</t>
  </si>
  <si>
    <t>26.51.12.190</t>
  </si>
  <si>
    <t>28.41.24</t>
  </si>
  <si>
    <t>26.51.53.190</t>
  </si>
  <si>
    <t>Соответствие ГОСТ</t>
  </si>
  <si>
    <t>2600000,00российских рублей</t>
  </si>
  <si>
    <t>Поверка, гарантия не менее 24 месяцев</t>
  </si>
  <si>
    <t>37950000,00российских рублей</t>
  </si>
  <si>
    <t>14896000,00российских рублей</t>
  </si>
  <si>
    <t>56950000,00российских рублей</t>
  </si>
  <si>
    <t>31.0</t>
  </si>
  <si>
    <t>26.51.70.190</t>
  </si>
  <si>
    <t>26.51.66.134</t>
  </si>
  <si>
    <t>Штука</t>
  </si>
  <si>
    <t>7000000,00российских рублей</t>
  </si>
  <si>
    <t>17500000,00российских рублей</t>
  </si>
  <si>
    <t>40000000,00российских рублей</t>
  </si>
  <si>
    <t>26.70.23</t>
  </si>
  <si>
    <t>45000000000</t>
  </si>
  <si>
    <t>47.19.2</t>
  </si>
  <si>
    <t>Ассортимент, характеристики и кол-во в соответствии с техническим заданием. Мебель, упаковка и маркировка мебели должна соответствовать требованиям ГОСТа</t>
  </si>
  <si>
    <t>1000000,00</t>
  </si>
  <si>
    <t>26.30.50</t>
  </si>
  <si>
    <t>1004-00619</t>
  </si>
  <si>
    <t>24.45.2</t>
  </si>
  <si>
    <t>24.45.30.183</t>
  </si>
  <si>
    <t>соответсвие ГОСТ,ОСТ</t>
  </si>
  <si>
    <t>1004-00620</t>
  </si>
  <si>
    <t>53.2</t>
  </si>
  <si>
    <t>53.20.1</t>
  </si>
  <si>
    <t>Перевозка корреспонденции с грифом по заказу предприятия</t>
  </si>
  <si>
    <t>нет</t>
  </si>
  <si>
    <t>27.12</t>
  </si>
  <si>
    <t>26.7</t>
  </si>
  <si>
    <t>26.11.30.000</t>
  </si>
  <si>
    <t>Изготовление в соответствии с требованиями, установленными заказчиком. Приемка  ОТК</t>
  </si>
  <si>
    <t>АО"НИИ" Полюс" им. М.Ф. Стельмаха"</t>
  </si>
  <si>
    <t>г. Москва, ул. Введенского, д.3, корп.1</t>
  </si>
  <si>
    <t>8-495-333-05-02</t>
  </si>
  <si>
    <t>zakupki223fz@mail.ru</t>
  </si>
  <si>
    <t>на  2017 год</t>
  </si>
  <si>
    <t xml:space="preserve"> 1.1.8</t>
  </si>
  <si>
    <t>ФГУП "ГЦСС"</t>
  </si>
  <si>
    <t>7932-МО</t>
  </si>
  <si>
    <t>13.01.2017</t>
  </si>
  <si>
    <t>19.01.2017</t>
  </si>
  <si>
    <t>25.01.2017</t>
  </si>
  <si>
    <t>74.1</t>
  </si>
  <si>
    <t>74.90.20</t>
  </si>
  <si>
    <t>26.12.10.000</t>
  </si>
  <si>
    <t>71.12</t>
  </si>
  <si>
    <t>71.12.12.000</t>
  </si>
  <si>
    <t>25.11.23</t>
  </si>
  <si>
    <t>42.2</t>
  </si>
  <si>
    <t>42.21.24.110</t>
  </si>
  <si>
    <t>72.19</t>
  </si>
  <si>
    <t>72.1</t>
  </si>
  <si>
    <t>85.22</t>
  </si>
  <si>
    <t>38.22</t>
  </si>
  <si>
    <t>38.12.12</t>
  </si>
  <si>
    <t>24.45.30.280</t>
  </si>
  <si>
    <t>26.11.22</t>
  </si>
  <si>
    <t>25.92</t>
  </si>
  <si>
    <t>20.59.4</t>
  </si>
  <si>
    <t>26.11.22.120</t>
  </si>
  <si>
    <t>27.31</t>
  </si>
  <si>
    <t>27.31.12.110</t>
  </si>
  <si>
    <t>28.29.70</t>
  </si>
  <si>
    <t>31.09</t>
  </si>
  <si>
    <t>31.09.1</t>
  </si>
  <si>
    <t>22.19</t>
  </si>
  <si>
    <t>22.19.30</t>
  </si>
  <si>
    <t>20.11.11.140</t>
  </si>
  <si>
    <t>20.14.7</t>
  </si>
  <si>
    <t>24.42.21</t>
  </si>
  <si>
    <t>27.33.11</t>
  </si>
  <si>
    <t>27.33.13.120</t>
  </si>
  <si>
    <t>77.40</t>
  </si>
  <si>
    <t>70.22.4</t>
  </si>
  <si>
    <t>Контактор КНЕ-020У 24 В,554100022 09, контактор КНЕ-030У 24В, 554110022 09</t>
  </si>
  <si>
    <t>В соответствии с требованиями заказчика</t>
  </si>
  <si>
    <t>огласно закупочной документации заказчика</t>
  </si>
  <si>
    <t>Согласно ТЗ</t>
  </si>
  <si>
    <t>АФТП.433520.004ТУ</t>
  </si>
  <si>
    <t xml:space="preserve">ШКАБ.434110.002 ТУ; ШКАБ.434110.020 ТУ; </t>
  </si>
  <si>
    <t>Наличие лицензии на сбор, хранение, транспортировку и переработку   отходов</t>
  </si>
  <si>
    <t xml:space="preserve">Наличие лицензии на сбор, хранение, транспортировку и переработку   отходов  </t>
  </si>
  <si>
    <t xml:space="preserve">Наличие лицензии на сбор, хранение, транспортировку и переработку  ртутьсодержащих отходов  </t>
  </si>
  <si>
    <t>Производитель AХТ, Inc.</t>
  </si>
  <si>
    <t>Ту 1995-079-00195200-2003</t>
  </si>
  <si>
    <t>ГОСТ 17432-72 ГОСТ849-2009  ГОСТ 19807-91 ГОСТ5905-79</t>
  </si>
  <si>
    <t xml:space="preserve">Постовляемый товар должен соответствовать техническим требованиям. </t>
  </si>
  <si>
    <t>согласно требованиям заказчика</t>
  </si>
  <si>
    <t>ТУ</t>
  </si>
  <si>
    <t>ТУ 1051467-89              ТУ 2552-038-0015-2081-2002</t>
  </si>
  <si>
    <t>ТУ АЖЯР.67.3546.007; ОЖО.464.234.</t>
  </si>
  <si>
    <t>АЯЕР.431160.609ТУ, АЯЕР.431160.499ТУ, ТТО.343.000ТУ</t>
  </si>
  <si>
    <t>аА0.339.076ТУ, аА0.339.375ТУ, бК0.347.098ТУ</t>
  </si>
  <si>
    <t>аА0.339.366ТУ</t>
  </si>
  <si>
    <t>АФТП.433520.044ТУ</t>
  </si>
  <si>
    <t>ГОСТ</t>
  </si>
  <si>
    <t>согласно ТУ</t>
  </si>
  <si>
    <t>БЛО.445.000 ТУ</t>
  </si>
  <si>
    <t>АГО.360.034 ТУ</t>
  </si>
  <si>
    <t>КеО.364.000 ТУ</t>
  </si>
  <si>
    <t>бро.364.030 ТУ; бро.364.031 ТУ; НКЦС.434410.511 ТУ</t>
  </si>
  <si>
    <t>ТУ 16-94-БКЖИ.644131.001 ТУ</t>
  </si>
  <si>
    <t xml:space="preserve">ГОСТ и ТУ </t>
  </si>
  <si>
    <t xml:space="preserve">РЮМК.430420.037 ТУ, РЮМК. 430420.033 ТУ,РЮМК. 430.420.011 ТУ </t>
  </si>
  <si>
    <t>Analog Devices, International Rectifier, Murata, Maxim, Vishay,</t>
  </si>
  <si>
    <t>огласно требованиям заказчика</t>
  </si>
  <si>
    <t>008</t>
  </si>
  <si>
    <t>116</t>
  </si>
  <si>
    <t>Комплект</t>
  </si>
  <si>
    <t>Тонна; Метрическая тонна (1000 кг)</t>
  </si>
  <si>
    <t>Километр; Тысяча метров</t>
  </si>
  <si>
    <t>Килограмм</t>
  </si>
  <si>
    <t>Метр</t>
  </si>
  <si>
    <t>Декалитр</t>
  </si>
  <si>
    <t>220180,00</t>
  </si>
  <si>
    <t>955800,00</t>
  </si>
  <si>
    <t>19000000,00</t>
  </si>
  <si>
    <t>2110000,00</t>
  </si>
  <si>
    <t>15000000,00</t>
  </si>
  <si>
    <t>1180538,00</t>
  </si>
  <si>
    <t>8000000,00</t>
  </si>
  <si>
    <t>67200000,00</t>
  </si>
  <si>
    <t>79500000,00</t>
  </si>
  <si>
    <t>3000000,00</t>
  </si>
  <si>
    <t>95100000,00</t>
  </si>
  <si>
    <t>98200000,00</t>
  </si>
  <si>
    <t>3768000,00</t>
  </si>
  <si>
    <t>1500000,00</t>
  </si>
  <si>
    <t>2000000,00</t>
  </si>
  <si>
    <t>651081,42</t>
  </si>
  <si>
    <t>485000,00</t>
  </si>
  <si>
    <t>12000000,00</t>
  </si>
  <si>
    <t>35000000,00</t>
  </si>
  <si>
    <t>111394,36</t>
  </si>
  <si>
    <t>885000,00</t>
  </si>
  <si>
    <t>110000,00</t>
  </si>
  <si>
    <t>200000,00</t>
  </si>
  <si>
    <t>2454239,25</t>
  </si>
  <si>
    <t>750000,00</t>
  </si>
  <si>
    <t>2500000,00</t>
  </si>
  <si>
    <t>70921,73</t>
  </si>
  <si>
    <t>343600,00</t>
  </si>
  <si>
    <t>10464798,97</t>
  </si>
  <si>
    <t>1230527,60</t>
  </si>
  <si>
    <t>326388,00</t>
  </si>
  <si>
    <t>697981,33</t>
  </si>
  <si>
    <t>9090967,56</t>
  </si>
  <si>
    <t>505920,00</t>
  </si>
  <si>
    <t>843200,00</t>
  </si>
  <si>
    <t>45666,00</t>
  </si>
  <si>
    <t>207019,20</t>
  </si>
  <si>
    <t>203974,80</t>
  </si>
  <si>
    <t>692023,63</t>
  </si>
  <si>
    <t>141345,00</t>
  </si>
  <si>
    <t>880739,18</t>
  </si>
  <si>
    <t>1971440,00</t>
  </si>
  <si>
    <t>1119860,00</t>
  </si>
  <si>
    <t>372443,00</t>
  </si>
  <si>
    <t>446415,24</t>
  </si>
  <si>
    <t>2009800,00</t>
  </si>
  <si>
    <t>116774,13</t>
  </si>
  <si>
    <t>233505,52</t>
  </si>
  <si>
    <t>217100,69</t>
  </si>
  <si>
    <t>2576932,21</t>
  </si>
  <si>
    <t>777000,00</t>
  </si>
  <si>
    <t>167213,32</t>
  </si>
  <si>
    <t>362288,80</t>
  </si>
  <si>
    <t>355209,50</t>
  </si>
  <si>
    <t>279518,40</t>
  </si>
  <si>
    <t>973500,00</t>
  </si>
  <si>
    <t>1954935,00</t>
  </si>
  <si>
    <t>234596,00</t>
  </si>
  <si>
    <t>2738780,00</t>
  </si>
  <si>
    <t>180000,00</t>
  </si>
  <si>
    <t>120360,00</t>
  </si>
  <si>
    <t>124585,58</t>
  </si>
  <si>
    <t>38862,12</t>
  </si>
  <si>
    <t>260000,00</t>
  </si>
  <si>
    <t>3000000,00 российских рублей</t>
  </si>
  <si>
    <t>110000,00 российских рублей</t>
  </si>
  <si>
    <t>2500000,00 российских рублей</t>
  </si>
  <si>
    <t>курс доллара по состоянию на 01.02.2017 г. - 60,08</t>
  </si>
  <si>
    <t>5029008940</t>
  </si>
  <si>
    <t>ФГУП "МНИИРИП"</t>
  </si>
  <si>
    <t>03.02.2017</t>
  </si>
  <si>
    <t>16411.4432017.11.069-М</t>
  </si>
  <si>
    <t>190437885</t>
  </si>
  <si>
    <t>ООО "Олмисервис"</t>
  </si>
  <si>
    <t>1617187400922412209010034/И-016/26-2016</t>
  </si>
  <si>
    <t>1826000616</t>
  </si>
  <si>
    <t>Ижевский мотозавод "Аксион-холдинг"</t>
  </si>
  <si>
    <t>20.01.2017</t>
  </si>
  <si>
    <t>06.02.2017</t>
  </si>
  <si>
    <t>31.03.2017</t>
  </si>
  <si>
    <t>АО "Ижевский мотозавод "Аксион-холдинг"</t>
  </si>
  <si>
    <t>140-10/4620-16</t>
  </si>
  <si>
    <t>7701002520</t>
  </si>
  <si>
    <t>МГТУ ИМ. Н.Э. БАУМАНА</t>
  </si>
  <si>
    <t>35 000 000</t>
  </si>
  <si>
    <t>01.02.2017</t>
  </si>
  <si>
    <t>РЛ03-01/16</t>
  </si>
  <si>
    <t>7724179933</t>
  </si>
  <si>
    <t>Акционерное общество «Экспериментальное научно-производственное объединение СПЕЦИАЛИЗИРОВАННЫЕ ЭЛЕКТРОННЫЕ СИСТЕМЫ»</t>
  </si>
  <si>
    <t>3 000 000</t>
  </si>
  <si>
    <t>9633</t>
  </si>
  <si>
    <t>7717671799</t>
  </si>
  <si>
    <t>АО "ШВАБЕ""</t>
  </si>
  <si>
    <t>3 229 565</t>
  </si>
  <si>
    <t>16-290/002</t>
  </si>
  <si>
    <t>ПАО "Красногорский завод им. С.А. зверева</t>
  </si>
  <si>
    <t>30.01.2017</t>
  </si>
  <si>
    <t>10.02.2017</t>
  </si>
  <si>
    <t>31.01.2017</t>
  </si>
  <si>
    <t>5024022965</t>
  </si>
  <si>
    <t>1620187419952412802009046/302/1-17</t>
  </si>
  <si>
    <t>7112000210</t>
  </si>
  <si>
    <t>АО "Ресурс"</t>
  </si>
  <si>
    <t>106447.37</t>
  </si>
  <si>
    <t>09.02.2017</t>
  </si>
  <si>
    <t>АО "РЕСУРС""</t>
  </si>
  <si>
    <t>1617187120602422208009145/0342-2016</t>
  </si>
  <si>
    <t>7727768951</t>
  </si>
  <si>
    <t>ООО 'НПК 'МакроОптика'</t>
  </si>
  <si>
    <t>1 233 690</t>
  </si>
  <si>
    <t>02.02.2017</t>
  </si>
  <si>
    <t>144-16</t>
  </si>
  <si>
    <t>7725751800</t>
  </si>
  <si>
    <t>ООО «АтЭП»</t>
  </si>
  <si>
    <t>3 768 000</t>
  </si>
  <si>
    <t>17-296/980</t>
  </si>
  <si>
    <t>08.02.2017</t>
  </si>
  <si>
    <t>28.02.2017</t>
  </si>
  <si>
    <t>ООО "Протон"</t>
  </si>
  <si>
    <t>7735127006</t>
  </si>
  <si>
    <t>3254511340</t>
  </si>
  <si>
    <t>ОАО "Карачевский завод "Электродеталь""</t>
  </si>
  <si>
    <t>ПАО "Электроприбор"</t>
  </si>
  <si>
    <t>6829000109</t>
  </si>
  <si>
    <t>ЗАО НПФ ДОЛОМАНТ</t>
  </si>
  <si>
    <t>7728512529</t>
  </si>
  <si>
    <t>АО "ВОМЗ"</t>
  </si>
  <si>
    <t>3525023010</t>
  </si>
  <si>
    <t>ООО "Микро-М"</t>
  </si>
  <si>
    <t>7719565965</t>
  </si>
  <si>
    <t>5008024490</t>
  </si>
  <si>
    <t>АО "Лазекс"</t>
  </si>
  <si>
    <t>17.02.2017</t>
  </si>
  <si>
    <t>АО "ЛАЗЕКС""</t>
  </si>
  <si>
    <t>6.6.2 (11)</t>
  </si>
  <si>
    <t>ПАО "КМЗ"</t>
  </si>
  <si>
    <t>302-17</t>
  </si>
  <si>
    <t>20.02.2017</t>
  </si>
  <si>
    <t>5033007610</t>
  </si>
  <si>
    <t>ООО "ОМЗ"</t>
  </si>
  <si>
    <t>9 090 967,56</t>
  </si>
  <si>
    <t>02-17</t>
  </si>
  <si>
    <t>4028061716</t>
  </si>
  <si>
    <t>ООО "НТФ "ИВВА"</t>
  </si>
  <si>
    <t>326 388</t>
  </si>
  <si>
    <t>22.02.2017</t>
  </si>
  <si>
    <t>2П-17</t>
  </si>
  <si>
    <t>2635063350</t>
  </si>
  <si>
    <t>ООО НПФ "ЭКСИТОН""</t>
  </si>
  <si>
    <t>2 454 239,25</t>
  </si>
  <si>
    <t>14.02.2017</t>
  </si>
  <si>
    <t>04-17</t>
  </si>
  <si>
    <t>28.29.12.110</t>
  </si>
  <si>
    <t>25.6</t>
  </si>
  <si>
    <t>26.70.9</t>
  </si>
  <si>
    <t>26.70.25</t>
  </si>
  <si>
    <t>43.12.3</t>
  </si>
  <si>
    <t>43.12.12.000</t>
  </si>
  <si>
    <t>26.11.40.190</t>
  </si>
  <si>
    <t>28.14</t>
  </si>
  <si>
    <t>28.14.13.120</t>
  </si>
  <si>
    <t>63.1</t>
  </si>
  <si>
    <t>63.11.12</t>
  </si>
  <si>
    <t>71.2</t>
  </si>
  <si>
    <t>71.20.11.110</t>
  </si>
  <si>
    <t>23.99</t>
  </si>
  <si>
    <t>77.39.2</t>
  </si>
  <si>
    <t>77.39.19.119</t>
  </si>
  <si>
    <t>28.99.20.000</t>
  </si>
  <si>
    <t>28.29.60.000</t>
  </si>
  <si>
    <t>26.11.21.120</t>
  </si>
  <si>
    <t>25.99</t>
  </si>
  <si>
    <t>25.92.12.000</t>
  </si>
  <si>
    <t>23.19.9</t>
  </si>
  <si>
    <t>27.11.10.120</t>
  </si>
  <si>
    <t>24.44.22.110</t>
  </si>
  <si>
    <t>24.33.11</t>
  </si>
  <si>
    <t>16.21</t>
  </si>
  <si>
    <t>16.21.12.110</t>
  </si>
  <si>
    <t>Изготовление в соответствии с требованиями, установленными заказчиком. Приемка "5"</t>
  </si>
  <si>
    <t xml:space="preserve">оптические изделия из монокристалического монодоменного ниобата лития с габаритными размерами 8.0х18.2х33.3 мм </t>
  </si>
  <si>
    <t>по техническим требованиям заказчика, отчественного производства</t>
  </si>
  <si>
    <t>по техническим требованиям заказчика, отечественного производства</t>
  </si>
  <si>
    <t>теплоотводы изготовленные по чертежам заказчика из алмазкремниевого композита</t>
  </si>
  <si>
    <t>теплоотводы с высокой точностью обработки из меди и сплава медь-вольфрам по чертежам заказчика</t>
  </si>
  <si>
    <t>нанесение специализированных покрытий по техническим требованиям заказчика</t>
  </si>
  <si>
    <t>по техническим требованиям заказчика</t>
  </si>
  <si>
    <t>КЖДГ.433531.003, ШЖ0.338.065</t>
  </si>
  <si>
    <t>ТУ 6343-007-07616187-2013</t>
  </si>
  <si>
    <t>на основани ТЗ</t>
  </si>
  <si>
    <t>ГОСТ 1747222-2014</t>
  </si>
  <si>
    <t>в соотв. с ТУ</t>
  </si>
  <si>
    <t>в соотв.с ТЗ и КД</t>
  </si>
  <si>
    <t>в соответствии с ТЗ</t>
  </si>
  <si>
    <t>согласно ТЗ</t>
  </si>
  <si>
    <t>сертифицированные в РФ, не бывшие в употребление, гарантия на материалы не менее 12 месяцев</t>
  </si>
  <si>
    <t>ГОСТ РВ 15.703-2005</t>
  </si>
  <si>
    <t xml:space="preserve">Услуги произхводятся на территории заказчика._x000D_
</t>
  </si>
  <si>
    <t>ЖГДК433751,030 ТУ</t>
  </si>
  <si>
    <t>Изготовление  соответствии с требованими, установленными заказчиком. Приемка "5"</t>
  </si>
  <si>
    <t>проведение климатических испытаний выпускаемых изделий</t>
  </si>
  <si>
    <t xml:space="preserve">Изготовление в соответствии с требованими, установленными заказчиком. </t>
  </si>
  <si>
    <t>В соответствии с техническими характеристиками</t>
  </si>
  <si>
    <t xml:space="preserve">Аnalog Devices; Vishay; International Rectifier; Murata; Maxim; Infineon Technologies; </t>
  </si>
  <si>
    <t>БКЮС.430609.002 ТУ</t>
  </si>
  <si>
    <t>ОЖО.460.204 ТУ</t>
  </si>
  <si>
    <t>ЕИГА.524000.043 ТУ</t>
  </si>
  <si>
    <t>АЖЯР.673541.005 ТУ, АЖЯР.673543.004 ТУ, АЖЯР.673546.007 ТУ</t>
  </si>
  <si>
    <t>ГОСТ 10988-75</t>
  </si>
  <si>
    <t>Поставляемый товар должен быть произведен на территории РФ, что подтверждается сертификатами качества или сертификатами соответствия, быть безопасен и разрешен к применению на территории РФ.</t>
  </si>
  <si>
    <t>Сертифицированные в РФ, не бывшие в употребление, гарантия на материалы не менее 12 мечяцев</t>
  </si>
  <si>
    <t>ТУ16-505.083.78</t>
  </si>
  <si>
    <t>051</t>
  </si>
  <si>
    <t>Грамм</t>
  </si>
  <si>
    <t>3632219,36</t>
  </si>
  <si>
    <t>2700000,00</t>
  </si>
  <si>
    <t>205942,45</t>
  </si>
  <si>
    <t>1403600,09</t>
  </si>
  <si>
    <t>2884801,68</t>
  </si>
  <si>
    <t>685723,90</t>
  </si>
  <si>
    <t>150000,00</t>
  </si>
  <si>
    <t>172000,00</t>
  </si>
  <si>
    <t>615576,00</t>
  </si>
  <si>
    <t>6000000,00</t>
  </si>
  <si>
    <t>4200000,00</t>
  </si>
  <si>
    <t>194281,91</t>
  </si>
  <si>
    <t>115784,00</t>
  </si>
  <si>
    <t>174772,74</t>
  </si>
  <si>
    <t>146443,94</t>
  </si>
  <si>
    <t>72478,16</t>
  </si>
  <si>
    <t>30300000,00</t>
  </si>
  <si>
    <t>6200000,00</t>
  </si>
  <si>
    <t>4230000,00</t>
  </si>
  <si>
    <t>208417,50</t>
  </si>
  <si>
    <t>3435452,00 российских рублей</t>
  </si>
  <si>
    <t>194281,91 российских рублей</t>
  </si>
  <si>
    <t>6200000,00 российских рублей</t>
  </si>
  <si>
    <t>684508,00 российских рублей</t>
  </si>
  <si>
    <t>1416320,02 российских рублей</t>
  </si>
  <si>
    <t>1355014,10 российских рублей</t>
  </si>
  <si>
    <t>1396083,34 российских рублей</t>
  </si>
  <si>
    <t>1739927,30 российских рублей</t>
  </si>
  <si>
    <t>5012065,50 российских рублей</t>
  </si>
  <si>
    <t>4896798,10 российских рублей</t>
  </si>
  <si>
    <t>3972620,00 российских рублей</t>
  </si>
  <si>
    <t>6562448,00 российских рублей</t>
  </si>
  <si>
    <t>1203800,00 российских рублей</t>
  </si>
  <si>
    <t>16102217,30 российских рублей</t>
  </si>
  <si>
    <t>765000,00 российских рублей</t>
  </si>
  <si>
    <t>162000,00 российских рублей</t>
  </si>
  <si>
    <t>1406000,00 российских рублей</t>
  </si>
  <si>
    <t>256000,00 российских рублей</t>
  </si>
  <si>
    <t>1194750,00 российских рублей</t>
  </si>
  <si>
    <t>147960,00 российских рублей</t>
  </si>
  <si>
    <t>6840000,00 российских рублей</t>
  </si>
  <si>
    <t>2762500,00 российских рублей</t>
  </si>
  <si>
    <t>215160,00 российских рублей</t>
  </si>
  <si>
    <t>145200,00 российских рублей</t>
  </si>
  <si>
    <t>209000,00 российских рублей</t>
  </si>
  <si>
    <t>1720440,00 российских рублей</t>
  </si>
  <si>
    <t>3355105,80 российских рублей</t>
  </si>
  <si>
    <t>900000,00 российских рублей</t>
  </si>
  <si>
    <t>1345050,00 российских рублей</t>
  </si>
  <si>
    <t>796500,00 российских рублей</t>
  </si>
  <si>
    <t>298687,50 российских рублей</t>
  </si>
  <si>
    <t>3405000,00 российских рублей</t>
  </si>
  <si>
    <t>128236,36 российских рублей</t>
  </si>
  <si>
    <t>506736,00 российских рублей</t>
  </si>
  <si>
    <t>205000,00 российских рублей</t>
  </si>
  <si>
    <t>564140,00 российских рублей</t>
  </si>
  <si>
    <t>495600,00 российских рублей</t>
  </si>
  <si>
    <t>277536,00 российских рублей</t>
  </si>
  <si>
    <t>146350,00 российских рублей</t>
  </si>
  <si>
    <t>265600,00 российских рублей</t>
  </si>
  <si>
    <t>177067,00 российских рублей</t>
  </si>
  <si>
    <t>667508,24 российских рублей</t>
  </si>
  <si>
    <t>167000,00 российских рублей</t>
  </si>
  <si>
    <t>462842,26 российских рублей</t>
  </si>
  <si>
    <t>1142169,20 российских рублей</t>
  </si>
  <si>
    <t>688075,81 российских рублей</t>
  </si>
  <si>
    <t>105000,00 российских рублей</t>
  </si>
  <si>
    <t>507748,34 российских рублей</t>
  </si>
  <si>
    <t>833000,00 российских рублей</t>
  </si>
  <si>
    <t>273551,43 российских рублей</t>
  </si>
  <si>
    <t>382165,60 российских рублей</t>
  </si>
  <si>
    <t>368349,59 российских рублей</t>
  </si>
  <si>
    <t>380000,00 российских рублей</t>
  </si>
  <si>
    <t>25.11</t>
  </si>
  <si>
    <t>46.49.33</t>
  </si>
  <si>
    <t>46.49.23.000</t>
  </si>
  <si>
    <t>17.29.1</t>
  </si>
  <si>
    <t>17.12.14.120</t>
  </si>
  <si>
    <t>46.43</t>
  </si>
  <si>
    <t>46.43.1</t>
  </si>
  <si>
    <t>46.44.2</t>
  </si>
  <si>
    <t>46.44.12.000</t>
  </si>
  <si>
    <t>Минута</t>
  </si>
  <si>
    <t>Гигакалория в час</t>
  </si>
  <si>
    <t>Квадратный метр</t>
  </si>
  <si>
    <t>Антистатическое покрытие</t>
  </si>
  <si>
    <t>Фокусное расстояние 2010 мм</t>
  </si>
  <si>
    <t>MC712R</t>
  </si>
  <si>
    <t xml:space="preserve">Диапазон частот 5-8000 Гц </t>
  </si>
  <si>
    <t>изделия оптические из кристаллов ниобата лития в соответствии с техническими требованиями заказчика</t>
  </si>
  <si>
    <t>В соответствии с техническим заданием,ГОСТам и ТУ(ручки,карандаши,ластики ножницы, бумага и т.д.)</t>
  </si>
  <si>
    <t>В соответствии с техническим заданием  - календарь перекидной,календарь квартальный,календарь домик, календарь табель, календарь настенный,планинг,ежедневник</t>
  </si>
  <si>
    <t>В соответствии с техническим заданием  - бумага для принтера формата А4, А3, бумага для плотера, калька, копировальная бумага, писчая бумага</t>
  </si>
  <si>
    <t>В соответствии с техническим заданием  - бытовая техника(чайники, обогреватели,микроволновые печи, холодильники и т.д.,),телефонные аппараты, настольные лампы.</t>
  </si>
  <si>
    <t>В соответствии с техническим заданием,ГОСТам и ТУ(чистящие и моющие средства, хозяйственный инвентарь.)</t>
  </si>
  <si>
    <t>8353696,00</t>
  </si>
  <si>
    <t>451296,90</t>
  </si>
  <si>
    <t>158000,00</t>
  </si>
  <si>
    <t>877684,60</t>
  </si>
  <si>
    <t>590000,00</t>
  </si>
  <si>
    <t>686000,00</t>
  </si>
  <si>
    <t>718478,00</t>
  </si>
  <si>
    <t>36000000,00</t>
  </si>
  <si>
    <t>600000,00</t>
  </si>
  <si>
    <t>13021400,00</t>
  </si>
  <si>
    <t>400000,00</t>
  </si>
  <si>
    <t>355000,00</t>
  </si>
  <si>
    <t>468000,00</t>
  </si>
  <si>
    <t>3500000,00</t>
  </si>
  <si>
    <t>2148000,00</t>
  </si>
  <si>
    <t>278200,00</t>
  </si>
  <si>
    <t>237200,00</t>
  </si>
  <si>
    <t>2096400,00</t>
  </si>
  <si>
    <t>4000000,00</t>
  </si>
  <si>
    <t>2510000,00</t>
  </si>
  <si>
    <t>540600,00</t>
  </si>
  <si>
    <t>1800000,00</t>
  </si>
  <si>
    <t>13000000,00</t>
  </si>
  <si>
    <t>1250000,00</t>
  </si>
  <si>
    <t>30990000,00</t>
  </si>
  <si>
    <t>11000000,00</t>
  </si>
  <si>
    <t>290000,00</t>
  </si>
  <si>
    <t>1600000,00</t>
  </si>
  <si>
    <t>31000000,00</t>
  </si>
  <si>
    <t>17300000,00</t>
  </si>
  <si>
    <t>105000,00</t>
  </si>
  <si>
    <t>157530,00</t>
  </si>
  <si>
    <t>212000,00</t>
  </si>
  <si>
    <t>350000,00</t>
  </si>
  <si>
    <t>5388116,00</t>
  </si>
  <si>
    <t>225000,00</t>
  </si>
  <si>
    <t>452200,00</t>
  </si>
  <si>
    <t>1137266,00</t>
  </si>
  <si>
    <t>1416000,00</t>
  </si>
  <si>
    <t>591180,00</t>
  </si>
  <si>
    <t>259140,00</t>
  </si>
  <si>
    <t>991122,00</t>
  </si>
  <si>
    <t>268800,00</t>
  </si>
  <si>
    <t>10734066,00</t>
  </si>
  <si>
    <t>14000000,00</t>
  </si>
  <si>
    <t>140000,00</t>
  </si>
  <si>
    <t>3358138,40</t>
  </si>
  <si>
    <t>1572350,00</t>
  </si>
  <si>
    <t>800000,00</t>
  </si>
  <si>
    <t>8500000,00</t>
  </si>
  <si>
    <t>500000,00</t>
  </si>
  <si>
    <t>9000000,00</t>
  </si>
  <si>
    <t>980000,00</t>
  </si>
  <si>
    <t>850000,00</t>
  </si>
  <si>
    <t>450000,00</t>
  </si>
  <si>
    <t>390000,00</t>
  </si>
  <si>
    <t>53295533,50</t>
  </si>
  <si>
    <t>20500000,00</t>
  </si>
  <si>
    <t>57196427,49</t>
  </si>
  <si>
    <t>168892803,97</t>
  </si>
  <si>
    <t>20682481,39</t>
  </si>
  <si>
    <t>2658000,00</t>
  </si>
  <si>
    <t>474199,55</t>
  </si>
  <si>
    <t>2564119,11</t>
  </si>
  <si>
    <t>6311889,00</t>
  </si>
  <si>
    <t>214562,00</t>
  </si>
  <si>
    <t>198053,33</t>
  </si>
  <si>
    <t>2357537,00</t>
  </si>
  <si>
    <t>432064,00</t>
  </si>
  <si>
    <t>157419,40</t>
  </si>
  <si>
    <t>8262933,33</t>
  </si>
  <si>
    <t>26690662,50</t>
  </si>
  <si>
    <t>198570,00</t>
  </si>
  <si>
    <t>9192650,00</t>
  </si>
  <si>
    <t>504000,00</t>
  </si>
  <si>
    <t>2216951,33</t>
  </si>
  <si>
    <t>533300,00</t>
  </si>
  <si>
    <t>514200,00</t>
  </si>
  <si>
    <t>1231400,00</t>
  </si>
  <si>
    <t>740050,00</t>
  </si>
  <si>
    <t>868800,00</t>
  </si>
  <si>
    <t>1459600,00</t>
  </si>
  <si>
    <t>1653833,33</t>
  </si>
  <si>
    <t>1080000,00</t>
  </si>
  <si>
    <t>254500,00</t>
  </si>
  <si>
    <t>1170900,00</t>
  </si>
  <si>
    <t>413000,00</t>
  </si>
  <si>
    <t>4230569,00</t>
  </si>
  <si>
    <t>320000,00</t>
  </si>
  <si>
    <t>1278759,71</t>
  </si>
  <si>
    <t>103440,00</t>
  </si>
  <si>
    <t>107998,42</t>
  </si>
  <si>
    <t>168718,70</t>
  </si>
  <si>
    <t>450026,00</t>
  </si>
  <si>
    <t>19576200,00</t>
  </si>
  <si>
    <t>2868133,33</t>
  </si>
  <si>
    <t>123033,00</t>
  </si>
  <si>
    <t>268681,28</t>
  </si>
  <si>
    <t>205692,00</t>
  </si>
  <si>
    <t>549582,00</t>
  </si>
  <si>
    <t>568800,00</t>
  </si>
  <si>
    <t>313569,26</t>
  </si>
  <si>
    <t>361350,00</t>
  </si>
  <si>
    <t>136372,50</t>
  </si>
  <si>
    <t>211392,00</t>
  </si>
  <si>
    <t>29197838,35</t>
  </si>
  <si>
    <t>30783937,02</t>
  </si>
  <si>
    <t>115640,00</t>
  </si>
  <si>
    <t>107108,00</t>
  </si>
  <si>
    <t>275087,50</t>
  </si>
  <si>
    <t>110719,00</t>
  </si>
  <si>
    <t>184332,05</t>
  </si>
  <si>
    <t>172980,00</t>
  </si>
  <si>
    <t>274557,60</t>
  </si>
  <si>
    <t>225150,00</t>
  </si>
  <si>
    <t>510185,00</t>
  </si>
  <si>
    <t>375028,13</t>
  </si>
  <si>
    <t>213430,10</t>
  </si>
  <si>
    <t>3928707,27</t>
  </si>
  <si>
    <t>9138758,75</t>
  </si>
  <si>
    <t>13774405,46</t>
  </si>
  <si>
    <t>12548979,03</t>
  </si>
  <si>
    <t>80468838,71</t>
  </si>
  <si>
    <t>5721588,09</t>
  </si>
  <si>
    <t>7204962,78</t>
  </si>
  <si>
    <t>5234193,55</t>
  </si>
  <si>
    <t>1349920,00</t>
  </si>
  <si>
    <t>1947720,00</t>
  </si>
  <si>
    <t>273500,00</t>
  </si>
  <si>
    <t>136750,00</t>
  </si>
  <si>
    <t>2378029,85</t>
  </si>
  <si>
    <t>3117762,07</t>
  </si>
  <si>
    <t>1764423,31</t>
  </si>
  <si>
    <t>217208,44</t>
  </si>
  <si>
    <t>22731625,00</t>
  </si>
  <si>
    <t>1641071,10</t>
  </si>
  <si>
    <t>3802356,74</t>
  </si>
  <si>
    <t>435919,90</t>
  </si>
  <si>
    <t>5946730,35</t>
  </si>
  <si>
    <t>885271,60</t>
  </si>
  <si>
    <t>3718000,00</t>
  </si>
  <si>
    <t>2658115,33</t>
  </si>
  <si>
    <t>883017,42</t>
  </si>
  <si>
    <t>5233027,89</t>
  </si>
  <si>
    <t>1622509,26</t>
  </si>
  <si>
    <t>1619889,96</t>
  </si>
  <si>
    <t>159135,98</t>
  </si>
  <si>
    <t>1498425,20</t>
  </si>
  <si>
    <t>824600,04</t>
  </si>
  <si>
    <t>4828488,60</t>
  </si>
  <si>
    <t>14500000,00</t>
  </si>
  <si>
    <t>13500000,00</t>
  </si>
  <si>
    <t>21850000,00</t>
  </si>
  <si>
    <t>3960000,00</t>
  </si>
  <si>
    <t>5000000,00</t>
  </si>
  <si>
    <t>14300000,00</t>
  </si>
  <si>
    <t>650000,00</t>
  </si>
  <si>
    <t>6158989,00</t>
  </si>
  <si>
    <t>3600000,00</t>
  </si>
  <si>
    <t>2600000,00</t>
  </si>
  <si>
    <t>240000,00</t>
  </si>
  <si>
    <t>250000,00</t>
  </si>
  <si>
    <t>37950000,00</t>
  </si>
  <si>
    <t>14896000,00</t>
  </si>
  <si>
    <t>56950000,00</t>
  </si>
  <si>
    <t>150000000,00</t>
  </si>
  <si>
    <t>24520000,00</t>
  </si>
  <si>
    <t>36780000,00</t>
  </si>
  <si>
    <t>61300000,00</t>
  </si>
  <si>
    <t>1226000,00</t>
  </si>
  <si>
    <t>7000000,00</t>
  </si>
  <si>
    <t>17500000,00</t>
  </si>
  <si>
    <t>40000000,00</t>
  </si>
  <si>
    <t>1036868,47</t>
  </si>
  <si>
    <t>707240,40</t>
  </si>
  <si>
    <t>543275,67</t>
  </si>
  <si>
    <t>922566,67</t>
  </si>
  <si>
    <t>211597,30</t>
  </si>
  <si>
    <t>264753,31</t>
  </si>
  <si>
    <t>180304,00</t>
  </si>
  <si>
    <t>98208,00</t>
  </si>
  <si>
    <t>1233690,00</t>
  </si>
  <si>
    <t>216616,34</t>
  </si>
  <si>
    <t>511238,33</t>
  </si>
  <si>
    <t>126873,00</t>
  </si>
  <si>
    <t>225993,00</t>
  </si>
  <si>
    <t>950000,00</t>
  </si>
  <si>
    <t>884795,00</t>
  </si>
  <si>
    <t>1623393,59</t>
  </si>
  <si>
    <t>3435452,00</t>
  </si>
  <si>
    <t>596324,80</t>
  </si>
  <si>
    <t>519200,00</t>
  </si>
  <si>
    <t>419200,00</t>
  </si>
  <si>
    <t>8353696,00 российских рублей</t>
  </si>
  <si>
    <t>877684,60 российских рублей</t>
  </si>
  <si>
    <t>590000,00 российских рублей</t>
  </si>
  <si>
    <t>686000,00 российских рублей</t>
  </si>
  <si>
    <t>718478,00 российских рублей</t>
  </si>
  <si>
    <t>468000,00  российских рублей</t>
  </si>
  <si>
    <t>2148000,00 российских рублей</t>
  </si>
  <si>
    <t>2510000,00 российских рублей</t>
  </si>
  <si>
    <t>1800000,00 российских рублей</t>
  </si>
  <si>
    <t>30990000,00 российских рублей</t>
  </si>
  <si>
    <t>11000000,00 российских рублей</t>
  </si>
  <si>
    <t xml:space="preserve"> 31000000,00 российских рублей</t>
  </si>
  <si>
    <t>225000,00российских рублей</t>
  </si>
  <si>
    <t>452200,00 российских рублей</t>
  </si>
  <si>
    <t>1416000,00 российских рублей,</t>
  </si>
  <si>
    <t>591180,00 российских рублей</t>
  </si>
  <si>
    <t>259140,00 российских рублей</t>
  </si>
  <si>
    <t>991122,00 российских рублей</t>
  </si>
  <si>
    <t>268800,00 российских рублей</t>
  </si>
  <si>
    <t>4000000,00 российских рублей</t>
  </si>
  <si>
    <t>14000000,00 российских рублей</t>
  </si>
  <si>
    <t>140000,00 российских рублей</t>
  </si>
  <si>
    <t>3358138,40 российских рублей</t>
  </si>
  <si>
    <t>1572350,00 российских рублей</t>
  </si>
  <si>
    <t>8500000,00 российских рублей</t>
  </si>
  <si>
    <t>9000000,00 российских рублей</t>
  </si>
  <si>
    <t>980000,00 российских рублей</t>
  </si>
  <si>
    <t>850000,00 российских рублей</t>
  </si>
  <si>
    <t>390000,00 российских рублей</t>
  </si>
  <si>
    <t>53295533,50 российских рублей</t>
  </si>
  <si>
    <t>20500000,00 российских рублей</t>
  </si>
  <si>
    <t>57196427,49 российских рублей</t>
  </si>
  <si>
    <t>168892803,97 российских рублей</t>
  </si>
  <si>
    <t>20682481,39 российских рублей</t>
  </si>
  <si>
    <t>2658000,00 российских рублей</t>
  </si>
  <si>
    <t>474199,55 российских рублей</t>
  </si>
  <si>
    <t>2564119,11 российских рублей</t>
  </si>
  <si>
    <t>6311889,00 российских рублей</t>
  </si>
  <si>
    <t>214562,00 российских рублей</t>
  </si>
  <si>
    <t>2357537,00 российских рублей</t>
  </si>
  <si>
    <t>432064,00 российских рублей</t>
  </si>
  <si>
    <t>157419,40 российских рублей</t>
  </si>
  <si>
    <t>8262933,33 российских рублей</t>
  </si>
  <si>
    <t>26690662,50 российских рублей</t>
  </si>
  <si>
    <t>198570,00 российских рублей</t>
  </si>
  <si>
    <t>9192650,00 российских рублей</t>
  </si>
  <si>
    <t>504000,00 российских рублей</t>
  </si>
  <si>
    <t>2216951,33 российских рублей</t>
  </si>
  <si>
    <t>533300,00 российских рублей</t>
  </si>
  <si>
    <t>514200,00 российских рублей</t>
  </si>
  <si>
    <t>868800,00 российских рублей</t>
  </si>
  <si>
    <t>1459600,00 российских рублей</t>
  </si>
  <si>
    <t>1653833,33 российских рублей</t>
  </si>
  <si>
    <t>1080000,00 российских рублей</t>
  </si>
  <si>
    <t>254500,00  российских рублей</t>
  </si>
  <si>
    <t>1170900,00 российских рублей</t>
  </si>
  <si>
    <t>413000,00 российских рублей</t>
  </si>
  <si>
    <t>4230569,00 российских рублей</t>
  </si>
  <si>
    <t>1278759,71 российских рублей</t>
  </si>
  <si>
    <t>103440,00 российских рублей</t>
  </si>
  <si>
    <t>107998,42 российских рублей</t>
  </si>
  <si>
    <t>168718,70 российских рублей</t>
  </si>
  <si>
    <t>450026,00 российских рублей</t>
  </si>
  <si>
    <t>123033,00 российских рублей</t>
  </si>
  <si>
    <t>205692,00 российских рублей</t>
  </si>
  <si>
    <t>549582,00 российских рублей</t>
  </si>
  <si>
    <t>568800,00 3российских рублей</t>
  </si>
  <si>
    <t>361350,00 российских рублей</t>
  </si>
  <si>
    <t>136372,50 российских рублей</t>
  </si>
  <si>
    <t>29197838,35 российских рублей</t>
  </si>
  <si>
    <t>30783937,02 российских рублей</t>
  </si>
  <si>
    <t>115640,00 российских рублей</t>
  </si>
  <si>
    <t>107108,00 российских рублей</t>
  </si>
  <si>
    <t>275087,50 российских рублей</t>
  </si>
  <si>
    <t>110719,00 российских рублей</t>
  </si>
  <si>
    <t>184332,05 российских рублей</t>
  </si>
  <si>
    <t>172980,00 российских рублей</t>
  </si>
  <si>
    <t>274557,60 российских рублей</t>
  </si>
  <si>
    <t>225150,00 российских рублей</t>
  </si>
  <si>
    <t>510185,00 российских рублей</t>
  </si>
  <si>
    <t>375028,13 российских рублей</t>
  </si>
  <si>
    <t>213430,10 российских рублей</t>
  </si>
  <si>
    <t>3928707,27 российских рублей</t>
  </si>
  <si>
    <t>9138758,75 российских рублей</t>
  </si>
  <si>
    <t>13774405,46 российских рублей</t>
  </si>
  <si>
    <t>12548979,03 российских рублей</t>
  </si>
  <si>
    <t>80468838,71 российских рублей</t>
  </si>
  <si>
    <t>5721588,09 российских рублей</t>
  </si>
  <si>
    <t>7204962,78 российских рублей</t>
  </si>
  <si>
    <t>5234193,55 российских рублей</t>
  </si>
  <si>
    <t>1349920,00 российских рублей</t>
  </si>
  <si>
    <t>1947720,00 российских рублей</t>
  </si>
  <si>
    <t>273500,00 российских рублей</t>
  </si>
  <si>
    <t>136750,00 российских рублей</t>
  </si>
  <si>
    <t>2378029,85 российских рублей</t>
  </si>
  <si>
    <t>3117762,07 российских рублей</t>
  </si>
  <si>
    <t>1764423,31 российских рублей</t>
  </si>
  <si>
    <t>217208,44 российских рублей</t>
  </si>
  <si>
    <t>22731625,00 российских рублей</t>
  </si>
  <si>
    <t>1641071,10 российских рублей</t>
  </si>
  <si>
    <t>3802356,74 российских рублей</t>
  </si>
  <si>
    <t>435919,90 российских рублей</t>
  </si>
  <si>
    <t>5946730,35 российских рублей</t>
  </si>
  <si>
    <t>885271,60 российских рублей</t>
  </si>
  <si>
    <t>3718000,00 российских рублей</t>
  </si>
  <si>
    <t>2658115,33 российских рублей</t>
  </si>
  <si>
    <t>883017,42 российских рублей</t>
  </si>
  <si>
    <t>5233027,89 российских рублей</t>
  </si>
  <si>
    <t>1622509,26 российских рублей</t>
  </si>
  <si>
    <t>1619889,96 российских рублей</t>
  </si>
  <si>
    <t>159135,98 российских рублей</t>
  </si>
  <si>
    <t>1498425,20 российских рублей</t>
  </si>
  <si>
    <t>824600,04 российских рублей</t>
  </si>
  <si>
    <t>4828488,60 российских рублей</t>
  </si>
  <si>
    <t>14500000,00 российских рублей</t>
  </si>
  <si>
    <t>13500000,00 российских рублей</t>
  </si>
  <si>
    <t>21850000,00 российских рублей</t>
  </si>
  <si>
    <t>3960000,00 российских рублей</t>
  </si>
  <si>
    <t>5000000,00 российских рублей</t>
  </si>
  <si>
    <t>15000000,00 российских рублей</t>
  </si>
  <si>
    <t>14300000,00 российских рублей</t>
  </si>
  <si>
    <t>6158989,00 российских рублей</t>
  </si>
  <si>
    <t>3600000,00 российских рублей</t>
  </si>
  <si>
    <t>150000000,00 российских рублей</t>
  </si>
  <si>
    <t>24520000,00 российских рублей</t>
  </si>
  <si>
    <t>36780000,00 российских рублей</t>
  </si>
  <si>
    <t>61300000,00 российских рублей</t>
  </si>
  <si>
    <t>1226000,00 российских рублей</t>
  </si>
  <si>
    <t>7000000,00 российских рублей</t>
  </si>
  <si>
    <t>230000,00российских рублей</t>
  </si>
  <si>
    <t>1036868,47российских рублей</t>
  </si>
  <si>
    <t>707240,40российских рублей</t>
  </si>
  <si>
    <t>543275,67российских рублей</t>
  </si>
  <si>
    <t>922566,67российских рублей</t>
  </si>
  <si>
    <t>211597,30российских рублей</t>
  </si>
  <si>
    <t>264753,31российских рублей</t>
  </si>
  <si>
    <t>180304,00российских рублей</t>
  </si>
  <si>
    <t>98208,00российских рублей</t>
  </si>
  <si>
    <t>1233690,00российских рублей</t>
  </si>
  <si>
    <t>216616,34российских рублей</t>
  </si>
  <si>
    <t>511238,33российских рублей</t>
  </si>
  <si>
    <t>126873,00российских рублей</t>
  </si>
  <si>
    <t>225993,00российских рублей</t>
  </si>
  <si>
    <t>220180,00российских рублей</t>
  </si>
  <si>
    <t>955800,00российских рублей</t>
  </si>
  <si>
    <t>19000000,00российских рублей</t>
  </si>
  <si>
    <t>2110000,00российских рублей</t>
  </si>
  <si>
    <t>1180538,00российских рублей</t>
  </si>
  <si>
    <t>8000000,00российских рублей</t>
  </si>
  <si>
    <t>67200000,00российских рублей</t>
  </si>
  <si>
    <t>79500000,00российских рублей</t>
  </si>
  <si>
    <t>95100000,00российских рублей</t>
  </si>
  <si>
    <t>98200000,00российских рублей</t>
  </si>
  <si>
    <t>3768000,00российских рублей</t>
  </si>
  <si>
    <t>651081,42российских рублей</t>
  </si>
  <si>
    <t>485000,00российских рублей</t>
  </si>
  <si>
    <t>12000000,00российских рублей</t>
  </si>
  <si>
    <t>35000000,00российских рублей</t>
  </si>
  <si>
    <t>111394,36российских рублей</t>
  </si>
  <si>
    <t>885000,00российских рублей</t>
  </si>
  <si>
    <t>2454239,25российских рублей</t>
  </si>
  <si>
    <t>70921,73российских рублей</t>
  </si>
  <si>
    <t>511387,52российских рублей</t>
  </si>
  <si>
    <t>343600,00российских рублей</t>
  </si>
  <si>
    <t>10464798,97российских рублей</t>
  </si>
  <si>
    <t>950000,00российских рублей</t>
  </si>
  <si>
    <t>1230527,60российских рублей</t>
  </si>
  <si>
    <t>326388,00российских рублей</t>
  </si>
  <si>
    <t>697981,33российских рублей</t>
  </si>
  <si>
    <t>9090967,56российских рублей</t>
  </si>
  <si>
    <t>10615045,65российских рублей</t>
  </si>
  <si>
    <t>15156453,33российских рублей</t>
  </si>
  <si>
    <t>646232,72российских рублей</t>
  </si>
  <si>
    <t>16087257,07российских рублей</t>
  </si>
  <si>
    <t>1594812,24российских рублей</t>
  </si>
  <si>
    <t>505920,00российских рублей</t>
  </si>
  <si>
    <t>843200,00российских рублей</t>
  </si>
  <si>
    <t>45666,00российских рублей</t>
  </si>
  <si>
    <t>207019,20российских рублей</t>
  </si>
  <si>
    <t>203974,80российских рублей</t>
  </si>
  <si>
    <t>692023,63российских рублей</t>
  </si>
  <si>
    <t>141345,00российских рублей</t>
  </si>
  <si>
    <t>880739,18российских рублей</t>
  </si>
  <si>
    <t>1971440,00российских рублей</t>
  </si>
  <si>
    <t>1119860,00российских рублей</t>
  </si>
  <si>
    <t>372443,00российских рублей</t>
  </si>
  <si>
    <t>884126,00российских рублей</t>
  </si>
  <si>
    <t>446415,24российских рублей</t>
  </si>
  <si>
    <t>2009800,00российских рублей</t>
  </si>
  <si>
    <t>116774,13российских рублей</t>
  </si>
  <si>
    <t>233505,52российских рублей</t>
  </si>
  <si>
    <t>217100,69российских рублей</t>
  </si>
  <si>
    <t>2576932,21российских рублей</t>
  </si>
  <si>
    <t>777000,00российских рублей</t>
  </si>
  <si>
    <t>167213,32российских рублей</t>
  </si>
  <si>
    <t>362288,80российских рублей</t>
  </si>
  <si>
    <t>355209,50российских рублей</t>
  </si>
  <si>
    <t>279518,40российских рублей</t>
  </si>
  <si>
    <t>973500,00российских рублей</t>
  </si>
  <si>
    <t>1954935,00российских рублей</t>
  </si>
  <si>
    <t>234596,00российских рублей</t>
  </si>
  <si>
    <t>2738780,00российских рублей</t>
  </si>
  <si>
    <t>120360,00российских рублей</t>
  </si>
  <si>
    <t>124585,58российских рублей</t>
  </si>
  <si>
    <t>107000,00российских рублей</t>
  </si>
  <si>
    <t>38862,12российских рублей</t>
  </si>
  <si>
    <t>130552,13российских рублей</t>
  </si>
  <si>
    <t>3632219,36российских рублей</t>
  </si>
  <si>
    <t>884795,00российских рублей</t>
  </si>
  <si>
    <t>1623393,59российских рублей</t>
  </si>
  <si>
    <t>3435452,00российских рублей</t>
  </si>
  <si>
    <t>596324,80российских рублей</t>
  </si>
  <si>
    <t>519200,00российских рублей</t>
  </si>
  <si>
    <t>419200,00российских рублей</t>
  </si>
  <si>
    <t>177000,00российских рублей</t>
  </si>
  <si>
    <t>2700000,00российских рублей</t>
  </si>
  <si>
    <t>205942,45российских рублей</t>
  </si>
  <si>
    <t>1403600,09российских рублей</t>
  </si>
  <si>
    <t>2884801,68российских рублей</t>
  </si>
  <si>
    <t>685723,90российских рублей</t>
  </si>
  <si>
    <t>172000,00российских рублей</t>
  </si>
  <si>
    <t>615576,00российских рублей</t>
  </si>
  <si>
    <t>4200000,00российских рублей</t>
  </si>
  <si>
    <t>115784,00российских рублей</t>
  </si>
  <si>
    <t>174772,74российских рублей</t>
  </si>
  <si>
    <t>146443,94российских рублей</t>
  </si>
  <si>
    <t>72478,16российских рублей</t>
  </si>
  <si>
    <t>30300000,00российских рублей</t>
  </si>
  <si>
    <t>81000000,00российских рублей</t>
  </si>
  <si>
    <t>4230000,00российских рублей</t>
  </si>
  <si>
    <t>208417,50российских рублей</t>
  </si>
  <si>
    <t>13909887,90российских рублей</t>
  </si>
  <si>
    <t>1194750,00российских рублей</t>
  </si>
  <si>
    <t>2600000,00 российских рублей</t>
  </si>
  <si>
    <t>68644,06российских рублей</t>
  </si>
  <si>
    <t>740050,00 российских рублей</t>
  </si>
  <si>
    <t>1004-00618Работы (услуги) по техническому обслуживанию и ремонту противопожарных систем, речевого оповещения, мероприятий по обеспечению пожарной безопасности объекта, систем диспетчеризации приточно-вытяжной вентиляции, пожарных клапанов, спринклерного тушения в АО "НИИ "Полюс" имени М.Ф. Стельмаха" и на спортивной базе "Узкое"</t>
  </si>
  <si>
    <t>1004-00624Изготовление и поставка печатных плат для изд. МТ-401</t>
  </si>
  <si>
    <t>АНО "СЦ связь-сертификат"</t>
  </si>
  <si>
    <t>13.03.2017</t>
  </si>
  <si>
    <t>СЦ-ДР-08-17</t>
  </si>
  <si>
    <t>7713297251</t>
  </si>
  <si>
    <t>АО "Фазотрон-ВМЗ"</t>
  </si>
  <si>
    <t>09.03.2017</t>
  </si>
  <si>
    <t>17-01</t>
  </si>
  <si>
    <t>ООО "НТФ "Ивва"</t>
  </si>
  <si>
    <t>1 230 527,6</t>
  </si>
  <si>
    <t>1П-17</t>
  </si>
  <si>
    <t>ООО "СТРЕЛКА ПРОДАКШН""</t>
  </si>
  <si>
    <t>07.03.2017</t>
  </si>
  <si>
    <t>17-302-020</t>
  </si>
  <si>
    <t>ПАО "Красногорский завод им. С.А. Зверева"</t>
  </si>
  <si>
    <t>651 081,42</t>
  </si>
  <si>
    <t>07.02.2017</t>
  </si>
  <si>
    <t>2-16</t>
  </si>
  <si>
    <t>ООО "Энтех"</t>
  </si>
  <si>
    <t>564 140</t>
  </si>
  <si>
    <t>01.03.2017</t>
  </si>
  <si>
    <t>07-01-1</t>
  </si>
  <si>
    <t>15 156 453,33</t>
  </si>
  <si>
    <t>06.03.2017</t>
  </si>
  <si>
    <t>04-04-17-01</t>
  </si>
  <si>
    <t>7728010663</t>
  </si>
  <si>
    <t>ФГУП "МЗСС""</t>
  </si>
  <si>
    <t>685 723,9</t>
  </si>
  <si>
    <t>ДП-17-026</t>
  </si>
  <si>
    <t>1 119 860</t>
  </si>
  <si>
    <t>15.02.2017</t>
  </si>
  <si>
    <t>16.02.2017</t>
  </si>
  <si>
    <t>ФГУП «МНИИРИП»</t>
  </si>
  <si>
    <t>4 200 000</t>
  </si>
  <si>
    <t>16411.4432017.11.073-М</t>
  </si>
  <si>
    <t>7802072267</t>
  </si>
  <si>
    <t>ФТИ им. А.Ф. Иоффе</t>
  </si>
  <si>
    <t>6 000 000</t>
  </si>
  <si>
    <t>073/ФТИ</t>
  </si>
  <si>
    <t>7842469759</t>
  </si>
  <si>
    <t>ООО "НПО" ВОСТЕК"</t>
  </si>
  <si>
    <t>372 443</t>
  </si>
  <si>
    <t>7704855904</t>
  </si>
  <si>
    <t>ООО "Импульс"</t>
  </si>
  <si>
    <t>884 795</t>
  </si>
  <si>
    <t>09.02.2017 10</t>
  </si>
  <si>
    <t>17-299/630</t>
  </si>
  <si>
    <t>4472720,00,00российских рублей</t>
  </si>
  <si>
    <t>3598384,15российских рублей</t>
  </si>
  <si>
    <t>495 600</t>
  </si>
  <si>
    <t>17.03.2017</t>
  </si>
  <si>
    <t>664-1</t>
  </si>
  <si>
    <t>150 662,4</t>
  </si>
  <si>
    <t>664-3</t>
  </si>
  <si>
    <t>277 536</t>
  </si>
  <si>
    <t>664-2</t>
  </si>
  <si>
    <t>1 594 812,24</t>
  </si>
  <si>
    <t>02.03.2017</t>
  </si>
  <si>
    <t>1617187400922412209010034/01/04/17-01</t>
  </si>
  <si>
    <t>17.01.2017</t>
  </si>
  <si>
    <t>23.01.2017</t>
  </si>
  <si>
    <t>27.01.2017</t>
  </si>
  <si>
    <t>24.01.2017</t>
  </si>
  <si>
    <t>14.03.2017</t>
  </si>
  <si>
    <t>ЗАО "Висом""</t>
  </si>
  <si>
    <t>17-300-470</t>
  </si>
  <si>
    <t>130 552,13</t>
  </si>
  <si>
    <t>22.03.2017</t>
  </si>
  <si>
    <t>0103537</t>
  </si>
  <si>
    <t>7733618993</t>
  </si>
  <si>
    <t>Закрытое акционерное общество "Спец-электронкомплект""</t>
  </si>
  <si>
    <t>40/17/1</t>
  </si>
  <si>
    <t>7017084932</t>
  </si>
  <si>
    <t>ОАО "Научно-исследовательский институт полупроводниковых приборов""</t>
  </si>
  <si>
    <t>279 518,4</t>
  </si>
  <si>
    <t>8316</t>
  </si>
  <si>
    <t>1827003592</t>
  </si>
  <si>
    <t>ОАО "ЭЛЕКОНД""</t>
  </si>
  <si>
    <t>167 213,32</t>
  </si>
  <si>
    <t>13.02.2017</t>
  </si>
  <si>
    <t>21.03.2017</t>
  </si>
  <si>
    <t>ООО "Донской</t>
  </si>
  <si>
    <t>17-305/630</t>
  </si>
  <si>
    <t>833 000</t>
  </si>
  <si>
    <t>И-016/01-2017</t>
  </si>
  <si>
    <t>М-111/2016</t>
  </si>
  <si>
    <t>7706265403</t>
  </si>
  <si>
    <t>ООО "НПО НИИРК"</t>
  </si>
  <si>
    <t>120 360</t>
  </si>
  <si>
    <t>16.03.2017</t>
  </si>
  <si>
    <t>ДП-107</t>
  </si>
  <si>
    <t>6661005707</t>
  </si>
  <si>
    <t>АО "ЕЗ ОЦМ"</t>
  </si>
  <si>
    <t>10 464 790,91</t>
  </si>
  <si>
    <t>ТД 10102-№8/2017</t>
  </si>
  <si>
    <t>646 232,72</t>
  </si>
  <si>
    <t>03/04/17</t>
  </si>
  <si>
    <t>16 087 257,07</t>
  </si>
  <si>
    <t>1517187400382020105004106/02/04/17-01</t>
  </si>
  <si>
    <t>2 576 000</t>
  </si>
  <si>
    <t>20.03.2017</t>
  </si>
  <si>
    <t>1620187419952412208009046/И-016/02-2017</t>
  </si>
  <si>
    <t>7802005951</t>
  </si>
  <si>
    <t>АО "Завод "Реконд"</t>
  </si>
  <si>
    <t>176 778,21</t>
  </si>
  <si>
    <t>и112/86(43/17</t>
  </si>
  <si>
    <t>5029150262</t>
  </si>
  <si>
    <t>акционерное общество "Особое конструкторское бюро кабельной промышленности"</t>
  </si>
  <si>
    <t>2 371 564</t>
  </si>
  <si>
    <t>678</t>
  </si>
  <si>
    <t>2 371 564российских рублей</t>
  </si>
  <si>
    <t>29.12.2016</t>
  </si>
  <si>
    <t>ОП-494-16</t>
  </si>
  <si>
    <t>31.09.99</t>
  </si>
  <si>
    <t>13.99</t>
  </si>
  <si>
    <t>58.29</t>
  </si>
  <si>
    <t>62.0</t>
  </si>
  <si>
    <t>62.01.12</t>
  </si>
  <si>
    <t>71.20.9</t>
  </si>
  <si>
    <t>71.12.12</t>
  </si>
  <si>
    <t>26.51.43.120</t>
  </si>
  <si>
    <t>26.51.41.130</t>
  </si>
  <si>
    <t>28.29.12</t>
  </si>
  <si>
    <t>23.99.5</t>
  </si>
  <si>
    <t>71.20.11</t>
  </si>
  <si>
    <t>26.51.85.120</t>
  </si>
  <si>
    <t>20.13</t>
  </si>
  <si>
    <t>46.90</t>
  </si>
  <si>
    <t>23.20.14.190</t>
  </si>
  <si>
    <t>33.13</t>
  </si>
  <si>
    <t>33.13.11</t>
  </si>
  <si>
    <t>24.10.1</t>
  </si>
  <si>
    <t>24.45.30.180</t>
  </si>
  <si>
    <t>24.42.22.111</t>
  </si>
  <si>
    <t xml:space="preserve">В соответствии с требованиями установленными заказчиком по чертежам. </t>
  </si>
  <si>
    <t>В соответствии с протокол совещания совета директоров</t>
  </si>
  <si>
    <t>Класс чистоты ОСЧ</t>
  </si>
  <si>
    <t>Высокочистые арсин, фосфин и аммиак соответствуют по чистоте квалификации 99,99994</t>
  </si>
  <si>
    <t>в соответствии с РКД</t>
  </si>
  <si>
    <t>В соответствии с ТЗ</t>
  </si>
  <si>
    <t>Юридическая, финансовая, Справочная Система должна включать в себя реквизитную и полнотекстовую электронную версию текстов нормативных документов, а также авторских комментариев, разъяснений и рекомендаций по применению законодательства РФ. Пользование интернет-версией Системы должна осуществляться путем авторизированного доступа к порталу. Материалы интернет-версии должны обновляться ежедневно и автоматически. Все исключительные имущественные права на Систему, в том числе на товарные и производственные знаки, используемые при производстве Системы, должны быть защищены действующим законодательством РФ об авторских правах</t>
  </si>
  <si>
    <t>Производитель Россия</t>
  </si>
  <si>
    <t>ЖГДК.403522.012 Блок обработки информации (БОИ) -5 шт.; ЖГДК.436631.010 Блок питания ДЛ-11 (БП) – 5 шт.; ЖГДК.687281.114 Плата излучателя - 5 шт.; ЖГДК.687281.115 Плата ФПУ – 5 шт</t>
  </si>
  <si>
    <t>Соответствие ГОСТ 55878-2013</t>
  </si>
  <si>
    <t>в соответствии с тз</t>
  </si>
  <si>
    <t>Легированные кремнием</t>
  </si>
  <si>
    <t>В соответствии с техническим заданием (услуги по разработке, изготовлению и размещению Сайта-"Корпоративный")</t>
  </si>
  <si>
    <t>Организация и проведение всех услуг и испытаний для получения регистрационного  удостоверения на аппарат АЛОФмх-01</t>
  </si>
  <si>
    <t>Согласно ГОСТ, ТУ, ТР ТС</t>
  </si>
  <si>
    <t>Полированные с двух сторон</t>
  </si>
  <si>
    <t>АЕЯР.432140.220ТУ, АЕЯР.432140.558ТУ, АЕЯР.432140.567ТУ, Приемка "5"</t>
  </si>
  <si>
    <t>в соответствии с ГОСТ, Постановлением Госстандарта России. ФЗ №7 от 10.01.2002 г.</t>
  </si>
  <si>
    <t>АЖЯР.673541.005 ТУ, ОЖО.464.234 ТУ, АЖЯР.673546.007 ТУ пр. "5"</t>
  </si>
  <si>
    <t>чистота 99,999% , в соответстии с техническими требованиями Заказчика</t>
  </si>
  <si>
    <t>в соответствии с техническими требованиями Заказчика</t>
  </si>
  <si>
    <t>Проведение ремонта, выдача сертификата о калибровке</t>
  </si>
  <si>
    <t>Согласно чертежу</t>
  </si>
  <si>
    <t>Согласно чертежам</t>
  </si>
  <si>
    <t>ГОСТ 15130-86</t>
  </si>
  <si>
    <t>штуки</t>
  </si>
  <si>
    <t>5949478,53</t>
  </si>
  <si>
    <t>955366,00</t>
  </si>
  <si>
    <t>369744,15</t>
  </si>
  <si>
    <t>7965094,64</t>
  </si>
  <si>
    <t>101000,00</t>
  </si>
  <si>
    <t>2163100,00</t>
  </si>
  <si>
    <t>1475680,00</t>
  </si>
  <si>
    <t>610986,67</t>
  </si>
  <si>
    <t>1024000,00</t>
  </si>
  <si>
    <t>1045000,00</t>
  </si>
  <si>
    <t>751000,00</t>
  </si>
  <si>
    <t>1076000,00</t>
  </si>
  <si>
    <t>1831950,00</t>
  </si>
  <si>
    <t>1628400,00</t>
  </si>
  <si>
    <t>1696250,00</t>
  </si>
  <si>
    <t>18000000,00</t>
  </si>
  <si>
    <t>400668,00</t>
  </si>
  <si>
    <t>115746,00</t>
  </si>
  <si>
    <t>1230000,00</t>
  </si>
  <si>
    <t>1578500,00</t>
  </si>
  <si>
    <t>996000,00</t>
  </si>
  <si>
    <t>174940,20</t>
  </si>
  <si>
    <t>288 841, 58</t>
  </si>
  <si>
    <t>5949478,53российских рублей</t>
  </si>
  <si>
    <t>955366,00российских рублей</t>
  </si>
  <si>
    <t>369744,15российских рублей</t>
  </si>
  <si>
    <t>7965094,64российских рублей</t>
  </si>
  <si>
    <t>101000,00 российских рублей</t>
  </si>
  <si>
    <t>2163100,00 российских рублей</t>
  </si>
  <si>
    <t>1475680,00 российских рублей</t>
  </si>
  <si>
    <t>385385,20 российских рублей</t>
  </si>
  <si>
    <t>610986,67 российских рублей</t>
  </si>
  <si>
    <t>1024000,00российских рублей</t>
  </si>
  <si>
    <t>1045000,00российских рублей</t>
  </si>
  <si>
    <t>751000,00российских рублей</t>
  </si>
  <si>
    <t>1076000,00российских рублей</t>
  </si>
  <si>
    <t>1831950,00российских рублей</t>
  </si>
  <si>
    <t>1628400,00российских рублей</t>
  </si>
  <si>
    <t>1696250,00российских рублей</t>
  </si>
  <si>
    <t>18000000,00российских рублей</t>
  </si>
  <si>
    <t>400668,00российских рублей</t>
  </si>
  <si>
    <t>115746,00российских рублей</t>
  </si>
  <si>
    <t>1230000,00российских рублей</t>
  </si>
  <si>
    <t>1578500,00российских рублей</t>
  </si>
  <si>
    <t>996000,00 российских рублей</t>
  </si>
  <si>
    <t>174940,20 российских рублей</t>
  </si>
  <si>
    <t>7800000,00 российских рублей</t>
  </si>
  <si>
    <t>521560,00российских рублей</t>
  </si>
  <si>
    <t>887800,00 российских рублей</t>
  </si>
  <si>
    <t>288 841, 58 российских рублей</t>
  </si>
  <si>
    <t>181003,97 российских рублей</t>
  </si>
  <si>
    <t>2994250,00 российских рублей</t>
  </si>
  <si>
    <t>1358666,00 российских рублей</t>
  </si>
  <si>
    <t>268200,00 российских рублей</t>
  </si>
  <si>
    <t>697266,26российских рублей</t>
  </si>
  <si>
    <t>920000,00 российских рублей</t>
  </si>
  <si>
    <t>2069517,63 российских рублей</t>
  </si>
  <si>
    <t>769394,67 российских рублей</t>
  </si>
  <si>
    <t>1623393,59 российских рублей</t>
  </si>
  <si>
    <t>301608,00 российских рублей</t>
  </si>
  <si>
    <t>175547,56 российских рублей</t>
  </si>
  <si>
    <t>148933,18 российских рублей</t>
  </si>
  <si>
    <t>114000,00 российских рублей</t>
  </si>
  <si>
    <t>1342500,00 российских рублей</t>
  </si>
  <si>
    <t>296745,52 российских рублей</t>
  </si>
  <si>
    <t>201791,44 российских рублей</t>
  </si>
  <si>
    <t>208417,50 российских рублей</t>
  </si>
  <si>
    <t xml:space="preserve">1665400,00 российских рублей </t>
  </si>
  <si>
    <t>2151600,00 российских рублей</t>
  </si>
  <si>
    <t>570457,89 российских рублей</t>
  </si>
  <si>
    <t>4896952,80 российских рублей</t>
  </si>
  <si>
    <t>451250,00 российских рублей</t>
  </si>
  <si>
    <t>498750,00 российских рублей</t>
  </si>
  <si>
    <t>656977,42 российских рублей</t>
  </si>
  <si>
    <t>2544552,00 российских рублей</t>
  </si>
  <si>
    <t>1229996,60 российских рублей</t>
  </si>
  <si>
    <t>1578500,00 российских рублей</t>
  </si>
  <si>
    <t>1076000,00 российских рублей</t>
  </si>
  <si>
    <t>1045000,00 российских рублей</t>
  </si>
  <si>
    <t>751000,00 российских рублей</t>
  </si>
  <si>
    <t>1831950,00 российских рублей</t>
  </si>
  <si>
    <t>1696250,00 российских рублей</t>
  </si>
  <si>
    <t>1628400,00 российских рублей</t>
  </si>
  <si>
    <t>344078,00российских рублей</t>
  </si>
  <si>
    <t>345000,00 российских рублей</t>
  </si>
  <si>
    <t>1288466,10 российских рублей</t>
  </si>
  <si>
    <t>376420,00 российских рублей</t>
  </si>
  <si>
    <t>255175,00 российских рублей</t>
  </si>
  <si>
    <t>713580,22 российских рублей</t>
  </si>
  <si>
    <t>233375,68 российских рублей</t>
  </si>
  <si>
    <t>217710,00 российских рублей</t>
  </si>
  <si>
    <t>2072000,00 российских рублей</t>
  </si>
  <si>
    <t>1004-00852Изготовление (монтаж) электронных изделий ЖГДК.403522.012 Блок обработки информации (БОИ) -5 шт.; ЖГДК.436631.010 Блок питания ДЛ-11 (БП) – 5 шт.; ЖГДК.687281.114 Плата излучателя - 5 шт.; ЖГДК.687281.115 Плата ФПУ – 5 шт</t>
  </si>
  <si>
    <t>24.03.2017</t>
  </si>
  <si>
    <t>ООО "ТДС ТЕКСТИЛЬ""</t>
  </si>
  <si>
    <t>2017.4713</t>
  </si>
  <si>
    <t>Акционерное Общество "Линде Газ Рус"</t>
  </si>
  <si>
    <t>2017.1616</t>
  </si>
  <si>
    <t>21.02.2017</t>
  </si>
  <si>
    <t>10.03.2017</t>
  </si>
  <si>
    <t>14.04.2017</t>
  </si>
  <si>
    <t>ООО 'ВТ-ИНСТРУМЕНТ'</t>
  </si>
  <si>
    <t>2017.3065</t>
  </si>
  <si>
    <t>705263,25российских рублей</t>
  </si>
  <si>
    <t>27.02.2017</t>
  </si>
  <si>
    <t>15.03.2017</t>
  </si>
  <si>
    <t>27.03.2017</t>
  </si>
  <si>
    <t>ООО "КОМПЛЕКСНЫЕ РЕШЕНИЯ""</t>
  </si>
  <si>
    <t>2017.4715</t>
  </si>
  <si>
    <t>26.01.2017</t>
  </si>
  <si>
    <t>ООО "Рукавичка""</t>
  </si>
  <si>
    <t>2017.1618</t>
  </si>
  <si>
    <t>ООО ПРОМСТРОЙСНАБ</t>
  </si>
  <si>
    <t>2017.1617</t>
  </si>
  <si>
    <t>ООО "АЗИМУТ""</t>
  </si>
  <si>
    <t>2017.3432</t>
  </si>
  <si>
    <t>ООО 'МАКС'</t>
  </si>
  <si>
    <t>2017.2249</t>
  </si>
  <si>
    <t>ООО "Аркада""</t>
  </si>
  <si>
    <t>2017.4084</t>
  </si>
  <si>
    <t>ООО "Гирмет""</t>
  </si>
  <si>
    <t>2017.4085</t>
  </si>
  <si>
    <t>ООО "Спектр""</t>
  </si>
  <si>
    <t>2017.4714</t>
  </si>
  <si>
    <t>13.04.2017</t>
  </si>
  <si>
    <t>7705579703</t>
  </si>
  <si>
    <t>ООО "Компания Торговые Системы"</t>
  </si>
  <si>
    <t>2017.7686</t>
  </si>
  <si>
    <t>07.04.2017</t>
  </si>
  <si>
    <t>ООО «ТЕРЛА»</t>
  </si>
  <si>
    <t>2017.6589</t>
  </si>
  <si>
    <t>ООО "СОВРЕМЕННЫЕ ТЕХНОЛОГИИ""</t>
  </si>
  <si>
    <t>12.04.2017</t>
  </si>
  <si>
    <t>ООО Компания АЛС и ТЕК</t>
  </si>
  <si>
    <t>2017.6586</t>
  </si>
  <si>
    <t>30.03.2017</t>
  </si>
  <si>
    <t>ОП-490-16</t>
  </si>
  <si>
    <t>103 006,74</t>
  </si>
  <si>
    <t>АО Завод Элекон</t>
  </si>
  <si>
    <t>75</t>
  </si>
  <si>
    <t>Объединение выставочных компаний "Бизон"</t>
  </si>
  <si>
    <t>15/2017/ДПТ</t>
  </si>
  <si>
    <t>1 122 000,00российских рублей</t>
  </si>
  <si>
    <t>7729746311</t>
  </si>
  <si>
    <t>ООО "Технолюм"</t>
  </si>
  <si>
    <t>28.03.2017</t>
  </si>
  <si>
    <t>040-0217</t>
  </si>
  <si>
    <t>7728808974</t>
  </si>
  <si>
    <t>Закрытое акционерное общество "Научно-технический центр "Лазерные инновационные системы"</t>
  </si>
  <si>
    <t>3-2017</t>
  </si>
  <si>
    <t>2607000333</t>
  </si>
  <si>
    <t>ОАО «Завод Атлант»</t>
  </si>
  <si>
    <t>719</t>
  </si>
  <si>
    <t>7707179242</t>
  </si>
  <si>
    <t>Акционерное общество "Регистраторское общество "СТАТУС"</t>
  </si>
  <si>
    <t>2911</t>
  </si>
  <si>
    <t>302-1-16</t>
  </si>
  <si>
    <t>РМ-16/17-КС</t>
  </si>
  <si>
    <t>ООО "МирАстрой""</t>
  </si>
  <si>
    <t>21-103</t>
  </si>
  <si>
    <t>7708208601</t>
  </si>
  <si>
    <t>ООО ДИАДА</t>
  </si>
  <si>
    <t>1592</t>
  </si>
  <si>
    <t>5044066978</t>
  </si>
  <si>
    <t>ООО 'С-Компонент'</t>
  </si>
  <si>
    <t>314-350</t>
  </si>
  <si>
    <t>7704178096</t>
  </si>
  <si>
    <t>ООО "НЦП ОЭП "Оптэл"</t>
  </si>
  <si>
    <t>ООО "НПЦ ОЭП "Оптэл"</t>
  </si>
  <si>
    <t>7702231308</t>
  </si>
  <si>
    <t>ООО АЛЕКСАНДЕР ЭЛЕКТРИК источники электропитания</t>
  </si>
  <si>
    <t>17.04.2017</t>
  </si>
  <si>
    <t>17-01-2017</t>
  </si>
  <si>
    <t>7726318050</t>
  </si>
  <si>
    <t>ИСВЧПЭ РАН</t>
  </si>
  <si>
    <t>175-ДР</t>
  </si>
  <si>
    <t>9718007640</t>
  </si>
  <si>
    <t>ООО «ПТ»</t>
  </si>
  <si>
    <t>2017.802</t>
  </si>
  <si>
    <t>2146143,79российских рублей</t>
  </si>
  <si>
    <t>Производственно-внедренческое общество с ограниченной ответственностью "Фирма "Техноавиа"</t>
  </si>
  <si>
    <t>06.04.2017</t>
  </si>
  <si>
    <t>17-315-630</t>
  </si>
  <si>
    <t>ООО ГП "Центр геотехнологии""</t>
  </si>
  <si>
    <t>3-987-17</t>
  </si>
  <si>
    <t>Общество с ограниченной ответственностью "Сигм плюс"</t>
  </si>
  <si>
    <t>ООО «Эковейст Групп»</t>
  </si>
  <si>
    <t>17-313/330</t>
  </si>
  <si>
    <t>ООО НПК "ТехМашСервис""</t>
  </si>
  <si>
    <t>15-2017</t>
  </si>
  <si>
    <t>ООО 'НПЦ 'Контур'</t>
  </si>
  <si>
    <t>ООО 'Толедо'</t>
  </si>
  <si>
    <t>17-322-470</t>
  </si>
  <si>
    <t>ООО "НПП "Кварто""</t>
  </si>
  <si>
    <t>17-325</t>
  </si>
  <si>
    <t>ООО "ЭЛЕКТРОТЕХСНАБ""</t>
  </si>
  <si>
    <t>ООО "КОЛТ"</t>
  </si>
  <si>
    <t>ООО "Инженерный сервис""</t>
  </si>
  <si>
    <t>7735148768</t>
  </si>
  <si>
    <t>ООО "ЭЛМА-ХИМ""</t>
  </si>
  <si>
    <t>17705596339160012560</t>
  </si>
  <si>
    <t>17705596339160010060</t>
  </si>
  <si>
    <t>10100</t>
  </si>
  <si>
    <t>5261079332</t>
  </si>
  <si>
    <t>ОАО 'НПП 'САЛЮТ'</t>
  </si>
  <si>
    <t>4572</t>
  </si>
  <si>
    <t>1730</t>
  </si>
  <si>
    <t>94591</t>
  </si>
  <si>
    <t>ООО "РОЛТЕХ""</t>
  </si>
  <si>
    <t>7735029739</t>
  </si>
  <si>
    <t>ООО "МЕГА СМ""</t>
  </si>
  <si>
    <t>1004-2017-00001</t>
  </si>
  <si>
    <t>1004-2017-00002</t>
  </si>
  <si>
    <t>1004-2017-00003</t>
  </si>
  <si>
    <t>1004-2017-00004</t>
  </si>
  <si>
    <t>1004-2017-00005</t>
  </si>
  <si>
    <t>1004-2017-00006</t>
  </si>
  <si>
    <t>1004-2017-00007</t>
  </si>
  <si>
    <t>1004-2017-00008</t>
  </si>
  <si>
    <t>1004-2017-00009</t>
  </si>
  <si>
    <t>1004-2017-00010</t>
  </si>
  <si>
    <t>1004-2017-00011</t>
  </si>
  <si>
    <t>1004-2017-00012</t>
  </si>
  <si>
    <t>1004-2017-00013</t>
  </si>
  <si>
    <t>1004-2017-00014</t>
  </si>
  <si>
    <t>1004-2017-00015</t>
  </si>
  <si>
    <t>1004-2017-00016</t>
  </si>
  <si>
    <t>1004-2017-00017</t>
  </si>
  <si>
    <t>1004-2017-00018</t>
  </si>
  <si>
    <t>1004-2017-00019</t>
  </si>
  <si>
    <t>1004-2017-00020</t>
  </si>
  <si>
    <t>1004-2017-00021</t>
  </si>
  <si>
    <t>1004-2017-00022</t>
  </si>
  <si>
    <t>1004-2017-00023</t>
  </si>
  <si>
    <t>1004-2017-00024</t>
  </si>
  <si>
    <t>1004-2017-00025</t>
  </si>
  <si>
    <t>1004-2017-00026</t>
  </si>
  <si>
    <t>1004-2017-00027</t>
  </si>
  <si>
    <t>1004-2017-00028</t>
  </si>
  <si>
    <t>1004-2017-00029</t>
  </si>
  <si>
    <t>1004-2017-00030</t>
  </si>
  <si>
    <t>1004-2017-00031</t>
  </si>
  <si>
    <t>1004-2017-00032</t>
  </si>
  <si>
    <t>1004-2017-00033</t>
  </si>
  <si>
    <t>1004-2017-00034</t>
  </si>
  <si>
    <t>1004-2017-00035</t>
  </si>
  <si>
    <t>1004-2017-00036</t>
  </si>
  <si>
    <t>1004-2017-00037</t>
  </si>
  <si>
    <t>1004-2017-00038</t>
  </si>
  <si>
    <t>1004-2017-00039</t>
  </si>
  <si>
    <t>1004-2017-00040</t>
  </si>
  <si>
    <t>1004-2017-00041</t>
  </si>
  <si>
    <t>1004-2017-00042</t>
  </si>
  <si>
    <t>1004-2017-00043</t>
  </si>
  <si>
    <t>1004-2017-00044</t>
  </si>
  <si>
    <t>1004-2017-00045</t>
  </si>
  <si>
    <t>1004-2017-00046</t>
  </si>
  <si>
    <t>1004-2017-00047</t>
  </si>
  <si>
    <t>1004-2017-00048</t>
  </si>
  <si>
    <t>1004-2017-00049</t>
  </si>
  <si>
    <t>1004-2017-00050</t>
  </si>
  <si>
    <t>1004-2017-00051</t>
  </si>
  <si>
    <t>1004-2017-00052</t>
  </si>
  <si>
    <t>1004-2017-00053</t>
  </si>
  <si>
    <t>1004-2017-00054</t>
  </si>
  <si>
    <t>1004-2017-00055</t>
  </si>
  <si>
    <t>1004-2017-00056</t>
  </si>
  <si>
    <t>1004-2017-00057</t>
  </si>
  <si>
    <t>1004-2017-00058</t>
  </si>
  <si>
    <t>1004-2017-00059</t>
  </si>
  <si>
    <t>1004-2017-00060</t>
  </si>
  <si>
    <t>1004-2017-00061</t>
  </si>
  <si>
    <t>1004-2017-00062</t>
  </si>
  <si>
    <t>1004-2017-00063</t>
  </si>
  <si>
    <t>1004-2017-00064</t>
  </si>
  <si>
    <t>1004-2017-00065</t>
  </si>
  <si>
    <t>1004-2017-00066</t>
  </si>
  <si>
    <t>1004-2017-00067</t>
  </si>
  <si>
    <t>1004-2017-00068</t>
  </si>
  <si>
    <t>1004-2017-00069</t>
  </si>
  <si>
    <t>1004-2017-00070</t>
  </si>
  <si>
    <t>1004-2017-00071</t>
  </si>
  <si>
    <t>1004-2017-00072</t>
  </si>
  <si>
    <t>1004-2017-00073</t>
  </si>
  <si>
    <t>1004-2017-00074</t>
  </si>
  <si>
    <t>1004-2017-00075</t>
  </si>
  <si>
    <t>1004-2017-00076</t>
  </si>
  <si>
    <t>1004-2017-00077</t>
  </si>
  <si>
    <t>1004-2017-00078</t>
  </si>
  <si>
    <t>1004-2017-00079</t>
  </si>
  <si>
    <t>1004-2017-00080</t>
  </si>
  <si>
    <t>1004-2017-00081</t>
  </si>
  <si>
    <t>1004-2017-00082</t>
  </si>
  <si>
    <t>1004-2017-00083</t>
  </si>
  <si>
    <t>1004-2017-00084</t>
  </si>
  <si>
    <t>1004-2017-00085</t>
  </si>
  <si>
    <t>1004-2017-00086</t>
  </si>
  <si>
    <t>1004-2017-00087</t>
  </si>
  <si>
    <t>1004-2017-00088</t>
  </si>
  <si>
    <t>1004-2017-00089</t>
  </si>
  <si>
    <t>1004-2017-00090</t>
  </si>
  <si>
    <t>1004-2017-00091</t>
  </si>
  <si>
    <t>1004-2017-00092</t>
  </si>
  <si>
    <t>1004-2017-00093</t>
  </si>
  <si>
    <t>1004-2017-00094</t>
  </si>
  <si>
    <t>1004-2017-00095</t>
  </si>
  <si>
    <t>1004-2017-00096</t>
  </si>
  <si>
    <t>1004-2017-00097</t>
  </si>
  <si>
    <t>1004-2017-00098</t>
  </si>
  <si>
    <t>1004-2017-00099</t>
  </si>
  <si>
    <t>1004-2017-00100</t>
  </si>
  <si>
    <t>1004-2017-00101</t>
  </si>
  <si>
    <t>1004-2017-00102</t>
  </si>
  <si>
    <t>1004-2017-00103</t>
  </si>
  <si>
    <t>1004-2017-00104</t>
  </si>
  <si>
    <t>1004-2017-00105</t>
  </si>
  <si>
    <t>1004-2017-00106</t>
  </si>
  <si>
    <t>1004-2017-00107</t>
  </si>
  <si>
    <t>1004-2017-00108</t>
  </si>
  <si>
    <t>1004-2017-00109</t>
  </si>
  <si>
    <t>1004-2017-00110</t>
  </si>
  <si>
    <t>1004-2017-00111</t>
  </si>
  <si>
    <t>1004-2017-00112</t>
  </si>
  <si>
    <t>1004-2017-00113</t>
  </si>
  <si>
    <t>1004-2017-00114</t>
  </si>
  <si>
    <t>1004-2017-00115</t>
  </si>
  <si>
    <t>1004-2017-00116</t>
  </si>
  <si>
    <t>1004-2017-00117</t>
  </si>
  <si>
    <t>1004-2017-00118</t>
  </si>
  <si>
    <t>1004-2017-00119</t>
  </si>
  <si>
    <t>1004-2017-00120</t>
  </si>
  <si>
    <t>1004-2017-00121</t>
  </si>
  <si>
    <t>1004-2017-00122</t>
  </si>
  <si>
    <t>1004-2017-00123</t>
  </si>
  <si>
    <t>1004-2017-00124</t>
  </si>
  <si>
    <t>1004-2017-00125</t>
  </si>
  <si>
    <t>1004-2017-00126</t>
  </si>
  <si>
    <t>1004-2017-00127</t>
  </si>
  <si>
    <t>1004-2017-00128</t>
  </si>
  <si>
    <t>1004-2017-00129</t>
  </si>
  <si>
    <t>1004-2017-00130</t>
  </si>
  <si>
    <t>1004-2017-00131</t>
  </si>
  <si>
    <t>1004-2017-00132</t>
  </si>
  <si>
    <t>1004-2017-00133</t>
  </si>
  <si>
    <t>1004-2017-00134</t>
  </si>
  <si>
    <t>1004-2017-00135</t>
  </si>
  <si>
    <t>1004-2017-00136</t>
  </si>
  <si>
    <t>1004-2017-00137</t>
  </si>
  <si>
    <t>1004-2017-00138</t>
  </si>
  <si>
    <t>1004-2017-00139</t>
  </si>
  <si>
    <t>1004-2017-00140</t>
  </si>
  <si>
    <t>1004-2017-00141</t>
  </si>
  <si>
    <t>1004-2017-00142</t>
  </si>
  <si>
    <t>1004-2017-00143</t>
  </si>
  <si>
    <t>1004-2017-00144</t>
  </si>
  <si>
    <t>1004-2017-00145</t>
  </si>
  <si>
    <t>1004-2017-00146</t>
  </si>
  <si>
    <t>1004-2017-00147</t>
  </si>
  <si>
    <t>1004-2017-00148</t>
  </si>
  <si>
    <t>1004-2017-00149</t>
  </si>
  <si>
    <t>1004-2017-00150</t>
  </si>
  <si>
    <t>1004-2017-00151</t>
  </si>
  <si>
    <t>1004-2017-00152</t>
  </si>
  <si>
    <t>1004-2017-00153</t>
  </si>
  <si>
    <t>1004-2017-00154</t>
  </si>
  <si>
    <t>1004-2017-00155</t>
  </si>
  <si>
    <t>1004-2017-00156</t>
  </si>
  <si>
    <t>1004-2017-00157</t>
  </si>
  <si>
    <t>1004-2017-00158</t>
  </si>
  <si>
    <t>1004-2017-00159</t>
  </si>
  <si>
    <t>1004-2017-00160</t>
  </si>
  <si>
    <t>1004-2017-00161</t>
  </si>
  <si>
    <t>1004-2017-00162</t>
  </si>
  <si>
    <t>1004-2017-00163</t>
  </si>
  <si>
    <t>1004-2017-00164</t>
  </si>
  <si>
    <t>1004-2017-00165</t>
  </si>
  <si>
    <t>1004-2017-00166</t>
  </si>
  <si>
    <t>1004-2017-00167</t>
  </si>
  <si>
    <t>1004-2017-00168</t>
  </si>
  <si>
    <t>1004-2017-00169</t>
  </si>
  <si>
    <t>1004-2017-00170</t>
  </si>
  <si>
    <t>1004-2017-00171</t>
  </si>
  <si>
    <t>1004-2017-00172</t>
  </si>
  <si>
    <t>1004-2017-00173</t>
  </si>
  <si>
    <t>1004-2017-00174</t>
  </si>
  <si>
    <t>1004-2017-00175</t>
  </si>
  <si>
    <t>1004-2017-00176</t>
  </si>
  <si>
    <t>1004-2017-00177</t>
  </si>
  <si>
    <t>1004-2017-00178</t>
  </si>
  <si>
    <t>1004-2017-00179</t>
  </si>
  <si>
    <t>1004-2017-00180</t>
  </si>
  <si>
    <t>1004-2017-00181</t>
  </si>
  <si>
    <t>1004-2017-00182</t>
  </si>
  <si>
    <t>1004-2017-00183</t>
  </si>
  <si>
    <t>1004-2017-00184</t>
  </si>
  <si>
    <t>1004-2017-00185</t>
  </si>
  <si>
    <t>1004-2017-00186</t>
  </si>
  <si>
    <t>1004-2017-00187</t>
  </si>
  <si>
    <t>1004-2017-00188</t>
  </si>
  <si>
    <t>1004-2017-00189</t>
  </si>
  <si>
    <t>1004-2017-00190</t>
  </si>
  <si>
    <t>1004-2017-00191</t>
  </si>
  <si>
    <t>1004-2017-00192</t>
  </si>
  <si>
    <t>1004-2017-00193</t>
  </si>
  <si>
    <t>1004-2017-00194</t>
  </si>
  <si>
    <t>1004-2017-00195</t>
  </si>
  <si>
    <t>1004-2017-00196</t>
  </si>
  <si>
    <t>1004-2017-00197</t>
  </si>
  <si>
    <t>1004-2017-00198</t>
  </si>
  <si>
    <t>1004-2017-00199</t>
  </si>
  <si>
    <t>1004-2017-00200</t>
  </si>
  <si>
    <t>1004-2017-00201</t>
  </si>
  <si>
    <t>1004-2017-00202</t>
  </si>
  <si>
    <t>1004-2017-00203</t>
  </si>
  <si>
    <t>1004-2017-00204</t>
  </si>
  <si>
    <t>1004-2017-00205</t>
  </si>
  <si>
    <t>1004-2017-00206</t>
  </si>
  <si>
    <t>1004-2017-00207</t>
  </si>
  <si>
    <t>1004-2017-00208</t>
  </si>
  <si>
    <t>1004-2017-00209</t>
  </si>
  <si>
    <t>1004-2017-00210</t>
  </si>
  <si>
    <t>1004-2017-00211</t>
  </si>
  <si>
    <t>1004-2017-00212</t>
  </si>
  <si>
    <t>1004-2017-00213</t>
  </si>
  <si>
    <t>1004-2017-00214</t>
  </si>
  <si>
    <t>1004-2017-00215</t>
  </si>
  <si>
    <t>1004-2017-00216</t>
  </si>
  <si>
    <t>1004-2017-00217</t>
  </si>
  <si>
    <t>1004-2017-00218</t>
  </si>
  <si>
    <t>1004-2017-00219</t>
  </si>
  <si>
    <t>1004-2017-00220</t>
  </si>
  <si>
    <t>1004-2017-00221</t>
  </si>
  <si>
    <t>1004-2017-00222</t>
  </si>
  <si>
    <t>1004-2017-00223</t>
  </si>
  <si>
    <t>1004-2017-00224</t>
  </si>
  <si>
    <t>1004-2017-00225</t>
  </si>
  <si>
    <t>1004-2017-00226</t>
  </si>
  <si>
    <t>1004-2017-00227</t>
  </si>
  <si>
    <t>1004-2017-00228</t>
  </si>
  <si>
    <t>1004-2017-00229</t>
  </si>
  <si>
    <t>1004-2017-00230</t>
  </si>
  <si>
    <t>1004-2017-00231</t>
  </si>
  <si>
    <t>1004-2017-00232</t>
  </si>
  <si>
    <t>1004-2017-00233</t>
  </si>
  <si>
    <t>1004-2017-00234</t>
  </si>
  <si>
    <t>1004-2017-00235</t>
  </si>
  <si>
    <t>1004-2017-00236</t>
  </si>
  <si>
    <t>1004-2017-00237</t>
  </si>
  <si>
    <t>1004-2017-00238</t>
  </si>
  <si>
    <t>1004-2017-00239</t>
  </si>
  <si>
    <t>1004-2017-00240</t>
  </si>
  <si>
    <t>1004-2017-00241</t>
  </si>
  <si>
    <t>1004-2017-00242</t>
  </si>
  <si>
    <t>1004-2017-00243</t>
  </si>
  <si>
    <t>1004-2017-00244</t>
  </si>
  <si>
    <t>1004-2017-00245</t>
  </si>
  <si>
    <t>1004-2017-00246</t>
  </si>
  <si>
    <t>1004-2017-00247</t>
  </si>
  <si>
    <t>1004-2017-00248</t>
  </si>
  <si>
    <t>1004-2017-00249</t>
  </si>
  <si>
    <t>1004-2017-00250</t>
  </si>
  <si>
    <t>1004-2017-00251</t>
  </si>
  <si>
    <t>1004-2017-00252</t>
  </si>
  <si>
    <t>1004-2017-00253</t>
  </si>
  <si>
    <t>1004-2017-00254</t>
  </si>
  <si>
    <t>1004-2017-00255</t>
  </si>
  <si>
    <t>1004-2017-00256</t>
  </si>
  <si>
    <t>1004-2017-00257</t>
  </si>
  <si>
    <t>1004-2017-00258</t>
  </si>
  <si>
    <t>1004-2017-00259</t>
  </si>
  <si>
    <t>1004-2017-00260</t>
  </si>
  <si>
    <t>1004-2017-00261</t>
  </si>
  <si>
    <t>1004-2017-00262</t>
  </si>
  <si>
    <t>1004-2017-00263</t>
  </si>
  <si>
    <t>1004-2017-00264</t>
  </si>
  <si>
    <t>1004-2017-00265</t>
  </si>
  <si>
    <t>1004-2017-00266</t>
  </si>
  <si>
    <t>1004-2017-00267</t>
  </si>
  <si>
    <t>1004-2017-00268</t>
  </si>
  <si>
    <t>1004-2017-00269</t>
  </si>
  <si>
    <t>1004-2017-00270</t>
  </si>
  <si>
    <t>1004-2017-00271</t>
  </si>
  <si>
    <t>1004-2017-00272</t>
  </si>
  <si>
    <t>1004-2017-00273</t>
  </si>
  <si>
    <t>1004-2017-00274</t>
  </si>
  <si>
    <t>1004-2017-00275</t>
  </si>
  <si>
    <t>1004-2017-00276</t>
  </si>
  <si>
    <t>1004-2017-00277</t>
  </si>
  <si>
    <t>1004-2017-00278</t>
  </si>
  <si>
    <t>1004-2017-00279</t>
  </si>
  <si>
    <t>1004-2017-00280</t>
  </si>
  <si>
    <t>1004-2017-00281</t>
  </si>
  <si>
    <t>1004-2017-00282</t>
  </si>
  <si>
    <t>1004-2017-00283</t>
  </si>
  <si>
    <t>1004-2017-00284</t>
  </si>
  <si>
    <t>1004-2017-00285</t>
  </si>
  <si>
    <t>1004-2017-00286</t>
  </si>
  <si>
    <t>1004-2017-00287</t>
  </si>
  <si>
    <t>1004-2017-00288</t>
  </si>
  <si>
    <t>1004-2017-00289</t>
  </si>
  <si>
    <t>1004-2017-00290</t>
  </si>
  <si>
    <t>1004-2017-00291</t>
  </si>
  <si>
    <t>1004-2017-00292</t>
  </si>
  <si>
    <t>1004-2017-00293</t>
  </si>
  <si>
    <t>1004-2017-00294</t>
  </si>
  <si>
    <t>1004-2017-00295</t>
  </si>
  <si>
    <t>1004-2017-00296</t>
  </si>
  <si>
    <t>1004-2017-00297</t>
  </si>
  <si>
    <t>1004-2017-00298</t>
  </si>
  <si>
    <t>1004-2017-00299</t>
  </si>
  <si>
    <t>1004-2017-00300</t>
  </si>
  <si>
    <t>1004-2017-00301</t>
  </si>
  <si>
    <t>1004-2017-00302</t>
  </si>
  <si>
    <t>1004-2017-00303</t>
  </si>
  <si>
    <t>1004-2017-00304</t>
  </si>
  <si>
    <t>1004-2017-00305</t>
  </si>
  <si>
    <t>1004-2017-00306</t>
  </si>
  <si>
    <t>1004-2017-00307</t>
  </si>
  <si>
    <t>1004-2017-00308</t>
  </si>
  <si>
    <t>1004-2017-00309</t>
  </si>
  <si>
    <t>1004-2017-00310</t>
  </si>
  <si>
    <t>1004-2017-00311</t>
  </si>
  <si>
    <t>1004-2017-00312</t>
  </si>
  <si>
    <t>1004-2017-00313</t>
  </si>
  <si>
    <t>1004-2017-00314</t>
  </si>
  <si>
    <t>1004-2017-00315</t>
  </si>
  <si>
    <t>1004-2017-00316</t>
  </si>
  <si>
    <t>1004-2017-00317</t>
  </si>
  <si>
    <t>1004-2017-00318</t>
  </si>
  <si>
    <t>1004-2017-00319</t>
  </si>
  <si>
    <t>1004-2017-00320</t>
  </si>
  <si>
    <t>1004-2017-00321</t>
  </si>
  <si>
    <t>1004-2017-00322</t>
  </si>
  <si>
    <t>1004-2017-00323</t>
  </si>
  <si>
    <t>1004-2017-00324</t>
  </si>
  <si>
    <t>1004-2017-00325</t>
  </si>
  <si>
    <t>1004-2017-00326</t>
  </si>
  <si>
    <t>1004-2017-00327</t>
  </si>
  <si>
    <t>1004-2017-00328</t>
  </si>
  <si>
    <t>1004-2017-00329</t>
  </si>
  <si>
    <t>1004-2017-00330</t>
  </si>
  <si>
    <t>1004-2017-00331</t>
  </si>
  <si>
    <t>1004-2017-00332</t>
  </si>
  <si>
    <t>1004-2017-00333</t>
  </si>
  <si>
    <t>1004-2017-00334</t>
  </si>
  <si>
    <t>1004-2017-00335</t>
  </si>
  <si>
    <t>1004-2017-00336</t>
  </si>
  <si>
    <t>1004-2017-00337</t>
  </si>
  <si>
    <t>1004-2017-00338</t>
  </si>
  <si>
    <t>1004-2017-00339</t>
  </si>
  <si>
    <t>1004-2017-00340</t>
  </si>
  <si>
    <t>1004-2017-00341</t>
  </si>
  <si>
    <t>1004-2017-00342</t>
  </si>
  <si>
    <t>1004-2017-00343</t>
  </si>
  <si>
    <t>1004-2017-00344</t>
  </si>
  <si>
    <t>1004-2017-00345</t>
  </si>
  <si>
    <t>1004-2017-00346</t>
  </si>
  <si>
    <t>1004-2017-00347</t>
  </si>
  <si>
    <t>1004-2017-00348</t>
  </si>
  <si>
    <t>1004-2017-00349</t>
  </si>
  <si>
    <t>1004-2017-00350</t>
  </si>
  <si>
    <t>1004-2017-00351</t>
  </si>
  <si>
    <t>1004-2017-00352</t>
  </si>
  <si>
    <t>1004-2017-00353</t>
  </si>
  <si>
    <t>1004-2017-00354</t>
  </si>
  <si>
    <t>1004-2017-00355</t>
  </si>
  <si>
    <t>1004-2017-00356</t>
  </si>
  <si>
    <t>1004-2017-00357</t>
  </si>
  <si>
    <t>1004-2017-00358</t>
  </si>
  <si>
    <t>1004-2017-00359</t>
  </si>
  <si>
    <t>1004-2017-00360</t>
  </si>
  <si>
    <t>1004-2017-00361</t>
  </si>
  <si>
    <t>1004-2017-00362</t>
  </si>
  <si>
    <t>1004-2017-00363</t>
  </si>
  <si>
    <t>1004-2017-00364</t>
  </si>
  <si>
    <t>1004-2017-00365</t>
  </si>
  <si>
    <t>1004-2017-00366</t>
  </si>
  <si>
    <t>1004-2017-00367</t>
  </si>
  <si>
    <t>1004-2017-00368</t>
  </si>
  <si>
    <t>1004-2017-00369</t>
  </si>
  <si>
    <t>1004-2017-00370</t>
  </si>
  <si>
    <t>1004-2017-00371</t>
  </si>
  <si>
    <t>1004-2017-00372</t>
  </si>
  <si>
    <t>1004-2017-00373</t>
  </si>
  <si>
    <t>1004-2017-00374</t>
  </si>
  <si>
    <t>1004-2017-00375</t>
  </si>
  <si>
    <t>1004-2017-00376</t>
  </si>
  <si>
    <t>1004-2017-00377</t>
  </si>
  <si>
    <t>1004-2017-00378</t>
  </si>
  <si>
    <t>1004-2017-00379</t>
  </si>
  <si>
    <t>1004-2017-00380</t>
  </si>
  <si>
    <t>1004-2017-00381</t>
  </si>
  <si>
    <t>1004-2017-00382</t>
  </si>
  <si>
    <t>1004-2017-00383</t>
  </si>
  <si>
    <t>1004-2017-00384</t>
  </si>
  <si>
    <t>1004-2017-00385</t>
  </si>
  <si>
    <t>1004-2017-00386</t>
  </si>
  <si>
    <t>1004-2017-00387</t>
  </si>
  <si>
    <t>1004-2017-00388</t>
  </si>
  <si>
    <t>1004-2017-00389</t>
  </si>
  <si>
    <t>1004-2017-00390</t>
  </si>
  <si>
    <t>1004-2017-00391</t>
  </si>
  <si>
    <t>1004-2017-00392</t>
  </si>
  <si>
    <t>1004-2017-00393</t>
  </si>
  <si>
    <t>1004-2017-00394</t>
  </si>
  <si>
    <t>1004-2017-00395</t>
  </si>
  <si>
    <t>1004-2017-00396</t>
  </si>
  <si>
    <t>1004-2017-00397</t>
  </si>
  <si>
    <t>1004-2017-00398</t>
  </si>
  <si>
    <t>1004-2017-00399</t>
  </si>
  <si>
    <t>1004-2017-00400</t>
  </si>
  <si>
    <t>1004-2017-00401</t>
  </si>
  <si>
    <t>1004-2017-00402</t>
  </si>
  <si>
    <t>1004-2017-00403</t>
  </si>
  <si>
    <t>1004-2017-00404</t>
  </si>
  <si>
    <t>1004-2017-00405</t>
  </si>
  <si>
    <t>1004-2017-00406</t>
  </si>
  <si>
    <t>1004-2017-00407</t>
  </si>
  <si>
    <t>1004-2017-00408</t>
  </si>
  <si>
    <t>1004-2017-00409</t>
  </si>
  <si>
    <t>1004-2017-00410</t>
  </si>
  <si>
    <t>1004-2017-00411</t>
  </si>
  <si>
    <t>1004-2017-00412</t>
  </si>
  <si>
    <t>1004-2017-00413</t>
  </si>
  <si>
    <t>1004-2017-00414</t>
  </si>
  <si>
    <t>1004-2017-00415</t>
  </si>
  <si>
    <t>1004-2017-00416</t>
  </si>
  <si>
    <t>1004-2017-00417</t>
  </si>
  <si>
    <t>1004-2017-00418</t>
  </si>
  <si>
    <t>1004-2017-00419</t>
  </si>
  <si>
    <t>1004-2017-00420</t>
  </si>
  <si>
    <t>1004-2017-00421</t>
  </si>
  <si>
    <t>1004-2017-00422</t>
  </si>
  <si>
    <t>1004-2017-00423</t>
  </si>
  <si>
    <t>1004-2017-00424</t>
  </si>
  <si>
    <t>1004-2017-00425</t>
  </si>
  <si>
    <t>1004-2017-00426</t>
  </si>
  <si>
    <t>1004-2017-00427</t>
  </si>
  <si>
    <t>1004-2017-00428</t>
  </si>
  <si>
    <t>1004-2017-00429</t>
  </si>
  <si>
    <t>1004-2017-00430</t>
  </si>
  <si>
    <t>1004-2017-00431</t>
  </si>
  <si>
    <t>1004-2017-00432</t>
  </si>
  <si>
    <t>1004-2017-00433</t>
  </si>
  <si>
    <t>1004-2017-00434</t>
  </si>
  <si>
    <t>1004-2017-00435</t>
  </si>
  <si>
    <t>1004-2017-00436</t>
  </si>
  <si>
    <t>1004-2017-00437</t>
  </si>
  <si>
    <t>1004-2017-00438</t>
  </si>
  <si>
    <t>1004-2017-00439</t>
  </si>
  <si>
    <t>1004-2017-00440</t>
  </si>
  <si>
    <t>1004-2017-00441</t>
  </si>
  <si>
    <t>1004-2017-00442</t>
  </si>
  <si>
    <t>1004-2017-00443</t>
  </si>
  <si>
    <t>1004-2017-00444</t>
  </si>
  <si>
    <t>1004-2017-00445</t>
  </si>
  <si>
    <t>1004-2017-00446</t>
  </si>
  <si>
    <t>1004-2017-00447</t>
  </si>
  <si>
    <t>1004-2017-00448</t>
  </si>
  <si>
    <t>1004-2017-00449</t>
  </si>
  <si>
    <t>1004-2017-00450</t>
  </si>
  <si>
    <t>1004-2017-00451</t>
  </si>
  <si>
    <t>1004-2017-00452</t>
  </si>
  <si>
    <t>1004-2017-00453</t>
  </si>
  <si>
    <t>1004-2017-00454</t>
  </si>
  <si>
    <t>1004-2017-00455</t>
  </si>
  <si>
    <t>1004-2017-00456</t>
  </si>
  <si>
    <t>1004-2017-00457</t>
  </si>
  <si>
    <t>1004-2017-00458</t>
  </si>
  <si>
    <t>1004-2017-00459</t>
  </si>
  <si>
    <t>1004-2017-00460</t>
  </si>
  <si>
    <t>1004-2017-00461</t>
  </si>
  <si>
    <t>1004-2017-00462</t>
  </si>
  <si>
    <t>1004-2017-00463</t>
  </si>
  <si>
    <t>1004-2017-00464</t>
  </si>
  <si>
    <t>1004-2017-00465</t>
  </si>
  <si>
    <t>1004-2017-00466</t>
  </si>
  <si>
    <t>1004-2017-00467</t>
  </si>
  <si>
    <t>1004-2017-00468</t>
  </si>
  <si>
    <t>1004-2017-00469</t>
  </si>
  <si>
    <t>1004-2017-00470</t>
  </si>
  <si>
    <t>1004-2017-00471</t>
  </si>
  <si>
    <t>1004-2017-00472</t>
  </si>
  <si>
    <t>1004-2017-00473</t>
  </si>
  <si>
    <t>1004-2017-00474</t>
  </si>
  <si>
    <t>1004-2017-00475</t>
  </si>
  <si>
    <t>1004-2017-00476</t>
  </si>
  <si>
    <t>1004-2017-00477</t>
  </si>
  <si>
    <t>1004-2017-00478</t>
  </si>
  <si>
    <t>1004-2017-00479</t>
  </si>
  <si>
    <t>1004-2017-00480</t>
  </si>
  <si>
    <t>1004-2017-00481</t>
  </si>
  <si>
    <t>1004-2017-00482</t>
  </si>
  <si>
    <t>1004-2017-00483</t>
  </si>
  <si>
    <t>1004-2017-00484</t>
  </si>
  <si>
    <t>1004-2017-00485</t>
  </si>
  <si>
    <t>1004-2017-00486</t>
  </si>
  <si>
    <t>1004-2017-00487</t>
  </si>
  <si>
    <t>1004-2017-00488</t>
  </si>
  <si>
    <t>1004-2017-00489</t>
  </si>
  <si>
    <t>1004-2017-00490</t>
  </si>
  <si>
    <t>1004-2017-00491</t>
  </si>
  <si>
    <t>1004-2017-00492</t>
  </si>
  <si>
    <t>1004-2017-00493</t>
  </si>
  <si>
    <t>1004-2017-00494</t>
  </si>
  <si>
    <t>1004-2017-00495</t>
  </si>
  <si>
    <t>1004-2017-00496</t>
  </si>
  <si>
    <t>1004-2017-00497</t>
  </si>
  <si>
    <t>1004-2017-00498</t>
  </si>
  <si>
    <t>1004-2017-00499</t>
  </si>
  <si>
    <t>1004-2017-00500</t>
  </si>
  <si>
    <t>1004-2017-00501</t>
  </si>
  <si>
    <t>1004-2017-00502</t>
  </si>
  <si>
    <t>1004-2017-00503</t>
  </si>
  <si>
    <t>1004-2017-00504</t>
  </si>
  <si>
    <t>1004-2017-00505</t>
  </si>
  <si>
    <t>1004-2017-00506</t>
  </si>
  <si>
    <t>1004-2017-00507</t>
  </si>
  <si>
    <t>1004-2017-00508</t>
  </si>
  <si>
    <t>1004-2017-00509</t>
  </si>
  <si>
    <t>1004-2017-00510</t>
  </si>
  <si>
    <t>1004-2017-00511</t>
  </si>
  <si>
    <t>1004-2017-00512</t>
  </si>
  <si>
    <t>1004-2017-00513</t>
  </si>
  <si>
    <t>1004-2017-00514</t>
  </si>
  <si>
    <t>1004-2017-00515</t>
  </si>
  <si>
    <t>1004-2017-00516</t>
  </si>
  <si>
    <t>1004-2017-00517</t>
  </si>
  <si>
    <t>1004-2017-00518</t>
  </si>
  <si>
    <t>1004-2017-00519</t>
  </si>
  <si>
    <t>1004-2017-00520</t>
  </si>
  <si>
    <t>1004-2017-00521</t>
  </si>
  <si>
    <t>1004-2017-00522</t>
  </si>
  <si>
    <t>1004-2017-00523</t>
  </si>
  <si>
    <t>1004-2017-00524</t>
  </si>
  <si>
    <t>1004-2017-00525</t>
  </si>
  <si>
    <t>1004-2017-00526</t>
  </si>
  <si>
    <t>1004-2017-00527</t>
  </si>
  <si>
    <t>1004-2017-00528</t>
  </si>
  <si>
    <t>1004-2017-00529</t>
  </si>
  <si>
    <t>1004-2017-00530</t>
  </si>
  <si>
    <t>1004-2017-00531</t>
  </si>
  <si>
    <t>1004-2017-00532</t>
  </si>
  <si>
    <t>1004-2017-00533</t>
  </si>
  <si>
    <t>1004-2017-00534</t>
  </si>
  <si>
    <t>1004-2017-00535</t>
  </si>
  <si>
    <t>1004-2017-00536</t>
  </si>
  <si>
    <t>1004-2017-00537</t>
  </si>
  <si>
    <t>1004-2017-00538</t>
  </si>
  <si>
    <t>1004-2017-00539</t>
  </si>
  <si>
    <t>1004-2017-00540</t>
  </si>
  <si>
    <t>1004-2017-00541</t>
  </si>
  <si>
    <t>1004-2017-00542</t>
  </si>
  <si>
    <t>1004-2017-00543</t>
  </si>
  <si>
    <t>1004-2017-00544</t>
  </si>
  <si>
    <t>1004-2017-00545</t>
  </si>
  <si>
    <t>1004-2017-00546</t>
  </si>
  <si>
    <t>1004-2017-00547</t>
  </si>
  <si>
    <t>1004-2017-00548</t>
  </si>
  <si>
    <t>1004-2017-00549</t>
  </si>
  <si>
    <t>1004-2017-00550</t>
  </si>
  <si>
    <t>1004-2017-00551</t>
  </si>
  <si>
    <t>1004-2017-00552</t>
  </si>
  <si>
    <t>1004-2017-00553</t>
  </si>
  <si>
    <t>1004-2017-00554</t>
  </si>
  <si>
    <t>1004-2017-00555</t>
  </si>
  <si>
    <t>1004-2017-00556</t>
  </si>
  <si>
    <t>1004-2017-00557</t>
  </si>
  <si>
    <t>1004-2017-00558</t>
  </si>
  <si>
    <t>1004-2017-00559</t>
  </si>
  <si>
    <t>1004-2017-00560</t>
  </si>
  <si>
    <t>1004-2017-00561</t>
  </si>
  <si>
    <t>1004-2017-00562</t>
  </si>
  <si>
    <t>1004-2017-00563</t>
  </si>
  <si>
    <t>1004-2017-00564</t>
  </si>
  <si>
    <t>1004-2017-00565</t>
  </si>
  <si>
    <t>1004-2017-00566</t>
  </si>
  <si>
    <t>1004-2017-00567</t>
  </si>
  <si>
    <t>1004-2017-00568</t>
  </si>
  <si>
    <t>1004-2017-00569</t>
  </si>
  <si>
    <t>1004-2017-00570</t>
  </si>
  <si>
    <t>1004-2017-00571</t>
  </si>
  <si>
    <t>1004-2017-00572</t>
  </si>
  <si>
    <t>1004-2017-00573</t>
  </si>
  <si>
    <t>1004-2017-00574</t>
  </si>
  <si>
    <t>1004-2017-00575</t>
  </si>
  <si>
    <t>1004-2017-00576</t>
  </si>
  <si>
    <t>1004-2017-00577</t>
  </si>
  <si>
    <t>1004-2017-00578</t>
  </si>
  <si>
    <t>1004-2017-00579</t>
  </si>
  <si>
    <t>1004-2017-00580</t>
  </si>
  <si>
    <t>1004-2017-00581</t>
  </si>
  <si>
    <t>1004-2017-00582</t>
  </si>
  <si>
    <t>1004-2017-00583</t>
  </si>
  <si>
    <t>1004-2017-00584</t>
  </si>
  <si>
    <t>1004-2017-00585</t>
  </si>
  <si>
    <t>1004-2017-00586</t>
  </si>
  <si>
    <t>1004-2017-00587</t>
  </si>
  <si>
    <t>1004-2017-00588</t>
  </si>
  <si>
    <t>1004-2017-00589</t>
  </si>
  <si>
    <t>1004-2017-00590</t>
  </si>
  <si>
    <t>1004-2017-00591</t>
  </si>
  <si>
    <t>1004-2017-00592</t>
  </si>
  <si>
    <t>1004-2017-00593</t>
  </si>
  <si>
    <t>1004-2017-00594</t>
  </si>
  <si>
    <t>1004-2017-00595</t>
  </si>
  <si>
    <t>1004-2017-00596</t>
  </si>
  <si>
    <t>1004-2017-00597</t>
  </si>
  <si>
    <t>1004-2017-00598</t>
  </si>
  <si>
    <t>1004-2017-00599</t>
  </si>
  <si>
    <t>1004-2017-00600</t>
  </si>
  <si>
    <t>1004-2017-00601</t>
  </si>
  <si>
    <t>1004-2017-00602</t>
  </si>
  <si>
    <t>1004-2017-00603</t>
  </si>
  <si>
    <t>1004-2017-00604</t>
  </si>
  <si>
    <t>1004-2017-00605</t>
  </si>
  <si>
    <t>1004-2017-00606</t>
  </si>
  <si>
    <t>1004-2017-00607</t>
  </si>
  <si>
    <t>1004-2017-00608</t>
  </si>
  <si>
    <t>1004-2017-00609</t>
  </si>
  <si>
    <t>1004-2017-00610</t>
  </si>
  <si>
    <t>1004-2017-00611</t>
  </si>
  <si>
    <t>1004-2017-00612</t>
  </si>
  <si>
    <t>1004-2017-00613</t>
  </si>
  <si>
    <t>1004-2017-00614</t>
  </si>
  <si>
    <t>1004-2017-00615</t>
  </si>
  <si>
    <t>1004-2017-00616</t>
  </si>
  <si>
    <t>1004-2017-00617</t>
  </si>
  <si>
    <t>1004-2017-00618</t>
  </si>
  <si>
    <t>1004-2017-00619</t>
  </si>
  <si>
    <t>1004-2017-00620</t>
  </si>
  <si>
    <t>1004-2017-00621</t>
  </si>
  <si>
    <t>1004-2017-00622</t>
  </si>
  <si>
    <t>1004-2017-00623</t>
  </si>
  <si>
    <t>1004-2017-00624</t>
  </si>
  <si>
    <t>1004-2017-00625</t>
  </si>
  <si>
    <t>1004-2017-00626</t>
  </si>
  <si>
    <t>1004-2017-00627</t>
  </si>
  <si>
    <t>1004-2017-00628</t>
  </si>
  <si>
    <t>1004-2017-00629</t>
  </si>
  <si>
    <t>1004-2017-00630</t>
  </si>
  <si>
    <t>1004-2017-00631</t>
  </si>
  <si>
    <t>1004-2017-00632</t>
  </si>
  <si>
    <t>1004-2017-00633</t>
  </si>
  <si>
    <t>1004-2017-00634</t>
  </si>
  <si>
    <t>1004-2017-00635</t>
  </si>
  <si>
    <t>1004-2017-00636</t>
  </si>
  <si>
    <t>1004-2017-00637</t>
  </si>
  <si>
    <t>1004-2017-00638</t>
  </si>
  <si>
    <t>1004-2017-00639</t>
  </si>
  <si>
    <t>1004-2017-00640</t>
  </si>
  <si>
    <t>1004-2017-00641</t>
  </si>
  <si>
    <t>1004-2017-00642</t>
  </si>
  <si>
    <t>1004-2017-00643</t>
  </si>
  <si>
    <t>1004-2017-00644</t>
  </si>
  <si>
    <t>1004-2017-00645</t>
  </si>
  <si>
    <t>1004-2017-00646</t>
  </si>
  <si>
    <t>1004-2017-00647</t>
  </si>
  <si>
    <t>1004-2017-00648</t>
  </si>
  <si>
    <t>1004-2017-00649</t>
  </si>
  <si>
    <t>1004-2017-00650</t>
  </si>
  <si>
    <t>1004-2017-00651</t>
  </si>
  <si>
    <t>1004-2017-00652</t>
  </si>
  <si>
    <t>1004-2017-00653</t>
  </si>
  <si>
    <t>1004-2017-00654</t>
  </si>
  <si>
    <t>1004-2017-00655</t>
  </si>
  <si>
    <t>1004-2017-00656</t>
  </si>
  <si>
    <t>1004-2017-00657</t>
  </si>
  <si>
    <t>1004-2017-00658</t>
  </si>
  <si>
    <t>1004-2017-00659</t>
  </si>
  <si>
    <t>1004-2017-00660</t>
  </si>
  <si>
    <t>1004-2017-00661</t>
  </si>
  <si>
    <t>1004-2017-00662</t>
  </si>
  <si>
    <t>1004-2017-00663</t>
  </si>
  <si>
    <t>1004-2017-00664</t>
  </si>
  <si>
    <t>1004-2017-00665</t>
  </si>
  <si>
    <t>1004-2017-00666</t>
  </si>
  <si>
    <t>1004-2017-00667</t>
  </si>
  <si>
    <t>1004-2017-00668</t>
  </si>
  <si>
    <t>1004-2017-00669</t>
  </si>
  <si>
    <t>1004-2017-00670</t>
  </si>
  <si>
    <t>1004-2017-00671</t>
  </si>
  <si>
    <t>1004-2017-00672</t>
  </si>
  <si>
    <t>1004-2017-00673</t>
  </si>
  <si>
    <t>1004-2017-00674</t>
  </si>
  <si>
    <t>1004-2017-00675</t>
  </si>
  <si>
    <t>1004-2017-00676</t>
  </si>
  <si>
    <t>1004-2017-00677</t>
  </si>
  <si>
    <t>1004-2017-00678</t>
  </si>
  <si>
    <t>1004-2017-00679</t>
  </si>
  <si>
    <t>1004-2017-00680</t>
  </si>
  <si>
    <t>1004-2017-00681</t>
  </si>
  <si>
    <t>1004-2017-00682</t>
  </si>
  <si>
    <t>1004-2017-00683</t>
  </si>
  <si>
    <t>1004-2017-00684</t>
  </si>
  <si>
    <t>1004-2017-00685</t>
  </si>
  <si>
    <t>1004-2017-00686</t>
  </si>
  <si>
    <t>1004-2017-00687</t>
  </si>
  <si>
    <t>1004-2017-00688</t>
  </si>
  <si>
    <t>1004-2017-00689</t>
  </si>
  <si>
    <t>1004-2017-00690</t>
  </si>
  <si>
    <t>1004-2017-00691</t>
  </si>
  <si>
    <t>1004-2017-00692</t>
  </si>
  <si>
    <t>1004-2017-00693</t>
  </si>
  <si>
    <t>1004-2017-00694</t>
  </si>
  <si>
    <t>1004-2017-00695</t>
  </si>
  <si>
    <t>1004-2017-00696</t>
  </si>
  <si>
    <t>1004-2017-00697</t>
  </si>
  <si>
    <t>1004-2017-00698</t>
  </si>
  <si>
    <t>1004-2017-00699</t>
  </si>
  <si>
    <t>1004-2017-00700</t>
  </si>
  <si>
    <t>1004-2017-00701</t>
  </si>
  <si>
    <t>1004-2017-00702</t>
  </si>
  <si>
    <t>1004-2017-00703</t>
  </si>
  <si>
    <t>1004-2017-00704</t>
  </si>
  <si>
    <t>1004-2017-00705</t>
  </si>
  <si>
    <t>1004-2017-00706</t>
  </si>
  <si>
    <t>1004-2017-00707</t>
  </si>
  <si>
    <t>1004-2017-00708</t>
  </si>
  <si>
    <t>1004-2017-00709</t>
  </si>
  <si>
    <t>1004-2017-00710</t>
  </si>
  <si>
    <t>1004-2017-00711</t>
  </si>
  <si>
    <t>1004-2017-00712</t>
  </si>
  <si>
    <t>1004-2017-00713</t>
  </si>
  <si>
    <t>1004-2017-00714</t>
  </si>
  <si>
    <t>1004-2017-00715</t>
  </si>
  <si>
    <t>1004-2017-00716</t>
  </si>
  <si>
    <t>1004-2017-00717</t>
  </si>
  <si>
    <t>1004-2017-00718</t>
  </si>
  <si>
    <t>1004-2017-00719</t>
  </si>
  <si>
    <t>1004-2017-00720</t>
  </si>
  <si>
    <t>1004-2017-00721</t>
  </si>
  <si>
    <t>1004-2017-00722</t>
  </si>
  <si>
    <t>1004-2017-00723</t>
  </si>
  <si>
    <t>1004-2017-00724</t>
  </si>
  <si>
    <t>1004-2017-00725</t>
  </si>
  <si>
    <t>1004-2017-00726</t>
  </si>
  <si>
    <t>1004-2017-00727</t>
  </si>
  <si>
    <t>1004-2017-00728</t>
  </si>
  <si>
    <t>1004-2017-00729</t>
  </si>
  <si>
    <t>1004-2017-00730</t>
  </si>
  <si>
    <t>1004-2017-00731</t>
  </si>
  <si>
    <t>1004-2017-00732</t>
  </si>
  <si>
    <t>1004-2017-00733</t>
  </si>
  <si>
    <t>1004-2017-00734</t>
  </si>
  <si>
    <t>1004-2017-00735</t>
  </si>
  <si>
    <t>1004-2017-00736</t>
  </si>
  <si>
    <t>1004-2017-00737</t>
  </si>
  <si>
    <t>1004-2017-00738</t>
  </si>
  <si>
    <t>1004-2017-00739</t>
  </si>
  <si>
    <t>1004-2017-00740</t>
  </si>
  <si>
    <t>1004-2017-00741</t>
  </si>
  <si>
    <t>1004-2017-00742</t>
  </si>
  <si>
    <t>1004-2017-00743</t>
  </si>
  <si>
    <t>1004-2017-00744</t>
  </si>
  <si>
    <t>1004-2017-00745</t>
  </si>
  <si>
    <t>1004-2017-00746</t>
  </si>
  <si>
    <t>1004-2017-00747</t>
  </si>
  <si>
    <t>1004-2017-00748</t>
  </si>
  <si>
    <t>1004-2017-00749</t>
  </si>
  <si>
    <t>1004-2017-00750</t>
  </si>
  <si>
    <t>1004-2017-00751</t>
  </si>
  <si>
    <t>1004-2017-00752</t>
  </si>
  <si>
    <t>1004-2017-00753</t>
  </si>
  <si>
    <t>1004-2017-00754</t>
  </si>
  <si>
    <t>1004-2017-00755</t>
  </si>
  <si>
    <t>1004-2017-00756</t>
  </si>
  <si>
    <t>1004-2017-00757</t>
  </si>
  <si>
    <t>1004-2017-00758</t>
  </si>
  <si>
    <t>1004-2017-00759</t>
  </si>
  <si>
    <t>1004-2017-00760</t>
  </si>
  <si>
    <t>1004-2017-00761</t>
  </si>
  <si>
    <t>1004-2017-00762</t>
  </si>
  <si>
    <t>1004-2017-00763</t>
  </si>
  <si>
    <t>1004-2017-00764</t>
  </si>
  <si>
    <t>1004-2017-00765</t>
  </si>
  <si>
    <t>1004-2017-00766</t>
  </si>
  <si>
    <t>1004-2017-00767</t>
  </si>
  <si>
    <t>1004-2017-00768</t>
  </si>
  <si>
    <t>1004-2017-00769</t>
  </si>
  <si>
    <t>1004-2017-00770</t>
  </si>
  <si>
    <t>1004-2017-00771</t>
  </si>
  <si>
    <t>1004-2017-00772</t>
  </si>
  <si>
    <t>1004-2017-00773</t>
  </si>
  <si>
    <t>1004-2017-00774</t>
  </si>
  <si>
    <t>1004-2017-00775</t>
  </si>
  <si>
    <t>1004-2017-00776</t>
  </si>
  <si>
    <t>1004-2017-00777</t>
  </si>
  <si>
    <t>1004-2017-00778</t>
  </si>
  <si>
    <t>1004-2017-00779</t>
  </si>
  <si>
    <t>1004-2017-00780</t>
  </si>
  <si>
    <t>1004-2017-00781</t>
  </si>
  <si>
    <t>1004-2017-00782</t>
  </si>
  <si>
    <t>1004-2017-00783</t>
  </si>
  <si>
    <t>1004-2017-00784</t>
  </si>
  <si>
    <t>1004-2017-00785</t>
  </si>
  <si>
    <t>1004-2017-00786</t>
  </si>
  <si>
    <t>1004-2017-00787</t>
  </si>
  <si>
    <t>1004-2017-00788</t>
  </si>
  <si>
    <t>1004-2017-00789</t>
  </si>
  <si>
    <t>1004-2017-00790</t>
  </si>
  <si>
    <t>1004-2017-00791</t>
  </si>
  <si>
    <t>1004-2017-00792</t>
  </si>
  <si>
    <t>1004-2017-00793</t>
  </si>
  <si>
    <t>1004-2017-00794</t>
  </si>
  <si>
    <t>1004-2017-00795</t>
  </si>
  <si>
    <t>1004-2017-00796</t>
  </si>
  <si>
    <t>1004-2017-00797</t>
  </si>
  <si>
    <t>1004-2017-00798</t>
  </si>
  <si>
    <t>1004-2017-00799</t>
  </si>
  <si>
    <t>1004-2017-00800</t>
  </si>
  <si>
    <t>1004-2017-00801</t>
  </si>
  <si>
    <t>1004-2017-00802</t>
  </si>
  <si>
    <t>1004-2017-00803</t>
  </si>
  <si>
    <t>1004-2017-00804</t>
  </si>
  <si>
    <t>1004-2017-00805</t>
  </si>
  <si>
    <t>1004-2017-00806</t>
  </si>
  <si>
    <t>1004-2017-00807</t>
  </si>
  <si>
    <t>1004-2017-00808</t>
  </si>
  <si>
    <t>1004-2017-00809</t>
  </si>
  <si>
    <t>1004-2017-00810</t>
  </si>
  <si>
    <t>1004-2017-00811</t>
  </si>
  <si>
    <t>1004-2017-00812</t>
  </si>
  <si>
    <t>1004-2017-00813</t>
  </si>
  <si>
    <t>1004-2017-00814</t>
  </si>
  <si>
    <t>1004-2017-00815</t>
  </si>
  <si>
    <t>1004-2017-00816</t>
  </si>
  <si>
    <t>1004-2017-00817</t>
  </si>
  <si>
    <t>1004-2017-00818</t>
  </si>
  <si>
    <t>1004-2017-00819</t>
  </si>
  <si>
    <t>1004-2017-00820</t>
  </si>
  <si>
    <t>1004-2017-00821</t>
  </si>
  <si>
    <t>1004-2017-00822</t>
  </si>
  <si>
    <t>1004-2017-00823</t>
  </si>
  <si>
    <t>1004-2017-00824</t>
  </si>
  <si>
    <t>1004-2017-00825</t>
  </si>
  <si>
    <t>1004-2017-00826</t>
  </si>
  <si>
    <t>1004-2017-00827</t>
  </si>
  <si>
    <t>1004-2017-00828</t>
  </si>
  <si>
    <t>1004-2017-00829</t>
  </si>
  <si>
    <t>1004-2017-00830</t>
  </si>
  <si>
    <t>1004-2017-00831</t>
  </si>
  <si>
    <t>1004-2017-00832</t>
  </si>
  <si>
    <t>1004-2017-00833</t>
  </si>
  <si>
    <t>1004-2017-00834</t>
  </si>
  <si>
    <t>1004-2017-00835</t>
  </si>
  <si>
    <t>1004-2017-00836</t>
  </si>
  <si>
    <t>1004-2017-00837</t>
  </si>
  <si>
    <t>1004-2017-00838</t>
  </si>
  <si>
    <t>1004-2017-00839</t>
  </si>
  <si>
    <t>1004-2017-00840</t>
  </si>
  <si>
    <t>1004-2017-00841</t>
  </si>
  <si>
    <t>1004-2017-00842</t>
  </si>
  <si>
    <t>1004-2017-00843</t>
  </si>
  <si>
    <t>1004-2017-00844</t>
  </si>
  <si>
    <t>1004-2017-00845</t>
  </si>
  <si>
    <t>1004-2017-00846</t>
  </si>
  <si>
    <t>1004-2017-00847</t>
  </si>
  <si>
    <t>1004-2017-00848</t>
  </si>
  <si>
    <t>1004-2017-00849</t>
  </si>
  <si>
    <t>1004-2017-00850</t>
  </si>
  <si>
    <t>1004-2017-00851</t>
  </si>
  <si>
    <t>1004-2017-00852</t>
  </si>
  <si>
    <t>1004-2017-00853</t>
  </si>
  <si>
    <t>1004-2017-00854</t>
  </si>
  <si>
    <t>1004-2017-00855</t>
  </si>
  <si>
    <t>1004-2017-00856</t>
  </si>
  <si>
    <t>1004-2017-00857</t>
  </si>
  <si>
    <t>1004-2017-00858</t>
  </si>
  <si>
    <t>1004-2017-00859</t>
  </si>
  <si>
    <t>1004-2017-00860</t>
  </si>
  <si>
    <t>1004-2017-00861</t>
  </si>
  <si>
    <t>1004-2017-00862</t>
  </si>
  <si>
    <t>1004-2017-00863</t>
  </si>
  <si>
    <t>1004-2017-00864</t>
  </si>
  <si>
    <t>1004-2017-00865</t>
  </si>
  <si>
    <t>1004-2017-00866</t>
  </si>
  <si>
    <t>1004-2017-00867</t>
  </si>
  <si>
    <t>1004-2017-00868</t>
  </si>
  <si>
    <t>1004-2017-00869</t>
  </si>
  <si>
    <t>1004-2017-00870</t>
  </si>
  <si>
    <t>1004-2017-00871</t>
  </si>
  <si>
    <t>1004-2017-00872</t>
  </si>
  <si>
    <t>1004-2017-00873</t>
  </si>
  <si>
    <t>1004-2017-00874</t>
  </si>
  <si>
    <t>1004-2017-00875</t>
  </si>
  <si>
    <t>1004-2017-00876</t>
  </si>
  <si>
    <t>1004-2017-00877</t>
  </si>
  <si>
    <t>1004-2017-00878</t>
  </si>
  <si>
    <t>1004-2017-00879</t>
  </si>
  <si>
    <t>1004-2017-00880</t>
  </si>
  <si>
    <t>1004-2017-00881</t>
  </si>
  <si>
    <t>1004-2017-00882</t>
  </si>
  <si>
    <t>1004-2017-00883</t>
  </si>
  <si>
    <t>1004-2017-00884</t>
  </si>
  <si>
    <t>1004-2017-00885</t>
  </si>
  <si>
    <t>1004-2017-00886</t>
  </si>
  <si>
    <t>1004-2017-00887</t>
  </si>
  <si>
    <t>1004-2017-00888</t>
  </si>
  <si>
    <t>1004-2017-00889</t>
  </si>
  <si>
    <t>1004-2017-00890</t>
  </si>
  <si>
    <t>1004-2017-00891</t>
  </si>
  <si>
    <t>1004-2017-00892</t>
  </si>
  <si>
    <t>1004-2017-00893</t>
  </si>
  <si>
    <t>1004-2017-00894</t>
  </si>
  <si>
    <t>1004-2017-00895</t>
  </si>
  <si>
    <t>1004-2017-00896</t>
  </si>
  <si>
    <t>1004-2017-00897</t>
  </si>
  <si>
    <t>1004-2017-00898</t>
  </si>
  <si>
    <t>1004-2017-00899</t>
  </si>
  <si>
    <t>1004-2017-00900</t>
  </si>
  <si>
    <t>1004-2017-00901</t>
  </si>
  <si>
    <t>1004-2017-00902</t>
  </si>
  <si>
    <t>1004-2017-00903</t>
  </si>
  <si>
    <t>1004-2017-00904</t>
  </si>
  <si>
    <t>1004-2017-00905</t>
  </si>
  <si>
    <t>1004-2017-00901Услуги по организации участия в выставках: "laser world of PHOTONICS", "Иннопром", "Макс-2017", "Russia Arms Expo 2017"</t>
  </si>
  <si>
    <t>1004-2017-00898Поставка заготовок теплоперехода / РМФК.757531.001 ГЧ</t>
  </si>
  <si>
    <t>1004-2017-00897Ремонт Fluke-9500B с/н 197464495. Стандартная калибровка Fluke-9510 с/н 240066784</t>
  </si>
  <si>
    <t>1004-2017-00896 Поставка 04901-01.6,пластины КС301249-03 и платы теплоперехода КС301249-04</t>
  </si>
  <si>
    <t>1004-2017-00895Поставка пленкообразующих материалов</t>
  </si>
  <si>
    <t>1004-2017-00893Поставка Эмальпровод МНЭТ-имид (ВП)0.630; Поставка Эмальпровод МНЭТ-имид (ВП)0,710</t>
  </si>
  <si>
    <t>1004-2017-00892Поставка арсина и фосфина</t>
  </si>
  <si>
    <t>1004-2017-00891Поставка арсина и фосфина</t>
  </si>
  <si>
    <t>1004-2017-00890Поставка арсина и фосфина</t>
  </si>
  <si>
    <t>1004-2017-00889Поставка триметилгаллия, триэтилгаллия, триметилиндия, триметилалюминия, диэтилцинка</t>
  </si>
  <si>
    <t>1004-2017-00888Поставка триметилгаллия, триэтилгаллия, триметилиндия, триметилалюминия, диэтилцинка, ди-(циклопентадиенил)магния</t>
  </si>
  <si>
    <t>1004-2017-00887Поставка триметилгаллия, триэтилгаллия, триметилиндия, триметилалюминия, диэтилцинка, ди-(циклопентадиенил)магния</t>
  </si>
  <si>
    <t>1004-2017-00886Поставка подложек арсенида галлия</t>
  </si>
  <si>
    <t>1004-2017-00885Поставка подложек фосфида индия</t>
  </si>
  <si>
    <t>1004-2017-00884Поставка подложек арсенида галлия</t>
  </si>
  <si>
    <t>1004-2017-00875оказание услуг по ежемесячному контролю и регулировки топливной системы автотранспортных средств</t>
  </si>
  <si>
    <t>1004-2017-00872Поставка пластин из монокристаллического синтетического корунда полированных с двух сторон</t>
  </si>
  <si>
    <t>1004-2017-00869изготовление и постака упаковки</t>
  </si>
  <si>
    <t>1004-2017-00866изготовление и поставка оптических деталий</t>
  </si>
  <si>
    <t>1004-2017-00865проведение государственной экспертизы проектной документации и результатов инженерных изысканий (с дороботки) "Реконструкция и техническое перевооружение производства"  АО "НИИ "Полюс" им. М.Ф. Стельмаха"</t>
  </si>
  <si>
    <t>1004-2017-00864Спецодежда, обувь и СИЗ</t>
  </si>
  <si>
    <t xml:space="preserve">1004-2017-00863Проведение государственной регистрации  медицинского изделия-аппарата ИАГ-лазерного офтальмохирургического  АЛОФмх-02 ЖГДК 203321.008 ТУ </t>
  </si>
  <si>
    <t>1004-2017-00862Кабель соединительный ОС-РС 28/1-1/0 ВВК-2,2+/-0,1</t>
  </si>
  <si>
    <t>1004-2017-00861Оказание услуг по разработке, изготовлению и размещению Сайта - «Корпоративный» в сети Интернет</t>
  </si>
  <si>
    <t>1004-2017-00857услуги по организации в выставочной, демонстрационной  и деловой программах «День передовых технологий правоохранительных органов РФ» и по размещению рекламно-информационных материалов Участника в виде рекламных модулей, текстовых блоков с иллюстрациями, а также в иной согласованной Сторонами форме в печатной и/или электронной версии издаваемого каталога участников выставки и тезисов докладов деловой программы</t>
  </si>
  <si>
    <t>1004-2017-00856Поставка мебели выставочных экспозиций для музейной комнаты Заказчика</t>
  </si>
  <si>
    <t>1004-2017-00853Поставка подложек арсенида галлия, легированных кремнием</t>
  </si>
  <si>
    <t>1004-2017-00851Поставка подложек арсенида галлия</t>
  </si>
  <si>
    <t>1004-2017-00850Поставка подложек фосфида индия</t>
  </si>
  <si>
    <t>1004-2017-00849Поставка подложек арсенида галлия</t>
  </si>
  <si>
    <t>1004-2017-00848Договор на поставку комплектов ФСС «Система Финансовый директор», интернет версия 12 месяцев, однопользовательская и ФСС «Система Юрист», интернет версия 12 месяцев, однопользовательская</t>
  </si>
  <si>
    <t>1004-2017-00847поставка жалюзи</t>
  </si>
  <si>
    <t>1004-2017-00845Проведение испытаний передающего оптоэлектронного модуля и приемного оптоэлектронного модуля на воздействие специальных факторов</t>
  </si>
  <si>
    <t>1004-2017-00844Разработка технологий формирования дифрационной решетки на плпстине с элементами лазерных диодов для оптоэлектронных модулей СВЧ-диапазона с частотой модуляции 0,1-12 ГГц</t>
  </si>
  <si>
    <t xml:space="preserve">1004-2017-00843Поставка арсина и фосфина </t>
  </si>
  <si>
    <t xml:space="preserve">1004-2017-00842Поставка арсина и фосфина </t>
  </si>
  <si>
    <t xml:space="preserve">1004-2017-00841Поставка арсина и фосфина </t>
  </si>
  <si>
    <t>1004-2017-00840Поставка триметилаллюминия, триметилгаллия, триэтилгаллия, диэтилцинка, триметилиндия, бисциклопентадиенгил-магния</t>
  </si>
  <si>
    <t>1004-2017-00839Поставка триметилаллюминия, триметилгаллия, триэтилгаллия, диэтилцинка, триметилиндия</t>
  </si>
  <si>
    <t>1004-2017-00838Поставка триметилаллюминия, триметилгаллия, триэтилгаллия, диэтилцинка, триметилиндия, бисциклопентадиенгил-магния</t>
  </si>
  <si>
    <t>1004-2017-00837выполнение работ по бестраншейной замене 2-х участков трубопровода канализационной сети</t>
  </si>
  <si>
    <t>1004-2017-00832внесение записей о размещении дополнительного выпуска ценных бумаг и предоставления уведомления об операции, проводимой по лицевому счету</t>
  </si>
  <si>
    <t>1004-2017-00830Изготовление механических деталей</t>
  </si>
  <si>
    <t>1004-2017-00829Поставка мебели выставочных экспозиций для музейной комнаты Заказчика</t>
  </si>
  <si>
    <t>1004-2017-00828иготовление оптических и механических деталей</t>
  </si>
  <si>
    <t>1004-2017-00824Комплект электроизделий</t>
  </si>
  <si>
    <t>1004-2017-00823Комплект электроизделий</t>
  </si>
  <si>
    <t>1004-2017-00822Изготовление и поставка пружинных колец для датчика ЭК-104С</t>
  </si>
  <si>
    <t>1004-2017-00814Поставка сертифицированных электрорадиоизделий иностранного производства</t>
  </si>
  <si>
    <t xml:space="preserve">1004-2017-00806Микросхема Б1407 УД3 </t>
  </si>
  <si>
    <t>1004-2017-00789Поставка камеры термоудара TSE-11</t>
  </si>
  <si>
    <t>1004-2017-00787Изготовление и поставка оснастки и приспособлений для изготовления кожухов  ЖГДК.305143.001, и корпусов ЖГДК.301172.013</t>
  </si>
  <si>
    <t>1004-2017-00779Изготовление в соответствии с требованиями, установленными заказчиком. Приемка "5"</t>
  </si>
  <si>
    <t>1004-2017-00759Изготовление и поставка Стеклокерамики Zerodur class 0 Extreme RA 1,6 (полуфабрикат)</t>
  </si>
  <si>
    <t>1004-2017-00756Подготовка и проведение процедур на оказания услуг по провождению ежемесячного контроля и регулировки топливной системы автотранспортных средств 15 автотранспортных средств, принадлежащих АО «НИИ «Полюс» им. М.Ф. Стельмаха».</t>
  </si>
  <si>
    <t>1004-2017-00755Разработка и изготовление оборудования для испытаний аналогово-цифрового преобразователя (АЦП), оборудования для регулировки и испытаний бортового цифрового вычислительного устройства (БЦВУ), оборудования для программирования БЦВУ</t>
  </si>
  <si>
    <t>1004-2017-00754Разработка и изготовление оборудования для испытаний акселерометров</t>
  </si>
  <si>
    <t>1004-2017-00751Выполнение СЧ ОКР шифр "Ангстрем-КНИТУ"</t>
  </si>
  <si>
    <t>1004-2017-00750Изготовление и поставка механических деталей</t>
  </si>
  <si>
    <t>1004-2017-00743Проведение совместных исследований лазерных диодов на основе гетероструктур GaAlInP, анализ полученных результатов и разработка предложений по оптимизации конструкции и технологии лазерных диодов.</t>
  </si>
  <si>
    <t>1004-2017-00721Изготовление и поставка комплекта оптических деталей для изделия ЛЦД-296</t>
  </si>
  <si>
    <t>1004-2017-00719Реставрационные работы оптических деталей из ситалла</t>
  </si>
  <si>
    <t>1004-2017-00718Предоставление права на использование товарного знака</t>
  </si>
  <si>
    <t>1004-2017-00715Поставка Лакокрасочных материалов</t>
  </si>
  <si>
    <t>1004-2017-00710Резисторы</t>
  </si>
  <si>
    <t>1004-2017-00709Поставка амортизаторов АПН-3</t>
  </si>
  <si>
    <t>1004-2017-00708Поставка материалов для пайки</t>
  </si>
  <si>
    <t>1004-2017-00707Поставка этилового пищевого спирта</t>
  </si>
  <si>
    <t>1004-2017-00706Поставка жидкого азота</t>
  </si>
  <si>
    <t>1004-2017-00701Поставка конденсаторов</t>
  </si>
  <si>
    <t>1004-2017-00699Поставка пленкообразующих материалов</t>
  </si>
  <si>
    <t xml:space="preserve">1004-2017-00692Изготовление и поставка: 1. Модуль лазерный MU35-915-01 в количестве 3 шт.; 2. Узел волоконного объединителя в количестве 1 шт.; 3. Драйвер электронный CSLD-02 в количестве 1 шт.  согласно Техническим требованиям (приложение №1) и спецификации (приложение №2)       </t>
  </si>
  <si>
    <t>1004-2017-00668Поставка подложек арсенида галлия, легированных кремнием</t>
  </si>
  <si>
    <t>1004-2017-00667Изготовление и поставка комплекта оптических деталей для изделия ЛЦД-25</t>
  </si>
  <si>
    <t>1004-2017-00663Изготовление активного элемента YAG:Nd ГП3х50-Э.01</t>
  </si>
  <si>
    <t xml:space="preserve">1004-2017-00662 вывоз промышлеенных отходов  </t>
  </si>
  <si>
    <t xml:space="preserve">1004-2017-00661 вывоз промышлеенных отходов  </t>
  </si>
  <si>
    <t>1004-2017-00657Разработка и изготовление функциональных элементов комплекса аппаратуры "Светинфо" с новыми свойствами для измерения оптических и электрических характкристик решеток и линеек лазерных диодов и определение параметров их надежности и качества</t>
  </si>
  <si>
    <t>1004-2017-00656Проведение испытаний решеток гетеролазеров импульсного режима работы с мощностью импульса излучения 6 8 кВт на воздействие специальных факторов</t>
  </si>
  <si>
    <t>1004-2017-00655Разработка метода испытаний на безртказность мощных решеток гетеролазеров импульсного режима работы</t>
  </si>
  <si>
    <t>1004-2017-00654выполнение проектных работ на ликвидационный тампонаж и ликвидационный тампонаж артезианской скважины</t>
  </si>
  <si>
    <t xml:space="preserve">1004-2017-00653Изготовление и поставка механических деталей </t>
  </si>
  <si>
    <t>1004-2017-00652Обустройство складского помещения отдела снабжения в копусе вспомогательных цехов</t>
  </si>
  <si>
    <t>1004-2017-00651Перенос участка систем водоподготовки на освобождаемые производственные площади  АО "НИИ "Полюс" им. М.Ф. Стельмаха"</t>
  </si>
  <si>
    <t>1004-2017-00650Проведение регламентных ремонтно-восстановительных работ на объекте ГО и ЧС  в АО "НИИ "Полюс" им. М.Ф. Стельмаха"</t>
  </si>
  <si>
    <t>1004-2017-00649Корректировка проектно-сметной документации по программе : БМД в АО "НИИ "Полюс" им. М.Ф. Стельмаха."</t>
  </si>
  <si>
    <t>1004-2017-00648Проведение ремонтных работ в помещениях зданий в АО "НИИ "Полюс" им. М.Ф. Стельмаха"</t>
  </si>
  <si>
    <t>1004-2017-00647Проведение ремонтных работ в санузлах зданий в АО "НИИ "Полюс" им. М.Ф. Стельмаха"</t>
  </si>
  <si>
    <t>1004-2017-00646Замена аварийных светопрозрачных конструкций фасадов зданий в АО "НИИ "Полюс" им. М.Ф. Стельмаха"</t>
  </si>
  <si>
    <t>1004-2017-00645выполнение строительно-монтажных работ по реализации проектных решений в разделах электроснабжения, отопления, вентиляции и кондиционирования, тепловых сетей и автоматизации систем вентиляции  в части реконструкции и технического перевооружения в  Лабораторном корпусе для создания участков производства лазерных датчиков  в АО "НИИ "Полюс" им. М.Ф. Стельмаха"</t>
  </si>
  <si>
    <t>1004-2017-00644выполнение строительно-монтажных работ по реализации проектных решений в разделах конструктивно-планировочных, водоснабжения и водоотведения, технологических газов и систем пожарной безопасности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t>
  </si>
  <si>
    <t>1004-2017-00643реализация проектных решений по обустройству системы дымоудаления на 1-ом этаже вспомогательного корпуса в АО "НИИ "Полюс" им. М.Ф. Стельмаха."</t>
  </si>
  <si>
    <t>1004-2017-00642выполнение строительно-монтажных работ  по реализации проектных решений с целью создания производственного участка в Лабораторно-производственном корпусе в АО "НИИ "Полюс" им. М.Ф. Стельмаха"</t>
  </si>
  <si>
    <t>1004-2017-00641выполнение строительно-монтажных работ  по реализации проектных решений с целью создания производственного участка в Производственном корпусе в АО "НИИ "Полюс" им. М.Ф. Стельмаха"</t>
  </si>
  <si>
    <t>1004-2017-00640реализация проектных решений по реконструкции помещения для размещения столовой полного цикла, располагаемой на 3-ем этаже Бытового корпуса в АО "НИИ "Полюс" им. М.Ф. Стельмаха."</t>
  </si>
  <si>
    <t>1004-2017-00639разработка проекно-сметной документации по реконструкции помещения для размещения  столовой полного цикла, располагаемой на 3-ем этаже Бытового корпуса в АО "НИИ "Полюс" им. М.Ф. Стельмаха."</t>
  </si>
  <si>
    <t>1004-2017-00638реализация проектных решений по реконструкции помещений 3-го этажа Лабораторного корпуса по теме "Глонасс" в АО "НИИ "Полюс" им. М.Ф. Стельмаха</t>
  </si>
  <si>
    <t>1004-2017-00637выполнение строительно-монтажных работ по реализации проектных решений с целью создания производственных участков в Лабораторно-производственном корпусе в АО "НИИ "Полюс" им. М.Ф. Стельмаха (БМД)</t>
  </si>
  <si>
    <t>1004-2017-00636выполнение ремонтных работ в помещении 315 производственного участка, расположенного в Энергокорпусе АО "НИИ "Полюс" им. М.Ф. Стельмаха"</t>
  </si>
  <si>
    <t>1004-2017-00635Корректировка проектно-сметной документации, получение положительного заключения по результатам проведения государственной экспертизы, разработка рабочей документации "Реконструкция и техническое перевооружение производства" АО "НИИ "Полюс" им. М.Ф. Стельмаха."</t>
  </si>
  <si>
    <t>1004-2017-00634Плата ЖГДК.758773.011</t>
  </si>
  <si>
    <t>1004-2017-00633Внесение записей о размещении дополнительного выпуска ценных бумаг и предоставлении уведомления об операции</t>
  </si>
  <si>
    <t>1004-2017-00629Изготовление и поставка печатных плат для изд. МТ-401</t>
  </si>
  <si>
    <t>1004-2017-00627Изготовление колодкиБЛ.6.673.166 и трансформатора ет4.720.436</t>
  </si>
  <si>
    <t>1004-2017-00620Услуги спецсвязи</t>
  </si>
  <si>
    <t>1004-2017-00617Поставка и сборка мебели(шкафы архивные)</t>
  </si>
  <si>
    <t>1004-2017-00616Поставка и сборка мебели</t>
  </si>
  <si>
    <t>1004-2017-00615Поставка хозяйственных товаров</t>
  </si>
  <si>
    <t>1004-2017-00614Поставка товаров общехозяйственного назначения</t>
  </si>
  <si>
    <t>1004-2017-00613Поставка бумажной продукции</t>
  </si>
  <si>
    <t>1004-2017-00612Поставка календарей, планингов, ежедневников</t>
  </si>
  <si>
    <t>1004-2017-00611Поставка канцелярских товаров</t>
  </si>
  <si>
    <t>1004-2017-00584Комплект светодиодных светильников</t>
  </si>
  <si>
    <t>1004-2017-00509Ламинарный бокс 1170х690х1950мм БАВнп-01-«Ламинар-С»-1,2 (440.120)  ИСО 5</t>
  </si>
  <si>
    <t>1004-2017-00497Комплекс оборудования для чистых и особо чистых помещений лечебно-профилактических учреждений КОЧ "Ламинар-С" 1200х1200х2100 мм класса 5ИСО</t>
  </si>
  <si>
    <t xml:space="preserve">1004-2017-00480Трехосный динамический испытательный стенд TES-UUT-V644 Изготовитель Acuitas AG, Швейцария в комплекте: _x000D_
</t>
  </si>
  <si>
    <t>1004-2017-00468Работы по строительству новой столовой</t>
  </si>
  <si>
    <t>1004-2017-00461техническое обслуживание и ремонт грузоподъёмных механизмов, не регистрируемых в МТУ Ростехадзора</t>
  </si>
  <si>
    <t>1004-2017-00460Техническое обслуживание и ремонт грузоподъёмных механизмов</t>
  </si>
  <si>
    <t xml:space="preserve">1004-2017-00459 выполнение программы производственного контроля </t>
  </si>
  <si>
    <t xml:space="preserve">1004-2017-00458Информационное обслуживание </t>
  </si>
  <si>
    <t>1004-2017-00457Договор №07.300420-ТЭ от 27.01.2016г. С ПАО "МОЭК" на поставку тепловой энергии</t>
  </si>
  <si>
    <t>1004-2017-00456Договор № 07.300419-ТЭ от 27.01.2016г. С ПАО "МОЭК" на поставку тепловой энергии</t>
  </si>
  <si>
    <t>1004-2017-00428Модернизация установок для сварки расщепленным электродом "Контакт-3А". 4 шт</t>
  </si>
  <si>
    <t>1004-2017-00409PR обслуживание в рамках работы единого пресс-центра</t>
  </si>
  <si>
    <t>1004-2017-00407Поставка программного обечспечения справочно-нормативной системы "NormaCS"</t>
  </si>
  <si>
    <t>1004-2017-00405Поставка программных продуктов систем автоматизированного проектирования (САПР)</t>
  </si>
  <si>
    <t>1004-2017-00404Поставка программных продуктов систем автоматизированного проектирования (САПР)</t>
  </si>
  <si>
    <t>1004-2017-00403Поставка программных продуктов систем автоматизированного проектирования (САПР)</t>
  </si>
  <si>
    <t>1004-2017-00401Предоставление (передача) на  условиях простой (неисключительной) лицензии Права на использование Стандартной версии программного обеспечения Falcongaze SecureTore</t>
  </si>
  <si>
    <t>1004-2017-00400Поставка расходных материалов для печатающей оргтехники</t>
  </si>
  <si>
    <t>1004-2017-00399Оказание информационных услуг с использованием экземпляров Систем Консультант Плюс, ОП Консультант Плюс: Конструктор договоров</t>
  </si>
  <si>
    <t>1004-2017-00396Поставка вычислительной техники, сетевого оборудования, оргтехники, расходных материалов, экземпляров программного обеспечения и предоставление прав на использование программного обеспечения на условиях простой (неисключительной) лицензии</t>
  </si>
  <si>
    <t>1004-2017-00395Поставка вычислительной техники, сетевого и серверного оборудования, оргтехники, расходных материалов, экземпляров программного обеспечения и предоставление прав на использование программного обеспечения на условиях простой (неисключительной) лицензии</t>
  </si>
  <si>
    <t>1004-2017-00394Услуги местной и внутризоновой телефонной связи (за ноябрь 2017)</t>
  </si>
  <si>
    <t>1004-2017-00393Услуги местной и внутризоновой телефонной связи (за октябрь 2017)</t>
  </si>
  <si>
    <t>1004-2017-00392Услуги местной и внутризоновой телефонной связи (за сентябрь 2017)</t>
  </si>
  <si>
    <t>1004-2017-00391Услуги местной и внутризоновой телефонной связи (за август 2017)</t>
  </si>
  <si>
    <t>1004-2017-00390Услуги местной и внутризоновой телефонной связи (за июль 2017)</t>
  </si>
  <si>
    <t>1004-2017-00389Услуги местной и внутризоновой телефонной связи (за июнь 2017)</t>
  </si>
  <si>
    <t>1004-2017-00388Услуги местной и внутризоновой телефонной связи (за май 2017)</t>
  </si>
  <si>
    <t>1004-2017-00387Услуги местной и внутризоновой телефонной связи (за апрель 2017)</t>
  </si>
  <si>
    <t>1004-2017-00386Услуги местной и внутризоновой телефонной связи (за март 2017)</t>
  </si>
  <si>
    <t>1004-2017-00385Услуги местной и внутризоновой телефонной связи (за февраль 2017)</t>
  </si>
  <si>
    <t>1004-2017-00384Услуги местной и внутризоновой телефонной связи (за январь 2017)</t>
  </si>
  <si>
    <t>1004-2017-00383Услуги местной и внутризоновой телефонной связи (за декабрь 2016)</t>
  </si>
  <si>
    <t>1004-2017-00382Командировочные расходы</t>
  </si>
  <si>
    <t>1004-2017-00381Обслуживание постоянной экспозиции</t>
  </si>
  <si>
    <t>1004-2017-00380услуги по организации рекламно-выставочной деятельности, а также услуги по информационному и PR-сопровождению деятельности АО "НИИ "Полюс" им. М. Ф. Стельмаха".</t>
  </si>
  <si>
    <t>1004-2017-00379Предоставление услуги Нормативные документы (НД)</t>
  </si>
  <si>
    <t>1004-2017-00378Предоставление услуги Нормативные документы (НД)</t>
  </si>
  <si>
    <t>1004-2017-00377Предостваление услугиНормативные документы (НД)</t>
  </si>
  <si>
    <t>1004-2017-00376Предоставление услугиНормативные документы (НД)</t>
  </si>
  <si>
    <t>1004-2017-00375Предоставление услуги Нормативные документы (НД)</t>
  </si>
  <si>
    <t>1004-2017-00374Предоставление услуги Повышение квалификации (обучение, конференции)</t>
  </si>
  <si>
    <t xml:space="preserve">1004-2017-00373Предоставление услугиИнспекционный контроль СМК НИИ "Полюс" в ОС АНО "Связь-Сертификат" </t>
  </si>
  <si>
    <t xml:space="preserve">1004-2017-00372Выполнение Ремонтные работы по замене участка трубопровода </t>
  </si>
  <si>
    <t>1004-2017-00371Выполнение Работы по монтажу системы вентиляции и кондиционирования воздуха на третий и четвертые этажи лабораторно-производственного корпуса</t>
  </si>
  <si>
    <t xml:space="preserve">1004-2017-00370Выполнениеработ поОчистка систем вентиляции </t>
  </si>
  <si>
    <t>1004-2017-00369Выполнение Работы по прочиске ливневой канализации 550 м</t>
  </si>
  <si>
    <t>1004-2017-00368Поставка и замена химических реагентов на очистных сооружений</t>
  </si>
  <si>
    <t>1004-2017-00367Поставка сантехнического оборудования</t>
  </si>
  <si>
    <t>1004-2017-00366Выполнение работтехническое обслуживание узлов учета расходов тепла</t>
  </si>
  <si>
    <t>1004-2017-00365Выполнение работтехническое обслуживание средств автоматики ЦТП 1102/011; 1102/013</t>
  </si>
  <si>
    <t>1004-2017-00364Поставка кондиционеров  и комплектующих к ним</t>
  </si>
  <si>
    <t>1004-2017-00363Поставка вентиляционного оборудования и материалов</t>
  </si>
  <si>
    <t>1004-2017-00362Предоставление услугиоценка соответствия лифтов в форме  технического обследования</t>
  </si>
  <si>
    <t>1004-2017-00361ПоставкаКомплекты экранов МТ-401</t>
  </si>
  <si>
    <t>1004-2017-00360ПоставкаОпытные заготовки из ситалла марки СО 33М</t>
  </si>
  <si>
    <t>1004-2017-00359ПоставкаУпаковка</t>
  </si>
  <si>
    <t>1004-2017-00358ПоставкаУпаковка</t>
  </si>
  <si>
    <t>1004-2017-00357ПоставкаОЭ САО</t>
  </si>
  <si>
    <t>1004-2017-00356ПоставкаМеханические детали и узлы</t>
  </si>
  <si>
    <t>1004-2017-00355Поставка Акселерометра А-18</t>
  </si>
  <si>
    <t>1004-2017-00354ПоставкаБОПИ</t>
  </si>
  <si>
    <t>1004-2017-00353ПоставкаБОПИ</t>
  </si>
  <si>
    <t>1004-2017-00352ПоставкаМеханические детали и узлы</t>
  </si>
  <si>
    <t>1004-2017-00351ПоставкаМеханические детали и узлы</t>
  </si>
  <si>
    <t>1004-2017-00350Поставка Светодиодные модули МС-331С</t>
  </si>
  <si>
    <t>1004-2017-00349 ПоставкаПечатные платы</t>
  </si>
  <si>
    <t>1004-2017-00348Поставка Комплект канцтоваров</t>
  </si>
  <si>
    <t>1004-2017-00347Проведение энергетического обследования</t>
  </si>
  <si>
    <t>1004-2017-00346 Выполнение работ по устройству системы диспетчерезации в лабораторном корпусе</t>
  </si>
  <si>
    <t>1004-2017-00345 Выполнение ремонтных работ по замене автоматов защиты в колличестве 5 штук на втором техническом этаже лабораторного корпуса (закупка материалов)</t>
  </si>
  <si>
    <t>1004-2017-00344 Заключение годового договора на проведение работ по профилактическим (эксплуатационным) приёмо-сдаточным испытаниям и измерениям электрооборудования/ аппаратов/ проводов/ кабелей, входящих в состав электроустановок, расположенных в корпусах: №1 – Лабораторно – производственный корпус; №3 – Лабораторный корпус; №4 Производственный корпус; №5 – Энергокорпус; №2 – Бытовой корпус; №7 – вспомогательный цех; №1 стр.1 – стилобат; № 9 - Кислородно-водородная станция; №10 – Канализационно-насосная станция; № 11 – Водо-насосная станция; №12,13 - склады.</t>
  </si>
  <si>
    <t>1004-2017-00343 Поставка Калибратора переменного напряжения Н5-5</t>
  </si>
  <si>
    <t>1004-2017-00342Выполнение работ по дезинсекции  и дератизации</t>
  </si>
  <si>
    <t>1004-2017-00341Приобретение аналитических весов для хим. лаборатории отдела охраны труда</t>
  </si>
  <si>
    <t>1004-2017-00340Услуга по Проведению специальной оценки условий труда (СОУТ)</t>
  </si>
  <si>
    <t>1004-2017-00339 Оказание услуг по Проведению специальной оценки условий труда (СОУТ)</t>
  </si>
  <si>
    <t>1004-2017-00338 Оказание услуг по проведению периодических медицинских осмотров</t>
  </si>
  <si>
    <t>1004-2017-00337Поставка Молоко для работающих во вредных  условиях труда</t>
  </si>
  <si>
    <t>1004-2017-00336Поставка Комплект Аккумуляторная батарея с устройством зарядным для ЛЦД-6</t>
  </si>
  <si>
    <t>1004-2017-00335Поставка Комплект упаковки изделия ЛЦД-25</t>
  </si>
  <si>
    <t xml:space="preserve">1004-2017-00334Услуга по  Разработке   проекта санитарно-защитной зоны </t>
  </si>
  <si>
    <t>1004-2017-00333 Оказание услуг по приёму  и транспортировку и очистку сточных вод</t>
  </si>
  <si>
    <t>1004-2017-00332 Оказание услуг по вывозу  промышленных отходов</t>
  </si>
  <si>
    <t xml:space="preserve">1004-2017-00331выполнение программы производственного контроля </t>
  </si>
  <si>
    <t xml:space="preserve">1004-2017-00330Поставка холодной воды и водоотведение на спортбазу Узкое </t>
  </si>
  <si>
    <t xml:space="preserve">1004-2017-00329поставка тепловой энергии на спортбазу "узкое" </t>
  </si>
  <si>
    <t xml:space="preserve">1004-2017-00328поставка холодной воды и водоотведение </t>
  </si>
  <si>
    <t xml:space="preserve">1004-2017-00327Поставка тепловой энергии </t>
  </si>
  <si>
    <t xml:space="preserve">1004-2017-00326Поставка Информационное обслуживание </t>
  </si>
  <si>
    <t>1004-2017-00325Поставка Механические детали для ИЗ-103</t>
  </si>
  <si>
    <t>1004-2017-00324Поставка Механические детали для МТ-401</t>
  </si>
  <si>
    <t>1004-2017-00323Поставка Механические детали для МТ-401</t>
  </si>
  <si>
    <t>1004-2017-00322Поставка Механические детали для МТ-401</t>
  </si>
  <si>
    <t>1004-2017-00321Поставка Печатные платы для МТ-401</t>
  </si>
  <si>
    <t>1004-2017-00320Поставка Печатные платы для МТ-401</t>
  </si>
  <si>
    <t>1004-2017-00319Поставка Печатные платы для МТ-401</t>
  </si>
  <si>
    <t>1004-2017-00318Поставка Зеркало ЖГДК.203622.003</t>
  </si>
  <si>
    <t>1004-2017-00317Поставка Катушка ЖГДК.671128.034 для МТД</t>
  </si>
  <si>
    <t>1004-2017-00316Поставка иИзготовление и поставка печатных плат для изд. МТД</t>
  </si>
  <si>
    <t>1004-2017-00315Поставка и Изготовление механических деталей для изд. МТД</t>
  </si>
  <si>
    <t>1004-2017-00314Поставка Катушка ЖГДК.671128.034 для изд. ЛД-294</t>
  </si>
  <si>
    <t>1004-2017-00313Поставка иИзготовление и поставка активного элемента ГП3х50-Э0.1 категории "ВП"</t>
  </si>
  <si>
    <t>1004-2017-00312Поставка иИзготовление механических деталей для изд. ЛД-294</t>
  </si>
  <si>
    <t>1004-2017-00311Поставка и Изготовление и поставка колодок (БЛ6.673.166) и трансформаторов (ет4.720.436)  для изд. ЛД-294</t>
  </si>
  <si>
    <t>1004-2017-00310Поставка Изготовление и поставка печатных плат для изд. ЛД-294</t>
  </si>
  <si>
    <t xml:space="preserve">1004-2017-00309Поставка иИзготовление линзы ЖГДК.203512.028 </t>
  </si>
  <si>
    <t>1004-2017-00308Поставка Триметилгалий;        Триметилиндий;   Триметилалюминий;  Диэтилцинк</t>
  </si>
  <si>
    <t>1004-2017-00307Поставка Арсин</t>
  </si>
  <si>
    <t>1004-2017-00306Поставка Подложка GaAs</t>
  </si>
  <si>
    <t>1004-2017-00305Поставка Корпус ЖГДК.711314.001</t>
  </si>
  <si>
    <t>1004-2017-00304Поставка Контактная пластина ВАНЕ.741221.001; Крышка ет.8.050.477 (без стекла);                          Доработка корпуса ЖГДК 203129.010;     Корпус ет.4106654.СБ</t>
  </si>
  <si>
    <t>1004-2017-00303Поставка Комплект для монтажа телекоммуникационных сетей</t>
  </si>
  <si>
    <t>1004-2017-00302Поставка Автомобильные аккумуляторы</t>
  </si>
  <si>
    <t>1004-2017-00301Поставка Комплект изделий из дерева</t>
  </si>
  <si>
    <t>1004-2017-00300Поставка Комплект арматуры</t>
  </si>
  <si>
    <t>1004-2017-00299Поставка Лакокрасочные материалы</t>
  </si>
  <si>
    <t>1004-2017-00298Поставка Комплект радиаторов и клапанов</t>
  </si>
  <si>
    <t>1004-2017-00297Поставка Комплект дверных замков</t>
  </si>
  <si>
    <t>1004-2017-00296Поставка Комплект дверных доводчиков</t>
  </si>
  <si>
    <t>1004-2017-00295Поставка Комплект кабелей</t>
  </si>
  <si>
    <t>1004-2017-00294Поставка Комплект для монтажа телекоммуникационных сетей</t>
  </si>
  <si>
    <t xml:space="preserve">1004-2017-00293Поставка Комплект замков, дверных ручек и комплектующих </t>
  </si>
  <si>
    <t>1004-2017-00292Поставка Комплект дверей</t>
  </si>
  <si>
    <t>1004-2017-00291Поставка Комплект подвесного потолка</t>
  </si>
  <si>
    <t>1004-2017-00290Поставка Комплект прокладочного материала</t>
  </si>
  <si>
    <t>1004-2017-00289Поставка Комплект автомобильных шин</t>
  </si>
  <si>
    <t>1004-2017-00288Поставка Комплект автомобильных шин</t>
  </si>
  <si>
    <t>1004-2017-00287Поставка Комплект труб и фитингов для канализации</t>
  </si>
  <si>
    <t>1004-2017-00286Поставка Комплект арматуры для трубопровода</t>
  </si>
  <si>
    <t>1004-2017-00285Поставка Комплект арматуры для трубопровода</t>
  </si>
  <si>
    <t>1004-2017-00284Поставка Пироэлектрическая головка</t>
  </si>
  <si>
    <t>1004-2017-00283Поставка Инструмент для проведения ремонтных и строительных работ</t>
  </si>
  <si>
    <t>1004-2017-00282Поставка Инструмент и оборудование радиомонтажника</t>
  </si>
  <si>
    <t>1004-2017-00281Поставка Металлорежущий инструмент по нержавеющей стали</t>
  </si>
  <si>
    <t>1004-2017-00280Поставка Кондиционеры</t>
  </si>
  <si>
    <t>1004-2017-00279Поставка Фильтры воздушные карманного типа</t>
  </si>
  <si>
    <t>1004-2017-00278Поставка Дренажные помпы</t>
  </si>
  <si>
    <t>1004-2017-00277Поставка Измерительный инструмент</t>
  </si>
  <si>
    <t>1004-2017-00276Поставка Мебель промышленная</t>
  </si>
  <si>
    <t>1004-2017-00275Поставка Настенные сплит-системы</t>
  </si>
  <si>
    <t>1004-2017-00274Поставка Оснастка и режущий инструмент для монтажных работ на участке микроэлектроники</t>
  </si>
  <si>
    <t>1004-2017-00273Поставка Вакуумные щипцы</t>
  </si>
  <si>
    <t>1004-2017-00272Поставка Приспособления и инструментдля монтажных работ на участке микроэлектроники</t>
  </si>
  <si>
    <t>1004-2017-00271Поставка Цифровые паяльные станции с паяльниками и запасными наконечниками паяльников</t>
  </si>
  <si>
    <t>1004-2017-00270Поставка Инструмент для проведения ремонтных и строительных работ</t>
  </si>
  <si>
    <t>1004-2017-00269Поставка Печь вакуумная BINDER VD-53</t>
  </si>
  <si>
    <t>1004-2017-00268Поставка Отрезной круг (корпусной) 55,56х0,06х19,05</t>
  </si>
  <si>
    <t>1004-2017-00267Поставка Микопорошок</t>
  </si>
  <si>
    <t>1004-2017-00266Поставка Камера покрасочная</t>
  </si>
  <si>
    <t>1004-2017-00265Поставка Инструмент для проведения ремонтных и строительных работ</t>
  </si>
  <si>
    <t>1004-2017-00264Поставка Стол рабочий "Классик" Viking Cp-18 с добавочными полками и освещением</t>
  </si>
  <si>
    <t>1004-2017-00263Поставка Инструмент для проведения ремонтных и строительных работ</t>
  </si>
  <si>
    <t>1004-2017-00262Поставка Станция паяльно-ремонтная четырехканальная антистатическая ICV4000-AICXV (I-CON VARIO 4 Профи), фирма ERSA</t>
  </si>
  <si>
    <t>1004-2017-00261Поставка Станция паяльно-ремонтная четырехканальная антистатическая ICV2000АС-AICX I-CON VARIO 2 ERSA</t>
  </si>
  <si>
    <t>1004-2017-00260 Поставка Станция паяльно-ремонтная четырехканальная антистатическая ICV4000-AICX ICON VARIO 4 Макси</t>
  </si>
  <si>
    <t>1004-2017-00259Поставка Пироэлектрическая головка OPHIR PE100BF-DIF-C</t>
  </si>
  <si>
    <t>1004-2017-00258Поставка Пироэлектрическая головка OPHIR PE50BF-DIFH-C</t>
  </si>
  <si>
    <t>1004-2017-00257Поставка Центр вращающийся с хвостовиком с конусом Морзе №2 и №3</t>
  </si>
  <si>
    <t>1004-2017-00256Поставка Токарно-винторезный станок Иж-250ИТВМ</t>
  </si>
  <si>
    <t>1004-2017-00255Поставка Камера Мини Сабзеро MC 712R Фирма Espec Corp</t>
  </si>
  <si>
    <t>1004-2017-00254Поставка Дымоуловитель Fume Cube 2 фирма PUREX</t>
  </si>
  <si>
    <t>1004-2017-00253Поставка Осциллограф АКИП 4122/4</t>
  </si>
  <si>
    <t>1004-2017-00252Поставка Измеритель мощности лазера VEGA фиирма OPHIR</t>
  </si>
  <si>
    <t>1004-2017-00251Поставка Датчик энергии РЕ 25 BF фирма OPHIR</t>
  </si>
  <si>
    <t>1004-2017-00250Датчик энергии РЕ 50 BF фирма OPHIR</t>
  </si>
  <si>
    <t>1004-2017-00249Поставка Газовый лазер ГН-5П ОАО "Плазма"</t>
  </si>
  <si>
    <t>1004-2017-00248Поставка Паяльные станции в комлекте с запасными жалами</t>
  </si>
  <si>
    <t>1004-2017-00247Поставка Оборудование электронное</t>
  </si>
  <si>
    <t>1004-2017-00246Поставка Пироэлектрическая головка, электроды для термокомпрессиии</t>
  </si>
  <si>
    <t>1004-2017-00245Поставка Микроскопы</t>
  </si>
  <si>
    <t>1004-2017-00244Поставка Частотомер</t>
  </si>
  <si>
    <t>1004-2017-00243Поставка Генератор</t>
  </si>
  <si>
    <t>1004-2017-00242Поставка Осциллограф</t>
  </si>
  <si>
    <t>1004-2017-00241Поставка Лабораторные источники питания,  LRC измеритель</t>
  </si>
  <si>
    <t>1004-2017-00240Поставка Оборудование для проведения конференций</t>
  </si>
  <si>
    <t>1004-2017-00239Поставка Инструмент и приспособления для монтажных работ слаботочных систем и линий</t>
  </si>
  <si>
    <t>1004-2017-00238Поставка Промышленные вентиляторы</t>
  </si>
  <si>
    <t>1004-2017-00237Поставка Вентиляторы промышленные</t>
  </si>
  <si>
    <t>1004-2017-00236Поставка Инструмент для реонтных сантехнических работ</t>
  </si>
  <si>
    <t>1004-2017-00235Поставка Инструмент для проведения сантехнических работ и приспособления к нему</t>
  </si>
  <si>
    <t>1004-2017-00234Поставка Насосы для водоснабжения</t>
  </si>
  <si>
    <t>1004-2017-00233Поставка Насосы для воды</t>
  </si>
  <si>
    <t>1004-2017-00232Поставка Инструмент для слесарно-монтажных работ</t>
  </si>
  <si>
    <t>1004-2017-00231Поставка Весы электронные</t>
  </si>
  <si>
    <t>1004-2017-00230Поставка Модуль "Поиск и удержание резонанса" для системы управления ВС-301</t>
  </si>
  <si>
    <t>1004-2017-00229Поставка Модуль "Анализатор удара" для системы управления ВС-301</t>
  </si>
  <si>
    <t>1004-2017-00228Поставка Система гашения вибрации для электродинамического вибростенда</t>
  </si>
  <si>
    <t>1004-2017-00227Поставка Токарно-винторезный станок</t>
  </si>
  <si>
    <t>1004-2017-00226Поставка Термошоковая камера</t>
  </si>
  <si>
    <t>1004-2017-00225Поставка Камера повышенного давления</t>
  </si>
  <si>
    <t>1004-2017-00224Поставка Камера дождя</t>
  </si>
  <si>
    <t>1004-2017-00223Поставка Ударный стенд</t>
  </si>
  <si>
    <t>1004-2017-00222Поставка Преобразователи частоты векторные</t>
  </si>
  <si>
    <t>1004-2017-00221Поставка Преобразователи частоты векторные</t>
  </si>
  <si>
    <t>1004-2017-00220Поставка Форвакуумный насос 2НВР-90Д</t>
  </si>
  <si>
    <t>1004-2017-00219Поставка Проволока для электроэррозионного станка</t>
  </si>
  <si>
    <t>1004-2017-00218Поставка Комплекты метчиков для труднообрабатываемых материалов</t>
  </si>
  <si>
    <t>1004-2017-00217Поставка Комплекты метчиков для труднообрабатываемых материалов</t>
  </si>
  <si>
    <t>1004-2017-00216Поставка Комплекты метчиков для труднообрабатываемых материалов</t>
  </si>
  <si>
    <t>1004-2017-00215Поставка Комплекты метчиков для труднообрабатываемых материалов</t>
  </si>
  <si>
    <t>1004-2017-00214Поставка Металллорежущий инструмент  Iscar</t>
  </si>
  <si>
    <t>1004-2017-00213Поставка Металллорежущий инструмент  Iscar</t>
  </si>
  <si>
    <t>1004-2017-00212 Поставка Металллорежущий инструмент  Iscar</t>
  </si>
  <si>
    <t>1004-2017-00211Поставка Металллорежущий инструмент  Iscar</t>
  </si>
  <si>
    <t>1004-2017-00210Поставка Пожарное оборудование и инвентарь</t>
  </si>
  <si>
    <t xml:space="preserve">1004-2017-00209Поставка Огнетушители </t>
  </si>
  <si>
    <t>1004-2017-00208Поставка Ручной инструмент до 1000 Вольт, расходные материалы и электроинструмент</t>
  </si>
  <si>
    <t>1004-2017-00207Поставка Калибратор переменного напряжения Н5-5</t>
  </si>
  <si>
    <t>1004-2017-00206Поставка Осцилограф цифровой Tektronics TDS-2022</t>
  </si>
  <si>
    <t>1004-2017-00205Поставка Универсальный стандарт-частоты Ц Ч1-81/3</t>
  </si>
  <si>
    <t>1004-2017-00204Поставка Термоусадочные трубки</t>
  </si>
  <si>
    <t>1004-2017-00203Поставка Термоусадочные трубки</t>
  </si>
  <si>
    <t>1004-2017-00202Поставка Полимерные материалы</t>
  </si>
  <si>
    <t>1004-2017-00201Поставка Расходные материалы для сварки, пайки</t>
  </si>
  <si>
    <t>1004-2017-00200 Поставка Полиэтилены</t>
  </si>
  <si>
    <t>1004-2017-00199 Поставка Горюче-смазочные материалы</t>
  </si>
  <si>
    <t>1004-2017-00198Поставка Горюче-смазочные материалы</t>
  </si>
  <si>
    <t>1004-2017-00197Поставка Горюче-смазочные материалы</t>
  </si>
  <si>
    <t>1004-2017-00196Поставка Органическая химия</t>
  </si>
  <si>
    <t>1004-2017-00195Поставка Реактивы</t>
  </si>
  <si>
    <t xml:space="preserve">1004-2017-00194Поставка Спирты </t>
  </si>
  <si>
    <t xml:space="preserve">1004-2017-00193Поставка Спирты </t>
  </si>
  <si>
    <t xml:space="preserve">1004-2017-00192 Поставка Спирты </t>
  </si>
  <si>
    <t>1004-2017-00191Поставка Фотоматериалы</t>
  </si>
  <si>
    <t>1004-2017-00190 Поставка Технические газы</t>
  </si>
  <si>
    <t>1004-2017-00189Поставка азот</t>
  </si>
  <si>
    <t>1004-2017-00188 Поставка резисторы</t>
  </si>
  <si>
    <t>1004-2017-00187 Поставка Корпуса для РЭА</t>
  </si>
  <si>
    <t>1004-2017-00186Поставка Электровентилятор</t>
  </si>
  <si>
    <t>1004-2017-00185 Поставка Кварцевые резонаторы и генераторы</t>
  </si>
  <si>
    <t>1004-2017-00184 Поставка Крепёжные изделия</t>
  </si>
  <si>
    <t>1004-2017-00183 Поставка Электродвигатели</t>
  </si>
  <si>
    <t>1004-2017-00182 Поставка конденсаторы</t>
  </si>
  <si>
    <t xml:space="preserve">1004-2017-00181Поставка индикаторы </t>
  </si>
  <si>
    <t>1004-2017-00180 Поставка лампы импульсные</t>
  </si>
  <si>
    <t>1004-2017-00179 Поставка микросхемы импортные</t>
  </si>
  <si>
    <t xml:space="preserve">1004-2017-00178 Поставка микросхемы </t>
  </si>
  <si>
    <t>1004-2017-00177 Поставка Актюаторы</t>
  </si>
  <si>
    <t xml:space="preserve">1004-2017-00176 Поставка Модули питания </t>
  </si>
  <si>
    <t>1004-2017-00175Поставка  Тиристоры</t>
  </si>
  <si>
    <t>1004-2017-00174 Поставка Диоды  (импорт)</t>
  </si>
  <si>
    <t xml:space="preserve">1004-2017-00173Поставка  Диоды </t>
  </si>
  <si>
    <t xml:space="preserve">1004-2017-00172Поставка  Транзисторы </t>
  </si>
  <si>
    <t xml:space="preserve">1004-2017-00171 Поставка Транзисторы </t>
  </si>
  <si>
    <t xml:space="preserve">1004-2017-00170 Поставка Коммутационные изделия </t>
  </si>
  <si>
    <t xml:space="preserve">1004-2017-00169 Поставка Сердечники (ферриты) </t>
  </si>
  <si>
    <t xml:space="preserve">1004-2017-00168 Поставка Амортизаторы </t>
  </si>
  <si>
    <t>1004-2017-00167 Поставка Трансформаторы и дроссели</t>
  </si>
  <si>
    <t>1004-2017-00166 Поставка Соединители (импорт)</t>
  </si>
  <si>
    <t>1004-2017-00165 Поставка Соединители (вилки, розетки)</t>
  </si>
  <si>
    <t>1004-2017-00164 Поставка Титановые сплавы</t>
  </si>
  <si>
    <t>1004-2017-00163 Поставка Алюминиевые сплавы</t>
  </si>
  <si>
    <t>1004-2017-00162 Поставка Прокат стальной</t>
  </si>
  <si>
    <t>1004-2017-00161Поставка  Расходные материалы для монтажа кондиционеров</t>
  </si>
  <si>
    <t>1004-2017-00160 Поставка Расходные материалы для монтажа кондиционеров</t>
  </si>
  <si>
    <t>1004-2017-00159 Поставка Светильники светодиодные</t>
  </si>
  <si>
    <t>1004-2017-00158Поставка Светильники светодиодные</t>
  </si>
  <si>
    <t>1004-2017-00157 Поставка Светильники светодиодные</t>
  </si>
  <si>
    <t>1004-2017-00156 Поставка Светильники светодиодные</t>
  </si>
  <si>
    <t>1004-2017-00155Поставка Электротехнические изделия</t>
  </si>
  <si>
    <t>1004-2017-00153 Поставка Электротехнические изделия</t>
  </si>
  <si>
    <t>1004-2017-00154 Поставка Электротехнические изделия</t>
  </si>
  <si>
    <t>1004-2017-00152 Поставка Электротехнические изделия</t>
  </si>
  <si>
    <t>1004-2017-00151 Поставка Электротехнические изделия</t>
  </si>
  <si>
    <t>1004-2017-00150 Поставка Электротехнические изделия</t>
  </si>
  <si>
    <t>1004-2017-00149 Поставка Электротехнические изделия</t>
  </si>
  <si>
    <t>1004-2017-00148 ПоставкаТрубы и трубные изделия</t>
  </si>
  <si>
    <t>1004-2017-00147 Поставка Трубы и фитинги пластиковые</t>
  </si>
  <si>
    <t>1004-2017-00146 Поставка Трубы и фитинги пластиковые</t>
  </si>
  <si>
    <t>1004-2017-00145 Поставка Трубы и фитинги пластиковые</t>
  </si>
  <si>
    <t>1004-2017-00144 Поставка Трубы и трубные изделия</t>
  </si>
  <si>
    <t>1004-2017-00143 Поставка строительно-отделочные материалы</t>
  </si>
  <si>
    <t>1004-2017-00142 поставка строительно-отделочные материалы</t>
  </si>
  <si>
    <t>1004-2017-00141Поставка строительно-отделочные материалы</t>
  </si>
  <si>
    <t>1004-2017-00140 Поставка строительно-отделочные материалы</t>
  </si>
  <si>
    <t>1004-2017-00139 Поставка строительно-отделочные материалы</t>
  </si>
  <si>
    <t>1004-2017-00138 Поставка редкие зем.материал</t>
  </si>
  <si>
    <t>1004-2017-00137 Поставка припой с глицерином флюс</t>
  </si>
  <si>
    <t>1004-2017-00136 Поставка припой  ЗУБР 55-51-100-10</t>
  </si>
  <si>
    <t>1004-2017-00135Поставка  медь вакумная( гранулы)</t>
  </si>
  <si>
    <t>1004-2017-00134 Поставка мишень из хрома  эрх о 152</t>
  </si>
  <si>
    <t>1004-2017-00133 Поставка мишень из титана  ВТ1-0 о 152</t>
  </si>
  <si>
    <t>1004-2017-00132 Поставка мишень из никеля о 152</t>
  </si>
  <si>
    <r>
      <rPr>
        <b/>
        <sz val="11"/>
        <rFont val="Times New Roman"/>
        <family val="1"/>
        <charset val="204"/>
      </rPr>
      <t xml:space="preserve">1004-2017-00131 Поставка </t>
    </r>
    <r>
      <rPr>
        <sz val="11"/>
        <rFont val="Times New Roman"/>
        <family val="1"/>
        <charset val="204"/>
      </rPr>
      <t>мишень  из молибдена  о 152</t>
    </r>
  </si>
  <si>
    <t>1004-2017-00130 Поставка мишень из титана ВТ-1-0 17х17</t>
  </si>
  <si>
    <t>1004-2017-00129 Поставка мишень из хром</t>
  </si>
  <si>
    <t>1004-2017-00128 Поставка мишень из титан    14х14</t>
  </si>
  <si>
    <t>1004-2017-00127Поставка припой ПОС 40          о0.5 ;0.8;1.0</t>
  </si>
  <si>
    <t>1004-2017-00126Поставка  припой ПОС 61          о 1.0;0.5;0,8</t>
  </si>
  <si>
    <t>1004-2017-00125Поставка  Индий -оо</t>
  </si>
  <si>
    <t>1004-2017-00124 Поставка азотнокислое серебро</t>
  </si>
  <si>
    <t>1004-2017-00123 Поставка золотая проволока</t>
  </si>
  <si>
    <t>1004-2017-00122Поставка  мишень золотая</t>
  </si>
  <si>
    <t>1004-2017-00121 Поставка тигли платиновые</t>
  </si>
  <si>
    <t>1004-2017-00120Поставка тигли иридиевые</t>
  </si>
  <si>
    <t>1004-2017-00119Поставка  кварцевые трубки</t>
  </si>
  <si>
    <t>1004-2017-00118 Поставка кварцевые заготовки</t>
  </si>
  <si>
    <t>1004-2017-00117 Поставка оптические  трубы</t>
  </si>
  <si>
    <t>1004-2017-00116 Поставка Оптические  заготовки</t>
  </si>
  <si>
    <t>1004-2017-00115Поставка Провода монтажный    и Кабели с ВП</t>
  </si>
  <si>
    <t>1004-2017-00114 Поставка керамика  (обечайки)</t>
  </si>
  <si>
    <t>1004-2017-00113 Поставка Спецодежда, обувь и СИЗ</t>
  </si>
  <si>
    <t>1004-2017-00112 Поставка Текстильные изделия</t>
  </si>
  <si>
    <t>1004-2017-00111 Поставка Кисти всех видов</t>
  </si>
  <si>
    <t>1004-2017-00110Поставка   Текстильные изделия и вспомогательные материалы</t>
  </si>
  <si>
    <t>1004-2017-00109Поставка и  Антистатическая спецодежда и обувь</t>
  </si>
  <si>
    <t>1004-2017-00108 Поставка и Осциллограф цифровой Tektronics TDS-2022</t>
  </si>
  <si>
    <t>1004-2017-00107Поставка  Универсальный стандарт частоты Ч1-81/3</t>
  </si>
  <si>
    <t xml:space="preserve">1004-2017-00106 Выполнение работ по Поверка электро- и радиотехнических средств измерений и рабочих эталонов, весов и мерительного инструмента </t>
  </si>
  <si>
    <t xml:space="preserve">1004-2017-00105 Поставка и Закупка имущества ГО (противогазы, распираторы, аптечки медицинские индивид.и коллект.,  средства связи, наглядная агитация и т.п.) </t>
  </si>
  <si>
    <t>1004-2017-00104 Поставка и Закупка имущества ГО (противогазы, распираторы, аптечки медицинские индивид.и коллект.,  средства связи, наглядная агитация и т.п.)</t>
  </si>
  <si>
    <t>1004-2017-00103 Поставка и Закупка имущества ГО (противогазы, распираторы, аптечки медицинские индивид.и коллект.,  средства связи, наглядная агитация и т.п.)</t>
  </si>
  <si>
    <t xml:space="preserve">1004-2017-00102 Поставка и Закупка имущества ГО (противогазы, распираторы, аптечки медицинские индивид.и коллект.,  средства связи, наглядная агитация и т.п.) </t>
  </si>
  <si>
    <t>1004-2017-00101Поставка и  Закупка противопожарного оборудования (огнетушители, пожарные шкафы, пожарные стволы и рукава, кошма, наглядная агитация и т.п.) из бюджетных средств предприятия</t>
  </si>
  <si>
    <t>1004-2017-00100Поставка и  Закупка противопожарного оборудования (огнетушители, пожарные шкафы, пожарные стволы и рукава, кошма, наглядная агитация и т.п.)</t>
  </si>
  <si>
    <t xml:space="preserve">1004-2017-00099 Поставка и Закупка противопожарного оборудования (огнетушители, пожарные шкафы, пожарные стволы и рукава, кошма, наглядная агитация и т.п.) </t>
  </si>
  <si>
    <t>1004-2017-00098Поставка и  Закупка противопожарного оборудования (огнетушители, пожарные шкафы, пожарные стволы и рукава, кошма, наглядная агитация и т.п.) из бюджетных средств предприятия. Закупка производится по необходимости в объеме до 100000р.</t>
  </si>
  <si>
    <t xml:space="preserve">1004-2017-00097  Выполнение работ по Замена спринклерных головок, опресовка и ремонт водяной спринклерной системы пожаротушения в помещениях гаража </t>
  </si>
  <si>
    <t>1004-2017-00096 Выполнение работ по  Восстановительный ремонт защитно-герметичных дверей ЗС ГО: ДЗГМ 80х200</t>
  </si>
  <si>
    <t>1004-2017-00095  Выполнение работ по Восстановительный ремонт защитно-герметичных дверей ЗС ГО: ДЗГМ 80х200</t>
  </si>
  <si>
    <t>1004-2017-00094 Выполнение работ по Восстановительный ремонт защитно-герметичных дверей ЗС ГО: ДЗГМ 80х200</t>
  </si>
  <si>
    <t>1004-2017-00093 Выполнение работ по Восстановительный ремонт защитно-герметичных дверей ЗС ГО: ДЗГМ 80х180 (2шт) и ДЗГМ 80х200 (4шт)</t>
  </si>
  <si>
    <t>1004-2017-00092  Поставка экземпляров программного обеспечения Autodesk Inventor Professional 2017 и передача Прав на использование программного обеспечения Altium Designer на условиях простой (неисключительной) лицензии</t>
  </si>
  <si>
    <t>1004-2017-00091 Поставка вычислительной техники, оргтехники, экземпляров программного обеспечения, расходных материалов и передачи Прав на использование программного обеспечения на условиях простой (неисключительной) лицензии</t>
  </si>
  <si>
    <t>1004-2017-00090 Выполнение строительно-монтажные работ (Глонасс)</t>
  </si>
  <si>
    <t>1004-2017-00089Выполнение строительно-монтажные работы (БМД)</t>
  </si>
  <si>
    <t>1004-2017-00088 Поставка пластин ТЛ 0010.10.014</t>
  </si>
  <si>
    <t>1004-2017-00087 Проведение технического обслуживания и текущего ремонта симтемы водоподготовки "АКВА-Д"</t>
  </si>
  <si>
    <t>1004-2017-00086 Поставка Сварочный комплекс типа «Контакт-3А-СК»</t>
  </si>
  <si>
    <t>1004-2017-00085 Поставка Комплект лабораторно-производственной мебели для сборочных операций</t>
  </si>
  <si>
    <t>1004-2017-00084 Поставка Установка вакуумной пайки – водородная печь VH T700 D100L300 V1E-2 MCF2</t>
  </si>
  <si>
    <t>1004-2017-00083 Выпонение работ по  нанесению гальванического покрытия</t>
  </si>
  <si>
    <t>1004-2017-00082 Выполнение работ по измерительной и испытательной оснастке</t>
  </si>
  <si>
    <t>1004-2017-00081Поставка  Блины чугунные полировальные для установки
 Logiteck LP50</t>
  </si>
  <si>
    <t>1004-2017-00080Поставка  Комплекта корпусных деталей для решеток</t>
  </si>
  <si>
    <t>1004-2017-00079 Поставка Пластины теплопроводящие
2х видов (по 100 шт, каждого)</t>
  </si>
  <si>
    <t xml:space="preserve">1004-2017-00078 Поставка Корпуса испытательные для решеток ЛД </t>
  </si>
  <si>
    <t>1004-2017-00077 Поставка Корпуса Квант-3</t>
  </si>
  <si>
    <t xml:space="preserve">1004-2017-00076 Поставка иКассеты для напыления металлизации Ti/Pt/Au и Ag/Sn </t>
  </si>
  <si>
    <t xml:space="preserve">1004-2017-00075 Услуга по изготовлению кассет ПКБР.321.453.005, ПКБР.321.546.015, ПКБР.321.546.014   </t>
  </si>
  <si>
    <t>1004-2017-00074 Поставка и Оснастка кассеты, (блоки для пайки)</t>
  </si>
  <si>
    <t>1004-2017-00073 Поставка иЛинейки лазерных диодов QCW 300W</t>
  </si>
  <si>
    <t>1004-2017-00072Поставка иТермо-компенсаторы ИП.302.001В</t>
  </si>
  <si>
    <t>1004-2017-00071 Поставка Термо-компенсаторы ИП.302.001Б</t>
  </si>
  <si>
    <t>1004-2017-00070 Выполнение злектромонтажных работ по установке компенсаторов реактивной мощности на КТП-2</t>
  </si>
  <si>
    <t>1004-2017-00069 Выполнение электромонтажных работ по установке компенсаторов реактивной мощности на КТП-2</t>
  </si>
  <si>
    <t>1004-2017-00068 Поставка и Закупка светильников светодиодных</t>
  </si>
  <si>
    <t>1004-2017-00067 Закупка светильников светодиодных</t>
  </si>
  <si>
    <t>1004-2017-00066 Поставка и Закупка светильников светодиодных</t>
  </si>
  <si>
    <t>1004-2017-00065 Поставка и Закупка светильников светодиодных</t>
  </si>
  <si>
    <t>1004-2017-00064 Выполнение Электромонтажных работ по замене трансформатора напряжения на КТП-6, мощностью 560 кВа</t>
  </si>
  <si>
    <t>1004-2017-00063Поставка и  Закупка преобразователей частоты векторных</t>
  </si>
  <si>
    <t>1004-2017-00062Поставка и  Закупка преобразователей частоты векторных</t>
  </si>
  <si>
    <t>1004-2017-00061 Поставка и Закупка кондиционеров и расходных материалов для монтажа</t>
  </si>
  <si>
    <t>1004-2017-00060Поставка и Закупка кондиционеров и расходных материалов для монтажа</t>
  </si>
  <si>
    <t>1004-2017-00059 Поставка и Закупка кондиционеров и расходных материалов для монтажа</t>
  </si>
  <si>
    <t>1004-2017-00058Поставка и Закупка электротехнических изделий</t>
  </si>
  <si>
    <t>1004-2017-00057 Поставка электротехнических изделий</t>
  </si>
  <si>
    <t>1004-2017-00056 Поставка электротехнических изделий</t>
  </si>
  <si>
    <t>1004-2017-00055 Поставка электротехнических изделий</t>
  </si>
  <si>
    <t>1004-2017-00054 Поставкаэлектротехнических изделий</t>
  </si>
  <si>
    <t>1004-2017-00053 Поставка электротехнических изделий</t>
  </si>
  <si>
    <t>1004-2017-00052 Поставка электротехнических изделий</t>
  </si>
  <si>
    <t>1004-2017-00051 Поставка  инструмента и приспособлений</t>
  </si>
  <si>
    <t>1004-2017-00050Оказние услуг по Договору № 224738 от 22.10.2012 с АО "Мосводоканал" затраты на воду и прием сточных вод</t>
  </si>
  <si>
    <t>1004-2017-00049Оказние услуг по Договору № 224738 от 22.10.2012 с АО "Мосводоканал" затраты на воду и прием сточных вод</t>
  </si>
  <si>
    <t>1004-2017-00048 Оказание услуг по Договору № 224738 от 22.10.2012 с АО "Мосводоканал" затраты на воду и прием сточных вод</t>
  </si>
  <si>
    <t>1004-2017-00047 Оказние услуг по Договору № 224738 от 22.10.2012 с АО "Мосводоканал" затраты на воду и прием сточных вод</t>
  </si>
  <si>
    <t>1004-2017-00046 Оказние услуг по Договору № 224738 от 22.10.2012 с АО "Мосводоканал" затраты на воду и прием сточных вод</t>
  </si>
  <si>
    <t>1004-2017-00045 Оказние услуг по Договору № 224738 от 22.10.2012 с АО "Мосводоканал" затраты на воду и прием сточных вод</t>
  </si>
  <si>
    <t>1004-2017-00044 Оказние услуг по Договору № 224738 от 22.10.2012 с АО "Мосводоканал" затраты на воду и прием сточных вод</t>
  </si>
  <si>
    <t>1004-2017-00043 Оказние услуг по Договору № 224738 от 22.10.2012 с АО "Мосводоканал" затраты на воду и прием сточных вод</t>
  </si>
  <si>
    <t>1004-2017-00042 Оказание услуг по  Договору № 224738 от 22.10.2012 с АО "Мосводоканал" затраты на воду и прием сточных вод</t>
  </si>
  <si>
    <t>1004-2017-00041 Оказание услуг по Договору № 224738 от 22.10.2012 с АО "Мосводоканал" затраты на воду и прием сточных вод</t>
  </si>
  <si>
    <t>1004-2017-00040 Оказние услуг по Договору № 224738 от 22.10.2012 с АО "Мосводоканал" затраты на воду и прием сточных вод</t>
  </si>
  <si>
    <t>1004-2017-00039Оказние услуг по Договору № 224738 от 22.10.2012 с АО "Мосводоканал" затраты на воду и прием сточных вод</t>
  </si>
  <si>
    <t>1004-2017-00038 Оказание услуг на поставку электрической энергии (мощности) по  Договору №14712281 от 01.01.2007г. ПАО "Мосэнергосбыт"</t>
  </si>
  <si>
    <t xml:space="preserve"> 1004-2017-00037 Оказание услуг на поставку электрической энергии (мощности) по  Договору №14712281 от 01.01.2007г. ПАО "Мосэнергосбыт"</t>
  </si>
  <si>
    <t>1004-2017-00036 Оказание услуг на поставку электрической энергии (мощности) по  Договору №14712281 от 01.01.2007г. ПАО "Мосэнергосбыт"</t>
  </si>
  <si>
    <t>1004-2017-00035 Оказание услуг на поставку электрической энергии (мощности) по  Договору №14712281 от 01.01.2007г. ПАО "Мосэнергосбыт"</t>
  </si>
  <si>
    <t>1004-2017-00034 Оказание услуг на поставку электрической энергии (мощности) по  Договору №14712281 от 01.01.2007г. ПАО "Мосэнергосбыт"</t>
  </si>
  <si>
    <t>1004-2017-00033 Оказание услуг на поставку электрической энергии (мощности) по  Договору №14712281 от 01.01.2007г. ПАО "Мосэнергосбыт"</t>
  </si>
  <si>
    <t>1004-2017-00032 Оказание услуги на поставку электрической энергии (мощности) по  Договору №14712281 от 01.01.2007г. ПАО "Мосэнергосбыт"</t>
  </si>
  <si>
    <t>1004-2017-00031 Оказание услуги на поставку электрической энергии (мощности) по  Договору №14712281 от 01.01.2007г. ПАО "Мосэнергосбыт"</t>
  </si>
  <si>
    <t>1004-2017-00030 Оказание услуги на поставку электрической энергии (мощности) по  Договору №14712281 от 01.01.2007г. ПАО "Мосэнергосбыт"</t>
  </si>
  <si>
    <t>1004-2017-00029 Оказание услуги на поставку электрической энергии (мощности) по  Договору №14712281 от 01.01.2007г. ПАО "Мосэнергосбыт"</t>
  </si>
  <si>
    <t>1004-2017-00028 Оказание услуги на поставку электрической энергии (мощности) по  Договору №14712281 от 01.01.2007г. ПАО "Мосэнергосбыт"</t>
  </si>
  <si>
    <t>1004-2017-00027 Оказание услуги на поставку электрической энергии (мощности) по  Договору №14712281 от 01.01.2007г. ПАО "Мосэнергосбыт"</t>
  </si>
  <si>
    <t>1004-2017-00026 Оказание услуги на поставку электрической энергии (мощности) по  Договору №14712281 от 01.01.2007г. ПАО "Мосэнергосбыт"</t>
  </si>
  <si>
    <t>1004-2017-00025 Оказание услуги на поставку электрической энергии (мощности) по  Договору №14712281 от 01.01.2007г. ПАО "Мосэнергосбыт"</t>
  </si>
  <si>
    <t>1004-2017-00024 Оказание услуги на поставку электрической энергии (мощности) по  Договору №14712281 от 01.01.2007г. ПАО "Мосэнергосбыт"</t>
  </si>
  <si>
    <t>1004-2017-00023 Оказание услуги на поставку электрической энергии (мощности) по  Договору №14712281 от 01.01.2007г. ПАО "Мосэнергосбыт"</t>
  </si>
  <si>
    <t>1004-2017-00022 Оказание услуги на поставку электрической энергии (мощности) по  Договору №14712281 от 01.01.2007г. ПАО "Мосэнергосбыт"</t>
  </si>
  <si>
    <t>1004-2017-00021 Оказание услуги на поставку электрической энергии (мощности) по  Договору №14712281 от 01.01.2007г. ПАО "Мосэнергосбыт"</t>
  </si>
  <si>
    <t>1004-2017-00020 Оказание услуги на поставку электрической энергии (мощности) по  Договору №14712281 от 01.01.2007г. ПАО "Мосэнергосбыт"</t>
  </si>
  <si>
    <t>1004-2017-00019 Оказание услуги на поставку электрической энергии (мощности) по  Договору №14712281 от 01.01.2007г. ПАО "Мосэнергосбыт"</t>
  </si>
  <si>
    <t>1004-2017-00018 Оказание услуги на поставку электрической энергии (мощности) по  Договору №14712281 от 01.01.2007г. ПАО "Мосэнергосбыт"</t>
  </si>
  <si>
    <t>1004-2017-00017 Оказание услуги на поставку электрической энергии (мощности) по  Договору №14712281 от 01.01.2007г. ПАО "Мосэнергосбыт"</t>
  </si>
  <si>
    <t>1004-2017-00016 Оказание услуги на поставку электрической энергии (мощности) по  Договору №14712281 от 01.01.2007г. ПАО "Мосэнергосбыт"</t>
  </si>
  <si>
    <t>1004-2017-00015 Оказание услуги на поставку электрической энергии (мощности) по  Договору №14712281 от 01.01.2007г. ПАО "Мосэнергосбыт"</t>
  </si>
  <si>
    <t>1004-2017-00014 Оказание услуги Подписке на печатные издания (I полугодие 2018г.)</t>
  </si>
  <si>
    <t>1004-2017-00013 Оказание услуги по  Подписке на печатные издания (II полугодие 2017г.)</t>
  </si>
  <si>
    <t>1004-2017-00012 Оказание услуги по созданию документального фильма о АО  "НИИ "Полюс" им. М. Ф. Стельмаха"</t>
  </si>
  <si>
    <t>1004-2017-00011 Оказание услуги по изданию юбилейной книги АО  "НИИ "Полюс" им. М. Ф. Стельмаха"</t>
  </si>
  <si>
    <t>1004-2017-00010 Оказание услуг по Техническое обслуживание вибростенда LDS V830-355</t>
  </si>
  <si>
    <t>1004-2017-00009Поставка  Топливные талоны</t>
  </si>
  <si>
    <t>1004-2017-00007 Оказание услуги поТехническое обслуживание а/м</t>
  </si>
  <si>
    <t>1004-2017-00008 Оказание услуг по Повышению  квалификации</t>
  </si>
  <si>
    <t>1004-2017-00006 Оказание  услуг по предоставлению Страховки на автомобили</t>
  </si>
  <si>
    <t>1004-2017-00005Поставка  Автозапчасти выпущенные не позднее 2014 г.</t>
  </si>
  <si>
    <t>1004-2017-00004  Поставка автомобиля легкового</t>
  </si>
  <si>
    <t>1004-2017-00003 Поставка Автомобиль микроавтобус</t>
  </si>
  <si>
    <t>1004-2017-00002 Поставка  вилочного автопогрузчика</t>
  </si>
  <si>
    <t>1004-2017-00001 Поставка автомобиля легкового</t>
  </si>
  <si>
    <t>2000000,00 российских рублей</t>
  </si>
  <si>
    <t>1275000,00 российских рублей</t>
  </si>
  <si>
    <t>53188,24российских рублей</t>
  </si>
  <si>
    <t>1358 666,67российских рублей</t>
  </si>
  <si>
    <t>1665400  российских рублей</t>
  </si>
  <si>
    <t>343600,00 Доллар США</t>
  </si>
  <si>
    <t>2 482 163,37,00российских рублей</t>
  </si>
  <si>
    <t>1004-2017-00864,31704834900</t>
  </si>
  <si>
    <t xml:space="preserve"> 1.1.1</t>
  </si>
  <si>
    <t xml:space="preserve"> 1.1.1.</t>
  </si>
  <si>
    <t xml:space="preserve"> 1.1.3</t>
  </si>
  <si>
    <t xml:space="preserve"> 1.3.23</t>
  </si>
  <si>
    <t xml:space="preserve"> 1.3.1</t>
  </si>
  <si>
    <t xml:space="preserve"> 1.3.28</t>
  </si>
  <si>
    <t xml:space="preserve"> 1.3.25.2</t>
  </si>
  <si>
    <t>31704759255,1004-2017-00853</t>
  </si>
  <si>
    <t>31704821452, 1004-2017-00860</t>
  </si>
  <si>
    <t>7729186525</t>
  </si>
  <si>
    <t>ООО "Телам"</t>
  </si>
  <si>
    <t>405</t>
  </si>
  <si>
    <t xml:space="preserve"> 1.3.4.1</t>
  </si>
  <si>
    <t>037/0117</t>
  </si>
  <si>
    <t xml:space="preserve"> 2.11</t>
  </si>
  <si>
    <t xml:space="preserve"> 2.1.1.1</t>
  </si>
  <si>
    <t>31704894572, 1004-2017-00890</t>
  </si>
  <si>
    <t>31704894591,1004-2017-00891</t>
  </si>
  <si>
    <t>31704901730,1004-2017-00892</t>
  </si>
  <si>
    <t>31704894573,1004-2017-00887</t>
  </si>
  <si>
    <t>31704894571,1004-2017-00889</t>
  </si>
  <si>
    <t>31704894570,1004-2017-00888</t>
  </si>
  <si>
    <t>1.3.8.</t>
  </si>
  <si>
    <t xml:space="preserve"> 1.3.8</t>
  </si>
  <si>
    <t xml:space="preserve"> 1.3.9</t>
  </si>
  <si>
    <t xml:space="preserve"> 1.1.1.1.3.1</t>
  </si>
  <si>
    <t xml:space="preserve"> 2.1.1.2</t>
  </si>
  <si>
    <t xml:space="preserve"> 1.3.11</t>
  </si>
  <si>
    <t>9 569 611,2 российских рублей</t>
  </si>
  <si>
    <t>2 576 000российских рублей</t>
  </si>
  <si>
    <t>3 229 565российских рублей</t>
  </si>
  <si>
    <t>1004-2017-00906</t>
  </si>
  <si>
    <t>887429,79российских рублей</t>
  </si>
  <si>
    <t>1004-2017-00907</t>
  </si>
  <si>
    <t>1004-2017-00908</t>
  </si>
  <si>
    <t>169993,46российских рублей</t>
  </si>
  <si>
    <t>1004-2017-00909</t>
  </si>
  <si>
    <t>173900,49российских рублей</t>
  </si>
  <si>
    <t>1004-2017-00910</t>
  </si>
  <si>
    <t>в соответствии с требованиями заказчика</t>
  </si>
  <si>
    <t>449800российских рублей</t>
  </si>
  <si>
    <t>1004-2017-00911</t>
  </si>
  <si>
    <t>98382,5российских рублей</t>
  </si>
  <si>
    <t>1004-2017-00912</t>
  </si>
  <si>
    <t>22.29.2</t>
  </si>
  <si>
    <t>Соответствие чертежам</t>
  </si>
  <si>
    <t>215965российских рублей</t>
  </si>
  <si>
    <t>1004-2017-00913</t>
  </si>
  <si>
    <t>Полированная с двух сторон</t>
  </si>
  <si>
    <t>1454704российских рублей</t>
  </si>
  <si>
    <t>1004-2017-00914</t>
  </si>
  <si>
    <t>25.11.99.000</t>
  </si>
  <si>
    <t>198724,29российских рублей</t>
  </si>
  <si>
    <t>1004-2017-00915</t>
  </si>
  <si>
    <t>на основани ТЗ и сметы</t>
  </si>
  <si>
    <t>1926036,94российских рублей</t>
  </si>
  <si>
    <t>1004-2017-00916</t>
  </si>
  <si>
    <t>23.19.3</t>
  </si>
  <si>
    <t>ТУ 6343-006-07618588-99</t>
  </si>
  <si>
    <t>148680российских рублей</t>
  </si>
  <si>
    <t>1004-2017-00917</t>
  </si>
  <si>
    <t>71.1</t>
  </si>
  <si>
    <t xml:space="preserve">М1:2000  </t>
  </si>
  <si>
    <t>211266,02российских рублей</t>
  </si>
  <si>
    <t>1004-2017-00918</t>
  </si>
  <si>
    <t>85.4</t>
  </si>
  <si>
    <t>Выдача удостоверения</t>
  </si>
  <si>
    <t>117000российских рублей</t>
  </si>
  <si>
    <t>1004-2017-00919</t>
  </si>
  <si>
    <t>716111,66российских рублей</t>
  </si>
  <si>
    <t>1004-2017-00920</t>
  </si>
  <si>
    <t>371059,57российских рублей</t>
  </si>
  <si>
    <t>1004-2017-00921</t>
  </si>
  <si>
    <t>298121,1российских рублей</t>
  </si>
  <si>
    <t>1004-2017-00922</t>
  </si>
  <si>
    <t>27.11.13</t>
  </si>
  <si>
    <t>27.11.4</t>
  </si>
  <si>
    <t>157239,72российских рублей</t>
  </si>
  <si>
    <t>1004-2017-00923</t>
  </si>
  <si>
    <t>Квадратный сантиметр</t>
  </si>
  <si>
    <t>1239000российских рублей</t>
  </si>
  <si>
    <t>1004-2017-00924</t>
  </si>
  <si>
    <t>1768251,6российских рублей</t>
  </si>
  <si>
    <t>1004-2017-00925</t>
  </si>
  <si>
    <t>1062000российских рублей</t>
  </si>
  <si>
    <t>1004-2017-00926</t>
  </si>
  <si>
    <t>261252российских рублей</t>
  </si>
  <si>
    <t>1004-2017-00927</t>
  </si>
  <si>
    <t>101598российских рублей</t>
  </si>
  <si>
    <t>1004-2017-00928</t>
  </si>
  <si>
    <t>478962российских рублей</t>
  </si>
  <si>
    <t>1004-2017-00929</t>
  </si>
  <si>
    <t>1059522российских рублей</t>
  </si>
  <si>
    <t>1004-2017-00930</t>
  </si>
  <si>
    <t>1596540российских рублей</t>
  </si>
  <si>
    <t>1004-2017-00931</t>
  </si>
  <si>
    <t>678547,2российских рублей</t>
  </si>
  <si>
    <t>1004-2017-00932</t>
  </si>
  <si>
    <t>593728,8российских рублей</t>
  </si>
  <si>
    <t>1004-2017-00933</t>
  </si>
  <si>
    <t>278456,4российских рублей</t>
  </si>
  <si>
    <t>1004-2017-00934</t>
  </si>
  <si>
    <t>726408российских рублей</t>
  </si>
  <si>
    <t>1004-2017-00935</t>
  </si>
  <si>
    <t>496378,8российских рублей</t>
  </si>
  <si>
    <t>1004-2017-00936</t>
  </si>
  <si>
    <t>1004-2017-00937</t>
  </si>
  <si>
    <t>2906340российских рублей</t>
  </si>
  <si>
    <t>1004-2017-00938</t>
  </si>
  <si>
    <t>678146российских рублей</t>
  </si>
  <si>
    <t>1004-2017-00939</t>
  </si>
  <si>
    <t>775024российских рублей</t>
  </si>
  <si>
    <t>1004-2017-00940</t>
  </si>
  <si>
    <t>26.2</t>
  </si>
  <si>
    <t>оригинальное производство</t>
  </si>
  <si>
    <t>500000российских рублей</t>
  </si>
  <si>
    <t>1004-2017-00941</t>
  </si>
  <si>
    <t>620х175кв. М.,60гр/кв.м</t>
  </si>
  <si>
    <t>130000российских рублей</t>
  </si>
  <si>
    <t>1004-2017-00942</t>
  </si>
  <si>
    <t>производитель Бельгия</t>
  </si>
  <si>
    <t>135852,92российских рублей</t>
  </si>
  <si>
    <t>1004-2017-00943</t>
  </si>
  <si>
    <t>ремонт</t>
  </si>
  <si>
    <t>150000российских рублей</t>
  </si>
  <si>
    <t>1004-2017-00944</t>
  </si>
  <si>
    <t>200000российских рублей</t>
  </si>
  <si>
    <t>1004-2017-00945</t>
  </si>
  <si>
    <t xml:space="preserve">оптические изделия из монокристалического монодоменного ниобата лития с габаритными размерами 6.3х14.1х26.3 мм </t>
  </si>
  <si>
    <t>2356696российских рублей</t>
  </si>
  <si>
    <t>1004-2017-00946</t>
  </si>
  <si>
    <t>Поставляемый товар должен быть произведен на территории РФ, что должно подтверждаться скан-копиями сертификатов о происхождении товара в момент подачи заявки, и оригиналами сертификатов о происхождении товара в момент поставки.</t>
  </si>
  <si>
    <t>416095,02российских рублей</t>
  </si>
  <si>
    <t>1004-2017-00947</t>
  </si>
  <si>
    <t>357866,25российских рублей</t>
  </si>
  <si>
    <t>1004-2017-00948</t>
  </si>
  <si>
    <t>782772,33российских рублей</t>
  </si>
  <si>
    <t>1004-2017-00949</t>
  </si>
  <si>
    <t>1004-2017-00950</t>
  </si>
  <si>
    <t>АЯЕР.431130.171-17ТУ</t>
  </si>
  <si>
    <t>285975,36российских рублей</t>
  </si>
  <si>
    <t>1004-2017-00951</t>
  </si>
  <si>
    <t>аА0.339.076ТУ/Д1, аА0.339.375ТУ, бК0.347.098ТУ7, бК0.347.098ТУ2</t>
  </si>
  <si>
    <t>156798,4российских рублей</t>
  </si>
  <si>
    <t>1004-2017-00952</t>
  </si>
  <si>
    <t>1142169,2российских рублей</t>
  </si>
  <si>
    <t>1004-2017-00953</t>
  </si>
  <si>
    <t>1350000российских рублей</t>
  </si>
  <si>
    <t>1004-2017-00954</t>
  </si>
  <si>
    <t>47</t>
  </si>
  <si>
    <t xml:space="preserve">В соответствии с требованиями установленными заказчиком в документации о закупке_x000D_
</t>
  </si>
  <si>
    <t>1004-2017-00955</t>
  </si>
  <si>
    <t>86.90.4</t>
  </si>
  <si>
    <t>86.90.19.140</t>
  </si>
  <si>
    <t>1980000российских рублей</t>
  </si>
  <si>
    <t>1004-2017-00956</t>
  </si>
  <si>
    <t>170000российских рублей</t>
  </si>
  <si>
    <t>1004-2017-00957</t>
  </si>
  <si>
    <t>380000российских рублей</t>
  </si>
  <si>
    <t>1004-2017-00958</t>
  </si>
  <si>
    <t>1978822,67российских рублей</t>
  </si>
  <si>
    <t>1004-2017-00959</t>
  </si>
  <si>
    <t>482895,33российских рублей</t>
  </si>
  <si>
    <t>1004-2017-00960</t>
  </si>
  <si>
    <t>26.51.43.145</t>
  </si>
  <si>
    <t>1573174,49российских рублей</t>
  </si>
  <si>
    <t>1004-2017-00961</t>
  </si>
  <si>
    <t>1423120,96российских рублей</t>
  </si>
  <si>
    <t>1004-2017-00962</t>
  </si>
  <si>
    <t>32.13</t>
  </si>
  <si>
    <t>476640,4российских рублей</t>
  </si>
  <si>
    <t>1004-2017-00963</t>
  </si>
  <si>
    <t>27.51.15</t>
  </si>
  <si>
    <t>306961,67российских рублей</t>
  </si>
  <si>
    <t>1004-2017-00964</t>
  </si>
  <si>
    <t>26.51.6</t>
  </si>
  <si>
    <t>141494,67российских рублей</t>
  </si>
  <si>
    <t>1004-2017-00965</t>
  </si>
  <si>
    <t>4253983,03российских рублей</t>
  </si>
  <si>
    <t>1004-2017-00966</t>
  </si>
  <si>
    <t>4205379,36российских рублей</t>
  </si>
  <si>
    <t>1004-2017-00967</t>
  </si>
  <si>
    <t>11555030,47российских рублей</t>
  </si>
  <si>
    <t>1004-2017-00968</t>
  </si>
  <si>
    <t>578200российских рублей</t>
  </si>
  <si>
    <t>1004-2017-00969</t>
  </si>
  <si>
    <t>949544,01российских рублей</t>
  </si>
  <si>
    <t>1004-2017-00970</t>
  </si>
  <si>
    <t>58</t>
  </si>
  <si>
    <t>221100российских рублей</t>
  </si>
  <si>
    <t>1004-2017-00971</t>
  </si>
  <si>
    <t>210655,2российских рублей</t>
  </si>
  <si>
    <t>1004-2017-00972</t>
  </si>
  <si>
    <t>26.51.70</t>
  </si>
  <si>
    <t>1297988российских рублей</t>
  </si>
  <si>
    <t>1004-2017-00973</t>
  </si>
  <si>
    <t>33.12.22.000</t>
  </si>
  <si>
    <t xml:space="preserve"> После ремонта станок должен отвечать техническим характеристикам, заявленным заводом – изготовителем</t>
  </si>
  <si>
    <t>299680российских рублей</t>
  </si>
  <si>
    <t>1004-2017-00974</t>
  </si>
  <si>
    <t>71.12.7</t>
  </si>
  <si>
    <t>71.12.35.110</t>
  </si>
  <si>
    <t>В соответствии с техническим заданием (и требованиями заказчика)</t>
  </si>
  <si>
    <t>3100000российских рублей</t>
  </si>
  <si>
    <t>1004-2017-00975</t>
  </si>
  <si>
    <t xml:space="preserve">27.33           </t>
  </si>
  <si>
    <t>116410,79российских рублей</t>
  </si>
  <si>
    <t>1004-2017-00976</t>
  </si>
  <si>
    <t>1004-2017-00977</t>
  </si>
  <si>
    <t>2849700российских рублей</t>
  </si>
  <si>
    <t>1004-2017-00978</t>
  </si>
  <si>
    <t>24.14.51.320</t>
  </si>
  <si>
    <t>1499500российских рублей</t>
  </si>
  <si>
    <t>1004-2017-00979</t>
  </si>
  <si>
    <t>25.12.1</t>
  </si>
  <si>
    <t>548225российских рублей</t>
  </si>
  <si>
    <t>1004-2017-00980</t>
  </si>
  <si>
    <t>27.90.32.110</t>
  </si>
  <si>
    <t>Электроды ЭК1</t>
  </si>
  <si>
    <t>119102российских рублей</t>
  </si>
  <si>
    <t>1004-2017-00981</t>
  </si>
  <si>
    <t>ОЖО.464.232 ТУ</t>
  </si>
  <si>
    <t>449863,2российских рублей</t>
  </si>
  <si>
    <t>1004-2017-00982</t>
  </si>
  <si>
    <t>64.19</t>
  </si>
  <si>
    <t>1004-2017-00983</t>
  </si>
  <si>
    <t>14110000российских рублей</t>
  </si>
  <si>
    <t>1004-2017-00984</t>
  </si>
  <si>
    <t>4500000российских рублей</t>
  </si>
  <si>
    <t>1004-2017-00985</t>
  </si>
  <si>
    <t>450760российских рублей</t>
  </si>
  <si>
    <t>1004-2017-00986</t>
  </si>
  <si>
    <t>496929,28российских рублей</t>
  </si>
  <si>
    <t>1004-2017-00987</t>
  </si>
  <si>
    <t>1004-2017-00988</t>
  </si>
  <si>
    <t>326420российских рублей</t>
  </si>
  <si>
    <t>1004-2017-00989</t>
  </si>
  <si>
    <t>160875,89российских рублей</t>
  </si>
  <si>
    <t>1004-2017-00990</t>
  </si>
  <si>
    <t>124359,6российских рублей</t>
  </si>
  <si>
    <t>1004-2017-00991</t>
  </si>
  <si>
    <t>352867,2российских рублей</t>
  </si>
  <si>
    <t>1004-2017-00992</t>
  </si>
  <si>
    <t>2490767российских рублей</t>
  </si>
  <si>
    <t>1004-2017-00993</t>
  </si>
  <si>
    <t>503073,65российских рублей</t>
  </si>
  <si>
    <t>1004-2017-00994</t>
  </si>
  <si>
    <t>В соотвествии с требованиями заказчика</t>
  </si>
  <si>
    <t>147780,22российских рублей</t>
  </si>
  <si>
    <t>1004-2017-00995</t>
  </si>
  <si>
    <t>885000российских рублей</t>
  </si>
  <si>
    <t>381679,25российских рублей</t>
  </si>
  <si>
    <t>2089393,33российских рублей</t>
  </si>
  <si>
    <t>148792,67российских рублей</t>
  </si>
  <si>
    <t>104868,06российских рублей</t>
  </si>
  <si>
    <t>5003005609</t>
  </si>
  <si>
    <t>ООО "НПФ "Дилаз"</t>
  </si>
  <si>
    <t xml:space="preserve"> 11.05.2017</t>
  </si>
  <si>
    <t xml:space="preserve"> 17-321-470</t>
  </si>
  <si>
    <t>5043057427</t>
  </si>
  <si>
    <t>ООО "Стандарт Оптик""</t>
  </si>
  <si>
    <t xml:space="preserve">17-332-540 </t>
  </si>
  <si>
    <t>7714710760</t>
  </si>
  <si>
    <t>Акционерное Общество «РТ-Техприемка»</t>
  </si>
  <si>
    <t>1517-Пол</t>
  </si>
  <si>
    <t>3301028439</t>
  </si>
  <si>
    <t>ООО "НПК "Далекс"</t>
  </si>
  <si>
    <t>ОС63</t>
  </si>
  <si>
    <t>230 524,8российских рублей</t>
  </si>
  <si>
    <t xml:space="preserve"> ОС59</t>
  </si>
  <si>
    <t>4026000108</t>
  </si>
  <si>
    <t>АО "Восход" - Калужский радиоламповый завод</t>
  </si>
  <si>
    <t>1117187301381010105000034/15/2513</t>
  </si>
  <si>
    <t>7731163035</t>
  </si>
  <si>
    <t>ЗАО "ЦНИТИ "Техномаш-ВОС</t>
  </si>
  <si>
    <t xml:space="preserve"> 1018187404892020105000118-07-2017 </t>
  </si>
  <si>
    <t>ЗАО "СПЕЦ-ЭК""</t>
  </si>
  <si>
    <t xml:space="preserve"> 240-17 </t>
  </si>
  <si>
    <t>635178,07российских рублей</t>
  </si>
  <si>
    <t xml:space="preserve">1517187317502412241006930-15-1070 </t>
  </si>
  <si>
    <t>5074051432</t>
  </si>
  <si>
    <t>ОАО "ЦНИИТОЧМАШ""</t>
  </si>
  <si>
    <t>ОАО "ЦНИИТОЧМАШ</t>
  </si>
  <si>
    <t>1618187314092412245007637-6283-88 от 17.10.2016г</t>
  </si>
  <si>
    <t>7735512713</t>
  </si>
  <si>
    <t>АО "СКБ "Зенит"</t>
  </si>
  <si>
    <t>Ф440-24</t>
  </si>
  <si>
    <t>ООО 'ТД ТрансКард'</t>
  </si>
  <si>
    <t>ТО-313</t>
  </si>
  <si>
    <t>06-2017</t>
  </si>
  <si>
    <t>3661033635</t>
  </si>
  <si>
    <t>17-213</t>
  </si>
  <si>
    <t>417635,39 российских рублей</t>
  </si>
  <si>
    <t>7804208682</t>
  </si>
  <si>
    <t>ООО "Компания Абрис"</t>
  </si>
  <si>
    <t>АСП-000647</t>
  </si>
  <si>
    <t>1-СО</t>
  </si>
  <si>
    <t>1851-2016</t>
  </si>
  <si>
    <t>5010025170</t>
  </si>
  <si>
    <t>ООО 'Руспромтехнология'</t>
  </si>
  <si>
    <t>01-17-ОЗ</t>
  </si>
  <si>
    <t>7707082071</t>
  </si>
  <si>
    <t>ФАУ "Главгоэкспертиза России</t>
  </si>
  <si>
    <t>ФАУ "Главгоэкспертиза России"</t>
  </si>
  <si>
    <t>03-ГС</t>
  </si>
  <si>
    <t>073-ФТИ-2</t>
  </si>
  <si>
    <t>5953</t>
  </si>
  <si>
    <t>ООО НПФ "Дилаз"</t>
  </si>
  <si>
    <t>6930-6</t>
  </si>
  <si>
    <t>7721062052</t>
  </si>
  <si>
    <t>Государственное автономное образовательное учреждение города Москвы дополнительного профессионального образования Центр профессиональных квалификаций и содействия трудоустройству «Профессионал</t>
  </si>
  <si>
    <t>Государственное автономное образовательное учреждение города Москвы дополнительного профессионального образования Центр профессиональных квалификаций и содействия трудоустройству «Профессионал»</t>
  </si>
  <si>
    <t>2757-У17</t>
  </si>
  <si>
    <t>7714829526</t>
  </si>
  <si>
    <t>ООО "Флюк СИАЙЭС"</t>
  </si>
  <si>
    <t>RUL-FLK-17013</t>
  </si>
  <si>
    <t>17705596339160010060-17-347-330</t>
  </si>
  <si>
    <t>117705596339160010060/4</t>
  </si>
  <si>
    <t>1418000российских рублей</t>
  </si>
  <si>
    <t>ООО "ТЕХНОЛЮМ"</t>
  </si>
  <si>
    <t>17-343/350</t>
  </si>
  <si>
    <t>ЗАО "ЦНИИ "Техномаш-ВОС"</t>
  </si>
  <si>
    <t>34/2017</t>
  </si>
  <si>
    <t>1442807,24российских рублей</t>
  </si>
  <si>
    <t>7729493501</t>
  </si>
  <si>
    <t>ООО "СХД"</t>
  </si>
  <si>
    <t>17-327-470</t>
  </si>
  <si>
    <t>22-17</t>
  </si>
  <si>
    <t>1004-2017-00905 Поставка Металлические сплавы</t>
  </si>
  <si>
    <t>1004-2017-00904 Поставка Круг 80 мм Д16Т дюралевый</t>
  </si>
  <si>
    <t>1004-2017-00903Поставка Титановые сплавы</t>
  </si>
  <si>
    <t>1004-2017-00902Поставка Металлические сплавы</t>
  </si>
  <si>
    <t>1004-2017-00900Поставка Оптические заготовки КВ</t>
  </si>
  <si>
    <t>1004-2017-00899Поставка  и приобретение фотошаблонов: Ф/ш Э51-ТВ126</t>
  </si>
  <si>
    <t>1004-2017-00894Поставка  Оксид алюминия</t>
  </si>
  <si>
    <t>1004-2017-00883Поставка Печатные платы ЖГДК.758773.011</t>
  </si>
  <si>
    <t xml:space="preserve">1004-2017-00882Поставка  Моторизованный трех-координатный прецизионный столик с пьезоконтроллером THORLABS MDT630BM </t>
  </si>
  <si>
    <t>1004-2017-00881Поставка  Комплект экранов ЭК-104</t>
  </si>
  <si>
    <t>1004-2017-00880Поставка  Комплект экранов ЭК-104</t>
  </si>
  <si>
    <t>1004-2017-00879Поставка  Ситалл СО-115М</t>
  </si>
  <si>
    <t>1004-2017-00878Поставка  Конденсаторы К50-68 40В-2200мкФ+/-20% ИВ, К50-68 63В-10мкФ+/20% ИВ, К52-11 50В-150мкФ+/10% В ,К52-11 63В-100мкФ+/10% В, К53-68 10В-22мкФ+/-10% габарит С, К53-68 10В-100мкФ+/10% габарит С, К53-68 20В-100мкФ+/20% габарит Е, К53-68 25В-10мкФ+/10% габарит С, К53-68 50В-15 мкФ+/10% габарит Е</t>
  </si>
  <si>
    <t>1004-2017-00877Поставка  плата цифровая ЖГДК.431321.066 – 3 шт., плата компараторов и частотной подставки ЖГДК.431129.029 – 3 шт., блок поджига ТЛГ ЖГДК.431119.029 – 3 шт., плата СТ и ММ ЖГДК.431119.030 – 3 шт., плата ВИП ТЛГ ЖГДК.431421.026 – 3 шт., плата СРП ТЛГ ЖГДК.431321.067 – 3 шт.</t>
  </si>
  <si>
    <t>1004-2017-00876Поставка  плата усилителей акселерометров БИНС-РК ЖГДК434661.022 – 2 шт., плата счетчиков БИНС-РК ЖГДК431321.051 – 2шт., плату защиты акселерометров БИНС-РК ЖГДК687243.066 – 2шт., блок ВИП прибора МТ-502 ЖГДК431421.025 – 2шт., плата компараторов прибора МТ-502 ЖГДК431321.060 – 2 шт., плата поджига прибора МТ-502 ЖГДК431119.025 – 2 шт., плата БСТ прибора МТ-502 ЖГДК431119.026 – 2шт., плата СРП прибора МТ-502 ЖГДК431321.059 – 2 шт., блок частотной подставки прибора МТ-502 ЖГДК431129.030 – 2шт</t>
  </si>
  <si>
    <t>1004-2017-00874Поставка  транзисторы 2П769А9, транзисторы 2П7229А, транзисторы 2П767Ж91, диоды 2ДШ2123Д95</t>
  </si>
  <si>
    <t>1004-2017-00873Поставка  Строительные материалы</t>
  </si>
  <si>
    <t>1004-2017-00871Поставка  Узел мембранный среднего давления ТУ 4859.010. 27572664.16</t>
  </si>
  <si>
    <t>1004-2017-00870Поставка Строительные материалы</t>
  </si>
  <si>
    <t>1004-2017-00868Поставка  МИТМ-01</t>
  </si>
  <si>
    <t>1004-2017-00867Поставка ЭРИ ИП</t>
  </si>
  <si>
    <t>1004-2017-00860Поставка  Акселерометр А-50</t>
  </si>
  <si>
    <t>1004-2017-00859Поставка  Подложки арсенида галлия, легированные кремнием</t>
  </si>
  <si>
    <t>1004-2017-00858Поставка  строительно-отделочные материалы</t>
  </si>
  <si>
    <t>1004-2017-00855Поставка  Спирт этиловый технический гидролизный ректификованный ГОСТ 55878-2013</t>
  </si>
  <si>
    <t>1004-2017-00854Поставка  и Использавание молекулярно-лучевой эпитаксии для выращивания гетероструктур GaAlInp</t>
  </si>
  <si>
    <t>1004-2017-00846Поставка  Разработка плат согласования импендансов для оптоэлектронных модулей СВЧ-диапазона с частотой модуляции ГГц</t>
  </si>
  <si>
    <t>1004-2017-0083Поставка 6аналого-цифровой преобразователь БОПИ-П ЖГДК.468157.004 – 2шт., плата обработки сигналов ЛГ  ЖГДК.431321.068 – 2шт.</t>
  </si>
  <si>
    <t>1004-2017-00835Поставка заготовки из ситалла СО-33М (165х165х50)</t>
  </si>
  <si>
    <t>1004-2017-00834Поставка комплект металлических деталей ТЛГ-1 ЖГДК.402121.065 - 1 комплект; комплект металлических деталей ТЛГ-2 ЖГДК.402121.064 - 1 комплект,комплект металлических деталей ТЛГ-3 ЖГДК.402121.063 - 1 комплект</t>
  </si>
  <si>
    <t>1004-2017-00833Поставка плата цифровая ЖГДК.431321.066 – 3 шт., плата компараторов и частотной подставки ЖГДК.431129.029 – 3 шт., блок поджига ТЛГ ЖГДК.431119.029 – 3 шт., плата СТ и ММ ЖГДК.431119.030 – 3 шт., плата ВИП ТЛГ ЖГДК.431421.026 – 3 шт., плата СРП ТЛГ ЖГДК.431321.067 - 3шт.</t>
  </si>
  <si>
    <t>1004-2017-00831Поставка  Модули питания МП</t>
  </si>
  <si>
    <t>1004-2017-00827Поставка  Комплектующие материалы</t>
  </si>
  <si>
    <t>1004-2017-00826Поставка провод</t>
  </si>
  <si>
    <t>1004-2017-00825Поставка  Комплект электроизделий</t>
  </si>
  <si>
    <t xml:space="preserve">1004-2017-00821Поставка  Автомобильные шины и аккумуляторы </t>
  </si>
  <si>
    <t>1004-2017-00820Поставка Медный пруток</t>
  </si>
  <si>
    <t xml:space="preserve">1004-2017-00819Поставка  Конденсаторы </t>
  </si>
  <si>
    <t>1004-2017-00818Поставка Электродвигатели</t>
  </si>
  <si>
    <t xml:space="preserve">1004-2017-00817Поставка  Конденсаторы </t>
  </si>
  <si>
    <t>1004-2017-00816Поставка  модули питания  МДМ8-2Е0512ВП</t>
  </si>
  <si>
    <t>1004-2017-00815Поставка радиоэлектронные компоненты импортного производства</t>
  </si>
  <si>
    <t>1004-2017-00813ТПоставка ранзисторы 2Т354Б1-2</t>
  </si>
  <si>
    <t>1004-2017-00812Поставка Транзисторы 2Т354Б1-2</t>
  </si>
  <si>
    <t>1004-2017-00811Поставка Транзисторы 2Т354Б1-2</t>
  </si>
  <si>
    <t>1004-2017-00810Поставка Транзисторы 2Т354Б1-2</t>
  </si>
  <si>
    <t>1004-2017-00809Поставка Кабель ОК-БС14-1-50/125-400-3,0/1,30 (ВП)</t>
  </si>
  <si>
    <t>1004-2017-00808Поставка Печатные платы ЖГДК.687253.029, ЖГДК.687253.028</t>
  </si>
  <si>
    <t xml:space="preserve"> 1004-2017-00807 7Поставка  Транзисторы 2Т3129А9, 2Т3130А9</t>
  </si>
  <si>
    <t xml:space="preserve">1004-2017-00805Поставка Микросхема Б1407 УД3 </t>
  </si>
  <si>
    <t xml:space="preserve"> 1004-2017-00804 4Поставка Микросхема Б1407 УД3 </t>
  </si>
  <si>
    <t>1004-2017-00803Поставка Резисторы ST32ETА501, Резисторы ST32ETA102, Резисторы ST32ETA103, Микросхемы  MAX999EUK+T, Микросхемы MAX1818EUT33+T, Микросхема MAX33063ADR, Микросхема LMC7101AIM5</t>
  </si>
  <si>
    <t>1004-2017- 00802Поставка Конденсаторы К53-68, Дроссель  ДМ-0,1, Микросхема 129НТ1А-1, Транзистор 2Т370А-1</t>
  </si>
  <si>
    <t>1004-2017- 00801Поставка Транзисторы 2Т3129А9, 2Т3130А9</t>
  </si>
  <si>
    <t>1004-2017- 00800Поставка Транзисторы 2Т354Б1-2</t>
  </si>
  <si>
    <t>1004-2017- 00799Поставка Резисторы СП3-28</t>
  </si>
  <si>
    <t>1004-2017-00798Поставка Корпус ЖГДК.469333.005</t>
  </si>
  <si>
    <t>1004-2017-00797Поставка Корпус ЖГДК.469333.005</t>
  </si>
  <si>
    <t>1004-2017-00796 6Поставка Печатные платы ЖГДК.758773.012</t>
  </si>
  <si>
    <t>1004-2017-00795Поставка Печатные платы ЖГДК.758773.012</t>
  </si>
  <si>
    <t>1004-2017-00794Поставка Печатные платы ЖГДК.758773.011</t>
  </si>
  <si>
    <t>1004-2017-00793Поставка Печатные платы ЖГДК.758773.011</t>
  </si>
  <si>
    <t>1004-2017-00792Поставка Печатные платы ЖГДК.758773.011</t>
  </si>
  <si>
    <t>1004-2017-00791Поставка Печатные платы ЖГДК.758773.011</t>
  </si>
  <si>
    <t>1004-2017-00790Поставка Печатные платы ЖГДК.758773.011</t>
  </si>
  <si>
    <t>1004-2017-00788Поставка Платы ЖГДК.758771.004 (Ситалл)</t>
  </si>
  <si>
    <t>1004-2017-00786Поставка  Печатные платы ЖГДК.758773.011</t>
  </si>
  <si>
    <t>1004-2017-00785Поставка Конденсаторы К10-17</t>
  </si>
  <si>
    <t>1004-2017-00784Поставка Конденсаторы К53-68</t>
  </si>
  <si>
    <t>1004-2017-00783Поставка Транзисторы 2Т354Б1-2</t>
  </si>
  <si>
    <t>1004-2017-00782Поставка Транзисторы 2Т354Б1-2</t>
  </si>
  <si>
    <t>1004-2017-00781Поставка Транзисторы 2Т354Б1-2</t>
  </si>
  <si>
    <t>1004-2017-00780Поставка Структура эпитаксиальная германиевая ЭГС-39-1а</t>
  </si>
  <si>
    <t>1004-2017-00778Поставка Крышка ЖГДК.735214.049</t>
  </si>
  <si>
    <t xml:space="preserve">1004-2017-00777Поставка Печатные платы </t>
  </si>
  <si>
    <t>1004-2017-00776Поставка Транзисторы</t>
  </si>
  <si>
    <t>1004-2017-00775Поставка Конденсаторы К53-68</t>
  </si>
  <si>
    <t>1004-2017-00774ТПоставка ранзисторы 2Т354Б1-2</t>
  </si>
  <si>
    <t>1004-2017-00773Поставка Транзисторы 2Т354Б1-2</t>
  </si>
  <si>
    <t xml:space="preserve">1004-2017-00772Поставка Вакуумно-напылительная установка для термического нанесения припоев (In, AgSn, SnAu) на базе установки "ЭЛАТТО 600" </t>
  </si>
  <si>
    <t xml:space="preserve">1004-2017-00771Поставка  Установка дисковой резки типа ADT 7122 </t>
  </si>
  <si>
    <t>1004-2017-00770Поставка Установка химико-механической полировки Logitech PM-6, Производитель "Logitech"</t>
  </si>
  <si>
    <t>1004-2017-00769Оказание услуг Аренда установки МОС-гидридной эпитаксии</t>
  </si>
  <si>
    <t>1004-2017-00768Поставка Оптические детали</t>
  </si>
  <si>
    <t>1004-2017-00767Поставка  Оптические детали</t>
  </si>
  <si>
    <t>1004-2017-00766Поставка  6СО 115М 160х160х50, 145х145х50</t>
  </si>
  <si>
    <t>1004-2017-00765 Поставка 5СО 115М 145х145х50</t>
  </si>
  <si>
    <t>1004-2017-00764Поставка СО 115М 160х160х50, 145х145х50</t>
  </si>
  <si>
    <t xml:space="preserve">1004-2017-00763Поставка Вакуумная печь Climats XT050 с вакуумным разъемом и  насосом масляным Duo 20M/TPR280 </t>
  </si>
  <si>
    <t>1004-2017-00762Поставка БОПИ ПИРШ.466229.002</t>
  </si>
  <si>
    <t>1004-2017-00761Поставка Комплекты механических деталей МТ-502 ЖГДК.402121.061, комплекты механических деталей модуля цифрового акселерометрического МЦА-50 ЖГДК.431321.061</t>
  </si>
  <si>
    <t xml:space="preserve">1004-2017-00760Поставка Платы (плата усилителей акселерометров БИНС-РК ЖГДК434661.022 – 4 шт., плата счетчиков БИНС-РК ЖГДК431321.051 – 4шт., плату защиты акселерометров БИНС-РК ЖГДК687243.066 – 4шт., блок ВИП прибора МТ-502 ЖГДК431421.025 – 5шт., плата </t>
  </si>
  <si>
    <t>1004-2017-00758Поставка Контактная пластина ВАНЕ.741221.001; Крышка ет.8.050.477 (без стекла);                          Доработка корпуса ЖГДК 203129.010;     Корпус ет.4106654.СБ</t>
  </si>
  <si>
    <t>1004-2017-00757Поставка Контактная пластина ВАНЕ.741221.001; Крышка ет.8.050.477 (без стекла);                          Доработка корпуса ЖГДК 203129.010;     Корпус ет.4106654.СБ</t>
  </si>
  <si>
    <t>1004-2017-00749Поставка  Комплект светильников</t>
  </si>
  <si>
    <t xml:space="preserve">1004-2017-00748Поставка Комплект электрических изделий </t>
  </si>
  <si>
    <t xml:space="preserve">1004-2017-00747Поставка комплект электроизделий </t>
  </si>
  <si>
    <t>1004-2017-00746Поставка оказание услуг и по сопровождению закупочных процедур хаказчика на 2017г.</t>
  </si>
  <si>
    <t>1004-2017-00745Поставка Сантехнические материалы</t>
  </si>
  <si>
    <t>1004-2017-00744Выполнение Научно-техническое обоснование методики испытаний на безотказность</t>
  </si>
  <si>
    <t>1004-2017-00742Поставка Мощный одномодовый лазер PSL-450 с одномодовым волокном на     =9/125</t>
  </si>
  <si>
    <t>1004-2017-00741Поставка Набор из 3-осной платформы, 3 дифференциальных микрометров и пьезоконтроллера THORLABS MDT630B/M</t>
  </si>
  <si>
    <t>1004-2017-00740Поставка  Оптический усилитель EFA-200C-20-E-FA-UM</t>
  </si>
  <si>
    <t>1004-2017-00739Поставка Вставка 4-х выводная 300 Э 724.20</t>
  </si>
  <si>
    <t>1004-2017-00738Поставка Комплект корпусных деталей для ПрОМ</t>
  </si>
  <si>
    <t xml:space="preserve">1004-2017-00737Поставка  Комплект корпусных деталей для ПОМ </t>
  </si>
  <si>
    <t>1004-2017-00736Поставка Компенсатор CuW СПИ.302.001Б</t>
  </si>
  <si>
    <t>1004-2017-00735Поставка Кабель соединительный оптический (двойной) ТУ6665-017-41085936-2009</t>
  </si>
  <si>
    <t>1004-2017-00734Поставка Термоэлектрический охладитель 1МС06-060-15-9901-AOS ТУ 8420-001-34609988-08</t>
  </si>
  <si>
    <t>1004-2017-00733Поставка Проволока</t>
  </si>
  <si>
    <t>1004-2017-00732выполение работ по УКЛАДКА АСФАЛЬТОВОГО ПОКРЫТИЯ</t>
  </si>
  <si>
    <t>1004-2017-00731Поставка лампы ИНП 2/30М1</t>
  </si>
  <si>
    <t>1004-2017-00730Поставка генераторы ГК323-ТК-АБ1-38,880 М-3,3-К (КЖДГ.433531.003), резонаторы РГ-05-МДВ-6БС-20000 к-В (ШЖ0.338.065)</t>
  </si>
  <si>
    <t>1004-2017-00729Поставка  оптическая система формирования накачки</t>
  </si>
  <si>
    <t>1004-2017-00728Выполнение работ по нанесение металло-диэлектрических покрытий</t>
  </si>
  <si>
    <t>1004-2017-00727Поставка теплоотводы металлические</t>
  </si>
  <si>
    <t>1004-2017-00726Поставка теплоотводы из алмаз-кремниевого композита</t>
  </si>
  <si>
    <t>1004-2017-00725Поставка комплект из двух модулей лазерных диодов с волоконным выводом излучения с выходной мощностью излучения 75 Вт каждый и источником питания</t>
  </si>
  <si>
    <t>1004-2017-00724 Поставка модуль лазерных диодов с волоконным выводом излучения с выходной мощностью излучения 150 Вт с источником питания</t>
  </si>
  <si>
    <t>1004-2017-00723Поставка Изделия оптические из кристаллов ниобата лития 8.0х18.2х33.3 мм</t>
  </si>
  <si>
    <t>1004-2017-00722Поставка Диоды</t>
  </si>
  <si>
    <t xml:space="preserve">1004-2017-00720Поставка Реактор инжекционный МР-6000-4000-16-КС, ТУ 4859.003.27572664.16 с обвязкой, Корпус фильтра пятипатронного для картриджей АМФЭ 20-3-05-2-Р-2,  ТУ 4859.007.27572664.16, Картридж АМФЭ 20-3-05-2-Р-2 исполнение 2, ТУ4859.001.27572664.16, Узел коротковолновой УФ стерилизации с аргоновым барьером УК-186-4000, ТУ 4859.008.27572664.16, Узел теплозащитный УТ-12-4, ТУ 4859.009.27572664.16 </t>
  </si>
  <si>
    <t>1004-2017-00717Поставка  импортные м/сх, диоды, транзисторы,конденсаторы, тиристоры</t>
  </si>
  <si>
    <t>1004-2017-00716Поставка розетки, вилки</t>
  </si>
  <si>
    <t>1004-2017-00714Поставка  Контакторы КНЕ-020У 24В</t>
  </si>
  <si>
    <t>1004-2017-00713Поставка Вилки, розетки</t>
  </si>
  <si>
    <t>1004-2017-00712Поставка Вилки, розетки</t>
  </si>
  <si>
    <t>1004-2017-00711Поставка Переключатель ПКН 105-1В вар. 1</t>
  </si>
  <si>
    <t>1004-2017-00705Поставка Кварцевые генераторы</t>
  </si>
  <si>
    <t>1004-2017-00704Поставка Диоды  3Л129А аАО.339.366ТУ</t>
  </si>
  <si>
    <t>1004-2017-00703Поставка Диоды, микросхемы</t>
  </si>
  <si>
    <t>1004-2017-00702Поставка  Микросхемы</t>
  </si>
  <si>
    <t xml:space="preserve">1004-2017-00700Поставка  Рукава РОРА-I-М-8     Рукава IРЖСО-8-10 </t>
  </si>
  <si>
    <t>1004-2017-00698 Поставка Стул тканевый лабораторный с колесами и подлокотниками elk-05</t>
  </si>
  <si>
    <t>1004-2017-00697Поставка Двухканальная цифровая ремонтная паяльная станция JBC DDST-2B с комплектом наконечников</t>
  </si>
  <si>
    <t>1004-2017-00696Поставка  Электроды ЭК1</t>
  </si>
  <si>
    <t>1004-2017-00695Поставка Кабель ОК-БС14-1-50/125-400-3,0/1,30 (ВП)</t>
  </si>
  <si>
    <t>1004-2017-00694Поставка Печатные платы ЖГДК.687253.029, ЖГДК.687253.028</t>
  </si>
  <si>
    <t>1004-2017-00693Поставка Модули фоточувствительные  ЖГДК.432231.047, Излучатели ЖГДК.433751.072</t>
  </si>
  <si>
    <t>1004-2017-00691Поставка Оптические детали</t>
  </si>
  <si>
    <t>1004-2017-00690Поставка Оптические детали</t>
  </si>
  <si>
    <t>1004-2017-00689Поставка Оптические детали</t>
  </si>
  <si>
    <t>1004-2017-00688Поставка Акселерометр А-50</t>
  </si>
  <si>
    <t>1004-2017-00687Поставка СОЖ Grindex 10 (бочка)</t>
  </si>
  <si>
    <t>1004-2017-00686Поставка ЭРИ ИП</t>
  </si>
  <si>
    <t>1004-2017-00685Поставка Упаковка ЖГДК.305647.005</t>
  </si>
  <si>
    <t>1004-2017-00684Поставка  Светодиодные модули МС-331С</t>
  </si>
  <si>
    <t>1004-2017-00683Поставка Светодиодные модули МС-331С</t>
  </si>
  <si>
    <t>1004-2017-00682Поставка Светодиодные модули МС-331С</t>
  </si>
  <si>
    <t>1004-2017-00681Поставка Оптические детали</t>
  </si>
  <si>
    <t>1004-2017-00680Поставка Оптические детали</t>
  </si>
  <si>
    <t>1004-2017-00679Поставка Оптические детали</t>
  </si>
  <si>
    <t>1004-2017-00678Поставка Оптические детали</t>
  </si>
  <si>
    <t>1004-2017-00677Поставка Оптические детали</t>
  </si>
  <si>
    <t>1004-2017-00676Поставка Оптические детали</t>
  </si>
  <si>
    <t>1004-2017-00675Поставка Оптические детали</t>
  </si>
  <si>
    <t>1004-2017-00674Поставка Оптические детали</t>
  </si>
  <si>
    <t>1004-2017-00673Поставка Оптические детали</t>
  </si>
  <si>
    <t>1004-2017-00672Поставка Механические детали</t>
  </si>
  <si>
    <t>1004-2017-00671Поставка Механические детали</t>
  </si>
  <si>
    <t>1004-2017-00670Поставка мишени из металлов</t>
  </si>
  <si>
    <t>1004-2017-00669Поставка продукция из драгоценных металлов и их сплавов</t>
  </si>
  <si>
    <t>1004-2017-00666Поставка  комплекс услуг, связанных с проведением работ по сбору, вывозу и обезвреживанию всех типов ртутьсодержащих ламп и термометров термометров</t>
  </si>
  <si>
    <t>1004-2017-00665Поставка Механические детали для ЛД-294</t>
  </si>
  <si>
    <t>1004-2017-00664Поставка БУД-МТД</t>
  </si>
  <si>
    <t>1004-2017-00660Поставка Резисторы</t>
  </si>
  <si>
    <t>1004-2017-00659Поставка Кварцевые генераторы</t>
  </si>
  <si>
    <t>1004-2017-00658Поставка Контактор КНЕ-020У 24 В,554100022 09, контактор КНЕ-030У 24В, 554110022 09</t>
  </si>
  <si>
    <t xml:space="preserve">1004-2017-00632Поставка Микросхема Б1407 УД3 </t>
  </si>
  <si>
    <t>1004-2017-00631Поставка Микросхема Б1407 УД3 -1</t>
  </si>
  <si>
    <t>1004-2017-00630Поставка  Заготовка для подложки пьезозеркала ЖГДК.755511.055</t>
  </si>
  <si>
    <t>1004-2017-00628Поставка Зеркало ЖГДК.203622.003 и линза  ЖГДК.203512.062</t>
  </si>
  <si>
    <t>1004-2017-00626Поставка БУД-25</t>
  </si>
  <si>
    <t>1004-2017-00625Поставка Катушка ЖГДК.671128.034</t>
  </si>
  <si>
    <t>1004-2017-00623Поставка Строительные материалы</t>
  </si>
  <si>
    <t>1004-2017-00622Поставка Строительные материалы</t>
  </si>
  <si>
    <t>1004-2017-00621Поставка  Система управления виброиспытаниями ВС-301</t>
  </si>
  <si>
    <t>1004-2017-00619Поставка Металлические сплавы</t>
  </si>
  <si>
    <t xml:space="preserve">1004-2017-00610Поставка изделия оптические из кристаллов ниобата лития </t>
  </si>
  <si>
    <t>1004-2017-00609Поставка ЭРИ</t>
  </si>
  <si>
    <t>1004-2017-00608Поставка ЭРИ</t>
  </si>
  <si>
    <t>1004-2017-00607Поставка Мультимер</t>
  </si>
  <si>
    <t>1004-2017-00606Поставка Мультимер</t>
  </si>
  <si>
    <t>1004-2017-00605Поставка Вибростенд VSH-100-1 или аналог</t>
  </si>
  <si>
    <t>1004-2017-00604Поставка Вибростенд VSH-100-1 или аналог</t>
  </si>
  <si>
    <t>1004-2017-00603Поставка Вибростенд VSH-100-1 или аналог</t>
  </si>
  <si>
    <t>1004-2017-00602Поставка Вибростенд VSH-100-1 или аналог</t>
  </si>
  <si>
    <t>1004-2017-00601Поставка  Камера Мини Сабзеро MC 712R Фирма Espec Corp</t>
  </si>
  <si>
    <t>1004-2017-00600Поставка  Камера Мини Сабзеро MC 712R Фирма Espec Corp</t>
  </si>
  <si>
    <t>1004-2017-00599Поставка  Камера Мини Сабзеро MC 712R Фирма Espec Corp</t>
  </si>
  <si>
    <t>1004-2017-00598Поставка  Камера Мини Сабзеро MC 712R Фирма Espec Corp</t>
  </si>
  <si>
    <t>1004-2017-00597Поставка Коллиматор внеосевой параболический зеркальный ВК-2000 или аналог</t>
  </si>
  <si>
    <t>1004-2017-00596Поставка Комплект промышленной мебели</t>
  </si>
  <si>
    <t>1004-2017-00595Поставка Комплект промышленной мебели</t>
  </si>
  <si>
    <t>1004-2017-00594Поставка Комплект промышленной мебели</t>
  </si>
  <si>
    <t>1004-2017-00593Поставка Комплект промышленной мебели</t>
  </si>
  <si>
    <t>1004-2017-00592Поставка Комплект осцилографов и измерительного оборудования</t>
  </si>
  <si>
    <t>1004-2017-00591Поставка Комплект осцилографов и измерительного оборудования</t>
  </si>
  <si>
    <t>1004-2017-00590Поставка Комплект осцилографов и измерительного оборудования</t>
  </si>
  <si>
    <t>1004-2017-00589Поставка  Осцилограф цифровой Tektronics TDS-2022</t>
  </si>
  <si>
    <t>1004-2017-00588Поставка  Универсальный стандарт-частоты Ц Ч1-81/3</t>
  </si>
  <si>
    <t>1004-2017-00587Поставка Титановые сплавы</t>
  </si>
  <si>
    <t>1004-2017-00586Поставка Алюминиевые сплавы</t>
  </si>
  <si>
    <t>1004-2017-00585Поставка Прокат стальной</t>
  </si>
  <si>
    <t>1004-2017-00583Поставка Комплект светодиодных светильников</t>
  </si>
  <si>
    <t>1004-2017-00582Поставка Комплект источников света</t>
  </si>
  <si>
    <t>1004-2017-00581Поставка Электротехнические изделия</t>
  </si>
  <si>
    <t>1004-2017-00580Поставка Электротехнические изделия</t>
  </si>
  <si>
    <t>1004-2017-00579Поставка Электротехнические изделия</t>
  </si>
  <si>
    <t>1004-2017-00578Поставка Электротехнические изделия</t>
  </si>
  <si>
    <t>1004-2017-00577Поставка Комплект пластиковых труб и фитингов</t>
  </si>
  <si>
    <t>1004-2017-00576Поставка Комплект пластиковых труб и фитингов</t>
  </si>
  <si>
    <t>1004-2017-00575Поставка Комплект труб для трубопровода</t>
  </si>
  <si>
    <t>1004-2017-00574Поставка Комплект строительных и отделочных материалов</t>
  </si>
  <si>
    <t>1004-2017-00573Поставка Комплект строительных и отделочных материалов</t>
  </si>
  <si>
    <t>1004-2017-00572Поставка Комплект строительных и отделочных материалов</t>
  </si>
  <si>
    <t>1004-2017-00571Поставка Комплект строительных и отделочных материалов</t>
  </si>
  <si>
    <t>1004-2017-00570Поставка  Цифровой полярископ StrainScope S3/180, Германия</t>
  </si>
  <si>
    <t>1004-2017-00569Поставка  Стереомикроскоп LynxS9, Великобритания</t>
  </si>
  <si>
    <t>1004-2017-00568Поставка Универсальный  отрезной станок Brillant 200, Германия</t>
  </si>
  <si>
    <t>1004-2017-00567Поставка Сушильный шкаф с естественной конвекцией ED 115, Германия</t>
  </si>
  <si>
    <t>1004-2017-00566Поставка Прибор для измерения краевого угла DSA 25E, Германия</t>
  </si>
  <si>
    <t>1004-2017-00565Поставка Прибор для измерения краевого угла DSA 25E, Германия</t>
  </si>
  <si>
    <t>1004-2017-00564Поставка Осцилограф цифровой HMO2024, Германия</t>
  </si>
  <si>
    <t>1004-2017-00563Поставка Осциллограф цифровой RTM 2024, Германия</t>
  </si>
  <si>
    <t>1004-2017-00562Поставка Комплекс видеоизмерительный на базе стереоскопического микроскопа Stemi 508, Германия</t>
  </si>
  <si>
    <t>1004-2017-00561Поставка Комплекс видеоизмерительный на базе светового микроскопа AxioSkope.A 1m, Германия</t>
  </si>
  <si>
    <t>1004-2017-00560Поставка Источник питания NGMO2, Германия</t>
  </si>
  <si>
    <t xml:space="preserve">1004-2017-00559Поставка Источник питания HMP2020, Германия </t>
  </si>
  <si>
    <t>1004-2017-00558Поставка Измеритель иммитаннса (RLC-метр) НM 8118, Германия</t>
  </si>
  <si>
    <t>1004-2017-00557Поставка Вольтметр универсальный (прецизионный мультиметр) HM8112-3, Германия</t>
  </si>
  <si>
    <t>1004-2017-00556Поставка Вакуумный сушильный шкаф VD 53 в комплекте. Германия</t>
  </si>
  <si>
    <t>1004-2017-00555Поставка Автоматическая установка микромонтажа FINEPLACER "micro", Германия</t>
  </si>
  <si>
    <t>1004-2017-00554Поставка Пылесос для чистых помещений Nilfisk IVT 1000CR, Дания</t>
  </si>
  <si>
    <t xml:space="preserve">1004-2017-00553Поставка Стереомикроскоп Stemi 508 в комплекте с рабочей станцией на базе ПК </t>
  </si>
  <si>
    <t>1004-2017-00552Поставка Микроскоп  Stemi 508 в комплекте. Китай</t>
  </si>
  <si>
    <t>1004-2017-00551Поставка Микроскоп  Stemi 508 в комплекте. Китай</t>
  </si>
  <si>
    <t>1004-2017-00550Поставка Осцилограф цифровой TDS2014C, Китай</t>
  </si>
  <si>
    <t>1004-2017-00549Поставка Осцилограф цифровой TDS2014C, Китай</t>
  </si>
  <si>
    <t>1004-2017-00548Поставка Автоматичсеский шкаф сухого хранения CATEC  DRY718ECD, Китай</t>
  </si>
  <si>
    <t>1004-2017-00547Поставка Четырёхканальный оптоволоконный спектрометр AvaSpec-ULS2048L-4-USB2, Нидерланды</t>
  </si>
  <si>
    <t>1004-2017-00546Поставка Установка распиловочная РОЗ-250 для обработки оптического стекла и стеклокерамики (РФ)</t>
  </si>
  <si>
    <t>1004-2017-00545Поставка Установка круглошлифовальная  КОЗ-100 для обработки оптического стекла и стеклокерамики (РФ)</t>
  </si>
  <si>
    <t>1004-2017-00544Поставка Статический гониометр СГ-1Ц</t>
  </si>
  <si>
    <t xml:space="preserve">1004-2017-00543Поставка Специальный фрезерный станок с УЧПУ для обработки деталей из ситалла модели ФС-300-05 в комплекте </t>
  </si>
  <si>
    <t>1004-2017-00542Поставка Рабочее место пайки и термической обработки "ножки" на основе вакуумной камерной печи</t>
  </si>
  <si>
    <t>1004-2017-00541Поставка Печь вакуумная "Вега-7"</t>
  </si>
  <si>
    <t>1004-2017-00540Поставка Контрольно-испытательное рабочее место КИС-20МТ модифицированное, (в комплекте.)</t>
  </si>
  <si>
    <t>1004-2017-00539Поставка Интерферометр для контроля на плану Opto TL-250 пл</t>
  </si>
  <si>
    <t>1004-2017-00538Поставка Шкаф общелабораторный металлический ЛАБ-PRO ШМЛ 60.50.195</t>
  </si>
  <si>
    <t>1004-2017-00537Поставка Шкаф общелабораторный металлический ЛАБ-PRO ШМЛ 60.50.195</t>
  </si>
  <si>
    <t>1004-2017-00536Поставка Шкаф металлический (1850x600x490) ШР-22-60 окраска RAL 7035, светло-серая</t>
  </si>
  <si>
    <t>1004-2017-00535Поставка Шкаф металлический (1850x500x400) ШРМ-11(400) окраска RAL 7035, светло-серая</t>
  </si>
  <si>
    <t>1004-2017-00534Поставка Шкаф для баллонов ЛАБ-PRO ШМБ 60.50.193</t>
  </si>
  <si>
    <t>1004-2017-00533Поставка Шкаф вытяжной ЛАБ-PRO ШВ 180.80.225SS</t>
  </si>
  <si>
    <t xml:space="preserve">1004-2017-00532Поставка Шкаф вытяжной ЛАБ- РRО ШВ  120.72.225 2П </t>
  </si>
  <si>
    <t>1004-2017-00531Поставка Шкаф вытяжной для работы с ЛВЖ  1500х750х231мм ЛАБ-PRO ШВЛВЖ 150.75.231 KG</t>
  </si>
  <si>
    <t>1004-2017-00530Поставка Шкаф архивный металлический 1850*850*500 мм ШХА-850(50) в комплекте.</t>
  </si>
  <si>
    <t>1004-2017-00529Поставка Шкаф - купе металлический  1800х450х2000 AL 2018</t>
  </si>
  <si>
    <t>1004-2017-00528Поставка Устройство очистки воздуха УОВ-1200</t>
  </si>
  <si>
    <t>1004-2017-00527Поставка Установка создания кольцевого He-Ne лазера на основе оптического резонатора лазерного гироскопа методом многоступенчатого технологического процесса с блоком сорбционной емкости в комплекте.</t>
  </si>
  <si>
    <t>1004-2017-00526Поставка Установка создания кольцевого He-Ne лазера на основе оптического резонатора лазерного гироскопа методом многоступенчатого технологического процесса в комплекте.</t>
  </si>
  <si>
    <t>1004-2017-00525Поставка Тумбочка инструментальная 1000х565х600 ВЛ-017</t>
  </si>
  <si>
    <t>1004-2017-00524Поставка Стул промышленный СТ-6 ( винтовой)</t>
  </si>
  <si>
    <t>1004-2017-00523Поставка Стул промышленный СТ-280ПК</t>
  </si>
  <si>
    <t>1004-2017-00522Поставка Стол-мойка ЛАБ-PRO-МО40 120.75.90</t>
  </si>
  <si>
    <t>1004-2017-00521Поставка Стол рабочий 1200х700х750  CP-12 Комфорт RAL-7035,  полка для оборудования ПО-12-3 RAL-7035, панель электромонтажная ЭПА-12 с освещением рабочей поверхности   ДЛ-12/А Комфорт, тумба подкатная ТП-01/S RAL-7035</t>
  </si>
  <si>
    <t xml:space="preserve">1004-2017-00520Поставка Стол промышленный рабочий 1500х700 СР-15-7серии КЛАССИК в комплекте. </t>
  </si>
  <si>
    <t>1004-2017-00519Поставка Стол монтажный рабочий «Классик» (1200x700) (в комплекте.)</t>
  </si>
  <si>
    <t>1004-2017-00518Поставка Стол лабораторный рабочий 1200х650х750мм ЛАБ-PRO СЛн 120.65.75LA</t>
  </si>
  <si>
    <t xml:space="preserve">1004-2017-00517Поставка Стол  с полкой под оборудование, дополнительной полкой под оборудование, панелью электромонтажной, панелью перфорированной стальной, освещением рабочей поверхности  Классик, VIKING ESD: СР18;   ПО-18-4; ПО-18/1-4; ЭПА-18; ПФП-18; ДЛ-18/А, 1800х700х1500 </t>
  </si>
  <si>
    <t>1004-2017-00516Поставка Статический гониометр СГ-1Ц  ООО "Научно-производственный комплекс "Диагностика" Оптико-механический блок 610*300*350 Электронный блок 260*200*80</t>
  </si>
  <si>
    <t>1004-2017-00515Поставка Прибор контрольно-испытательный ПКИ-6М-Т в комплекте.</t>
  </si>
  <si>
    <t xml:space="preserve">1004-02017-0514Поставка Потенциостат-гальваностат  P-40x </t>
  </si>
  <si>
    <t xml:space="preserve">1004-00513Поставка Подкатная стойка для оборудования в комплекте 680х460х1600 СТ-05 Комфорт </t>
  </si>
  <si>
    <t>1004-2017-00512Поставка Плита нагревательная LOIP-402 с алюминиевой поверхностью</t>
  </si>
  <si>
    <t>1004-2017-00511Поставка Печь ПМ-14М1-ТД-В муфельная (1200С, 15л, электронный самописец, Термодат 16Е3, с вытяжкой, керамика</t>
  </si>
  <si>
    <t>1004-00510Поставка Настольный трехкоординатный робот с сист. дозирования V2203-200, Россия</t>
  </si>
  <si>
    <t xml:space="preserve">1004-2017-00508Поставка Комплект оборудования для автоматизированной мойки оптических деталей, включая: _x000D_
набор кабелей и защитный кожух для защиты ультразвукового генератора -1 компл., штатный защитный бокс с вытяжной системой - 1шт., ванна с установленными ультразвуковыми излучателями, 40 кГц </t>
  </si>
  <si>
    <t>1004-2017-00507Поставка Комплект оборудования ДИМЕТ модель 421-С</t>
  </si>
  <si>
    <t>1004-2017-00506Поставка Комплекс оборудования для чистых и особо чистых помещений лечебно-профилактических учреждений КОЧ типа "Ламинар-С" 5000х2000х2100 мм класса 7ИСО</t>
  </si>
  <si>
    <t>1004-2017-00505Поставка Комплекс оборудования для чистых и особо чистых помещений лечебно-профилактических учреждений КОЧ "Ламинар-С" К.О.Ч.3.079.00.00.000 (1200х1200) Класс 5ИСО</t>
  </si>
  <si>
    <t>1004-2017-00504Поставка Комплекс оборудования для чистых и особо чистых помещений лечебно-профилактических учреждений КОЧ "Ламинар-С" К.О.Ч.3.078.00.00.000 (1800х4800) Класс 5ИСО</t>
  </si>
  <si>
    <t xml:space="preserve">1004-2017-00503Поставка Комплекс оборудования для чистых и особо чистых помещений лечебно-профилактических учреждений КОЧ "Ламинар-С" 6000 х 2800 х 2100 мм класса 7ИСО           </t>
  </si>
  <si>
    <t xml:space="preserve">1004-2017-00502Поставка Комплекс оборудования для чистых и особо чистых помещений лечебно-профилактических учреждений КОЧ "Ламинар-С" 5500х2500х2100 мм класса 7ИСО                                  </t>
  </si>
  <si>
    <t>1004-2017-00501 Поставка Комплекс оборудования для чистых и особо чистых помещений лечебно-профилактических учреждений КОЧ "Ламинар-С" 3000х2000х2100 мм класса 7ИСО</t>
  </si>
  <si>
    <t xml:space="preserve">1004-2017-00500Поставка Комплекс оборудования для чистых и особо чистых помещений лечебно-профилактических учреждений КОЧ "Ламинар-С" 3000х1500х2100 мм класса 7ИСО        </t>
  </si>
  <si>
    <t>1004-2017-00499Поставка Комплекс оборудования для чистых и особо чистых помещений лечебно-профилактических учреждений КОЧ "Ламинар-С" 3000х1500х2100 мм класса 5ИСО</t>
  </si>
  <si>
    <t>1004-2017-00498Поставка Комплекс оборудования для чистых и особо чистых помещений лечебно-профилактических учреждений КОЧ "Ламинар-С" 2000х1200х2100 мм класса 7ИСО</t>
  </si>
  <si>
    <t>1004-2017-00496Поставка Измеритель разности фаз Ф2-34</t>
  </si>
  <si>
    <t>1004-2017-00495Поставка Делитель напряжения 1:1000 ПКБР.441461.050</t>
  </si>
  <si>
    <t>1004-2017-00494Поставка Водородная печь двухколпаковая тип АПВД2.250х380х1350</t>
  </si>
  <si>
    <t>1004-2017-00493Поставка Верстак ВР-15Д в комплекте.</t>
  </si>
  <si>
    <t>1004-2017-00492Поставка Блок – УОД-1 ПКБР.426439.005 в комплекте.</t>
  </si>
  <si>
    <t>1004-2017-00491Поставка Автоматизированная лазерная установка ALFA-300AUTO в комплекте. Россия</t>
  </si>
  <si>
    <t>1004-2017-00490Поставка Стойка с индикатором часового типа МС 12</t>
  </si>
  <si>
    <t>1004-2017-00489Поставка Антистатический стул монтажный VKG C-300 ESD в комплекте.</t>
  </si>
  <si>
    <t>1004-2017-00488Поставка Электромеханический вибрационный стенд VS-5060M-H, Тайвань</t>
  </si>
  <si>
    <t>1004-2017-00487Поставка Линейный источник питания постоянного тока GPS-73030D, Тайвань</t>
  </si>
  <si>
    <t>1004-2017-00486Поставка Источник питания переменного тока APS-9301, Тайвань</t>
  </si>
  <si>
    <t>1004-2017-00485Поставка Камера тепла и холода МС-812R "ESPEC", Япония</t>
  </si>
  <si>
    <t>1004-2017-00484Поставка Система поиска течи  на базе безмаслянного гелиевого течеискателя ASM 340D</t>
  </si>
  <si>
    <t>1004-2017-00483Поставка Стул лабораторный специализированный 7NG 36GBLR 00 905, Франция</t>
  </si>
  <si>
    <t>1004-2017-00482Поставка Безмасляный масс-спектрометрический гелиевый течеискатель ASM 340D, Франция</t>
  </si>
  <si>
    <t xml:space="preserve">1004-2017-00481Поставка Рабочее место для технологических испытаний на базе 1-осевого стенда серии ADS-VK_0696 с камерой._x000D_
(Производства Acuitas AG, Швейцария)_x000D_
                                                                                                                             _x000D_
</t>
  </si>
  <si>
    <t xml:space="preserve">1004-2017-00479Поставка Одноосевой динамический испытательный стенд с вертикальной осью вращения  TES-4Vs, Изготовитель Acuitas AG, Швейцария </t>
  </si>
  <si>
    <t xml:space="preserve">1004-2017-00478Поставка Одноосевой динамический испытательный стенд  с горизонтальной осью вращения, с температурной камерой  ADS-HS_TM Изготовитель Acuitas AG, Швейцария в комплекте:_x000D_
</t>
  </si>
  <si>
    <t xml:space="preserve">1004-2017-00477Поставка Двухосный динамический испытательный стенд с температурной камерой TES-UT-H44_TM в комплекте. Изготовитель Acuitas AG, Швейцария </t>
  </si>
  <si>
    <t>1004-2017-00476Поставка Демонтаж-монтаж трубопроводов с заменой на полипропиленовые трубы с заменой запорной арматуры</t>
  </si>
  <si>
    <t xml:space="preserve">1004-2017-00475Выполнение работ по Замена трубопроводов отопления </t>
  </si>
  <si>
    <t xml:space="preserve">1004-2017-00474Выполнение работ по Замена 3-х сетевых насосов </t>
  </si>
  <si>
    <t xml:space="preserve">1004-2017-00473Выполнение работ поЗамена трубопровода хозяйственного водоснабжения </t>
  </si>
  <si>
    <t>1004-2017-00472Выполнение работ по Установка окон ПВХ</t>
  </si>
  <si>
    <t>1004-2017-00471Выполнение работ поЗамена остекления перехода ЛПК восточная сторона</t>
  </si>
  <si>
    <t xml:space="preserve">1004-2017-00470Выполнение работ поФОК "Узкое".  Реконструкция строения №2 </t>
  </si>
  <si>
    <t>1004-2017-00469Выполнение работ по Монтаж системы дымоудаления</t>
  </si>
  <si>
    <t>1004-2017-00467Выполнение работ поУстановка металлических ворот на КТП</t>
  </si>
  <si>
    <t>1004-2017-00466Выполнение работ поУстановка металлических дверных блоков в помещениях предприятия</t>
  </si>
  <si>
    <t>1004-2017-00465Выполнение работ по Замена аварийного остекления фасадов зданий предприятия</t>
  </si>
  <si>
    <t>1004-2017-00463Выполнение работ поЗамена лифтов в колличестве 3 штук</t>
  </si>
  <si>
    <t>1004-2017-00462Выполнение работ поЗамена въездных ворот на КПП 4</t>
  </si>
  <si>
    <t>1004-2017-00464Поставка Устройство двухскатной кровли здания КВЦ</t>
  </si>
  <si>
    <t>1004-2017-00455Поставка оборудование ля обработки информации ограниченного доступа</t>
  </si>
  <si>
    <t>1004-2017-00454Поставка Периметральная радиолучевая охранная сиситема</t>
  </si>
  <si>
    <t>1004-2017-00453ПоставкаСистема охранного видеонаблюдения предприятия</t>
  </si>
  <si>
    <t>1004-2017-00452Поставка Коллиматор внеосевой параболический зеркальный ВК-2000</t>
  </si>
  <si>
    <t>1004-2017-00451ГПоставкарафический мультиметр FLUKE 289</t>
  </si>
  <si>
    <t>1004-2017-00450Поставка Осцилограф высокочастотный LECROY WaveSurfer 10R</t>
  </si>
  <si>
    <t>1004-2017-00449Поставка Газовый Лазер ГН-5П</t>
  </si>
  <si>
    <t>1004-2017-00448Поставка Отсчетный блок Ophir Vega ROHS</t>
  </si>
  <si>
    <t>1004-2017-00447Поставка Пироэлектрическая головка OPHIR PE50BF-DIFH-C</t>
  </si>
  <si>
    <t>1004-2017-00446Поставка Измеритель профиля луча BGS-USB-SP620U</t>
  </si>
  <si>
    <t xml:space="preserve">1004-2017-00445Поставка Измеритель RCL AM 3010 </t>
  </si>
  <si>
    <t>1004-2017-00444Поставка Частотомер Ч3-85/5</t>
  </si>
  <si>
    <t>1004-2017-00443Поставка Вибростенд VSH-100-1</t>
  </si>
  <si>
    <t>1004-2017-00442Поставка Ламинарный бокс БАВнп-01-"Ламинар-с"1.2.МЭ</t>
  </si>
  <si>
    <t>1004-2017-00441Поставка Монитор черно-белый, аналоговый 12-15 дюймовый, разрешение не менее 9000 точек по строке</t>
  </si>
  <si>
    <t>1004-2017-00440Поставка Источник питания Б5-77 КИП</t>
  </si>
  <si>
    <t xml:space="preserve">1004-2017-00439Поставка Рабочий шкаф для документации ЛАБ   ПРО-ШМД   </t>
  </si>
  <si>
    <t>1004-2017-00438Поставка т Установка дисковой резки типа ADT 7100, Израиль</t>
  </si>
  <si>
    <t xml:space="preserve">1004-2017-00437Поставка Вакуумно-напылительная установка для термического нанесения припоев (In, AgSn, SnAu) типа Cryofox Discovеry 400              </t>
  </si>
  <si>
    <t xml:space="preserve">1004-2017-00436Поставка Лабораторный стол с боксом с ламинарным потоком Purifier Clean Bench </t>
  </si>
  <si>
    <t>1004-2017-00435Поставка Шкафы газобалонные для установки ионно-химического травления</t>
  </si>
  <si>
    <t>1004-2017-00434Поставка Шкафы газобалонные для установки ионно-химического травления</t>
  </si>
  <si>
    <t xml:space="preserve">1004-2017-00433Поставка Лабораторный стол с боксом с ламинарным потоком Purifier Clean Bench </t>
  </si>
  <si>
    <t xml:space="preserve">1004-2017-00432Поставка Установка химико-механической полировки Logittech PM-5            </t>
  </si>
  <si>
    <t xml:space="preserve">1004-2017-00431Поставка Установка электронно-лучевого напыления оптических покрытий с ионным ассистированием  Ortus-700         </t>
  </si>
  <si>
    <t>1004-2017-00430Поставка Шкаф вытяжной модульный универсальный для сборочных операций 14 шт.</t>
  </si>
  <si>
    <t xml:space="preserve">1004-2017-00429Поставка Установка вакуумной пайки с большим реактором и смещаемым нагревателем VLO-6   </t>
  </si>
  <si>
    <t xml:space="preserve">1004-2017-00427Поставка Шкаф сушильный вакуумный СНВС-25/3,5В      </t>
  </si>
  <si>
    <t>1004-2017-00426Поставка Машина контактной сварки МРК-3501</t>
  </si>
  <si>
    <t xml:space="preserve">1004-2017-00425Поставка Рабочее место герметизации          </t>
  </si>
  <si>
    <t>1004-2017-00424Поставка Рабочее место склейки</t>
  </si>
  <si>
    <t xml:space="preserve">1004-2017-00423Поставка Система лазерной маркировки ТурбоМаркер-В50. </t>
  </si>
  <si>
    <t>1004-2017-00422Поставка Специализированная установка финишной обработки герметичных изделий</t>
  </si>
  <si>
    <t xml:space="preserve">1004-2017-00421Поставка Рабочее место контроля параметров фотодиодов    </t>
  </si>
  <si>
    <t xml:space="preserve">1004-2017-00420Поставка Рабочее место промежуточного контроля (тип 2) </t>
  </si>
  <si>
    <t>1004-2017-00419Поставка Рабочее место промежуточного контроля (тип 1)</t>
  </si>
  <si>
    <t>1004-2017-00418Поставка Рабочее место нанесения фоторезиста</t>
  </si>
  <si>
    <t xml:space="preserve">1004-2017-00417Поставка Установка фотолитографии ЭМ-576МЭС-2    </t>
  </si>
  <si>
    <t xml:space="preserve">1004-2017-00416Поставка Рабочее место микросборки (тип 2)   </t>
  </si>
  <si>
    <t xml:space="preserve">1004-2017-00415Поставка Рабочее место микросборки (тип 1)  </t>
  </si>
  <si>
    <t>1004-2017-00414Поставка Станок намоточный универсальный СУН-0,6</t>
  </si>
  <si>
    <t>1004-2017-00413Поставка Видеосистема высокого разрешения Hirox KH-7700</t>
  </si>
  <si>
    <t>1004-2017-00412Поставка Микроскоп стереоскопический Альтами СМК 1865-Т</t>
  </si>
  <si>
    <t>1004-2017-00411Поставка Установка магнетронного напыления омических контактов. На базе установки ATIS</t>
  </si>
  <si>
    <t>1004-2017-00410Поставка Установка магнетронного RF напыления оптических покрытий. На базе установки ASPIRA</t>
  </si>
  <si>
    <t>23.13.13</t>
  </si>
  <si>
    <t xml:space="preserve">27.33  </t>
  </si>
  <si>
    <t xml:space="preserve">27.33.1   </t>
  </si>
  <si>
    <t>27.90.31</t>
  </si>
  <si>
    <t>31.09.11</t>
  </si>
  <si>
    <t>24.43.3</t>
  </si>
  <si>
    <t>Федеральный закон № 261-ФЗ от 23 ноября 2009 года «Об энергосбережении и о повышении энергетической эффективности и о внесении изменений в отдельные законодательные акты Российской Федерации».</t>
  </si>
  <si>
    <t>в соответствии с ТУ</t>
  </si>
  <si>
    <t xml:space="preserve"> соответствии с требованиями заказчика</t>
  </si>
  <si>
    <t>71.20.4</t>
  </si>
  <si>
    <t>71.20.13.110</t>
  </si>
  <si>
    <t xml:space="preserve"> В соответствии с закупочной документацией</t>
  </si>
  <si>
    <t>24.45.1</t>
  </si>
  <si>
    <t>24.45.23.130</t>
  </si>
  <si>
    <t xml:space="preserve"> В соответствии с требованиями Технического задания (Приложение №1 к Договору)</t>
  </si>
  <si>
    <t xml:space="preserve">В соответствии с ТЗ </t>
  </si>
  <si>
    <t>В соответствии с требованиями установленными заказчиком по чертежам.</t>
  </si>
  <si>
    <t>26.11.2.</t>
  </si>
  <si>
    <t>АЕЯР.432120.557 ТУ, ПБВК.745441.002</t>
  </si>
  <si>
    <t>АЕЯР.431230.645 ТУ</t>
  </si>
  <si>
    <t>АЕЯР.432120.185ТУ, АЕЯР.432120.554ТУ, АЕЯР.432140.519ТУ</t>
  </si>
  <si>
    <t>АЕЯР.432120.290ТУ, аА0.339.438ТУ, аА0.339.301ТУ, АЕЯР.431320.420ТУ</t>
  </si>
  <si>
    <t>АЕЯР.432120.702ТУ, АЕЯР.432140.561ТУ, АЕЯР.431420.742-01ТУ, АЕЯР.431340.771ТУ, АЕЯР.431340.367ТУ</t>
  </si>
  <si>
    <t>АЕЯР.432140.640ТУ, АЕЯР.432140.273ТУ, АЕЯР.432140.686ТУ, АЕЯР.431420.808ТУ, АЕНВ.431310.128ТУ</t>
  </si>
  <si>
    <t>АЕЯР.431280.910ТУ</t>
  </si>
  <si>
    <t>ОЖО.464.230ТУ</t>
  </si>
  <si>
    <t>БКЮС.430609.002-01 ТУ</t>
  </si>
  <si>
    <t>АЕЯР.431100-280-13 ТУ</t>
  </si>
  <si>
    <t>20.13.13</t>
  </si>
  <si>
    <t>ТУ 0271-001-45905715-02; ТУ 783-2010</t>
  </si>
  <si>
    <t>ГОСТ 12652-74; ТУ 6-05-810-88; ТУ 6-06-142-90; ТУ 6-05-988-87</t>
  </si>
  <si>
    <t>20.14.1</t>
  </si>
  <si>
    <t>20.14.11.119</t>
  </si>
  <si>
    <t>ГОСТ 29265-91</t>
  </si>
  <si>
    <t>20.59.43.120</t>
  </si>
  <si>
    <t>ТУ 2422-011-11490846-07</t>
  </si>
  <si>
    <t>ГОСТ 22032-76 (DIN 975); DIN 968; DIN 6923</t>
  </si>
  <si>
    <t>24.20.13</t>
  </si>
  <si>
    <t>46.7</t>
  </si>
  <si>
    <t>28.25.14.120</t>
  </si>
  <si>
    <t>26.20.40.110</t>
  </si>
  <si>
    <t>71.20.19.190</t>
  </si>
  <si>
    <t>Дозиметрический контроль установок с ИИИ, оценка физических факторов, подготовка и оформление документов для получения СЭЗ.</t>
  </si>
  <si>
    <t>согласно ГОСТ/ТУ</t>
  </si>
  <si>
    <t>В соответствии с техническим заданием,ГОСТам и ТУ.</t>
  </si>
  <si>
    <t>22.19.6</t>
  </si>
  <si>
    <t>22.19.60</t>
  </si>
  <si>
    <t>23.91</t>
  </si>
  <si>
    <t>23.91.1</t>
  </si>
  <si>
    <t>26.51.52</t>
  </si>
  <si>
    <t>1004-2017-00996</t>
  </si>
  <si>
    <t>1004-2017-00997</t>
  </si>
  <si>
    <t>1004-2017-00998</t>
  </si>
  <si>
    <t>1004-2017-00999</t>
  </si>
  <si>
    <t>1004-2017-01000</t>
  </si>
  <si>
    <t>1004-2017-01001</t>
  </si>
  <si>
    <t>1004-2017-01002</t>
  </si>
  <si>
    <t>1004-2017-01003</t>
  </si>
  <si>
    <t>1004-2017-01004</t>
  </si>
  <si>
    <t>1004-2017-01005</t>
  </si>
  <si>
    <t>1004-2017-01006</t>
  </si>
  <si>
    <t>1004-2017-01007</t>
  </si>
  <si>
    <t>1004-2017-01008</t>
  </si>
  <si>
    <t>1004-2017-01009</t>
  </si>
  <si>
    <t>1004-2017-01010</t>
  </si>
  <si>
    <t>1004-2017-01011</t>
  </si>
  <si>
    <t>1004-2017-01012</t>
  </si>
  <si>
    <t>1004-2017-01013</t>
  </si>
  <si>
    <t>1004-2017-01014</t>
  </si>
  <si>
    <t>1004-2017-01015</t>
  </si>
  <si>
    <t>1004-2017-01016</t>
  </si>
  <si>
    <t>1004-2017-01017</t>
  </si>
  <si>
    <t>1004-2017-01018</t>
  </si>
  <si>
    <t>1004-2017-01019</t>
  </si>
  <si>
    <t>1004-2017-01020</t>
  </si>
  <si>
    <t>1004-2017-01021</t>
  </si>
  <si>
    <t>1004-2017-01022</t>
  </si>
  <si>
    <t>1004-2017-01023</t>
  </si>
  <si>
    <t>1004-2017-01024</t>
  </si>
  <si>
    <t>1004-2017-01025</t>
  </si>
  <si>
    <t>1004-2017-01026</t>
  </si>
  <si>
    <t>1004-2017-01027</t>
  </si>
  <si>
    <t>1004-2017-01028</t>
  </si>
  <si>
    <t>1004-2017-01029</t>
  </si>
  <si>
    <t>1004-2017-01030</t>
  </si>
  <si>
    <t>1004-2017-01031</t>
  </si>
  <si>
    <t>1004-2017-01032</t>
  </si>
  <si>
    <t>1004-2017-01033</t>
  </si>
  <si>
    <t>1004-2017-01034</t>
  </si>
  <si>
    <t>1004-2017-01035</t>
  </si>
  <si>
    <t>1004-2017-01036</t>
  </si>
  <si>
    <t>1004-2017-01037</t>
  </si>
  <si>
    <t>1004-2017-01038</t>
  </si>
  <si>
    <t>1004-2017-01039</t>
  </si>
  <si>
    <t>1004-2017-01040</t>
  </si>
  <si>
    <t>1004-2017-01041</t>
  </si>
  <si>
    <t>1004-2017-01042</t>
  </si>
  <si>
    <t>1004-2017-01043</t>
  </si>
  <si>
    <t>1004-2017-01044</t>
  </si>
  <si>
    <t>1004-2017-01045</t>
  </si>
  <si>
    <t>1004-2017-01046</t>
  </si>
  <si>
    <t>1004-2017-01047</t>
  </si>
  <si>
    <t>1004-2017-01048</t>
  </si>
  <si>
    <t>1004-2017-01049</t>
  </si>
  <si>
    <t>1004-2017-01050</t>
  </si>
  <si>
    <t>1004-2017-01051</t>
  </si>
  <si>
    <t>1004-2017-01052</t>
  </si>
  <si>
    <t>1004-2017-01053</t>
  </si>
  <si>
    <t>1004-2017-01054</t>
  </si>
  <si>
    <t>1004-2017-01055</t>
  </si>
  <si>
    <t>1004-2017-01056</t>
  </si>
  <si>
    <t>1004-2017-01057</t>
  </si>
  <si>
    <t>1004-2017-01058</t>
  </si>
  <si>
    <t>1004-2017-01059</t>
  </si>
  <si>
    <t>1004-2017-01060</t>
  </si>
  <si>
    <t>1004-2017-01061</t>
  </si>
  <si>
    <t>1004-2017-01062</t>
  </si>
  <si>
    <t>1004-2017-01063</t>
  </si>
  <si>
    <t>1004-2017-01064</t>
  </si>
  <si>
    <t>1004-2017-01065</t>
  </si>
  <si>
    <t>1004-2017-01066</t>
  </si>
  <si>
    <t>1004-2017-01067</t>
  </si>
  <si>
    <t>1004-2017-01068</t>
  </si>
  <si>
    <t>1004-2017-01069</t>
  </si>
  <si>
    <t>1004-2017-01070</t>
  </si>
  <si>
    <t>1004-2017-01071</t>
  </si>
  <si>
    <t>1004-2017-01072</t>
  </si>
  <si>
    <t>1004-2017-01073</t>
  </si>
  <si>
    <t>1004-2017-01074</t>
  </si>
  <si>
    <t>1004-2017-01075</t>
  </si>
  <si>
    <t>1004-2017-01076</t>
  </si>
  <si>
    <t>1004-2017-01077</t>
  </si>
  <si>
    <t>1004-2017-01078</t>
  </si>
  <si>
    <t>1004-2017-01079</t>
  </si>
  <si>
    <t>1004-2017-01080</t>
  </si>
  <si>
    <t>1004-2017-01081</t>
  </si>
  <si>
    <t>1004-2017-01082</t>
  </si>
  <si>
    <t>1004-2017-01083</t>
  </si>
  <si>
    <t>1004-2017-01084</t>
  </si>
  <si>
    <t>1004-2017-01085</t>
  </si>
  <si>
    <t>1004-2017-01086</t>
  </si>
  <si>
    <t>1004-2017-01087</t>
  </si>
  <si>
    <t>1004-2017-01088</t>
  </si>
  <si>
    <t>1004-2017-01089</t>
  </si>
  <si>
    <t>1004-2017-01086 Поставка очистителей гидридных газов</t>
  </si>
  <si>
    <t>1004-2017-01085 Поставка триметилгаллия, триметилиндия, триметилалюминия, диэтилцинка</t>
  </si>
  <si>
    <t xml:space="preserve">1004-2017-01084 Поставка арсина </t>
  </si>
  <si>
    <t>1004-2017-01083 Поставка триметилгаллия, триметилиндия, триметилалюминия, диэтилцинка</t>
  </si>
  <si>
    <t xml:space="preserve">1004-2017-01082 Поставка арсина </t>
  </si>
  <si>
    <t>1004-2017-01080 Поставка подложек арсенида галлия</t>
  </si>
  <si>
    <t>1004-2017-01079 Поставка подложек фосфида индия</t>
  </si>
  <si>
    <t>1004-2017-01078 Поставка подложек арсенида галлия</t>
  </si>
  <si>
    <t>1004-2017-01077 Поставка триметилгаллия, триметилиндия, триметилалюминия, диэтилцинка</t>
  </si>
  <si>
    <t>1004-2017-01076 Поставка триметилгаллия, триэтилгаллия, триметилиндия, триметилалюминия, диэтилцинка, ди(циклопентадиенил)магния</t>
  </si>
  <si>
    <t>1004-2017-01075 Поставка триметилгаллия, триэтилгаллия, триметилиндия, триметилалюминия, диэтилцинка, ди(циклопентадиенил)магния</t>
  </si>
  <si>
    <t>1004-2017-01074 Поставка арсина и фосфина</t>
  </si>
  <si>
    <t>1004-2017-01073 Поставка арсина и фосфина</t>
  </si>
  <si>
    <t>1004-2017-01072 Поставка арсина и фосфина</t>
  </si>
  <si>
    <t>1004-2017-01061Поставка цветных металлов</t>
  </si>
  <si>
    <t>1004-2017-01060 Поставка химической продукции</t>
  </si>
  <si>
    <t>1004-2017-01059 Подготовка и оформление документов для получения санитарно-эпидемиологического заключения на работы с ИИИ. Получение санитарно-эпидемиологического заключения на работы с ИИИ.</t>
  </si>
  <si>
    <t>1004-2017--01058 Поставка хладонов</t>
  </si>
  <si>
    <t>1004-2017--01056 Проведение испытнаний гетеролазеров на длину волны 0,64 мкм с мощностью излучения до 100м Вт на стойкость к воздействию специальных факторов</t>
  </si>
  <si>
    <t>1004-2017-01053 Поставка источника импульсного питания APEL-M-5PDC-1000-2</t>
  </si>
  <si>
    <t>1004-2017-01052 Поставка абсорбционного газоочистителя (скруббера) CLEANSORB PRIMELINE CS200PS, в комплекте: абсорбционная колонна CC200SA, абсорбционная колонна CC025SA, стойка с системой управления и питания</t>
  </si>
  <si>
    <t>1004-2017-01048 Поставка крепежных изделий</t>
  </si>
  <si>
    <t>1004-2017-01047 Поставка хладоносителя</t>
  </si>
  <si>
    <t>1004-2017-01046 Поставка хладонов</t>
  </si>
  <si>
    <t>1004-2017-01045 Поставка электроизоляционных материалов</t>
  </si>
  <si>
    <t>1004-2017-01044 Поставка изотопов гелия и неона</t>
  </si>
  <si>
    <t>1004-2017-01025 Оказание услуг по проведению периодической аттестации   испытательного оборудования :1)  двухосевой динамический стенд AC 2267-TCМ (заводской № 21240);2)  двухосевой динамический стенд AC 2247-TCM (заводской № 21283); 3)  двухосевой динамический стенд AC 2267-TCM (заводской № 21330);4)трехосевой динамический стенд AC 3367(заводской № 21331).</t>
  </si>
  <si>
    <t>1004-2017-01024 выполнение строительно-монтажных работ по реализации проектных решений в разделах силовое электроснабжения, электроосвещения; технологические газы; помещение №141; СКС; СКУД; автоматическая установка пожарной сигнализации, оповещения о пожаре, управления инженерными системами при пожаре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t>
  </si>
  <si>
    <t>1004-2017-01023 выполнение строительно-монтажных работ по реализации проектных решений в разделах система водоснабжения и водоотведения; отопления, вентиляции и кондиционирования, тепловые сети; автоматизация систем вентиляции и кондиционирования; пусконаладочные работы в части реконструкции и технического перевооружения в  Лабораторном корпусе для создания участков производства лазерных датчиков  в АО "НИИ "Полюс" им. М.Ф. Стельмаха"</t>
  </si>
  <si>
    <t>1004-2017-01022 выполнение строительно-монтажных работ по реализации проектных решений в разделах архитектурные решения, конструктивно-планировочные решения (по разделам: проемы, окна, окна пом. 326, прочие работы кровля)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t>
  </si>
  <si>
    <t>1004-2017--01021 выполнение строительно-монтажных работ по реализации проектных решений в разделах архитектурные решения, конструктивно-планировочные решения (по разделам: демонтажные работы, полы, стены, потолок)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t>
  </si>
  <si>
    <t>1004-2017-01020 выполнение строительно-монтажных работ по реализации проектных решений в разделах архитекрурные решения, конструктивно-планировочные решения; автоматизация систем вентиляции и кондиционирования; технологические газы; СКС; СКУД; автоматическая установка пожарной сигнализации, оповещения о пожаре, управления инженерными системами при пожаре с целью создания производственного участка в Лабораторно-производственном корпусе в АО "НИИ "Полюс" им. М.Ф. Стельмаха"</t>
  </si>
  <si>
    <t>1004-2017-01019 выполнение строительно-монтажных работ по реализации проектных решений в разделах  силовое электроснабжение, электроосвещение; система водоснабжения и водоотведения; отопления, вентиляции и кондиционирования, тепловые сети; пусконаладочные работы с целью создания производственного участка в Лабораторно-производственном корпусе в АО "НИИ "Полюс" им. М.Ф. Стельмаха"</t>
  </si>
  <si>
    <t>1004-2017-01018 выполнение строительно-монтажных работ  по реализации проектных решений в разделах силовое электроснабжение, электроосвещение; система водоснабжения и водоотведения; отопление, вентиляция и кондиционирование, тепловые сети; автоматизация систем вентиляции и кондиционирования; технологические газы, технические и специальные; СКС; СКУД; автоматическая установка пожарной сигнализации; пусколадочные работы  с целью создания производственного участка в Производственном корпусе в АО "НИИ "Полюс" им. М.Ф. Стельмаха"</t>
  </si>
  <si>
    <t>1004-2017-01017 выполнение строительно-монтажных работ  по реализации проектных решений в разделах архитектурные решения, конструктивные и планировочные решения; узлы усиления с целью создания производственного участка в Производственном корпусе в АО "НИИ "Полюс" им. М.Ф. Стельмаха"</t>
  </si>
  <si>
    <t>1004-2017-01015 на оказание услуг по проведению энергетического обследования и составлению энергетического паспорта</t>
  </si>
  <si>
    <t>1004-2017-01014 Услуга по организации отдыха 50 детей в детском оздоровительном лагере "салют"</t>
  </si>
  <si>
    <t>1004-2017-01007 Проведение историко-культурной экспертизы земельного участка, принадлежащего АО "НИИ "полюс" им. М.Ф.Стельмаха" и расположенного по адресу: г. Москва, ул. Введенского , д.3, стр.1, подлежащего воздействию земельных, строительных. Хозяйственных и иных работ в ходе реализации программы ФЦП-1. путем проведения археологической разведки в порядке установленном в ст.45.1 ФЗ от 25.06.2002г. №73-ФЗ. Получение заключения государственной историко-культурной экспертизы по документации, полученной на основе археологических полевых работ</t>
  </si>
  <si>
    <t>491054,64российских рублей</t>
  </si>
  <si>
    <t>187000российских рублей</t>
  </si>
  <si>
    <t>151200российских рублей</t>
  </si>
  <si>
    <t>303076,42российских рублей</t>
  </si>
  <si>
    <t>154507,23российских рублей</t>
  </si>
  <si>
    <t>2289200российских рублей</t>
  </si>
  <si>
    <t>240720российских рублей</t>
  </si>
  <si>
    <t>270889,57российских рублей</t>
  </si>
  <si>
    <t>498198,31российских рублей</t>
  </si>
  <si>
    <t>750938,33российских рублей</t>
  </si>
  <si>
    <t>703668российских рублей</t>
  </si>
  <si>
    <t>2818507,88российских рублей</t>
  </si>
  <si>
    <t>3863863,15российских рублей</t>
  </si>
  <si>
    <t>20000000российских рублей</t>
  </si>
  <si>
    <t>7000000российских рублей</t>
  </si>
  <si>
    <t>1528200российских рублей</t>
  </si>
  <si>
    <t>528880российских рублей</t>
  </si>
  <si>
    <t>33000000российских рублей</t>
  </si>
  <si>
    <t>40500000российских рублей</t>
  </si>
  <si>
    <t>46700000российских рублей</t>
  </si>
  <si>
    <t>47500000российских рублей</t>
  </si>
  <si>
    <t>37800000российских рублей</t>
  </si>
  <si>
    <t>37200000российских рублей</t>
  </si>
  <si>
    <t>49500000российских рублей</t>
  </si>
  <si>
    <t>49000000российских рублей</t>
  </si>
  <si>
    <t>1340000российских рублей</t>
  </si>
  <si>
    <t>5212654,72российских рублей</t>
  </si>
  <si>
    <t>2502000российских рублей</t>
  </si>
  <si>
    <t>667644российских рублей</t>
  </si>
  <si>
    <t>36670,37российских рублей</t>
  </si>
  <si>
    <t>453061российских рублей</t>
  </si>
  <si>
    <t>116997российских рублей</t>
  </si>
  <si>
    <t>197314,17российских рублей</t>
  </si>
  <si>
    <t>266818,19российских рублей</t>
  </si>
  <si>
    <t>1044006,16российских рублей</t>
  </si>
  <si>
    <t>302174,4российских рублей</t>
  </si>
  <si>
    <t>193520российских рублей</t>
  </si>
  <si>
    <t>278000российских рублей</t>
  </si>
  <si>
    <t>216265российских рублей</t>
  </si>
  <si>
    <t>280000российских рублей</t>
  </si>
  <si>
    <t>780000российских рублей</t>
  </si>
  <si>
    <t>260000российских рублей</t>
  </si>
  <si>
    <t>129652,58российских рублей</t>
  </si>
  <si>
    <t>138395,37российских рублей</t>
  </si>
  <si>
    <t>455181,82российских рублей</t>
  </si>
  <si>
    <t>15500000российских рублей</t>
  </si>
  <si>
    <t>190000российских рублей</t>
  </si>
  <si>
    <t>3000000российских рублей</t>
  </si>
  <si>
    <t>2968567,93российских рублей</t>
  </si>
  <si>
    <t>886925,73российских рублей</t>
  </si>
  <si>
    <t>300000российских рублей</t>
  </si>
  <si>
    <t>501088,92российских рублей</t>
  </si>
  <si>
    <t>283767,65российских рублей</t>
  </si>
  <si>
    <t>36000российских рублей</t>
  </si>
  <si>
    <t>383677российских рублей</t>
  </si>
  <si>
    <t>358544,33российских рублей</t>
  </si>
  <si>
    <t>135803,4российских рублей</t>
  </si>
  <si>
    <t>530700,34российских рублей</t>
  </si>
  <si>
    <t>450000российских рублей</t>
  </si>
  <si>
    <t>191400российских рублей</t>
  </si>
  <si>
    <t>1492700российских рублей</t>
  </si>
  <si>
    <t>1289150российских рублей</t>
  </si>
  <si>
    <t>1764100российских рублей</t>
  </si>
  <si>
    <t>837500российских рублей</t>
  </si>
  <si>
    <t>874000российских рублей</t>
  </si>
  <si>
    <t>1122000российских рублей</t>
  </si>
  <si>
    <t>12300000российских рублей</t>
  </si>
  <si>
    <t>1263000российских рублей</t>
  </si>
  <si>
    <t>1040000российских рублей</t>
  </si>
  <si>
    <t>525005российских рублей</t>
  </si>
  <si>
    <t>882050российских рублей</t>
  </si>
  <si>
    <t>412700российских рублей</t>
  </si>
  <si>
    <t>678500российских рублей</t>
  </si>
  <si>
    <t>301800российских рублей</t>
  </si>
  <si>
    <t>1074995российских рублей</t>
  </si>
  <si>
    <t>1845822,24российских рублей</t>
  </si>
  <si>
    <t>1004623,73российских рублей</t>
  </si>
  <si>
    <t>ООО "Протон""</t>
  </si>
  <si>
    <t>М-43-2017</t>
  </si>
  <si>
    <t>162769,2 российских рублей</t>
  </si>
  <si>
    <t>45</t>
  </si>
  <si>
    <t>2017.630-3-1</t>
  </si>
  <si>
    <t>2017.630/3-2</t>
  </si>
  <si>
    <t>5261000011</t>
  </si>
  <si>
    <t>ФГУП «ФНПЦ НИИИС им. Ю.Е. Седакова»</t>
  </si>
  <si>
    <t>1316187143511010347000616/199-25/561</t>
  </si>
  <si>
    <t>1004-2017-01089 Поставка Материалы для монтажа кондиционеров – 1 комплект</t>
  </si>
  <si>
    <t>1004-2017-01088 Поставка Металлические сплавы</t>
  </si>
  <si>
    <t>1004-2017-01087 Поставка Металлические сплавы</t>
  </si>
  <si>
    <t>1004-2017-01081Поставка  Регуляторы расхода газа</t>
  </si>
  <si>
    <t>1004-2017-01071Поставка  Лампы ИНП-2/30М1</t>
  </si>
  <si>
    <t>1004-2017-01070 Поставка Расходные материалы для монтажа сплит-систем</t>
  </si>
  <si>
    <t>1004-2017-01069 Поставка Комплект радиоизмерительных приборов и монтажного оборудования</t>
  </si>
  <si>
    <t>1004-2017-01068Поставка  Комплект радиоизмерительных приборов</t>
  </si>
  <si>
    <t xml:space="preserve">1004-2017-01067 Поставка Отрезные алмазные бескорпусные диски </t>
  </si>
  <si>
    <t>1004-2017-01066Поставка  Комплект мебели</t>
  </si>
  <si>
    <t xml:space="preserve">1004-2017-01065 Поставка Насос 2НВР-90Д </t>
  </si>
  <si>
    <t>1004-2017-01064 Поставка металлические сплавы</t>
  </si>
  <si>
    <t>1004-2017-01063 Поставка Диэлектрические изделия(перчатки, ковры,галоши)</t>
  </si>
  <si>
    <t>1004-201701062 -Поставка Картриджи механической очистки, картриджи угольные, корпуса контейнера</t>
  </si>
  <si>
    <t>1004-2017-01057 Поставка Сантехнические материалы</t>
  </si>
  <si>
    <t>1004-2017-01055 Поставка Узел ультрафиолетовой стерилизации УФС-160-15</t>
  </si>
  <si>
    <t>1004-2017-01054 Поставка Узел корректировки рН "УКК-1600-8,8" ТУ4859.012.27572664.16, Ресивер согласующий "РС-1000-500-М" ТУ4859.013.27572664.16, Ресивер расходный "РР-500-400-М" ТУ4859.014.27572664.16</t>
  </si>
  <si>
    <t>1004-2017-01051Поставка  Стальные трубы</t>
  </si>
  <si>
    <t>1004-2017-01050 Поставка Металлические сплавы</t>
  </si>
  <si>
    <t>1004-2017-01049 Поставка Металлические сплавы</t>
  </si>
  <si>
    <t>1004-2017-01043Поставка  микросхема</t>
  </si>
  <si>
    <t>1004-2017-01042 Поставка модули питания  МДМ8-2Е0512В</t>
  </si>
  <si>
    <t>1004-2017-01041 Поставка конденсаторы</t>
  </si>
  <si>
    <t>1004-2017-01040 Поставка микросхема</t>
  </si>
  <si>
    <t>1004-2017-01039 Поставка транзисторы, микросхемы</t>
  </si>
  <si>
    <t>1004-2017-01038Поставка  диоды, транзисторы, микросхемы</t>
  </si>
  <si>
    <t>1004-2017--01037Поставка  диоды, микросхемы</t>
  </si>
  <si>
    <t>1004-2017-01036 Поставка диоды, транзисторы</t>
  </si>
  <si>
    <t>1004-2017-01035 Поставка микросхема</t>
  </si>
  <si>
    <t>1004-2017-01034 Поставка диодная сборка с прижимом</t>
  </si>
  <si>
    <t>1004-2017-01033Поставка  Металлические сплавы</t>
  </si>
  <si>
    <t>1004-2017-01032 Поставка Печатные платы для изд. МТ-401</t>
  </si>
  <si>
    <t>1004-2017-01031 Поставка Катушка ЖГДК.671128.034СБ</t>
  </si>
  <si>
    <t xml:space="preserve">1004-2017-01030 Поставка Изготовление и поставка комплектов механических деталей для изд. МТД </t>
  </si>
  <si>
    <t>1004-2017-01029 Поставка Изготовление и поставка комплектов механических деталей для изд. МТД (с излучателем)</t>
  </si>
  <si>
    <t>1004-2017-01028 Поставка Кристалл ЖГДК.432245.006</t>
  </si>
  <si>
    <t>1004-2017--01027 Поставка Система лазерной маркировки «Турбо-Маркер» В50</t>
  </si>
  <si>
    <t>1004-2017-01026 Поставка холоднокатаная лента из прецизионного магнитно-мягкого сплава 80НМ (Лента-0,5х250-80НМ).</t>
  </si>
  <si>
    <t>1004-2017-01016 Поставка Комплект деталей модуля ПОМ, комплеккт деталей модуля ПРОМ, корпус ПОМ с интегрированной СВЧ втулкой, корпус ПРОМ с интегрированной СВЧ влулкой</t>
  </si>
  <si>
    <t>1004-2017-01013 Поставка Видеосистема высокого разрешения  KH-8700</t>
  </si>
  <si>
    <t>1004-2017-01012 Поставка ЭРИ</t>
  </si>
  <si>
    <t>1004-2017-01011 Поставка ЭРИ</t>
  </si>
  <si>
    <t>1004-2017-01010Поставка  Оптические детали</t>
  </si>
  <si>
    <t>1004-2017-01009Поставка  Оптические детали(реставрация)</t>
  </si>
  <si>
    <t>1004-2017-01008 Поставка пластины  монокристаллического арсенида галлия  марки  АГНК; АГП</t>
  </si>
  <si>
    <t>1004-2017-01006 Поставка Комплект радиоизмерительных приборов</t>
  </si>
  <si>
    <t>1004-2017-01005 Поставка Комплект промышленной мебели</t>
  </si>
  <si>
    <t>1004-2017-01004 Поставка Шкафы металлические</t>
  </si>
  <si>
    <t>1004-2017-01003 Поставка Узел ультрафиолетовой стерилизации УФС-160-15</t>
  </si>
  <si>
    <t>1004-2017-01002Поставка  Узел корректировки рН "УКК-1600-8,8" ТУ4859.012.27572664.16, Ресивер согласующий "РС-1000-500-М" ТУ4859.013.27572664.16, Ресивер расходный "РР-500-400-М" ТУ4859.014.27572664.16</t>
  </si>
  <si>
    <t>1004-2017-01001 Поставка Двухканальная цифровая ремонтная паяльная станция DDST SET2  1к-т</t>
  </si>
  <si>
    <t>1004-2017-01000  Поставка  Комплект частотных преобразователей Веспер 1 к-т</t>
  </si>
  <si>
    <t xml:space="preserve">1004-2017-00999  Поставка  комплект электротехнических изделий </t>
  </si>
  <si>
    <t xml:space="preserve">1004-2017-00998 Поставка   Насос 2НВР-90Д </t>
  </si>
  <si>
    <t>1004-2017- 00996  Поставка  Ситалл СО-115М</t>
  </si>
  <si>
    <t>1004-2017-00995 Поставка Структура эпитаксиальная германиевая ЭГС-39-1а</t>
  </si>
  <si>
    <t>1004-2017-00994 Поставка Изделия электроустановочные</t>
  </si>
  <si>
    <t xml:space="preserve">1004-2017-00993 Поставка Элеткронные компоненты (конденсаторы, терморезисторы, микросхемы) </t>
  </si>
  <si>
    <t>1004-2017-00992 Поставка Структура эпитаксиальная германиевая ЭГС-39-1а</t>
  </si>
  <si>
    <t xml:space="preserve">1004-2017-00991 Поставка Микросхема Б1407 УД3 </t>
  </si>
  <si>
    <t>1004-2017-00990 Поставка Транзисторы 2П308В-1/ДА АЕЯР.432140.526 ТУ</t>
  </si>
  <si>
    <t>1004-2017-00989 Поставка Конденсаторы К53-68</t>
  </si>
  <si>
    <t xml:space="preserve">1004-2017-00988 Поставка фотодиод  ЖГДК.432231.052-01, излучатель ЖГДК.433751.092-01 </t>
  </si>
  <si>
    <t>1004-2017-00987 Поставка Комплектующие материалы</t>
  </si>
  <si>
    <t>1004-2017-00986 Поставка Печатные платы для изд. МТ-401</t>
  </si>
  <si>
    <t>1004-2017-00985 Поставка Катушка ЖГДК.671128.034СБ</t>
  </si>
  <si>
    <t xml:space="preserve">1004-2017-00984 Изготовление и поставка комплектов механических деталей для изд. МТД </t>
  </si>
  <si>
    <t>1004-2017-00983 Изготовление и поставка комплектов механических деталей для изд. МТД (с излучателем)</t>
  </si>
  <si>
    <t>1004-2017-00981 Поставка конденсаторы</t>
  </si>
  <si>
    <t>1004-2017-00980 Поставка Электроды ЭК1</t>
  </si>
  <si>
    <t>1004-2017-00978 Поставка триметилгаллия, триэтилгаллия, триметилиндия, триметилалюминия, диэтилцинка</t>
  </si>
  <si>
    <t xml:space="preserve">1004-2017-00977 Поставка арсина </t>
  </si>
  <si>
    <t>1004-2017-00976 Услуги по диагностике и ремонту    универсального обрабатывающего центра ULTRASONIC 20 linear (заводской №  11790002477)</t>
  </si>
  <si>
    <t>1004-2017-00975 Поставка комплект электротехнических изделий</t>
  </si>
  <si>
    <t>1004-2017-00974 оказание услуг Кадастровые работы по изготовлению технических планов объектов недвижимого имущества (внесение в данные ЕГРН сведений о планировке помещений, расположенных в зданиях по адресам: г. Москва, ул. Введенского, д. 3, к.1; д. 3, к. 1, стр. 1; д. 3, к. 2; д. 3, к. 4; д. 3, к. 5; д. 3, к. 8, общей площадью 6 327 кв.м.) с целью последующей регистрации договоров аренды на помещения, находящиеся в границах этих объектов)</t>
  </si>
  <si>
    <t>1004-2017-00973 Услуги по диагностике и ремонту    универсального обрабатывающего центра ULTRASONIC 20 linear (заводской №  11790002477)</t>
  </si>
  <si>
    <t xml:space="preserve">1004-2017-00972 Поставка Комплект частотных преобразователей </t>
  </si>
  <si>
    <t xml:space="preserve">1004-2017-00971 Поставка Двухканальная цифровая ремонтная паяльная станция с дополнительными принадлежностями </t>
  </si>
  <si>
    <t>1004-2017-00970 Программное обеспечение для системы управления виброиспытаними ВС-301</t>
  </si>
  <si>
    <t>1004-2017-00969 Поставка Комплект промышленной мебели</t>
  </si>
  <si>
    <t>1004-2017-00968 Оказание услуг по ремонт 3-з компонентов модулей в составе:вычислительный модуль ПИРЩ.468157,013, блок сбора данных ПИРШ.467444.006</t>
  </si>
  <si>
    <t>1004-2017-00967 Поставка Прецизионный автомат продольного точеная щвейцарского типа с ЧПУ, противошпинделем и функциями сверления и фрезерования</t>
  </si>
  <si>
    <t xml:space="preserve">1004-2017-00966 Поставка Комплект оптического оборудования с проведением пуско-наладочных работ и поверкой </t>
  </si>
  <si>
    <t>1004-2017-00965 Поставка Комплект оптического оборудования с проведением пуско-наладочных работ и поверкой</t>
  </si>
  <si>
    <t xml:space="preserve">1004-2017-00964 Поставка Металлографический микроскоп ММН-2 </t>
  </si>
  <si>
    <t>1004-2017-00963 Поставка Ламинарный бокс БАВнп-01-«Ламинар-С»-1.2   1 шт.</t>
  </si>
  <si>
    <t>1004-2017-00962 Поставка Газовый лазер 6 
ГН-5П с общепромышленным источником питания 6 шт.</t>
  </si>
  <si>
    <t>1004-2017-00961 Поставка Осциллограф MSOX 3024A, Keysight Technologies  с поверкой 3 шт.</t>
  </si>
  <si>
    <t>1004-2017-00960 Поставка Комплект радиоизмерительных приборов  1 к-т.</t>
  </si>
  <si>
    <t xml:space="preserve">1004-2017-00959 Поставка Датчик пироэлектрический PE50-С – 2 шт., </t>
  </si>
  <si>
    <t>1004-2017-00958 Поставка Датчик пироэлектрический PE50 BF-DIFH-C – 6 шт., датчик пироэлектрический PE100 BF-DIF-C – 1 шт., дисплей ВЕГА – 3 шт.</t>
  </si>
  <si>
    <t>1004-2017-00957 Поставка Заготовки из ситалла СО-33М (165х165х50 мм)</t>
  </si>
  <si>
    <t>1004-2017-00956 Оказание услуг пр Корректировка проектно-сметной документации, получение положительного заключения по результатам проведения государственной экспертизы, разработка рабочей документации "Реконструкция и техническое перевооружение производства" АО "НИИ "Полюс" им. М.Ф. Стельмаха."</t>
  </si>
  <si>
    <t>1004-2017-00955 оказание услуг по организации летнего детского оздоровительного отдыха для детей сотрудников предприятия</t>
  </si>
  <si>
    <t>1004-2017-00954 Поставка электронной платы 2-х канальной (4-2-мА) для газоанализатора МХ52, датчика газа OLCT100 (Н2, 0-100%НКПР), ячеек газа SIH4 для датчика OLCT20/40, ячеек газа РН3 для датчика OLCT20/40, ячеек газа ASH3 для датчика OLCT20/40, датчика газа СТХ300 (ASH3, 0-1 ppm)</t>
  </si>
  <si>
    <t>1004-2017-00953 Поставка химической продукции</t>
  </si>
  <si>
    <t>1004-2017-00952 Поставка Электродвигатели</t>
  </si>
  <si>
    <t>1004-2017-00951 Поставка Диоды, микросхемы</t>
  </si>
  <si>
    <t>1004-2017-00950 Поставка Микросхемы</t>
  </si>
  <si>
    <t>1004-2017-00949 Поставка лампы импульсные</t>
  </si>
  <si>
    <t>1004-2017-00948 Поставка Металлические сплавы</t>
  </si>
  <si>
    <t>1004-2017-00947 Поставка Металлопрокат</t>
  </si>
  <si>
    <t>1004-2017-00946  Поставка Металлические сплавы</t>
  </si>
  <si>
    <t>1004-2017-00945 Поставка Изделия оптические из кристаллов ниобата лития</t>
  </si>
  <si>
    <t>1004-2017-00944 Поставка и закупка комплектующих для копировально-множительных аппаратов</t>
  </si>
  <si>
    <t>1004-2017-00943 Оказание усгуг сервисное обслуживание копировально-множительных аппаратов</t>
  </si>
  <si>
    <t>1004-2017-00942 Поставка и закупка переплетных обложек</t>
  </si>
  <si>
    <t>1004-2017-00941 Поставка и закупка кальки рулонной</t>
  </si>
  <si>
    <t>1004-2017-00940 поставка тонера и бункера для отработанного тонера для копировально-множительной техники</t>
  </si>
  <si>
    <t>1004-2017-00939 Поставка Корпус ЖГДК.301172.013 и Кожух ЖГДК.305143.001 (без покрытия)</t>
  </si>
  <si>
    <t>1004-2017-00938 Поставка Корпус ЖГДК.301172.013 и Кожух ЖГДК.305143.001 (без покрытия)</t>
  </si>
  <si>
    <t>1004-2017-00937 Поставка Корпус ЖГДК.301172.013 и Кожух ЖГДК.305143.001 (без покрытия)</t>
  </si>
  <si>
    <t>1004-2017-00936 Поставка Корпус ЖГДК.469333.005</t>
  </si>
  <si>
    <t>1004-2017-00935 Поставка Печатные платы ЖГДК.758773.012</t>
  </si>
  <si>
    <t>1004-2017-00934 Поставка Печатные платы ЖГДК.758773.012</t>
  </si>
  <si>
    <t>1004-2017-00933 Поставка Печатные платы ЖГДК.758773.012</t>
  </si>
  <si>
    <t>1004-2017-00932 Поставка Печатные платы ЖГДК.758773.011</t>
  </si>
  <si>
    <t>1004-2017-00931 Поставка Печатные платы ЖГДК.758773.011</t>
  </si>
  <si>
    <t>1004-2017-00930 Поставка Кристалл ЖГДК.432245.006</t>
  </si>
  <si>
    <t>1004-2017-00929 Поставка Кристалл ЖГДК.432245.006</t>
  </si>
  <si>
    <t>1004-2017-00928 Поставка Кристалл ЖГДК.432245.006</t>
  </si>
  <si>
    <t>1004-2017-00927 Поставка Кристалл ЖГДК.432245.006</t>
  </si>
  <si>
    <t>1004-2017-00926 Поставка Кристалл ЖГДК.432245.006</t>
  </si>
  <si>
    <t>1004-2017-00925 Поставка Структура эпитаксиальная германиевая ЭГС-39-2а</t>
  </si>
  <si>
    <t xml:space="preserve">1004-2017-00924 Поставка Модуль фоточувствительный  ЖГДК.432231.047 Излучатель ЖГДК. 433751.072 </t>
  </si>
  <si>
    <t>1004-2017-00923 Поставка Структура эпитаксиальная германиевая ЭГС-39-2а</t>
  </si>
  <si>
    <t>1004-2017-00922 Поставка Дроссель ДМ-0,1-100-5/5В</t>
  </si>
  <si>
    <t>1004-2017-00921 Поставка Транзисторы          2Т354Б1-2</t>
  </si>
  <si>
    <t>1004-2017-00920 Поставка Расходные материалы для монтажа сплит-систем</t>
  </si>
  <si>
    <t>1004-2017-00919 Поставка Сплит-системы</t>
  </si>
  <si>
    <t>1004-2017-00918 Оказание Образовательной услуги</t>
  </si>
  <si>
    <t>1004-2017-00917 Поставка и Изготовление инженерно-топографического плана М1:2000 по имеющимся материалам для предпроектных проработок санитарно-защитной зоны по объекту: НИИ "Полюс" им М.Ф. Стельмаха</t>
  </si>
  <si>
    <t>1004-2017-00916 Поставка лампы ИНП 2-3/25</t>
  </si>
  <si>
    <t>1004-2017-00915 УКЛАДКА АСФАЛЬТОВОГО ПОКРЫТИЯ</t>
  </si>
  <si>
    <t>1004-2017-00914 Поставка Фотошаблон Э51-ТВ127,Фотошаблон Э51-ТВ128</t>
  </si>
  <si>
    <t>1004-2017-00913 Поставка пластин из монокристаллического синтетического корунда полированных с двух сторон</t>
  </si>
  <si>
    <t>1004-2017-00912 Поставка деталейКрышка ЖГДК.732227.015 ;корпус ЖГДК.732227.016накладка  ЖГДК.711113.009; ручка ЖГДК.711143.031;  ручка ЖГДК.711143.032</t>
  </si>
  <si>
    <t>1004-2017-00911 Поставка арсина высокочистого 99,9999%</t>
  </si>
  <si>
    <t>1004-2017-00910 Оказание услуг по Внесение записей о размещении дополнительного выпуска ценных бумаг и предоставление уведомления об операции, проведенной по лицевому счету.</t>
  </si>
  <si>
    <t>1004-2017-00909 Поставка комплект электротехнических изделий</t>
  </si>
  <si>
    <t>1004-2017-00908 Поставка комплект электротехнических изделий</t>
  </si>
  <si>
    <t>1004-2017-00907 Поставка Транзисторы 2Т3129А9, 2Т3130А9</t>
  </si>
  <si>
    <t>1004-2017-00906 Поставка Кабель соединительный ОС-РС 28/1-1/0 ВВК-2,2+/-0,1</t>
  </si>
  <si>
    <t>44</t>
  </si>
  <si>
    <t>ОАО "Завод "Реконд"</t>
  </si>
  <si>
    <t>ДП-64/17</t>
  </si>
  <si>
    <t>1831079259</t>
  </si>
  <si>
    <t>ООО "ЗМТ"</t>
  </si>
  <si>
    <t>1470-17</t>
  </si>
  <si>
    <t>1474-17</t>
  </si>
  <si>
    <t>1473-17</t>
  </si>
  <si>
    <t>1469-17</t>
  </si>
  <si>
    <t>13.06.2017й</t>
  </si>
  <si>
    <t>1472-17</t>
  </si>
  <si>
    <t>7714972558</t>
  </si>
  <si>
    <t>ГБУ "Мосгоргеотрест"</t>
  </si>
  <si>
    <t>Э/498-17</t>
  </si>
  <si>
    <t>7701984274</t>
  </si>
  <si>
    <t>219 015,85российских рублей</t>
  </si>
  <si>
    <t>224738-1</t>
  </si>
  <si>
    <t>407</t>
  </si>
  <si>
    <t>И-016-03-2017, 07.06.2017</t>
  </si>
  <si>
    <t>И-016-04-2017 от 08.06.2017</t>
  </si>
  <si>
    <t>5026000300</t>
  </si>
  <si>
    <t>Акционерное общество «Лыткаринский завод оптического стекла»</t>
  </si>
  <si>
    <t>34-2017</t>
  </si>
  <si>
    <t>ООО "ТЕЛАМ"</t>
  </si>
  <si>
    <t>408</t>
  </si>
  <si>
    <t>1 500 000российских рублей</t>
  </si>
  <si>
    <t>ООО "ЦНИИ ЛОТ""</t>
  </si>
  <si>
    <t>ООО "УРАЛ-ПРЕСС ЛИДЕР""</t>
  </si>
  <si>
    <t>ООО "ПИРАМИД ВАКУУМ""</t>
  </si>
  <si>
    <t>АО 'НПП 'ЭСТО'</t>
  </si>
  <si>
    <t>ООО "ТУЛА-ТЕРМ""</t>
  </si>
  <si>
    <t>627 800 российских рублей</t>
  </si>
  <si>
    <t>Общество с ограниченной ответственностью «ПромЦветМет»</t>
  </si>
  <si>
    <t>ООО "ЛОГИКА""</t>
  </si>
  <si>
    <t>2481</t>
  </si>
  <si>
    <t>2447</t>
  </si>
  <si>
    <t>2480</t>
  </si>
  <si>
    <t>88</t>
  </si>
  <si>
    <t>2.1</t>
  </si>
  <si>
    <t>5027106028</t>
  </si>
  <si>
    <t>АО "НПП "ЭлТом"</t>
  </si>
  <si>
    <t>9320187309521010128000004-145-П-2017 от 23.06.2017</t>
  </si>
  <si>
    <t>1538612,87 российских рублей</t>
  </si>
  <si>
    <t>7736520080</t>
  </si>
  <si>
    <t>Публичное акционерное общество «Мосэнергосбыт»</t>
  </si>
  <si>
    <t>Э-01-3102</t>
  </si>
  <si>
    <t>20.06.21017</t>
  </si>
  <si>
    <t>224738</t>
  </si>
  <si>
    <t>5056004905</t>
  </si>
  <si>
    <t>ООО "МЕТИНВЕСТ""</t>
  </si>
  <si>
    <t>17-349</t>
  </si>
  <si>
    <t>4014131,21 российских рублей</t>
  </si>
  <si>
    <t>А-01-3298</t>
  </si>
  <si>
    <t>3629609,82 российских рублей</t>
  </si>
  <si>
    <t>А-01-4653</t>
  </si>
  <si>
    <t>7731481038</t>
  </si>
  <si>
    <t>ООО "Остек-АртТул""</t>
  </si>
  <si>
    <t>9 690 000российских рублей</t>
  </si>
  <si>
    <t xml:space="preserve"> 
7731481038
</t>
  </si>
  <si>
    <t>17-345/660</t>
  </si>
  <si>
    <t>4233934,00российских рублей</t>
  </si>
  <si>
    <t>ООО "РТ-ИНОФРМ"</t>
  </si>
  <si>
    <t>ЗаказчикООО "РТ-ИНОФРМ"</t>
  </si>
  <si>
    <t>68-04-17</t>
  </si>
  <si>
    <t>ООО "ПРОФИЛЬДООР""</t>
  </si>
  <si>
    <t>1004-2017-00982  Установка металлических дверей ЭК</t>
  </si>
  <si>
    <t>691516,45российских рублей</t>
  </si>
  <si>
    <t>ООО 'НИИ КМ'</t>
  </si>
  <si>
    <t>2017.15530</t>
  </si>
  <si>
    <t>Общество с ограниченной ответственностью ТД "Абсолют"</t>
  </si>
  <si>
    <t>2017.14312</t>
  </si>
  <si>
    <t>ООО "Цветные металлы и сплавы""</t>
  </si>
  <si>
    <t>05.06.2017</t>
  </si>
  <si>
    <t>2017.14310</t>
  </si>
  <si>
    <t>ООО 'Актив-Сэплай'</t>
  </si>
  <si>
    <t>2017.14309</t>
  </si>
  <si>
    <t>ООО "Офисная техника Джетком""</t>
  </si>
  <si>
    <t>2017.14308</t>
  </si>
  <si>
    <t xml:space="preserve"> 
ООО 'Альфа-Тест' 
</t>
  </si>
  <si>
    <t>2017.12789</t>
  </si>
  <si>
    <t>ООО "ТД "ЭСКО""</t>
  </si>
  <si>
    <t>2017.12788</t>
  </si>
  <si>
    <t>ООО ЛОМО-Микроанализ</t>
  </si>
  <si>
    <t>2017.12787</t>
  </si>
  <si>
    <t>ООО "Компания Хеликон""</t>
  </si>
  <si>
    <t>2017.14307</t>
  </si>
  <si>
    <t>Акционерное общество 'ПЛАЗМА'</t>
  </si>
  <si>
    <t>2017.12786</t>
  </si>
  <si>
    <t>2017.12785</t>
  </si>
  <si>
    <t>2017.12783</t>
  </si>
  <si>
    <t>1617187341051452466001870-17-354-330</t>
  </si>
  <si>
    <t>7702070139</t>
  </si>
  <si>
    <t>ПАО Банк "ВТБ"</t>
  </si>
  <si>
    <t>80625000российских рублей</t>
  </si>
  <si>
    <t>1004-2017-00979 Инвестиционный кредит</t>
  </si>
  <si>
    <t>4260</t>
  </si>
  <si>
    <t>7910896российских рублей</t>
  </si>
  <si>
    <t>3234043140</t>
  </si>
  <si>
    <t>ЗАО "Группа Кремний Эл"</t>
  </si>
  <si>
    <t>1319187304951422209000041-1170032-10</t>
  </si>
  <si>
    <t>5402546039</t>
  </si>
  <si>
    <t>АО "НЗПП с ОКБ"</t>
  </si>
  <si>
    <t>3664122185</t>
  </si>
  <si>
    <t>ЗАО "МЭЛ""</t>
  </si>
  <si>
    <t>5027206569</t>
  </si>
  <si>
    <t>ООО "АМАРО-ТК""</t>
  </si>
  <si>
    <t>17-329-630</t>
  </si>
  <si>
    <t>101394957</t>
  </si>
  <si>
    <t>ЗАО "Аэромаш"</t>
  </si>
  <si>
    <t>141</t>
  </si>
  <si>
    <t>140</t>
  </si>
  <si>
    <t>ЗАО "ЦНИТИ "Техномаш-ВОС"</t>
  </si>
  <si>
    <t>08/2017</t>
  </si>
  <si>
    <t>17-307-630</t>
  </si>
  <si>
    <t>227622,00российских рублей</t>
  </si>
  <si>
    <t>7721166661</t>
  </si>
  <si>
    <t>2017-32</t>
  </si>
  <si>
    <t>9638</t>
  </si>
  <si>
    <t>7733904017</t>
  </si>
  <si>
    <t>ООО "Столичный центр экологии"</t>
  </si>
  <si>
    <t>17-319-983</t>
  </si>
  <si>
    <t>7710658037</t>
  </si>
  <si>
    <t>ООО "Результат-Аудит"</t>
  </si>
  <si>
    <t>540-151</t>
  </si>
  <si>
    <t>7840422875</t>
  </si>
  <si>
    <t>ООО "ОЭС Спецпоставка""</t>
  </si>
  <si>
    <t>435714,55российских рублей</t>
  </si>
  <si>
    <t>27-17-Д</t>
  </si>
  <si>
    <t>1 634 418 российских рублей</t>
  </si>
  <si>
    <t>978-17</t>
  </si>
  <si>
    <t>5334</t>
  </si>
  <si>
    <t>153 796,4 российских рублей</t>
  </si>
  <si>
    <t>EP17042600022</t>
  </si>
  <si>
    <t>977-17</t>
  </si>
  <si>
    <t>1004-2017-00752Выполнение СЧ ОКР шифр "Ангстрем-КНИТУ"</t>
  </si>
  <si>
    <t>30 300 000российских рублей</t>
  </si>
  <si>
    <t>1655018804</t>
  </si>
  <si>
    <t>Федеральное государственное бюджетное образовательное учреждение высшего професионального образования "Казанский национальный исследовательский технологический университет"</t>
  </si>
  <si>
    <t>25000000российских рублей</t>
  </si>
  <si>
    <t>7729689776</t>
  </si>
  <si>
    <t>ООО "НТЦ "Практика"</t>
  </si>
  <si>
    <t>151 915 российских рублей</t>
  </si>
  <si>
    <t>88/70004139572</t>
  </si>
  <si>
    <t>2128000600</t>
  </si>
  <si>
    <t>ЗАО "ЧЭАЗ""</t>
  </si>
  <si>
    <t>1004-2017-007533Выполнение составной части опытно-конструкторской работы шифр  "Ангстрем-МонАлиТ"</t>
  </si>
  <si>
    <t>5008006211</t>
  </si>
  <si>
    <t>Федеральное государственное автономное образовательное учреждение высшего образования "МФТИ"</t>
  </si>
  <si>
    <t>177055996339160001551/170119/470</t>
  </si>
  <si>
    <t>3304016777</t>
  </si>
  <si>
    <t>ООО 'ТехноКварц'</t>
  </si>
  <si>
    <t>08-29-2017</t>
  </si>
  <si>
    <t>258029,66 российских рублей</t>
  </si>
  <si>
    <t>17705596339160010100-17-353-330</t>
  </si>
  <si>
    <t>17-355-330</t>
  </si>
  <si>
    <t>1770559633916001256017-356-330</t>
  </si>
  <si>
    <t>3887439,87российских рублей</t>
  </si>
  <si>
    <t>01-5940</t>
  </si>
  <si>
    <t>1564290,22 российских рублей</t>
  </si>
  <si>
    <t>Э-01-4286</t>
  </si>
  <si>
    <t>2017.8694</t>
  </si>
  <si>
    <t>2017.8695</t>
  </si>
  <si>
    <t>2017.8696</t>
  </si>
  <si>
    <t>2017.8585</t>
  </si>
  <si>
    <t>67</t>
  </si>
  <si>
    <t>08-2017</t>
  </si>
  <si>
    <t>ООО"РКТ-инжиниринг""</t>
  </si>
  <si>
    <t>2017.12782</t>
  </si>
  <si>
    <t>19472Евро</t>
  </si>
  <si>
    <t>ООО НПК «Ольдам»</t>
  </si>
  <si>
    <t>2017.11306</t>
  </si>
  <si>
    <t>2017.11305</t>
  </si>
  <si>
    <t>1 187 100 российских рублей</t>
  </si>
  <si>
    <t>ООО "ИД "ИНТЕРВЕСТНИК""</t>
  </si>
  <si>
    <t>2017.10542</t>
  </si>
  <si>
    <t>Общество с ограниченной ответственностью "ЕвроЛэйз""</t>
  </si>
  <si>
    <t>2017.10541</t>
  </si>
  <si>
    <t>2017.15529</t>
  </si>
  <si>
    <t>589 108,62российских рублей</t>
  </si>
  <si>
    <t>ООО "Техмет""</t>
  </si>
  <si>
    <t>2017.10588</t>
  </si>
  <si>
    <t>АО 'ИЗОЛЮКС'</t>
  </si>
  <si>
    <t>2017.10540</t>
  </si>
  <si>
    <t>2017.15528</t>
  </si>
  <si>
    <t>ООО 'ПилотПро'</t>
  </si>
  <si>
    <t>2017.10539</t>
  </si>
  <si>
    <t>ООО ШВАБЕ-МЕДИА</t>
  </si>
  <si>
    <t>2017.10538</t>
  </si>
  <si>
    <t>30 993 332,98 российских рублей</t>
  </si>
  <si>
    <t>ООО "ИЗОКВАНТ""</t>
  </si>
  <si>
    <t>12 205 889 российских рублей</t>
  </si>
  <si>
    <t>ООО "ЭмЭсЭйч Техно Москва""</t>
  </si>
  <si>
    <t>14 200 000российских рублей</t>
  </si>
  <si>
    <t>Акционерное общество "СТТ ГРУП""</t>
  </si>
  <si>
    <t>2017.16286</t>
  </si>
  <si>
    <t>13 100 000российских рублей</t>
  </si>
  <si>
    <t>2017.16285</t>
  </si>
  <si>
    <t>АО "СТТ ГРУП""</t>
  </si>
  <si>
    <t>438 758,09российских рублей</t>
  </si>
  <si>
    <t>2017.17545</t>
  </si>
  <si>
    <t>2017.17540</t>
  </si>
  <si>
    <t>2017.17542</t>
  </si>
  <si>
    <t>2017.6588</t>
  </si>
  <si>
    <t>2017.8700</t>
  </si>
  <si>
    <t>103 352,31 российских рублей</t>
  </si>
  <si>
    <t>2017.8698</t>
  </si>
  <si>
    <t>2017.16293</t>
  </si>
  <si>
    <t>2017.16294</t>
  </si>
  <si>
    <t>2017.16292</t>
  </si>
  <si>
    <t>2017.17546</t>
  </si>
  <si>
    <t>1004-2017-00402Доработка функциональности и техническое обслуживание программно-информационного комплекса системы автоматизированного учета на базе продукта "1С: Управление производственным предприятием 8, ред.1.3."</t>
  </si>
  <si>
    <t>3 300 000российских рублей</t>
  </si>
  <si>
    <t>7728636669</t>
  </si>
  <si>
    <t>Общество с ограниченной ответственностью "Сигм плюс инжиниринг"</t>
  </si>
  <si>
    <t>95-2017</t>
  </si>
  <si>
    <t>17-358-330</t>
  </si>
  <si>
    <t>17-359-330</t>
  </si>
  <si>
    <t>357-330</t>
  </si>
  <si>
    <t>17-360-330</t>
  </si>
  <si>
    <t>22.22</t>
  </si>
  <si>
    <t>26.70.4</t>
  </si>
  <si>
    <t>27.90.60.000</t>
  </si>
  <si>
    <t>24.44.26.110</t>
  </si>
  <si>
    <t>АЖЯР.673541.012 ТУ, АЖЯР.673546.007 ТУ, АЖЯР.673546. 008 ТУ</t>
  </si>
  <si>
    <t>28.13.28.000</t>
  </si>
  <si>
    <t>28.13.2</t>
  </si>
  <si>
    <t>26.51.4</t>
  </si>
  <si>
    <t>25.93.15</t>
  </si>
  <si>
    <t>31.01.1</t>
  </si>
  <si>
    <t>45.19.39</t>
  </si>
  <si>
    <t>28.22.15.120</t>
  </si>
  <si>
    <t>ЖГДК 433751.030 ТУ</t>
  </si>
  <si>
    <t>41.20.40.000</t>
  </si>
  <si>
    <t>31.01.12</t>
  </si>
  <si>
    <t>согласно требованиям заказчик</t>
  </si>
  <si>
    <t>22.23.15</t>
  </si>
  <si>
    <t>28.49.4</t>
  </si>
  <si>
    <t>28.49.23.191</t>
  </si>
  <si>
    <t>Осуществить ремонт стола поворотного в соответствии с техническим регламентомпроизводителя, подтвердить востановление технических и точностных характеристик, вернуть заказчику соответствующим образом упакованным</t>
  </si>
  <si>
    <t>В соответствии с техническим заданием.</t>
  </si>
  <si>
    <t xml:space="preserve">В соответствии с техническим заданием. </t>
  </si>
  <si>
    <t>Качество поставляемого товара должно подтверждаться скан-копиями сертификатов качества и сертификатов соответствия, и оригиналами сертификатов качества и сертификатов соответствия в момент поставки Товара</t>
  </si>
  <si>
    <t>27.40.1</t>
  </si>
  <si>
    <t>ГЕО.364.241 ТУ</t>
  </si>
  <si>
    <t>АСЛР.434410.022 ТУ, АСЛР.434410.023 ТУ, ОЮО.364.044 ТУ</t>
  </si>
  <si>
    <t>бло.445.000 ТУ</t>
  </si>
  <si>
    <t>АЕЯР.432140.492 ТУ</t>
  </si>
  <si>
    <t>26.11.21.130</t>
  </si>
  <si>
    <t>аА0.336.419 ТУ</t>
  </si>
  <si>
    <t>19.20.29.212</t>
  </si>
  <si>
    <t>Производитель Logitech Ltd., Великобритания (артикул 0CON-141)</t>
  </si>
  <si>
    <t>АЕЯР.431100.280-13ТУ</t>
  </si>
  <si>
    <t>ТУ6329-001-07604008-02</t>
  </si>
  <si>
    <t>аАО.339.076ТУ Д1, аАО.339.375ТУ, бКО.347.098 ТУ7, бКО.347.098ТУ2</t>
  </si>
  <si>
    <t xml:space="preserve">АЖЯР.673541.012 ТУ, АЖЯР.673546.007 ТУ,АЖЯР.673546.008 ТУ </t>
  </si>
  <si>
    <t xml:space="preserve">ОСТ 160..515.007-74 ТУ </t>
  </si>
  <si>
    <t>797</t>
  </si>
  <si>
    <t>Сто штук</t>
  </si>
  <si>
    <t>Поставляемый товар должен быть произведен на территории РФ, что должно подтверждаться скан-копиями сертификатов качества и сертификатов о происхождении товара в момент подачи заявки, и оригиналами сертификатов качества и сертификатов о происхождении товара в момент поставки.</t>
  </si>
  <si>
    <t>25.99.29</t>
  </si>
  <si>
    <t>Литр; Кубический дециметр</t>
  </si>
  <si>
    <t>65.12.2</t>
  </si>
  <si>
    <t>65.12.49.000</t>
  </si>
  <si>
    <t>данный поставщик должен быть согласован и одобрен кредитором - Банком ВТБ (ПАО)</t>
  </si>
  <si>
    <t>35.30.12.110</t>
  </si>
  <si>
    <t>АЕЯР.432140.640ТУ, АЕЯР.432140.273ТУ, АЕЯР.432140.686ТУ, АЕЯР.431420.808ТУ</t>
  </si>
  <si>
    <t>25.73.30.299</t>
  </si>
  <si>
    <t>28.41.21</t>
  </si>
  <si>
    <t>Услуги по подключению Заказчика к АС ИБАК оказываются на основании заявок Заказчика  в течение 10 (Десяти) рабочих дней с момента начала их оказания. Доступность системы 96,71% (т.е. система может быть недоступна не более 24 часов в месяц). Допустимое время потери данных (RPO) – 12 часовНепрерывность Допустимое время восстановления (RTO) – 4 часаВремя проведения регламентных работ не включается в расчет доступности.</t>
  </si>
  <si>
    <t>в соответствии с договором</t>
  </si>
  <si>
    <t>350 000 00</t>
  </si>
  <si>
    <t>1004-2017-01090</t>
  </si>
  <si>
    <t>1004-2017-01091</t>
  </si>
  <si>
    <t>1004-2017-01092</t>
  </si>
  <si>
    <t>1004-2017-01093</t>
  </si>
  <si>
    <t>1004-2017-01094</t>
  </si>
  <si>
    <t>1004-2017-01095</t>
  </si>
  <si>
    <t>1004-2017-01096</t>
  </si>
  <si>
    <t>1004-2017-01097</t>
  </si>
  <si>
    <t>1004-2017-01098</t>
  </si>
  <si>
    <t>1004-2017-01099</t>
  </si>
  <si>
    <t>1004-2017-01100</t>
  </si>
  <si>
    <t>1004-2017-01101</t>
  </si>
  <si>
    <t>1004-2017-01102</t>
  </si>
  <si>
    <t>1004-2017-01103</t>
  </si>
  <si>
    <t>1004-2017-01104</t>
  </si>
  <si>
    <t>1004-2017-01105</t>
  </si>
  <si>
    <t>1004-2017-01106</t>
  </si>
  <si>
    <t>1004-2017-01107</t>
  </si>
  <si>
    <t>1004-2017-01108</t>
  </si>
  <si>
    <t>1004-2017-01109</t>
  </si>
  <si>
    <t>1004-2017-01110</t>
  </si>
  <si>
    <t>1004-2017-01111</t>
  </si>
  <si>
    <t>1004-2017-01112</t>
  </si>
  <si>
    <t>1004-2017-01113</t>
  </si>
  <si>
    <t>1004-2017-01114</t>
  </si>
  <si>
    <t>1004-2017-01115</t>
  </si>
  <si>
    <t>1004-2017-01116</t>
  </si>
  <si>
    <t>1004-2017-01117</t>
  </si>
  <si>
    <t>1004-2017-01118</t>
  </si>
  <si>
    <t>1004-2017-01119</t>
  </si>
  <si>
    <t>1004-2017-01120</t>
  </si>
  <si>
    <t>1004-2017-01121</t>
  </si>
  <si>
    <t>1004-2017-01122</t>
  </si>
  <si>
    <t>1004-2017-01123</t>
  </si>
  <si>
    <t>1004-2017-01124</t>
  </si>
  <si>
    <t>1004-2017-01125</t>
  </si>
  <si>
    <t>1004-2017-01126</t>
  </si>
  <si>
    <t>1004-2017-01127</t>
  </si>
  <si>
    <t>1004-2017-01128</t>
  </si>
  <si>
    <t>1004-2017-01129</t>
  </si>
  <si>
    <t>1004-2017-01130</t>
  </si>
  <si>
    <t>1004-2017-01131</t>
  </si>
  <si>
    <t>1004-2017-01132</t>
  </si>
  <si>
    <t>1004-2017-01133</t>
  </si>
  <si>
    <t>1004-2017-01134</t>
  </si>
  <si>
    <t>1004-2017-01135</t>
  </si>
  <si>
    <t>1004-2017-01136</t>
  </si>
  <si>
    <t>1004-2017-01137</t>
  </si>
  <si>
    <t>1004-2017-01138</t>
  </si>
  <si>
    <t>1004-2017-01139</t>
  </si>
  <si>
    <t>1004-2017-01140</t>
  </si>
  <si>
    <t>1004-2017-01141</t>
  </si>
  <si>
    <t>1004-2017-01142</t>
  </si>
  <si>
    <t>1004-2017-01143</t>
  </si>
  <si>
    <t>1004-2017-01144</t>
  </si>
  <si>
    <t>1004-2017-01145</t>
  </si>
  <si>
    <t>1004-2017-01146</t>
  </si>
  <si>
    <t>1004-2017-01147</t>
  </si>
  <si>
    <t>1004-2017-01148</t>
  </si>
  <si>
    <t>1004-2017-01149</t>
  </si>
  <si>
    <t>1004-2017-01150</t>
  </si>
  <si>
    <t>1004-2017-01151</t>
  </si>
  <si>
    <t>1004-2017-01152</t>
  </si>
  <si>
    <t>1004-2017-01153</t>
  </si>
  <si>
    <t>1004-2017-01154</t>
  </si>
  <si>
    <t>1004-2017-01155</t>
  </si>
  <si>
    <t>1004-2017-01156</t>
  </si>
  <si>
    <t>1004-2017-01157</t>
  </si>
  <si>
    <t>1004-2017-01158</t>
  </si>
  <si>
    <t>1004-2017-01159</t>
  </si>
  <si>
    <t>1004-2017-01160</t>
  </si>
  <si>
    <t>1004-2017-01161</t>
  </si>
  <si>
    <t>1004-2017-01162</t>
  </si>
  <si>
    <t>1004-2017-01163</t>
  </si>
  <si>
    <t>1004-2017-01164</t>
  </si>
  <si>
    <t>1004-2017-01165</t>
  </si>
  <si>
    <t>1004-2017-01166</t>
  </si>
  <si>
    <t>1004-2017-01167</t>
  </si>
  <si>
    <t>1004-2017-01168</t>
  </si>
  <si>
    <t>1004-2017-01169</t>
  </si>
  <si>
    <t>1004-2017-01170</t>
  </si>
  <si>
    <t>1004-2017-01171</t>
  </si>
  <si>
    <t>1004-2017-01172</t>
  </si>
  <si>
    <t>1004-2017-01173</t>
  </si>
  <si>
    <t>1004-2017-01174</t>
  </si>
  <si>
    <t>1004-2017-01175</t>
  </si>
  <si>
    <t>1004-2017-01176</t>
  </si>
  <si>
    <t>1004-2017-01177</t>
  </si>
  <si>
    <t>1004-2017-01178</t>
  </si>
  <si>
    <t>1004-2017-01179</t>
  </si>
  <si>
    <t>1004-2017-01180</t>
  </si>
  <si>
    <t>1004-2017-01181</t>
  </si>
  <si>
    <t>1004-2017-01182</t>
  </si>
  <si>
    <t>1004-2017-01183</t>
  </si>
  <si>
    <t>1004-2017-01184</t>
  </si>
  <si>
    <t>1004-2017-01185</t>
  </si>
  <si>
    <t>1004-2017-01186</t>
  </si>
  <si>
    <t>1004-2017-01187</t>
  </si>
  <si>
    <t>1004-2017-01188</t>
  </si>
  <si>
    <t>1004-2017-01189</t>
  </si>
  <si>
    <t>1004-2017-01190</t>
  </si>
  <si>
    <t>1004-2017-01191</t>
  </si>
  <si>
    <t>1004-2017-01192</t>
  </si>
  <si>
    <t>1004-2017-01193</t>
  </si>
  <si>
    <t>1004-2017-01194</t>
  </si>
  <si>
    <t>1004-2017-01195</t>
  </si>
  <si>
    <t>1004-2017-01196</t>
  </si>
  <si>
    <t>1004-2017-01197</t>
  </si>
  <si>
    <t>1004-2017-01198</t>
  </si>
  <si>
    <t>1004-2017-01199</t>
  </si>
  <si>
    <t>1004-2017-01200</t>
  </si>
  <si>
    <t>1004-2017-01201</t>
  </si>
  <si>
    <t>1004-2017-01202</t>
  </si>
  <si>
    <t>1004-2017-01203</t>
  </si>
  <si>
    <t>1004-2017-01204</t>
  </si>
  <si>
    <t>1004-2017-01205</t>
  </si>
  <si>
    <t>1004-2017-01206</t>
  </si>
  <si>
    <t>1004-2017-01095 Поставка комплектующих для вычислительной техники, мониторов и оргтехники</t>
  </si>
  <si>
    <t>1004-2017-01119 проведение ремонтно-строительных работ в помещения АО "НИИ "Полюс" им. М.Ф. Стельмаха": корпус 2 (БК), 4-й этаж, помещения №417, 419, 421, коридор, туалет; корпус 3 (ЛК), 5-й этаж, помещение №9</t>
  </si>
  <si>
    <t>1004-2017-01127 Выполнение полного цикла  работ по ремонту стола универсального поворотного делительного с цифровой индикацией модели СУ50-1101 зав. №44, производитель ЗАО "Стан-Самара"</t>
  </si>
  <si>
    <t>1004-2017-01143 Поставка хладонов</t>
  </si>
  <si>
    <t>1004-2017-01160 Поставка оптического оборудования (полярископ - 1шт, микроскопы - 5 шт.)</t>
  </si>
  <si>
    <t>1004-2017-01165 Поставка изотопов гелия и неона</t>
  </si>
  <si>
    <t>1004-2017-01167 проведение ремонтно-строительных работ в помещения АО "НИИ "Полюс" им. М.Ф. Стельмаха": корпус 3 (ЛК), 5-й этаж (женский туалет</t>
  </si>
  <si>
    <t>1004-2017-01170 выполнение строительно-монтажных работ по замене кровли в КВЦ в АО "НИИ "Полюс" им. М.Ф. Стельмаха (БМД)</t>
  </si>
  <si>
    <t>1004-2017-01171 Изготовление и поставка комплектов составных частей  изделия МТД</t>
  </si>
  <si>
    <t>1004-2017-01172 Поставка триметилгаллия, триметилиндия, триметилалюминия</t>
  </si>
  <si>
    <t>1004-2017-01174 поставка тепловой энергии</t>
  </si>
  <si>
    <t>1004-2017-01192 Изготовление и поставка комплектов механических деталей для изделия ЛД-294</t>
  </si>
  <si>
    <t>1004-2017-01204 Предоставление услуг по поручительству</t>
  </si>
  <si>
    <t>1004-2017-01205 выполнение строительно-монтажных работ  по реализации проектных решений в разделах архитектурные решения, конструктивные и планировочные решения; узлы усиления с целью создания производственного участка в Производственном корпусе в АО "НИИ "Полюс" им. М.Ф. Стельмаха"</t>
  </si>
  <si>
    <t>1004-2017-01206 выполнение строительно-монтажных работ  по реализации проектных решений в разделах силовое электроснабжение, электроосвещение; система водоснабжения и водоотведения; отопление, вентиляция и кондиционирование, тепловые сети; автоматизация систем вентиляции и кондиционирования; технологические газы, технические и специальные; СКС; СКУД; автоматическая установка пожарной сигнализации; пусколадочные работы  с целью создания производственного участка в Производственном корпусе в АО "НИИ "Полюс" им. М.Ф. Стельмаха"</t>
  </si>
  <si>
    <t>135925,13российских рублей</t>
  </si>
  <si>
    <t>605127,6российских рублей</t>
  </si>
  <si>
    <t>832608российских рублей</t>
  </si>
  <si>
    <t>235402,92российских рублей</t>
  </si>
  <si>
    <t>1135711,45российских рублей</t>
  </si>
  <si>
    <t>181239,05российских рублей</t>
  </si>
  <si>
    <t>633250российских рублей</t>
  </si>
  <si>
    <t>238331,9российских рублей</t>
  </si>
  <si>
    <t>103520,41российских рублей</t>
  </si>
  <si>
    <t>159625,55российских рублей</t>
  </si>
  <si>
    <t>353594,43российских рублей</t>
  </si>
  <si>
    <t>243524,75российских рублей</t>
  </si>
  <si>
    <t>593171,73российских рублей</t>
  </si>
  <si>
    <t>384301,25российских рублей</t>
  </si>
  <si>
    <t>11535166,67российских рублей</t>
  </si>
  <si>
    <t>37775российских рублей</t>
  </si>
  <si>
    <t>92221,06российских рублей</t>
  </si>
  <si>
    <t>255000российских рублей</t>
  </si>
  <si>
    <t>80000российских рублей</t>
  </si>
  <si>
    <t>60461российских рублей</t>
  </si>
  <si>
    <t>341774российских рублей</t>
  </si>
  <si>
    <t>35284,3российских рублей</t>
  </si>
  <si>
    <t>667253,33российских рублей</t>
  </si>
  <si>
    <t>77566,67российских рублей</t>
  </si>
  <si>
    <t>462000российских рублей</t>
  </si>
  <si>
    <t>38204291,5российских рублей</t>
  </si>
  <si>
    <t>2239775,41российских рублей</t>
  </si>
  <si>
    <t>163368,7российских рублей</t>
  </si>
  <si>
    <t>174640российских рублей</t>
  </si>
  <si>
    <t>1523970,48российских рублей</t>
  </si>
  <si>
    <t>37934,51российских рублей</t>
  </si>
  <si>
    <t>100305,81российских рублей</t>
  </si>
  <si>
    <t>191809российских рублей</t>
  </si>
  <si>
    <t>211988,6российских рублей</t>
  </si>
  <si>
    <t>113556,73российских рублей</t>
  </si>
  <si>
    <t>353000российских рублей</t>
  </si>
  <si>
    <t>332000российских рублей</t>
  </si>
  <si>
    <t>745423,23российских рублей</t>
  </si>
  <si>
    <t>1173000российских рублей</t>
  </si>
  <si>
    <t>82073,24российских рублей</t>
  </si>
  <si>
    <t>168945,99российских рублей</t>
  </si>
  <si>
    <t>205000российских рублей</t>
  </si>
  <si>
    <t>137145,5российских рублей</t>
  </si>
  <si>
    <t>132000российских рублей</t>
  </si>
  <si>
    <t>5629российских рублей</t>
  </si>
  <si>
    <t>222000российских рублей</t>
  </si>
  <si>
    <t>114838,49российских рублей</t>
  </si>
  <si>
    <t>640067,4российских рублей</t>
  </si>
  <si>
    <t>594000,4российских рублей</t>
  </si>
  <si>
    <t>104907,78российских рублей</t>
  </si>
  <si>
    <t>107993,6российских рублей</t>
  </si>
  <si>
    <t>108000российских рублей</t>
  </si>
  <si>
    <t>960000российских рублей</t>
  </si>
  <si>
    <t>140000российских рублей</t>
  </si>
  <si>
    <t>723046,72российских рублей</t>
  </si>
  <si>
    <t>278527,2российских рублей</t>
  </si>
  <si>
    <t>8299,33российских рублей</t>
  </si>
  <si>
    <t>543740,37российских рублей</t>
  </si>
  <si>
    <t>3200000российских рублей</t>
  </si>
  <si>
    <t>382853российских рублей</t>
  </si>
  <si>
    <t>3800000российских рублей</t>
  </si>
  <si>
    <t>4800004российских рублей</t>
  </si>
  <si>
    <t>212600российских рублей</t>
  </si>
  <si>
    <t>17000000российских рублей</t>
  </si>
  <si>
    <t>220896российских рублей</t>
  </si>
  <si>
    <t>310277,81российских рублей</t>
  </si>
  <si>
    <t>911306,16российских рублей</t>
  </si>
  <si>
    <t>350 000 00российских рублей</t>
  </si>
  <si>
    <t>602300российских рублей</t>
  </si>
  <si>
    <t>3496000российских рублей</t>
  </si>
  <si>
    <t>245000российских рублей</t>
  </si>
  <si>
    <t>240000российских рублей</t>
  </si>
  <si>
    <t>62111,12российских рублей</t>
  </si>
  <si>
    <t>548658российских рублей</t>
  </si>
  <si>
    <t>310000российских рублей</t>
  </si>
  <si>
    <t>498000российских рублей</t>
  </si>
  <si>
    <t>8667000российских рублей</t>
  </si>
  <si>
    <t>4497000российских рублей</t>
  </si>
  <si>
    <t>2775684,04российских рублей</t>
  </si>
  <si>
    <t>132416 российских рублей</t>
  </si>
  <si>
    <t>5101858 российских рублей</t>
  </si>
  <si>
    <t>200757,53 российских рублей</t>
  </si>
  <si>
    <t>996060российских рублей</t>
  </si>
  <si>
    <t>17705596339160010100-0450817</t>
  </si>
  <si>
    <t>ООО "МИКРО-М"</t>
  </si>
  <si>
    <t>7720518494</t>
  </si>
  <si>
    <t>ПАО "МОЭК"</t>
  </si>
  <si>
    <t>09.08.2017</t>
  </si>
  <si>
    <t>1657032272</t>
  </si>
  <si>
    <t xml:space="preserve"> 663</t>
  </si>
  <si>
    <t>100428401</t>
  </si>
  <si>
    <t>ОАО "МИНСКИЙ НИИ РАДИОМАТЕРИАЛОВ"</t>
  </si>
  <si>
    <t>И-016-06-2017</t>
  </si>
  <si>
    <t>5027095560</t>
  </si>
  <si>
    <t>ООО "НПП ТЭЗ"</t>
  </si>
  <si>
    <t>7723924550</t>
  </si>
  <si>
    <t>ООО "Элком""</t>
  </si>
  <si>
    <t>3437</t>
  </si>
  <si>
    <t>88-17</t>
  </si>
  <si>
    <t>292002,03 российских рублей</t>
  </si>
  <si>
    <t>224738-7</t>
  </si>
  <si>
    <t>59</t>
  </si>
  <si>
    <t>6453142068</t>
  </si>
  <si>
    <t>ООО "НПП "Инжект"</t>
  </si>
  <si>
    <t>17705596339160012370-42-17</t>
  </si>
  <si>
    <t>А-01-9797</t>
  </si>
  <si>
    <t>15-1111</t>
  </si>
  <si>
    <t>303507,8российских рублей</t>
  </si>
  <si>
    <t>1112</t>
  </si>
  <si>
    <t>1617187341051452466001870-369-330</t>
  </si>
  <si>
    <t>17-361-660</t>
  </si>
  <si>
    <t>1617187341051452466001870-17-366-330</t>
  </si>
  <si>
    <t>044-0717</t>
  </si>
  <si>
    <t>7735010706</t>
  </si>
  <si>
    <t>АО 'АНГСТРЕМ'</t>
  </si>
  <si>
    <t>3661057900</t>
  </si>
  <si>
    <t>АО "НИИЭТ"</t>
  </si>
  <si>
    <t>254</t>
  </si>
  <si>
    <t>6315507596</t>
  </si>
  <si>
    <t>ЗАО "Стан-Самара"</t>
  </si>
  <si>
    <t>116Р-2017</t>
  </si>
  <si>
    <t>7841479761</t>
  </si>
  <si>
    <t>1760</t>
  </si>
  <si>
    <t>52</t>
  </si>
  <si>
    <t>6399-88</t>
  </si>
  <si>
    <t>153973,83 российских рублей</t>
  </si>
  <si>
    <t>ООО НТЦ "Техноком АС"</t>
  </si>
  <si>
    <t>107993,6 российских рублей</t>
  </si>
  <si>
    <t>148</t>
  </si>
  <si>
    <t>7802015389</t>
  </si>
  <si>
    <t>ЗАО "Элкод"</t>
  </si>
  <si>
    <t>1188206,98 российских рублей</t>
  </si>
  <si>
    <t>Э-01-6689</t>
  </si>
  <si>
    <t>230760,1 российских рублей</t>
  </si>
  <si>
    <t>224738-5</t>
  </si>
  <si>
    <t>EP17071800008</t>
  </si>
  <si>
    <t>3636024,79 российских рублей</t>
  </si>
  <si>
    <t>А-01-7227</t>
  </si>
  <si>
    <t>238379,53 российских рублей</t>
  </si>
  <si>
    <t>АО ""Мосводоканал"</t>
  </si>
  <si>
    <t>224738-4</t>
  </si>
  <si>
    <t>1173430,06российских рублей</t>
  </si>
  <si>
    <t>Э-01-5493</t>
  </si>
  <si>
    <t>2017.18820</t>
  </si>
  <si>
    <t>2017.17544</t>
  </si>
  <si>
    <t>2017.18825</t>
  </si>
  <si>
    <t>2017.18817</t>
  </si>
  <si>
    <t>ООО "ЭТМ""</t>
  </si>
  <si>
    <t>2017.19083</t>
  </si>
  <si>
    <t>2017.20788</t>
  </si>
  <si>
    <t>ООО "КОРВОЛЛИТ-НАНОТЕХНОЛОГИИ""</t>
  </si>
  <si>
    <t>2017.17543</t>
  </si>
  <si>
    <t xml:space="preserve"> 
 3329081200 
</t>
  </si>
  <si>
    <t>ООО "ЭЛЕКТРОСНАБ""</t>
  </si>
  <si>
    <t>2017.20123</t>
  </si>
  <si>
    <t>ООО "ПКП "ЮГПРОМРЕСУРС</t>
  </si>
  <si>
    <t>2017.18827</t>
  </si>
  <si>
    <t>2017.20120</t>
  </si>
  <si>
    <t>ООО "НПО ПРОМЕТ""</t>
  </si>
  <si>
    <t>2017.20792</t>
  </si>
  <si>
    <t>2017.20811</t>
  </si>
  <si>
    <t>Общество с ограниченной ответственностью «ПРОФЕССИОНАЛЬНОЕ ОБОРУДОВАНИЕ и ТЕХНОЛОГИИ»</t>
  </si>
  <si>
    <t>2017.21577</t>
  </si>
  <si>
    <t>ООО ПРОММАШ ТЕСТ</t>
  </si>
  <si>
    <t>ООО "ГЕЙЗЕР-ТЕЛЕКОМ""</t>
  </si>
  <si>
    <t>2017.20810</t>
  </si>
  <si>
    <t>2017.20835</t>
  </si>
  <si>
    <t>2017.20816</t>
  </si>
  <si>
    <t>27.4</t>
  </si>
  <si>
    <t>ОДО.337.203ТУ</t>
  </si>
  <si>
    <t xml:space="preserve">Сертифицированные в РФ, не бывшие в употребление, гарантия на материалы не менее 12 месяцев </t>
  </si>
  <si>
    <t>33.12.2</t>
  </si>
  <si>
    <t>43.21.10</t>
  </si>
  <si>
    <t xml:space="preserve">Работы должны быть выполнены с учетом требований настоящего Технического задания, в соответствии с утвержденной Заказчиком сметной документацией, требованиями ГОСТ, СНиП, ВСН, ПУЭ, действующих технических регламентов, другой нормативной документации. Состав выполняемых подрядчиком работ должен полностью соответствовать  сметной документации и требованиям настоящего Технического задания. Технология и качество выполняемых работ должны соответствовать действующим строительным нормам и правилам (СНиП), санитарным нормам и правилам (СанПиН), требованиям энергосбережений и энергоэффективности в рамках Федерального закона Российской Федерации от 23.11.2009г. №261-ФЗ, а также обеспечить качество выполнения работ в соответствии с действующими нормами и ТУ, а также стандартам, установленным действующим законодательством. Результат работы должен отвечать требованиям качества, безопасности жизни и здоровья, а также иным требованиям сертификации, безопасности  (санитарным нормам и правилам, государственным стандартам и т.п.). </t>
  </si>
  <si>
    <t>Соответствие документации природоохранному законодательству</t>
  </si>
  <si>
    <t>28.99.9</t>
  </si>
  <si>
    <t>26.70.23.190</t>
  </si>
  <si>
    <t>81.10</t>
  </si>
  <si>
    <t>81.10.10</t>
  </si>
  <si>
    <t xml:space="preserve">На основании ТЗ </t>
  </si>
  <si>
    <t>Выдача свидетельства</t>
  </si>
  <si>
    <t>АЕЯР.432140.220ТУ, И93.456.000ТУ, АЕЯР.432140.220ТУ, АЕЯР.432120.567ТУ, АЕЯР.431120.566ТУ</t>
  </si>
  <si>
    <t>49.41.1</t>
  </si>
  <si>
    <t>49.41.13.000</t>
  </si>
  <si>
    <t>Наличие лицензии, спец.транспорта с системой ЕГАИС</t>
  </si>
  <si>
    <t>22.21.10.120</t>
  </si>
  <si>
    <t>ГОСТ 10007-80; ТУ 6-05-810-88</t>
  </si>
  <si>
    <t>DIN 933; DIN 931; DIN 934;  DIN 975</t>
  </si>
  <si>
    <t>ГОСТ1491-80; DIN84; ГОСТ10337-80; DIN912; ГОСТ17475-80; ГОСТ10450-78; ГОСТ10450-78; ГОСТ10450-78</t>
  </si>
  <si>
    <t>Vishay, AVX, Infineon, Nat.Semicond, Analog Devices, Maxim, Texas Instruments, Bourrs, Nexneria, Epcos, TDK, Walsin</t>
  </si>
  <si>
    <t>28.29.1</t>
  </si>
  <si>
    <t>аквадистилляторы электрические ДЭ-4М (ТУ 9452-001-23159878-2013) или эквивалент</t>
  </si>
  <si>
    <t>УВП-2000А с ПВУ ? модель с поворотно-вытяжным устройством производительностью 2000 куб. метров в час или эквивалент</t>
  </si>
  <si>
    <t>312483,20 российских рублей</t>
  </si>
  <si>
    <t>265500,00российских рублей</t>
  </si>
  <si>
    <t>558320,00российских рублей</t>
  </si>
  <si>
    <t>252589,62российских рублей</t>
  </si>
  <si>
    <t>1573514,22российских рублей</t>
  </si>
  <si>
    <t>44562,78российских рублей</t>
  </si>
  <si>
    <t>210329,18российских рублей</t>
  </si>
  <si>
    <t>172082,91российских рублей</t>
  </si>
  <si>
    <t>174635,99российских рублей</t>
  </si>
  <si>
    <t>99188,19российских рублей</t>
  </si>
  <si>
    <t>396035,00российских рублей</t>
  </si>
  <si>
    <t>4961895,79российских рублей</t>
  </si>
  <si>
    <t>278527,20российских рублей</t>
  </si>
  <si>
    <t>590000,00российских рублей</t>
  </si>
  <si>
    <t>283200,00российских рублей</t>
  </si>
  <si>
    <t>1102157,76российских рублей</t>
  </si>
  <si>
    <t>178658,32российских рублей</t>
  </si>
  <si>
    <t>187200,00российских рублей</t>
  </si>
  <si>
    <t>104000,00российских рублей</t>
  </si>
  <si>
    <t>13639318,86российских рублей</t>
  </si>
  <si>
    <t>353000,00российских рублей</t>
  </si>
  <si>
    <t>453061,00российских рублей</t>
  </si>
  <si>
    <t>809236,16российских рублей</t>
  </si>
  <si>
    <t>198190,45российских рублей</t>
  </si>
  <si>
    <t>594000,40российских рублей</t>
  </si>
  <si>
    <t>250840,15российских рублей</t>
  </si>
  <si>
    <t>80000,00российских рублей</t>
  </si>
  <si>
    <t>1478835,00российских рублей</t>
  </si>
  <si>
    <t>768750,00российских рублей</t>
  </si>
  <si>
    <t>76452,20российских рублей</t>
  </si>
  <si>
    <t>126904,67российских рублей</t>
  </si>
  <si>
    <t>1004-2017-01207</t>
  </si>
  <si>
    <t>1004-2017-1208</t>
  </si>
  <si>
    <t>1004-2017-1209</t>
  </si>
  <si>
    <t>1004-2017-1210</t>
  </si>
  <si>
    <t>1004-2017-1211</t>
  </si>
  <si>
    <t>1004-2017-1212</t>
  </si>
  <si>
    <t>1004-2017-1213</t>
  </si>
  <si>
    <t>1004-2017-1214</t>
  </si>
  <si>
    <t>1004-2017-1215</t>
  </si>
  <si>
    <t>1004-2017-1216</t>
  </si>
  <si>
    <t>1004-2017-1217</t>
  </si>
  <si>
    <t>1004-2017-1218</t>
  </si>
  <si>
    <t>1004-2017-1219</t>
  </si>
  <si>
    <t>1004-2017-1220</t>
  </si>
  <si>
    <t>1004-2017-1221</t>
  </si>
  <si>
    <t>1004-2017-1222</t>
  </si>
  <si>
    <t>1004-2017-1223</t>
  </si>
  <si>
    <t>1004-2017-1224</t>
  </si>
  <si>
    <t>1004-2017-1225</t>
  </si>
  <si>
    <t>1004-2017-1226</t>
  </si>
  <si>
    <t>1004-2017-1227</t>
  </si>
  <si>
    <t>1004-2017-1228</t>
  </si>
  <si>
    <t>1004-2017-1229</t>
  </si>
  <si>
    <t>1004-2017-1230</t>
  </si>
  <si>
    <t>1004-2017-1231</t>
  </si>
  <si>
    <t>1004-2017-1232</t>
  </si>
  <si>
    <t>1004-2017-1233</t>
  </si>
  <si>
    <t>1004-2017-1234</t>
  </si>
  <si>
    <t>1004-2017-1235</t>
  </si>
  <si>
    <t>1004-2017-1236</t>
  </si>
  <si>
    <t>1004-2017-1237</t>
  </si>
  <si>
    <t>1004-2017-1238</t>
  </si>
  <si>
    <t>1004-2017-1239</t>
  </si>
  <si>
    <t>1004-2017-1240</t>
  </si>
  <si>
    <t>1004-2017-1241</t>
  </si>
  <si>
    <t>1004-2017-1242</t>
  </si>
  <si>
    <t>1004-2017-1243</t>
  </si>
  <si>
    <t>1004-2017-1244</t>
  </si>
  <si>
    <t>1004-2017-1245</t>
  </si>
  <si>
    <t>1004-2017-1246</t>
  </si>
  <si>
    <t>1004-2017-1247</t>
  </si>
  <si>
    <t>1004-2017-1248</t>
  </si>
  <si>
    <t>1004-2017-1249</t>
  </si>
  <si>
    <t>1004-2017-1250</t>
  </si>
  <si>
    <t>1004-2017-1251</t>
  </si>
  <si>
    <t>1004-2017-1252</t>
  </si>
  <si>
    <t>1004-2017-1253</t>
  </si>
  <si>
    <t>1004-2017-1254</t>
  </si>
  <si>
    <t>1004-2017-1255</t>
  </si>
  <si>
    <t>1004-2017-1256</t>
  </si>
  <si>
    <t>1004-2017-1257</t>
  </si>
  <si>
    <t>1004-2017-1258</t>
  </si>
  <si>
    <t>1004-2017-1220 Выполнение комплекса демонтажных и монтажных общестроительных, электромонтажных, измерительных и испытательных, а также пуско-наладочных работ в ходе устройства декоративных подвесных потолков, капитальный ремонт систем рабочего/дежурного/аварийного электроосвещения в общепроходных коридорах, лестничных клетках и маршах расположенных в строительных объемах этажей 1,2 здания Энергетического корпуса (ЭК)., расположенного по адресу: г.Москва, ул.Введенского, д.3, корп.1.</t>
  </si>
  <si>
    <t>1004-2017-1221 Поставка изотопов гелия и неона</t>
  </si>
  <si>
    <t>1004-2017-1222 «Разработка материалов  оценки воздействия на окружающую среду новой техники и технологий «Мобильная установка для обезвреживания сточных вод МО-1000/10000-СВ-02»по адресу: г. Москва, ЮЗАО, улица Введенского, д.3, кор.1.</t>
  </si>
  <si>
    <t>1004-2017-1225 Поставка рабочего места 1VIS10W-06-09-77</t>
  </si>
  <si>
    <t>1004-2017-1245 Поставка фторопластовых изделий</t>
  </si>
  <si>
    <t>1004-2017-1246 Поставка крепежных изделий</t>
  </si>
  <si>
    <t>1004-2017-1247 Поставка крепежных изделий</t>
  </si>
  <si>
    <t>1004-2017-1248 Поставка импортных ЭРИ с сертификацией</t>
  </si>
  <si>
    <t>1004-2017-1257 Поставка системных блоков, мониторов и периферийного оборудования</t>
  </si>
  <si>
    <t>1004-2017-1258 Поставка системных блоков, мониторов, периферийного оборудования, оргтехники, сетевого оборудования и расходных материалов</t>
  </si>
  <si>
    <t>1004-2017-00397Поставка вычислительной техники, оргтехники, экземпляров программного обеспечения, сетевого оборудования и расходных материалов</t>
  </si>
  <si>
    <t>3299350,8 российских рублей</t>
  </si>
  <si>
    <t>1004-2017-00997Предоставление права на использование программного продукта «1С:Документооборот 8 КОРП» на условиях простой (неисключительной) лицензии</t>
  </si>
  <si>
    <t>1004-2017-01199 Предоставление Исполнителем Заказчику Услуг по предоставлению доступа и сопровождению Пользователей   системы ИБАК</t>
  </si>
  <si>
    <t>2017.20813</t>
  </si>
  <si>
    <t>2017.20822</t>
  </si>
  <si>
    <t>2017.20818</t>
  </si>
  <si>
    <t>ООО «ЕМТ»</t>
  </si>
  <si>
    <t>2017.20121</t>
  </si>
  <si>
    <t>127 815,86российских рублей</t>
  </si>
  <si>
    <t>ООО "Ф-Сервис""</t>
  </si>
  <si>
    <t>2017.20840</t>
  </si>
  <si>
    <t>ООО СТАЛЬКОР</t>
  </si>
  <si>
    <t>2017.18823</t>
  </si>
  <si>
    <t>2017.21574</t>
  </si>
  <si>
    <t>ООО "ПРИКЛАДНАЯ ЭЛЕКТРОНИКА""</t>
  </si>
  <si>
    <t>2017.18821</t>
  </si>
  <si>
    <t>ЗАО "ЭКОС-1""</t>
  </si>
  <si>
    <t>2017.20979</t>
  </si>
  <si>
    <t>2017.20783</t>
  </si>
  <si>
    <t>ООО ПК "Алюминиевый продукт""</t>
  </si>
  <si>
    <t>2017.18816</t>
  </si>
  <si>
    <t>2017.18812</t>
  </si>
  <si>
    <t>2310000российских рублей</t>
  </si>
  <si>
    <t>1779277,62российских рублей</t>
  </si>
  <si>
    <t>1478835российских рублей</t>
  </si>
  <si>
    <t>2017.27919</t>
  </si>
  <si>
    <t>1004-2017-1256 Поставка Комплекта отладочных плат</t>
  </si>
  <si>
    <t>1004-2017-1255 Поставка Корпус ЖГДК.301172.013 и Кожух ЖГДК.305143.001 (без покрытия)</t>
  </si>
  <si>
    <t>1004-2017-1254 Поставка Корпус ЖГДК.469333.005</t>
  </si>
  <si>
    <t>1004-2017-1253Поставка  Кристалл фоточувствительный</t>
  </si>
  <si>
    <t>1004-2017-1252 Поставка Комплект для системы считывания нанорешеток в стеклах</t>
  </si>
  <si>
    <t>1004-2017-1251Поставка  установка вентиляционная пылеулавливающая</t>
  </si>
  <si>
    <t>1004-2017-1250 Поставка аквадисстиляторы</t>
  </si>
  <si>
    <t>1004-2017-1249 Поставка Изделия оптические из кристаллов ниобата лития 6.3х14.1х26.3 мм</t>
  </si>
  <si>
    <t>1004-2017-1244 Выполнение услуг по  Перевозке спирта</t>
  </si>
  <si>
    <t>1004-2017-1243 Поставка конденсаторы</t>
  </si>
  <si>
    <t>1004-2017-1242 Поставка электродвигатели</t>
  </si>
  <si>
    <t>1004-2017-1241 Поставка конденсаторы</t>
  </si>
  <si>
    <t>1004-2017-1240 Поставка Кварцевые генераторы</t>
  </si>
  <si>
    <t>1004-2017-1239 Поставка транзисторы, диоды</t>
  </si>
  <si>
    <t>1004-2017-1238 Поставка  транзисторы</t>
  </si>
  <si>
    <t>1004-2017-1237 Поставка диодная сборка с прижимом</t>
  </si>
  <si>
    <t>1004-2017-1236Поставка микросхемы</t>
  </si>
  <si>
    <t>1004-2017-1235 Поставка модули питания  МДМ8-2Е0512ВП</t>
  </si>
  <si>
    <t>1004-2017-1234 Поставка амортизаторы АПН</t>
  </si>
  <si>
    <t>1004-2017-1233Поставка  вилки, розетки</t>
  </si>
  <si>
    <t>1004-2017-1232Поставка Комплект экранов МТ-401</t>
  </si>
  <si>
    <t>1004-2017-1231 Поставка Оптические детали</t>
  </si>
  <si>
    <t>1004-2017-1230 Поставка Оптические детали</t>
  </si>
  <si>
    <t>1004-2017-1229 Выполнение Информационно-консультационных услуг</t>
  </si>
  <si>
    <t>1004-2017-1228 Поставка Крышка ет.8.050.477</t>
  </si>
  <si>
    <t>1004-2017-1227 Выполнение работ по  замена канатоведущего шкива и тяговых канатов на пассажирском лифте грузоподъёмностью 1000 кг (112 чел), скоростью 1м/сек и высотой подъёма 60 м</t>
  </si>
  <si>
    <t>1004-2017-1226 Выполнение комплекса клининговых услуг по уборке помещений, прилегающей территории и очистке кровли  для АО "НИИ "Полюс" им. М.Ф. Стельмаха".</t>
  </si>
  <si>
    <t>1004-2017-1224 Поставка Транзисторы 2Т354Б1-2</t>
  </si>
  <si>
    <t>1004-2017-1223 Поставка Структура эпитаксиальная германиевая ЭГС-39-1а</t>
  </si>
  <si>
    <t>1004-2017-1219 Выполнение услуг по Сервисному обслуживанию  и поставке запасных частей на безмаслянном компрессоре Calllisto 46</t>
  </si>
  <si>
    <t>1004-2017-1218 Поставка Расходные материалы для монтажа сплит-систем</t>
  </si>
  <si>
    <t>1004-2017-1217 Поставка Светотехнические изделия</t>
  </si>
  <si>
    <t>1004-2017-1216 Поставка Электротехнические изделия</t>
  </si>
  <si>
    <t>1004-2017-1215 Поставка Электротехнические изделия</t>
  </si>
  <si>
    <t>1004-2017-1214 Поставка Металлические сплавы</t>
  </si>
  <si>
    <t>1004-2017-1213 Поставка Электротехнические изделия</t>
  </si>
  <si>
    <t>1004-2017-1212 Поставка лампы ИНП 2-3/35</t>
  </si>
  <si>
    <t>1004-2017-1211 Поставка Комплект тары и оснастки</t>
  </si>
  <si>
    <t>1004-2017-1210 Поставка зеркало ЖГДК.755132.016</t>
  </si>
  <si>
    <t>1004-2017-1209 Поставка зеркало ЖГДК.755132.016</t>
  </si>
  <si>
    <t>1004-2017-1208 Выполнение работ по Нанесение металло-диэлектрических покрытий</t>
  </si>
  <si>
    <t>1004-2017-01207 Поставка ШОС-FC/UFC-FC/UPC-MM-0,9MM/SIMPEX/2,2M ТУ 3570-002-45944796-02</t>
  </si>
  <si>
    <t>1004-2017-01203 Поставка Микросборки ОЕМ-210М КЯАФ.432234.033, ТУ РБ 100428401.141-2003, код ТН ВЭД ЕАЭС 8542 39 909 0;</t>
  </si>
  <si>
    <t>1004-2017-01202 Поставка Микросборки ЕОМ-202 КЯАФ.433739.013, ТУ РБ 100428401.140-2003, код ТН ВЭД ЕАЭС 8542 39 909 0;Микросборки ОЕМ-210М КЯАФ.432234.033, ТУ РБ 100428401.141-2003, код ТН ВЭД ЕАЭС 8542 39 909 0;</t>
  </si>
  <si>
    <t>1004-2017-01201 Поставка монтажный стол</t>
  </si>
  <si>
    <t xml:space="preserve">1004-2017-01200Поставка Комплект промышленной мебели </t>
  </si>
  <si>
    <t>1004-2017-01198 Поставка Прецизионный автомат продольного точения швейцарского типа с ЧПУ, противошпинделем и функциями сверления и фрезерования 1 шт.</t>
  </si>
  <si>
    <t>1004-2017-01197 Поставка комплект радиоизмерительных приборов</t>
  </si>
  <si>
    <t>1004-2017-01196 Поставка Верстак с дополнительными принадлежностями</t>
  </si>
  <si>
    <t>1004-2017-01195 Поставка Печатные платы для изд. ЛД-294</t>
  </si>
  <si>
    <t>1004-2017-01194 Выполнение работ по Изготовлению линзы ЖГДК.203.512.028</t>
  </si>
  <si>
    <t>1004-2017-01193 Выполнение работ по  Изготовление колодки  БЛ6.673.166 и трансформатора ет 4.720.436</t>
  </si>
  <si>
    <t>1004-2017-01191 Поставка Прецизионный автомат продольного точеная щвейцарского типа с ЧПУ, противошпинделем и функциями сверления и фрезерования</t>
  </si>
  <si>
    <t xml:space="preserve">1004-2017-01190Поставка  Узел генератора-абсорбера высокого давления , Узел конденсатора-испарителя аэродинамический </t>
  </si>
  <si>
    <t>1004-2017-01189 Поставка электродвигатели</t>
  </si>
  <si>
    <t>1004-2017-01188 Поставка конденсаторы</t>
  </si>
  <si>
    <t>1004-2017-01187Поставка  Кварцевые генераторы</t>
  </si>
  <si>
    <t>1004-2017-01186 Поставка транзисторы</t>
  </si>
  <si>
    <t>1004-2017-01185 Поставка диодная сборка с прижимом</t>
  </si>
  <si>
    <t>1004-2017-01184Поставка  микросхемы</t>
  </si>
  <si>
    <t>1004-2017-01183Поставка  модули питания  МДМ8-2Е0512ВП</t>
  </si>
  <si>
    <t>1004-2017-01182 Поставка амортизаторы АПН</t>
  </si>
  <si>
    <t>1004-2017-01181 Поставка вилки, розетки</t>
  </si>
  <si>
    <t>1004-2017-01180 Поставка вилки, розетки,уплотнительные пробки</t>
  </si>
  <si>
    <t>1004-2017-01179  Поставка Оптические детали</t>
  </si>
  <si>
    <t xml:space="preserve">1004-2017-01178 Поставка Отрезные алмазные бескорпусные диски </t>
  </si>
  <si>
    <t>1004-2017-01177 Поставка консольно-моноблочный насос КМ 100-80-160 с электродвигателем</t>
  </si>
  <si>
    <t>1004-2017-01176Поставка  комплект мебели</t>
  </si>
  <si>
    <t>1004-2017-01175 Выполнение работ по Изготовление зеркала ЖГДК.756523.007 (без покрытия)</t>
  </si>
  <si>
    <t>1004-2017-01173 Поставка Контактная пластина ВАНЕ.741221.001; Крышка ет.4.127.979; Корпус; Кассета (круглая); Кассета</t>
  </si>
  <si>
    <t>1004-2017-01169 Выполнение услуг по закупке услуг страхования залогового имущества</t>
  </si>
  <si>
    <t>1004-2017-01168 Выполнение услуг по Доработка функциональности и техническое обслуживание  программно-информационного комплекса системы автоматизированного учета на базе продукта "1С: Управление производственным предприятием 8, ред.1.3."</t>
  </si>
  <si>
    <t>1004-2017-01166 Поставка Диэлектрические изделия(перчатки, ковры,галоши)</t>
  </si>
  <si>
    <t>1004-2017-01164 Поставка Комплект преобразователей линейных перемещений с устройством цифровой индикации 1к-т</t>
  </si>
  <si>
    <t>1004-2017-01163 Поставка Металлические сплавы</t>
  </si>
  <si>
    <t>1004-2017-01162Поставка  Металлические сплавы</t>
  </si>
  <si>
    <t>1004-2017-01161 Поставка Строительно-отделочные материалы</t>
  </si>
  <si>
    <t>1004-2017-01159 Поставка Мишени для магнетронного распыления</t>
  </si>
  <si>
    <t>1004-2017-01158 Поставка Импульсный источник питания модулей лазерных диодов</t>
  </si>
  <si>
    <t xml:space="preserve">1004-2017-01157 Поставка Оптическое волокно с сердцевиной специальной формы </t>
  </si>
  <si>
    <t>1004-2017-01156 Поставка Параболические зеркала</t>
  </si>
  <si>
    <t xml:space="preserve">1004-2017-01155 Поставка Модули лазерные волоконные мощностью 160 Вт и источники питания </t>
  </si>
  <si>
    <t>1004-2017-01154 Поставка Оптические элементы LN-05 из кристалла нобата лития размером 6,3х14,1х18,2 мм</t>
  </si>
  <si>
    <t>1004-2017-01153 Поставка Изделия оптические из кристаллов ниобата лития 6.3х14.1х8.2 мм</t>
  </si>
  <si>
    <t>1004-2017-01152 Выполнение работ по Нанесение гальванического покрытия Ник.Зл.</t>
  </si>
  <si>
    <t>1004-2017-01151 Поставка Электротехнические изделия</t>
  </si>
  <si>
    <t>1004-2017-01150 Поставка электродвигатели</t>
  </si>
  <si>
    <t>1004-2017-01149Поставка  конденсаторы</t>
  </si>
  <si>
    <t>1004-2017-01148 Поставка диоды, микросхемы</t>
  </si>
  <si>
    <t>1004-2017-01147 Поставка Кварцевые генераторы</t>
  </si>
  <si>
    <t>1004-2017-01146 Поставка транзисторы, микросхемы</t>
  </si>
  <si>
    <t>1004-2017-01145Поставка  диодная сборка с прижимом</t>
  </si>
  <si>
    <t>1004-2017-01144 Поставка микросхемы</t>
  </si>
  <si>
    <t>1004-2017-01142 Поставка Полировальный раствор Chemlox, 4 л. (Tхранения +4 .. +24С), артикул 0CON-141</t>
  </si>
  <si>
    <t>1004-2017-01141 Поставка тиристоры КУ221А</t>
  </si>
  <si>
    <t>1004-2017-01140Поставка транзисторы</t>
  </si>
  <si>
    <t>1004-2017-01139 Поставка амортизаторы АПН</t>
  </si>
  <si>
    <t>1004-2017-01138Поставка  вилки, розетки</t>
  </si>
  <si>
    <t>1004-2017-01137Поставка  вилки, розетки,уплотнительные пробки</t>
  </si>
  <si>
    <t>1004-2017-01136Поставка  Светотехнические изделия</t>
  </si>
  <si>
    <t>1004-2017-01135 ПоставкаАвтомобильные шины</t>
  </si>
  <si>
    <t>1004-2017-01134 Поставка Установка нанесения фоторезиста TCS</t>
  </si>
  <si>
    <t>1004-2017-01133 Поставка Комплект для системы считывания нанорешеток в стеклах</t>
  </si>
  <si>
    <t>1004-2017-01132 Поставка Вставка 4-выводная</t>
  </si>
  <si>
    <t>1004-2017-01131 Поставка Комплект деталей модуля ПрОМ(оп.обр.)</t>
  </si>
  <si>
    <t>1004-2017-01130 Поставка Комплект деталей модуля ПОМ(оп.обр.)</t>
  </si>
  <si>
    <t>1004-2017-01129 Поставка Фотошаблон Э51-ТВ136</t>
  </si>
  <si>
    <t>1004-2017-01128 Поставка Фотошаблон Э51-ТВ133</t>
  </si>
  <si>
    <t>1004-2017-01126 Поставка Строительно-отделочные материалы</t>
  </si>
  <si>
    <t>1004-2017-01125 Поставка Металлические сплавы</t>
  </si>
  <si>
    <t>1004-2017-01124Поставка Металлические сплавы</t>
  </si>
  <si>
    <t>1004-2017-01123 Поставка Оптические детали</t>
  </si>
  <si>
    <t>1004-2017-01122 Поставка  подложки арсенида галлия ,легированные кремнием</t>
  </si>
  <si>
    <t>1004-2017-01121 Поставка Комплект промышленной мебели</t>
  </si>
  <si>
    <t>1004-2017-01120 Поставка Офисная мебель</t>
  </si>
  <si>
    <t>1004-2017-01118 Поставка Оптические детали</t>
  </si>
  <si>
    <t>1004-2017-01117 Поставка Корпус ЖГДК.711314.001</t>
  </si>
  <si>
    <t>1004-2017-01116Поставка  вилочный автопогрузчик</t>
  </si>
  <si>
    <t>1004-2017-01115 Поставка источник питания ГИТП 500-30 (10)x12P-220П</t>
  </si>
  <si>
    <t>1004-2017-01114 Поставка комплект радиоизмерительных приборов и монтажного оборудования</t>
  </si>
  <si>
    <t>1004-2017-01113 Поставка монтажный стол</t>
  </si>
  <si>
    <t>1004-2017-01112Поставка  паяльная станция с принадлежностями</t>
  </si>
  <si>
    <t>1004-2017-01111 Поставка комплект мебели</t>
  </si>
  <si>
    <t>1004-2017-01110 Поставка Электроды ЭК1 – 20 - 80   Я2М4.088.172</t>
  </si>
  <si>
    <t xml:space="preserve">1004-2017-01109 Поставка вертикальный многоступенчатый центробежный насос с нормальным всасыванием типа «ин-лайн» для монтажа на плите- основании  – 1 шт. </t>
  </si>
  <si>
    <t xml:space="preserve">1004-2017-01108 Поставка электроды ЭК1 – 25 - 120 Я2М4.088.172, Электроды ЭК4 – 25 – 120 ПГАМ4.088.005, Электроды ЭК1 – 30 – 140 Я2М4.088.172, Электроды ЭК4 – 30 – 140 ПГАМ4.088.005 </t>
  </si>
  <si>
    <t>1004-2017-01107 Поставка Комплект преобразователей линейных перемещений с устройством цифровой индикации 1к-т</t>
  </si>
  <si>
    <t>1004-2017-01106 Поставка консольно-моноблочный насос КМ 100-80-160 с электродвигателем</t>
  </si>
  <si>
    <t>1004-2017-01105 Поставка комплект оборудования для модернизации азотной станции по производству газообразного азота чистотой 99,9%</t>
  </si>
  <si>
    <t>1004-2017-01104 Поставка огнетушители порошковые ОП-5 ABCE -175 шт.,   огнетушители углекислотные ОУ-5 BCE – 100 шт. и огнетушители углекислотные ОУ-80 (ОУ-55) ВСЕ (передвижной) – 15 шт.</t>
  </si>
  <si>
    <t xml:space="preserve">1004-2017-01103Поставка  Конденсаторы </t>
  </si>
  <si>
    <t>1004-2017-01102 Поставка Металлические сплавы</t>
  </si>
  <si>
    <t>1004-2017-01101 Поставка Электротехнические изделия</t>
  </si>
  <si>
    <t>1004-2017-01100 Поставка Металлические сплавы</t>
  </si>
  <si>
    <t>1004-2017-01099 Поставка Расходные материалы для монтажа сплит-систем</t>
  </si>
  <si>
    <t>1004-2017-01098 Поставка Металлические сплавы</t>
  </si>
  <si>
    <t>1004-2017-01097Поставка  Металлические сплавы</t>
  </si>
  <si>
    <t>1004-2017-01096 Поставка Металлические сплавы</t>
  </si>
  <si>
    <t>1004-2017-01094 Поставка Резисторов Р1-12</t>
  </si>
  <si>
    <t>1004-2017-01093 Поставка Микросхема Б1407УДЗ-1 бКО.347.377 ТУ</t>
  </si>
  <si>
    <t>1004-2017-01092Поставка  Пластина чертеж ЖГДК.755471.042</t>
  </si>
  <si>
    <t>1004-2017-01091Поставка  Транзисторы 2Т3129А9, 2Т3130А9</t>
  </si>
  <si>
    <t>1004-2017-01090 Поставка Упаковка ЖГДК.305647.005</t>
  </si>
  <si>
    <t>427000российских рублей</t>
  </si>
  <si>
    <t>ООО 'УниверсалБизнес'</t>
  </si>
  <si>
    <t>2017.27787</t>
  </si>
  <si>
    <t>2017.26992</t>
  </si>
  <si>
    <t>ООО «Энергия»</t>
  </si>
  <si>
    <t>ООО "ЭНИМЕР-Кострома""</t>
  </si>
  <si>
    <t>Общество с ограниченной ответственностью "Снабресурс"</t>
  </si>
  <si>
    <t>2017.25979</t>
  </si>
  <si>
    <t>3790000российских рублей</t>
  </si>
  <si>
    <t>ООО "Компания СИМ-авто""</t>
  </si>
  <si>
    <t>2017.25689</t>
  </si>
  <si>
    <t>ООО "Уютный Дом""</t>
  </si>
  <si>
    <t>2017.24340</t>
  </si>
  <si>
    <t>ООО "Селиком Трейд""</t>
  </si>
  <si>
    <t>2017.24003</t>
  </si>
  <si>
    <t>ООО «Игромакс»</t>
  </si>
  <si>
    <t>2017.24005</t>
  </si>
  <si>
    <t>ООО "Бизнес - Эксперт СП""</t>
  </si>
  <si>
    <t>2017.23531</t>
  </si>
  <si>
    <t>Общество с ограниченной ответственностью ЦЕНТРСТРОЙКОМПЛЕКТ</t>
  </si>
  <si>
    <t>2017.24957</t>
  </si>
  <si>
    <t>ЗАО "ДЕЛЬТА ЭЛЕКТРОНИКА""</t>
  </si>
  <si>
    <t>2017.23534</t>
  </si>
  <si>
    <t>337480российских рублей</t>
  </si>
  <si>
    <t>2017.23535</t>
  </si>
  <si>
    <t>2017.23536</t>
  </si>
  <si>
    <t>2017.23537</t>
  </si>
  <si>
    <t>140407,00российских рублей</t>
  </si>
  <si>
    <t>ООО "ЭКОЛОГИЯ 24""</t>
  </si>
  <si>
    <t>2017.23541</t>
  </si>
  <si>
    <t>359465,13российских рублей</t>
  </si>
  <si>
    <t>ООО "Лаборатория Технологической Одежды"</t>
  </si>
  <si>
    <t>2017.22746</t>
  </si>
  <si>
    <t>2017.23540</t>
  </si>
  <si>
    <t>ООО ФИРМА "СНАБПРОМ НН</t>
  </si>
  <si>
    <t>2017.22744</t>
  </si>
  <si>
    <t>2017.23538</t>
  </si>
  <si>
    <t>2017.23539</t>
  </si>
  <si>
    <t>438622,54российских рублей</t>
  </si>
  <si>
    <t>2017.22745</t>
  </si>
  <si>
    <t>38069,14российских рублей</t>
  </si>
  <si>
    <t>2017.21576</t>
  </si>
  <si>
    <t>Общество с ограниченной ответственностью "Компакт-ОПТ"</t>
  </si>
  <si>
    <t>2017.21575</t>
  </si>
  <si>
    <t>048-0817</t>
  </si>
  <si>
    <t>7743073940</t>
  </si>
  <si>
    <t>ООО "Электростекло""</t>
  </si>
  <si>
    <t>36-08-2017</t>
  </si>
  <si>
    <t>96-17</t>
  </si>
  <si>
    <t>153744,35российских рублей</t>
  </si>
  <si>
    <t>ПАО "МГТС"</t>
  </si>
  <si>
    <t>88_70027621934</t>
  </si>
  <si>
    <t>5050113873</t>
  </si>
  <si>
    <t>АО "ФЗМТ"</t>
  </si>
  <si>
    <t>114-17</t>
  </si>
  <si>
    <t>ООО НПФ "ДИЛАЗ"</t>
  </si>
  <si>
    <t xml:space="preserve"> 1319187304951422209000041-88-01-2017</t>
  </si>
  <si>
    <t>185 850российских рублей</t>
  </si>
  <si>
    <t>95-17</t>
  </si>
  <si>
    <t>650453,76 российских рублей</t>
  </si>
  <si>
    <t>7802002037</t>
  </si>
  <si>
    <t>ЗАО Светлана-ПП</t>
  </si>
  <si>
    <t>311716</t>
  </si>
  <si>
    <t>352 443,96российских рублей</t>
  </si>
  <si>
    <t xml:space="preserve"> 3</t>
  </si>
  <si>
    <t>204 831,24российских рублей</t>
  </si>
  <si>
    <t>5260900066</t>
  </si>
  <si>
    <t>ПАО "ЗИП"</t>
  </si>
  <si>
    <t>151 593,08российских рублей</t>
  </si>
  <si>
    <t xml:space="preserve"> 88_70023784259 </t>
  </si>
  <si>
    <t>И-016-05-2017</t>
  </si>
  <si>
    <t xml:space="preserve"> 72-04-17-01</t>
  </si>
  <si>
    <t>ЗАО "Группа производственных технологий и авиационного машиностроения "АЭРОМАШ"</t>
  </si>
  <si>
    <t>169</t>
  </si>
  <si>
    <t>7710233002</t>
  </si>
  <si>
    <t>ООО "ОПТЕЛ""</t>
  </si>
  <si>
    <t>01.09.20174</t>
  </si>
  <si>
    <t>17-374-320</t>
  </si>
  <si>
    <t>2017.630-3-3</t>
  </si>
  <si>
    <t>489 564российских рублей</t>
  </si>
  <si>
    <t>1719187401382412209017222/02/17-ОЗ</t>
  </si>
  <si>
    <t>523 652,03российских рублей</t>
  </si>
  <si>
    <t>ООО 'ФИРМА 'ВИКОН'</t>
  </si>
  <si>
    <t>17-376-470</t>
  </si>
  <si>
    <t>5290 052,81российских рублей</t>
  </si>
  <si>
    <t>1719187401392412209015640-03-17</t>
  </si>
  <si>
    <t>221578российских рублей</t>
  </si>
  <si>
    <t>7719846490</t>
  </si>
  <si>
    <t>АО "НПП "Пульсар"</t>
  </si>
  <si>
    <t>1319187304951422209000041-4-2252</t>
  </si>
  <si>
    <t>348159российских рублей</t>
  </si>
  <si>
    <t>106192,58российских рублей</t>
  </si>
  <si>
    <t>105201,28российских рублей</t>
  </si>
  <si>
    <t>ООО «ТД Техмашкомплект»</t>
  </si>
  <si>
    <t>Акционерное общество «ЭлТех СПб»</t>
  </si>
  <si>
    <t>2017.32342</t>
  </si>
  <si>
    <t>233544российских рублей</t>
  </si>
  <si>
    <t>ООО «ПрофитПро»</t>
  </si>
  <si>
    <t>2017.32341</t>
  </si>
  <si>
    <t>272183,81российских рублей</t>
  </si>
  <si>
    <t>ООО «Ледово»</t>
  </si>
  <si>
    <t>2017.32340</t>
  </si>
  <si>
    <t>2168173,61 российских рублей</t>
  </si>
  <si>
    <t>Общество с ограниченной ответственностью "КАНЦТАНТА СЕРВИС"</t>
  </si>
  <si>
    <t>1593278,49российских рублей</t>
  </si>
  <si>
    <t>ООО "ВИКЛИН""</t>
  </si>
  <si>
    <t>2017.32337</t>
  </si>
  <si>
    <t>Общество с ограниченной ответственностью «Айтекс»</t>
  </si>
  <si>
    <t>2017.31840</t>
  </si>
  <si>
    <t>2017.30457</t>
  </si>
  <si>
    <t>Общество с ограниченной ответственностью "РОЛЬФ""</t>
  </si>
  <si>
    <t>45.19.21.000</t>
  </si>
  <si>
    <t>28.24</t>
  </si>
  <si>
    <t>28.24.11.000</t>
  </si>
  <si>
    <t>876</t>
  </si>
  <si>
    <t>Условная единица</t>
  </si>
  <si>
    <t>31.01.11</t>
  </si>
  <si>
    <t>28.29.31.119</t>
  </si>
  <si>
    <t>26.51.53</t>
  </si>
  <si>
    <t>26.60.1</t>
  </si>
  <si>
    <t>28.15</t>
  </si>
  <si>
    <t>28.15.24</t>
  </si>
  <si>
    <t>43.22.11.110</t>
  </si>
  <si>
    <t>на основани Локальной сметы и ТЗ</t>
  </si>
  <si>
    <t>29.32.30.260</t>
  </si>
  <si>
    <t>25.72.11</t>
  </si>
  <si>
    <t>68.31.5</t>
  </si>
  <si>
    <t>69.20.1</t>
  </si>
  <si>
    <t>26.70.11.110</t>
  </si>
  <si>
    <t xml:space="preserve">Фокусное расстояние 50 мм ± 10%
Формат 2/3" ± 10%
SWIR диапазон 800nm...1700nm ± 10%
Температура эксплуатации -10°C + 50°C ± 10%
Размеры (Д х В) 33,5мм x 38.2мм ± 10%
</t>
  </si>
  <si>
    <t>26.11.91</t>
  </si>
  <si>
    <t>71.12.63</t>
  </si>
  <si>
    <t>экспертное заключение о соответствии ИЦ требованиям ГОСТ ИСО/МЭК 17025-2009</t>
  </si>
  <si>
    <t>65.12.21.000</t>
  </si>
  <si>
    <t>28.21.2</t>
  </si>
  <si>
    <t>24.10.22.119</t>
  </si>
  <si>
    <t>соответствие ТУ на станок "Mikron"</t>
  </si>
  <si>
    <t>46.49.3</t>
  </si>
  <si>
    <t>17.23.1</t>
  </si>
  <si>
    <t>28.41.1</t>
  </si>
  <si>
    <t>26.11.12</t>
  </si>
  <si>
    <t>бро.364.030 ТУ, бро.364.031 ТУ, ОЮО.364.044 ТУ, ГЕО.364.184 ТУ,АШДК.434410.088 ТУ</t>
  </si>
  <si>
    <t>ТУ-2412-001-375-21586-2011</t>
  </si>
  <si>
    <t>20.16.59.320</t>
  </si>
  <si>
    <t>ISO 9001; ISO 9002</t>
  </si>
  <si>
    <t>20.59.2</t>
  </si>
  <si>
    <t>ИАЖЮ 203721.152-01</t>
  </si>
  <si>
    <t>ТУ6343-007-076161187-2013</t>
  </si>
  <si>
    <t>аЦО.338.033ТУ</t>
  </si>
  <si>
    <t>аА0.339.522ТУ</t>
  </si>
  <si>
    <t>аАО.339.431ТУ</t>
  </si>
  <si>
    <t>бКО.347.306-03ТУ; Ц23.362.006ТУ</t>
  </si>
  <si>
    <t>бКО.347.098ТУ5; АЕЯР.432120.490ТУ</t>
  </si>
  <si>
    <t>46.69.5</t>
  </si>
  <si>
    <t>46.69</t>
  </si>
  <si>
    <t>Товар должен быть новым, не выставочным экземпляром, выпущенным не ранее 2017г.</t>
  </si>
  <si>
    <t>оборудование должно быть новым, произведенным не ране 2017г., не выставочным экземпляром</t>
  </si>
  <si>
    <t>26.51.33.190</t>
  </si>
  <si>
    <t>Глубиномер микрометр. ГМ-100  0.01 кл.2 КРИН Индикатор час.типа 0- 1 0.001 б/уш. МИК* Микрометр МКЦ-  25 0.001 5-кн. МИК* Штангенциркуль ШЦЦ-1-150 0.01 КРИН</t>
  </si>
  <si>
    <t>26.60.4</t>
  </si>
  <si>
    <t>28.25.14.112</t>
  </si>
  <si>
    <t>26.51.41</t>
  </si>
  <si>
    <t>26.11.40.110</t>
  </si>
  <si>
    <t>оборудование должно быть новым, произведенным не ранее 2017г., не выставочным экземпляром</t>
  </si>
  <si>
    <t>2310000,00российских рублей</t>
  </si>
  <si>
    <t>19737756,64российских рублей</t>
  </si>
  <si>
    <t>306700,00российских рублей</t>
  </si>
  <si>
    <t>381789,00российских рублей</t>
  </si>
  <si>
    <t>300900,00российских рублей</t>
  </si>
  <si>
    <t>137234,00российских рублей</t>
  </si>
  <si>
    <t>97585,00российских рублей</t>
  </si>
  <si>
    <t>8000,00российских рублей</t>
  </si>
  <si>
    <t>330000,00российских рублей</t>
  </si>
  <si>
    <t>90000,00российских рублей</t>
  </si>
  <si>
    <t>25000,00российских рублей</t>
  </si>
  <si>
    <t>1400000,00российских рублей</t>
  </si>
  <si>
    <t>92000,00российских рублей</t>
  </si>
  <si>
    <t>77566,00российских рублей</t>
  </si>
  <si>
    <t>3312561,14российских рублей</t>
  </si>
  <si>
    <t>2762053,53российских рублей</t>
  </si>
  <si>
    <t>203905,99российских рублей</t>
  </si>
  <si>
    <t>166821,70российских рублей</t>
  </si>
  <si>
    <t>567967,53российских рублей</t>
  </si>
  <si>
    <t>239567,82российских рублей</t>
  </si>
  <si>
    <t>321614,83российских рублей</t>
  </si>
  <si>
    <t>273480,53российских рублей</t>
  </si>
  <si>
    <t>1420000,00российских рублей</t>
  </si>
  <si>
    <t>948000,00российских рублей</t>
  </si>
  <si>
    <t>415000,00российских рублей</t>
  </si>
  <si>
    <t>129054,24российских рублей</t>
  </si>
  <si>
    <t>3448708,94российских рублей</t>
  </si>
  <si>
    <t>80270,00российских рублей</t>
  </si>
  <si>
    <t>222283,86российских рублей</t>
  </si>
  <si>
    <t>382853,00российских рублей</t>
  </si>
  <si>
    <t>928400,00российских рублей</t>
  </si>
  <si>
    <t>17760000,00российских рублей</t>
  </si>
  <si>
    <t>1923582,00российских рублей</t>
  </si>
  <si>
    <t>348213,00российских рублей</t>
  </si>
  <si>
    <t>395000,00российских рублей</t>
  </si>
  <si>
    <t>1023923,64российских рублей</t>
  </si>
  <si>
    <t>93100,00российских рублей</t>
  </si>
  <si>
    <t>387417,60российских рублей</t>
  </si>
  <si>
    <t>302670,00российских рублей</t>
  </si>
  <si>
    <t>157388,40российских рублей</t>
  </si>
  <si>
    <t>115014,60российских рублей</t>
  </si>
  <si>
    <t>2612520,00российских рублей</t>
  </si>
  <si>
    <t>682158,00российских рублей</t>
  </si>
  <si>
    <t>146591,40российских рублей</t>
  </si>
  <si>
    <t>293182,80российских рублей</t>
  </si>
  <si>
    <t>110306,40российских рублей</t>
  </si>
  <si>
    <t>406923,00российских рублей</t>
  </si>
  <si>
    <t>410100,00российских рублей</t>
  </si>
  <si>
    <t>670440,72российских рублей</t>
  </si>
  <si>
    <t>189038,12российских рублей</t>
  </si>
  <si>
    <t>104762,93российских рублей</t>
  </si>
  <si>
    <t>296298,00российских рублей</t>
  </si>
  <si>
    <t>619000,00российских рублей</t>
  </si>
  <si>
    <t>1492700,00российских рублей</t>
  </si>
  <si>
    <t>101727,43российских рублей</t>
  </si>
  <si>
    <t>988207,00российских рублей</t>
  </si>
  <si>
    <t>325369,52российских рублей</t>
  </si>
  <si>
    <t>110448,00российских рублей</t>
  </si>
  <si>
    <t>1803040,00российских рублей</t>
  </si>
  <si>
    <t>415155,02российских рублей</t>
  </si>
  <si>
    <t>458776,00российских рублей</t>
  </si>
  <si>
    <t>278998,93российских рублей</t>
  </si>
  <si>
    <t>2599608,78российских рублей</t>
  </si>
  <si>
    <t>198221,07российских рублей</t>
  </si>
  <si>
    <t>3100000,00российских рублей</t>
  </si>
  <si>
    <t>136713,00российских рублей</t>
  </si>
  <si>
    <t>5441785,53российских рублей</t>
  </si>
  <si>
    <t>480024,00российских рублей</t>
  </si>
  <si>
    <t>300000,25российских рублей</t>
  </si>
  <si>
    <t>363100,00российских рублей</t>
  </si>
  <si>
    <t>396000,00российских рублей</t>
  </si>
  <si>
    <t>1288560,00российских рублей</t>
  </si>
  <si>
    <t>127204,00российских рублей</t>
  </si>
  <si>
    <t>694069,26российских рублей</t>
  </si>
  <si>
    <t>58175,00российских рублей</t>
  </si>
  <si>
    <t>28005,00российских рублей</t>
  </si>
  <si>
    <t>532937,00российских рублей</t>
  </si>
  <si>
    <t>286740,00российских рублей</t>
  </si>
  <si>
    <t>2847845,83российских рублей</t>
  </si>
  <si>
    <t>1004-2017-1259</t>
  </si>
  <si>
    <t>1004-2017-1260</t>
  </si>
  <si>
    <t>1004-2017-1261</t>
  </si>
  <si>
    <t>1004-2017-1262</t>
  </si>
  <si>
    <t>1004-2017-1263</t>
  </si>
  <si>
    <t>1004-2017-1264</t>
  </si>
  <si>
    <t>1004-2017-1265</t>
  </si>
  <si>
    <t>1004-2017-1266</t>
  </si>
  <si>
    <t>1004-2017-1267</t>
  </si>
  <si>
    <t>1004-2017-1268</t>
  </si>
  <si>
    <t>1004-2017-1269</t>
  </si>
  <si>
    <t>1004-2017-1270</t>
  </si>
  <si>
    <t>1004-2017-1271</t>
  </si>
  <si>
    <t>1004-2017-1272</t>
  </si>
  <si>
    <t>1004-2017-1273</t>
  </si>
  <si>
    <t>1004-2017-1274</t>
  </si>
  <si>
    <t>1004-2017-1275</t>
  </si>
  <si>
    <t>1004-2017-1276</t>
  </si>
  <si>
    <t>1004-2017-1277</t>
  </si>
  <si>
    <t>1004-2017-1278</t>
  </si>
  <si>
    <t>1004-2017-1279</t>
  </si>
  <si>
    <t>1004-2017-1280</t>
  </si>
  <si>
    <t>1004-2017-1281</t>
  </si>
  <si>
    <t>1004-2017-1282</t>
  </si>
  <si>
    <t>1004-2017-1283</t>
  </si>
  <si>
    <t>1004-2017-1284</t>
  </si>
  <si>
    <t>1004-2017-1285</t>
  </si>
  <si>
    <t>1004-2017-1286</t>
  </si>
  <si>
    <t>1004-2017-1287</t>
  </si>
  <si>
    <t>1004-2017-1288</t>
  </si>
  <si>
    <t>1004-2017-1289</t>
  </si>
  <si>
    <t>1004-2017-1290</t>
  </si>
  <si>
    <t>1004-2017-1291</t>
  </si>
  <si>
    <t>1004-2017-1292</t>
  </si>
  <si>
    <t>1004-2017-1293</t>
  </si>
  <si>
    <t>1004-2017-1294</t>
  </si>
  <si>
    <t>1004-2017-1295</t>
  </si>
  <si>
    <t>1004-2017-1296</t>
  </si>
  <si>
    <t>1004-2017-1297</t>
  </si>
  <si>
    <t>1004-2017-1298</t>
  </si>
  <si>
    <t>1004-2017-1299</t>
  </si>
  <si>
    <t>1004-2017-1300</t>
  </si>
  <si>
    <t>1004-2017-1301</t>
  </si>
  <si>
    <t>1004-2017-1302</t>
  </si>
  <si>
    <t>1004-2017-1303</t>
  </si>
  <si>
    <t>1004-2017-1304</t>
  </si>
  <si>
    <t>1004-2017-1305</t>
  </si>
  <si>
    <t>1004-2017-1306</t>
  </si>
  <si>
    <t>1004-2017-1307</t>
  </si>
  <si>
    <t>1004-2017-1308</t>
  </si>
  <si>
    <t>1004-2017-1309</t>
  </si>
  <si>
    <t>1004-2017-1310</t>
  </si>
  <si>
    <t>1004-2017-1311</t>
  </si>
  <si>
    <t>1004-2017-1312</t>
  </si>
  <si>
    <t>1004-2017-1313</t>
  </si>
  <si>
    <t>1004-2017-1314</t>
  </si>
  <si>
    <t>1004-2017-1315</t>
  </si>
  <si>
    <t>1004-2017-1316</t>
  </si>
  <si>
    <t>1004-2017-1317</t>
  </si>
  <si>
    <t>1004-2017-1318</t>
  </si>
  <si>
    <t>1004-2017-1319</t>
  </si>
  <si>
    <t>1004-2017-1320</t>
  </si>
  <si>
    <t>1004-2017-1321</t>
  </si>
  <si>
    <t>1004-2017-1322</t>
  </si>
  <si>
    <t>1004-2017-1323</t>
  </si>
  <si>
    <t>1004-2017-1324</t>
  </si>
  <si>
    <t>1004-2017-1325</t>
  </si>
  <si>
    <t>1004-2017-1326</t>
  </si>
  <si>
    <t>1004-2017-1327</t>
  </si>
  <si>
    <t>1004-2017-1328</t>
  </si>
  <si>
    <t>1004-2017-1329</t>
  </si>
  <si>
    <t>1004-2017-1330</t>
  </si>
  <si>
    <t>1004-2017-1331</t>
  </si>
  <si>
    <t>1004-2017-1332</t>
  </si>
  <si>
    <t>1004-2017-1333</t>
  </si>
  <si>
    <t>1004-2017-1334</t>
  </si>
  <si>
    <t>1004-2017-1335</t>
  </si>
  <si>
    <t>1004-2017-1336</t>
  </si>
  <si>
    <t>1004-2017-1337</t>
  </si>
  <si>
    <t>1004-2017-1338</t>
  </si>
  <si>
    <t>1004-2017-1339</t>
  </si>
  <si>
    <t>1004-2017-1340</t>
  </si>
  <si>
    <t>1004-2017-1341</t>
  </si>
  <si>
    <t>1004-2017-1342</t>
  </si>
  <si>
    <t>1004-2017-1343</t>
  </si>
  <si>
    <t>1004-2017-1344</t>
  </si>
  <si>
    <t>1004-2017-1345</t>
  </si>
  <si>
    <t>1004-2017-1346</t>
  </si>
  <si>
    <t>1004-2017-1347</t>
  </si>
  <si>
    <t>1004-2017-1348</t>
  </si>
  <si>
    <t>1004-2017-1349</t>
  </si>
  <si>
    <t>1004-2017-1350</t>
  </si>
  <si>
    <t>1004-2017-1351</t>
  </si>
  <si>
    <t>1004-2017-1352</t>
  </si>
  <si>
    <t>1004-2017-1353</t>
  </si>
  <si>
    <t>1004-2017-1354</t>
  </si>
  <si>
    <t>1004-2017-1355</t>
  </si>
  <si>
    <t>1004-2017-1356</t>
  </si>
  <si>
    <t>1004-2017-1357</t>
  </si>
  <si>
    <t>1004-2017-1358</t>
  </si>
  <si>
    <t>1004-2017-1359</t>
  </si>
  <si>
    <t>1004-2017-1360</t>
  </si>
  <si>
    <t>1004-2017-1361</t>
  </si>
  <si>
    <t>1004-2017-1362</t>
  </si>
  <si>
    <t>1004-2017-1363</t>
  </si>
  <si>
    <t>1004-2017-1364</t>
  </si>
  <si>
    <t>1004-2017-1365</t>
  </si>
  <si>
    <t>1004-2017-1366</t>
  </si>
  <si>
    <t>1004-2017-1367</t>
  </si>
  <si>
    <t>1004-2017-1368</t>
  </si>
  <si>
    <t>1004-2017-1369</t>
  </si>
  <si>
    <t>1004-2017-1370</t>
  </si>
  <si>
    <t>1004-2017-1371</t>
  </si>
  <si>
    <t>1004-2017-1372</t>
  </si>
  <si>
    <t>1004-2017-1373</t>
  </si>
  <si>
    <t>1004-2017-1374</t>
  </si>
  <si>
    <t>1004-2017-1375</t>
  </si>
  <si>
    <t>1004-2017-1376</t>
  </si>
  <si>
    <t>1004-2017-1377</t>
  </si>
  <si>
    <t>1004-2017-1378</t>
  </si>
  <si>
    <t>1004-2017-1379</t>
  </si>
  <si>
    <t>1004-2017-1380</t>
  </si>
  <si>
    <t>1004-2017-1381</t>
  </si>
  <si>
    <t>1004-2017-1293 оказание услуг по оценке рыночной стоимости 1 (одной) обыкновенной акции в составе 100% пакета акций АО «НИИ «Полюс» им. М.Ф. Стельмаха»</t>
  </si>
  <si>
    <t>1004-2017-1294 Сервисное обслуживание  и поставку запасных частей на безмаслянном компрессоре Calllisto 46</t>
  </si>
  <si>
    <t>1004-2017-1295 Поставка подложек арсенида галлия</t>
  </si>
  <si>
    <t>1004-2017-1296 Поставка подложек фосфида индия</t>
  </si>
  <si>
    <t>1004-2017-1297 Поставка подложек арсенида галлия</t>
  </si>
  <si>
    <t>1004-2017-1298 Поставка подложек арсенида галлия</t>
  </si>
  <si>
    <t>1004-2017-1300 внесение изменений в проектно-сметную документацию в рамках проведения авторского надзора за строительством по объекту: «Реконструкция и техническое перевооружение производства» АО «Научно-исследовательский институт «Полюс» им. М.Ф. Стельмаха», г. Москва;</t>
  </si>
  <si>
    <t>1004-2017-1301 на выполнение ремонтных работ в помещении 554а на 5-м этаже Бытового корпуса в АО "НИИ "Полюс" им. М.Ф. Стельмаха</t>
  </si>
  <si>
    <t>1004-2017-1304 закупка услуг страхования залогового имущества</t>
  </si>
  <si>
    <t>1004-2017-1307 Поставка комплекта лабораторно-производственной мебели для сборочных операций</t>
  </si>
  <si>
    <t>1004-2017-1308 поставка тепловой энергии</t>
  </si>
  <si>
    <t>1004-2017-1309 поставка тепловой энергии</t>
  </si>
  <si>
    <t>1004-2017-1310 поставка датчика пыли для чистых помещений А3-10-0,3</t>
  </si>
  <si>
    <t>1004-2017-1311 организация и проведение закупок в соответствии с Единым положением о закупке Гос. корпорации «Ростех»</t>
  </si>
  <si>
    <t>1004-2017-1312 организация и проведение закупок в соответствии с Единым положением о закупке Гос. корпорации «Ростех»</t>
  </si>
  <si>
    <t>1004-2017-1315 Разработка КД и изготовление колпака для вакуумной печи "Tesla"</t>
  </si>
  <si>
    <t xml:space="preserve">1004-2017-1317 заключение договора на поставку строительных материалов </t>
  </si>
  <si>
    <t xml:space="preserve">1004-2017-1318 заключение договора на поставку строительных материалов </t>
  </si>
  <si>
    <t>1004-2017-1319 Поставка канцелярских товаров</t>
  </si>
  <si>
    <t>1004-2017-1334 Поставка вакуумных масел</t>
  </si>
  <si>
    <t>1004-2017-1335 Поставка ионообменных смол</t>
  </si>
  <si>
    <t>1004-2017-1344 Поставка триэтилгаллия, триметилиндия, триметилалюминия, диэтилцинка</t>
  </si>
  <si>
    <t xml:space="preserve">1004-2017-1345 Поставка арсина </t>
  </si>
  <si>
    <t>1004-2017-1346 Поставка электронных компонентов,электронного оборудования, приборов</t>
  </si>
  <si>
    <t>1004-2017-1353 поставка датчиков, блоков питания и измерительного инструмента</t>
  </si>
  <si>
    <t>1004-2017-1354 поставка комплекта лабораторной мебели</t>
  </si>
  <si>
    <t>1004-2017-1355 поставка мебели и комплектующих материалов для оснащения лаборатории </t>
  </si>
  <si>
    <t>1004-2017-1356 поставка комплекта лабораторной мебели</t>
  </si>
  <si>
    <t>1004-2017-1358 на выполнение ремонтных работ в помещениях 525, 537 Лабораторного корпуса в АО "НИИ "Полюс" им. М.Ф. Стельмаха"</t>
  </si>
  <si>
    <t>1004-2017-1360 Поставка мерительного инструмента, калибров, станочной оснастки и ШВП в количестве 25 шт</t>
  </si>
  <si>
    <t>1004-2017-1362 Поставка фосфида индия, легированные цинком</t>
  </si>
  <si>
    <t>1004-2017-1378 Поставка вычислительной техники, оргтехники, экземпляров программного обеспечения, сетевого оборудования и расходных материалов</t>
  </si>
  <si>
    <t>Страховое акционерное общество "ВСК"</t>
  </si>
  <si>
    <t>ООО "СТГ""</t>
  </si>
  <si>
    <t>ООО "ТК Цитадель""</t>
  </si>
  <si>
    <t>2017.32345</t>
  </si>
  <si>
    <t>ООО "ЭЛЕКТРООХРАНА</t>
  </si>
  <si>
    <t>Общество с ограниченной ответственностью "АйТи Форт"</t>
  </si>
  <si>
    <t>2017.12676</t>
  </si>
  <si>
    <t>902 652,03 российских рублей</t>
  </si>
  <si>
    <t>2017.29386</t>
  </si>
  <si>
    <t>ООО "ПРАВО-Конструкция"</t>
  </si>
  <si>
    <t>2017.25445</t>
  </si>
  <si>
    <t>2017.29291</t>
  </si>
  <si>
    <t>2017.29292</t>
  </si>
  <si>
    <t>АО "ЦНИИМ""</t>
  </si>
  <si>
    <t>31705182663,Договор не был заключен.Участника отстранили на стадии заключения договора</t>
  </si>
  <si>
    <t>31705182696Договор не был заключен.Участника отстранили на стадии заключения договора</t>
  </si>
  <si>
    <t>2017.27786</t>
  </si>
  <si>
    <t>2017.29649</t>
  </si>
  <si>
    <t>2017.29648</t>
  </si>
  <si>
    <t>2017.28577</t>
  </si>
  <si>
    <t>ЗАО «ЭМТИКА»</t>
  </si>
  <si>
    <t>2017.28797</t>
  </si>
  <si>
    <t>2017.28576</t>
  </si>
  <si>
    <t>ООО 'ПСК Дельта'</t>
  </si>
  <si>
    <t>2017.28581</t>
  </si>
  <si>
    <t>2017.630/3-5</t>
  </si>
  <si>
    <t>2017.630/3-4</t>
  </si>
  <si>
    <t>17705596339160012560-41-2017</t>
  </si>
  <si>
    <t>М-77-2017</t>
  </si>
  <si>
    <t>17705596339160012560/0470817</t>
  </si>
  <si>
    <t>17-378</t>
  </si>
  <si>
    <t>17705596339160010060-42-2017</t>
  </si>
  <si>
    <t>71</t>
  </si>
  <si>
    <t>7725739909</t>
  </si>
  <si>
    <t>ЗАО «Оборонэлектронпроект»</t>
  </si>
  <si>
    <t>1812-83</t>
  </si>
  <si>
    <t>05-17</t>
  </si>
  <si>
    <t>2847614,12российских рублей</t>
  </si>
  <si>
    <t>0157-2017</t>
  </si>
  <si>
    <t>АКЦИОНЕРНОЕ ОБЩЕСТВО "НАУЧНО-ПРОИЗВОДСТВЕННОЕ ПРЕДПРИЯТИЕ "САЛЮТ"</t>
  </si>
  <si>
    <t>17-388-330</t>
  </si>
  <si>
    <t>17-389-330</t>
  </si>
  <si>
    <t>ЗАО "Группа проихводственных технологий и авиационного машиностроения "Аэромаш"</t>
  </si>
  <si>
    <t>40017</t>
  </si>
  <si>
    <t>25.09.201</t>
  </si>
  <si>
    <t>.</t>
  </si>
  <si>
    <t>17-385-630</t>
  </si>
  <si>
    <t>7716699093</t>
  </si>
  <si>
    <t>ООО ТД "Электромаш"</t>
  </si>
  <si>
    <t>141057,20российских рублей</t>
  </si>
  <si>
    <t>17705596339160001551договор 17-0509</t>
  </si>
  <si>
    <t>1642200,00российских рублей</t>
  </si>
  <si>
    <t>7731425509</t>
  </si>
  <si>
    <t>ООО "ТД Вартон"</t>
  </si>
  <si>
    <t xml:space="preserve"> 21/09</t>
  </si>
  <si>
    <t>7810451043</t>
  </si>
  <si>
    <t>ООО "АСВ""</t>
  </si>
  <si>
    <t>02/08-17</t>
  </si>
  <si>
    <t>7722321430</t>
  </si>
  <si>
    <t>ДСААПС</t>
  </si>
  <si>
    <t>287-17ИК</t>
  </si>
  <si>
    <t>7714652967</t>
  </si>
  <si>
    <t>ООО "БИЗНЕС МЕНЕДЖМЕНТ""</t>
  </si>
  <si>
    <t>17-373-630</t>
  </si>
  <si>
    <t>7604209086</t>
  </si>
  <si>
    <t>ООО "Индастриал Солюшнс""</t>
  </si>
  <si>
    <t>77-2017</t>
  </si>
  <si>
    <t>07.300420</t>
  </si>
  <si>
    <t>07.300419</t>
  </si>
  <si>
    <t>7718609666</t>
  </si>
  <si>
    <t>ООО "БЛМ Синержи""</t>
  </si>
  <si>
    <t>БЛМ17-10-334</t>
  </si>
  <si>
    <t>317862,36российских рублей</t>
  </si>
  <si>
    <t xml:space="preserve">4 </t>
  </si>
  <si>
    <t>152517,94российских рублей</t>
  </si>
  <si>
    <t>88_70031471198</t>
  </si>
  <si>
    <t>7704839194</t>
  </si>
  <si>
    <t>ООО "ТЕХ ФИНАНС""</t>
  </si>
  <si>
    <t>2017-D41</t>
  </si>
  <si>
    <t>7804057754</t>
  </si>
  <si>
    <t>Акционерное общество «Лабораторное Оборудование и Приборы»</t>
  </si>
  <si>
    <t>897-17</t>
  </si>
  <si>
    <t>7415028920</t>
  </si>
  <si>
    <t>ЗАО 'Ламинарные системы'</t>
  </si>
  <si>
    <t>134</t>
  </si>
  <si>
    <t>7719250676</t>
  </si>
  <si>
    <t>ЗАО ТД 'Завод 'Микрон'</t>
  </si>
  <si>
    <t>02-08-17</t>
  </si>
  <si>
    <t>83-17</t>
  </si>
  <si>
    <t>М-88-2017</t>
  </si>
  <si>
    <t>148777,44российских рублей</t>
  </si>
  <si>
    <t>7719800954</t>
  </si>
  <si>
    <t>Акционерное общество «Государственный завод «Пульсар»</t>
  </si>
  <si>
    <t>578</t>
  </si>
  <si>
    <t>3484087,62 российских рублей</t>
  </si>
  <si>
    <t xml:space="preserve"> А-01-13580</t>
  </si>
  <si>
    <t>1243039,03 российских рублей</t>
  </si>
  <si>
    <t>Э-01-13611</t>
  </si>
  <si>
    <t>267689,69 российских рублей</t>
  </si>
  <si>
    <t>260063,89 российских рублей</t>
  </si>
  <si>
    <t>3445633,95 российских рублей</t>
  </si>
  <si>
    <t>А-01-12352</t>
  </si>
  <si>
    <t>3286497,51 российских рублей</t>
  </si>
  <si>
    <t>1691681,93 российских рублей</t>
  </si>
  <si>
    <t xml:space="preserve"> Э-01-12342</t>
  </si>
  <si>
    <t>2482</t>
  </si>
  <si>
    <t>61.10</t>
  </si>
  <si>
    <t>В соответствии с Федеральным Законом «Об информации, информационных технологиях и о защите информации" № 149-ФЗ от 27.07.2006  г</t>
  </si>
  <si>
    <t>26.70.25.000</t>
  </si>
  <si>
    <t>08.11</t>
  </si>
  <si>
    <t>08.11.12.180</t>
  </si>
  <si>
    <t>ОЖО.464.039. ТУ</t>
  </si>
  <si>
    <t xml:space="preserve">ОЖО.464.234 ТУ, АЖЯР.673546.007 ТУ </t>
  </si>
  <si>
    <t>Марка СТТК 140/42 (3:1)</t>
  </si>
  <si>
    <t>22.23.14.130</t>
  </si>
  <si>
    <t>Соответствие ГОСТ и ТУ</t>
  </si>
  <si>
    <t>17.23.13.144</t>
  </si>
  <si>
    <t>ГОСТ 2.501-68</t>
  </si>
  <si>
    <t>Тепловизионный модуль IRidium II-640/МП/120/М,  F 120 мм,  640х480 пикселей, размер пикселя 17 мк</t>
  </si>
  <si>
    <t>22.23.14.120</t>
  </si>
  <si>
    <t>В соответствии с ГОСТ и ТУ</t>
  </si>
  <si>
    <t>ТЗ</t>
  </si>
  <si>
    <t>20.14.51.190</t>
  </si>
  <si>
    <t>72</t>
  </si>
  <si>
    <t>27.90.40.150</t>
  </si>
  <si>
    <t>Установлены в соответствии с требованиями установленными заказчиком. Приемка ОТК</t>
  </si>
  <si>
    <t>25.73.40.110</t>
  </si>
  <si>
    <t>26.70.1</t>
  </si>
  <si>
    <t>26.51.5</t>
  </si>
  <si>
    <t>26.70.21</t>
  </si>
  <si>
    <t>28.4</t>
  </si>
  <si>
    <t>28.21.13.127</t>
  </si>
  <si>
    <t>ШКАБ.434110.002ТУ</t>
  </si>
  <si>
    <t>27.90.11</t>
  </si>
  <si>
    <t>БКЮС.430609.002-01ТУ</t>
  </si>
  <si>
    <t>ТУ-2412-001-375-21586-2011;</t>
  </si>
  <si>
    <t>СМ3.362.825ТУ</t>
  </si>
  <si>
    <t>АЕЯР.432120.567ТУ, АЕЯР.432140.558ТУ, АЕЯР.432140.220ТУ</t>
  </si>
  <si>
    <t>ГОСТ Р 52084-2003; ГОСТ Р 52459.6-2009</t>
  </si>
  <si>
    <t>28.23</t>
  </si>
  <si>
    <t>28.23.23</t>
  </si>
  <si>
    <t>Исполнитель обязуется выполнять все работы по настоящему договору в соответствии с требованиями завода–изготовителя и другой необходимой нормативной документацией по техническому обслуживанию оборудования СКУД</t>
  </si>
  <si>
    <t>31.01.11.121</t>
  </si>
  <si>
    <t>Шкафы металлические ШРМ-11 или эквивалент</t>
  </si>
  <si>
    <t xml:space="preserve">Установлены в соответствии с требованиями установленными заказчиком. </t>
  </si>
  <si>
    <t>22.21.21.120</t>
  </si>
  <si>
    <t xml:space="preserve">Сертефецированные в РФ, не бывшие в употребление, гарантия на материалы не менее 12 месяцев </t>
  </si>
  <si>
    <t>26.30.2</t>
  </si>
  <si>
    <t>4372-001-31052367-2008 ТУ</t>
  </si>
  <si>
    <t>ТУ 2611-037-48591565-2014</t>
  </si>
  <si>
    <t>ГОСТ 26800.1-86, ГОСТ 16371-93 (изменение №2 от 08.06.2007 №31, изменение №3 от 29.11.2011 № 40), ГОСТ Р 53243-2008, ГОСТ EN 15570-2012, ГОСТ 13025.3-85, ГОСТ 30099-93, ГОСТ 19917-93 (изменения №3 от 25.11.2010 №38)</t>
  </si>
  <si>
    <t>862422,4российских рублей</t>
  </si>
  <si>
    <t>122846,98российских рублей</t>
  </si>
  <si>
    <t>210007,29российских рублей</t>
  </si>
  <si>
    <t>9700000,00российских рублей</t>
  </si>
  <si>
    <t>143691,79российских рублей</t>
  </si>
  <si>
    <t>265368,69российских рублей</t>
  </si>
  <si>
    <t>278115,55российских рублей</t>
  </si>
  <si>
    <t>601541,98российских рублей</t>
  </si>
  <si>
    <t>179028,65российских рублей</t>
  </si>
  <si>
    <t>55774,31российских рублей</t>
  </si>
  <si>
    <t>133836,67российских рублей</t>
  </si>
  <si>
    <t>551684,00российских рублей</t>
  </si>
  <si>
    <t>244190,84российских рублей</t>
  </si>
  <si>
    <t>2028837,78российских рублей</t>
  </si>
  <si>
    <t>315800,00российских рублей</t>
  </si>
  <si>
    <t>512200,00российских рублей</t>
  </si>
  <si>
    <t>9500000,00российских рублей</t>
  </si>
  <si>
    <t>25605,00российских рублей</t>
  </si>
  <si>
    <t>1357094,40российских рублей</t>
  </si>
  <si>
    <t>1279282,00российских рублей</t>
  </si>
  <si>
    <t>1776574,00российских рублей</t>
  </si>
  <si>
    <t>1078049,18российских рублей</t>
  </si>
  <si>
    <t>803955,63российских рублей</t>
  </si>
  <si>
    <t>4168184,15российских рублей</t>
  </si>
  <si>
    <t>732529,52российских рублей</t>
  </si>
  <si>
    <t>733113,00российских рублей</t>
  </si>
  <si>
    <t>417000,00российских рублей</t>
  </si>
  <si>
    <t>129309,47российских рублей</t>
  </si>
  <si>
    <t>889463,06российских рублей</t>
  </si>
  <si>
    <t>780000,00российских рублей</t>
  </si>
  <si>
    <t>601356,30российских рублей</t>
  </si>
  <si>
    <t>1103290,56российских рублей</t>
  </si>
  <si>
    <t>187562,03российских рублей</t>
  </si>
  <si>
    <t>62400,00российских рублей</t>
  </si>
  <si>
    <t>308876,80российских рублей</t>
  </si>
  <si>
    <t>55583,33российских рублей</t>
  </si>
  <si>
    <t>385000,00российских рублей</t>
  </si>
  <si>
    <t>134145,00российских рублей</t>
  </si>
  <si>
    <t>13000,00российских рублей</t>
  </si>
  <si>
    <t>16875000,00российских рублей</t>
  </si>
  <si>
    <t>64000,90российских рублей</t>
  </si>
  <si>
    <t>202134,71российских рублей</t>
  </si>
  <si>
    <t>46000,00российских рублей</t>
  </si>
  <si>
    <t>268769,00российских рублей</t>
  </si>
  <si>
    <t>66896,00российских рублей</t>
  </si>
  <si>
    <t>1422077,39российских рублей</t>
  </si>
  <si>
    <t>475958,48российских рублей</t>
  </si>
  <si>
    <t>23500000,00российских рублей</t>
  </si>
  <si>
    <t>69933,33российских рублей</t>
  </si>
  <si>
    <t>229877,60российских рублей</t>
  </si>
  <si>
    <t>59101,93российских рублей</t>
  </si>
  <si>
    <t>686440,22российских рублей</t>
  </si>
  <si>
    <t>543480,34российских рублей</t>
  </si>
  <si>
    <t>1944921,26российских рублей</t>
  </si>
  <si>
    <t>8238800,00российских рублей</t>
  </si>
  <si>
    <t>218170,00российских рублей</t>
  </si>
  <si>
    <t>815781,32российских рублей</t>
  </si>
  <si>
    <t>494910,00российских рублей</t>
  </si>
  <si>
    <t>1456578,40российских рублей</t>
  </si>
  <si>
    <t>1004-2017-1382</t>
  </si>
  <si>
    <t>1004-2017-1383</t>
  </si>
  <si>
    <t>1004-2017-1384</t>
  </si>
  <si>
    <t>1004-2017-1386</t>
  </si>
  <si>
    <t>1004-2017-1387</t>
  </si>
  <si>
    <t>1004-2017-1388</t>
  </si>
  <si>
    <t>1004-2017-1389</t>
  </si>
  <si>
    <t>1004-2017-1390</t>
  </si>
  <si>
    <t>1004-2017-1391</t>
  </si>
  <si>
    <t>1004-2017-1392</t>
  </si>
  <si>
    <t>1004-2017-1393</t>
  </si>
  <si>
    <t>1004-2017-1394</t>
  </si>
  <si>
    <t>1004-2017-1395</t>
  </si>
  <si>
    <t>1004-2017-1396</t>
  </si>
  <si>
    <t>1004-2017-1397</t>
  </si>
  <si>
    <t>1004-2017-1398</t>
  </si>
  <si>
    <t>1004-2017-1399</t>
  </si>
  <si>
    <t>1004-2017-1400</t>
  </si>
  <si>
    <t>1004-2017-1401</t>
  </si>
  <si>
    <t>1004-2017-1402</t>
  </si>
  <si>
    <t>1004-2017-1403</t>
  </si>
  <si>
    <t>1004-2017-1404</t>
  </si>
  <si>
    <t>1004-2017-1405</t>
  </si>
  <si>
    <t>1004-2017-1406</t>
  </si>
  <si>
    <t>1004-2017-1407</t>
  </si>
  <si>
    <t>1004-2017-1408</t>
  </si>
  <si>
    <t>1004-2017-1409</t>
  </si>
  <si>
    <t>1004-2017-1410</t>
  </si>
  <si>
    <t>1004-2017-1411</t>
  </si>
  <si>
    <t>1004-2017-1412</t>
  </si>
  <si>
    <t>1004-2017-1413</t>
  </si>
  <si>
    <t>1004-2017-1414</t>
  </si>
  <si>
    <t>1004-2017-1415</t>
  </si>
  <si>
    <t>1004-2017-1416</t>
  </si>
  <si>
    <t>1004-2017-1417</t>
  </si>
  <si>
    <t>1004-2017-1418</t>
  </si>
  <si>
    <t>1004-2017-1419</t>
  </si>
  <si>
    <t>1004-2017-1420</t>
  </si>
  <si>
    <t>1004-2017-1421</t>
  </si>
  <si>
    <t>1004-2017-1422</t>
  </si>
  <si>
    <t>1004-2017-1423</t>
  </si>
  <si>
    <t>1004-2017-1424</t>
  </si>
  <si>
    <t>1004-2017-1425</t>
  </si>
  <si>
    <t>1004-2017-1426</t>
  </si>
  <si>
    <t>1004-2017-1427</t>
  </si>
  <si>
    <t>1004-2017-1428</t>
  </si>
  <si>
    <t>1004-2017-1429</t>
  </si>
  <si>
    <t>1004-2017-1430</t>
  </si>
  <si>
    <t>1004-2017-1431</t>
  </si>
  <si>
    <t>1004-2017-1432</t>
  </si>
  <si>
    <t>1004-2017-1433</t>
  </si>
  <si>
    <t>1004-2017-1434</t>
  </si>
  <si>
    <t>1004-2017-1435</t>
  </si>
  <si>
    <t>1004-2017-1436</t>
  </si>
  <si>
    <t>1004-2017-1437</t>
  </si>
  <si>
    <t>1004-2017-1438</t>
  </si>
  <si>
    <t>1004-2017-1439</t>
  </si>
  <si>
    <t>1004-2017-1440</t>
  </si>
  <si>
    <t>1004-2017-1441</t>
  </si>
  <si>
    <t>1004-2017-1442</t>
  </si>
  <si>
    <t>1004-2017-1443</t>
  </si>
  <si>
    <t>1004-2017-1444</t>
  </si>
  <si>
    <t>1004-2017-1445</t>
  </si>
  <si>
    <t>1004-2017-1446</t>
  </si>
  <si>
    <t>1004-2017-1447</t>
  </si>
  <si>
    <t>1004-2017-1448</t>
  </si>
  <si>
    <t>1004-2017-1449</t>
  </si>
  <si>
    <t>1004-2017-1450</t>
  </si>
  <si>
    <t>1004-2017-1451</t>
  </si>
  <si>
    <t>1004-2017-1452</t>
  </si>
  <si>
    <t>1004-2017-1453</t>
  </si>
  <si>
    <t>1004-2017-1454</t>
  </si>
  <si>
    <t>1004-2017-1455</t>
  </si>
  <si>
    <t>1004-2017-1456</t>
  </si>
  <si>
    <t>1004-2017-1457</t>
  </si>
  <si>
    <t>1004-2017-1458</t>
  </si>
  <si>
    <t>1004-2017-1459</t>
  </si>
  <si>
    <t>1004-2017-1460</t>
  </si>
  <si>
    <t>1004-2017-1461</t>
  </si>
  <si>
    <t>1004-2017-1462</t>
  </si>
  <si>
    <t>1004-2017-1463</t>
  </si>
  <si>
    <t>1004-2017-1464</t>
  </si>
  <si>
    <t>1004-2017-1465</t>
  </si>
  <si>
    <t>1004-2017-1466</t>
  </si>
  <si>
    <t>1004-2017-1467</t>
  </si>
  <si>
    <t>1004-2017-1468</t>
  </si>
  <si>
    <t>1004-2017-1469</t>
  </si>
  <si>
    <t>1004-2017-1259 Поставка  Автомобиль легковой</t>
  </si>
  <si>
    <t>1004-2017-1260 Поставка Оптические детали Фазотрон</t>
  </si>
  <si>
    <t>1004-2017-1261Поставка  Колпак для вакуумной печи "Tesla"</t>
  </si>
  <si>
    <t>1004-2017-1262 Поставка  Микросхема 133АГЗ</t>
  </si>
  <si>
    <t>1004-2017-1263 Поставка  Реактор инжекционный МР-1800-1000-16-КС ТУ 4859.007. 27572664.16</t>
  </si>
  <si>
    <t>1004-2017-1264 Поставка  Узел мембранно-насосный с электромагнитным распределительным устройством ТУ.4859.006.27572664.16</t>
  </si>
  <si>
    <t>1004-2017-1265 Поставка  Насос высокого давления Grundfos CRN 1-30</t>
  </si>
  <si>
    <t>1004-2017-1266 Поставка  Дрель -  шуруповерт</t>
  </si>
  <si>
    <t>1004-2017-1267 Поставка  Инструмент</t>
  </si>
  <si>
    <t>1004-2017-1268 Поставка  Инструмент для проведения электромонтажных работ</t>
  </si>
  <si>
    <t>1004-2017-1269 Поставка  Металличиские шкафы для одежды</t>
  </si>
  <si>
    <t>1004-2017-1270мПоставка  Электронные весы и весы напольные</t>
  </si>
  <si>
    <t>1004-2017-1271 Поставка  Паяльные станции и инструмент</t>
  </si>
  <si>
    <t>1004-2017-1272 Поставка  Анализатор спектра</t>
  </si>
  <si>
    <t>1004-2017-1273 Поставка  Комплект измерителя оптической мощности</t>
  </si>
  <si>
    <t>1004-2017-1274 Поставка  Характериограф</t>
  </si>
  <si>
    <t>1004-2017-1275 Поставка Производственная мебель</t>
  </si>
  <si>
    <t>1004-2017-1276 Поставка  Комплект ручного электроинструмента и расходных материалов</t>
  </si>
  <si>
    <t>1004-2017-1277 Поставка  уктор привода оси "Z" и конактный модуль для КИМ Aberlink Axiom too 600 CNC</t>
  </si>
  <si>
    <t xml:space="preserve">1004-2017-1278 Поставка  Электроды ЭК1 – 25 - 120 Я2М4.088.172, Электроды ЭК4 – 25 – 120 ПГАМ4.088.005, Электроды ЭК1 – 30 – 140 Я2М4.088.172, Электроды ЭК4 – 30 – 140 ПГАМ4.088.005 </t>
  </si>
  <si>
    <t>1004-2017-1279 Поставка  вертикальный многоступенчатый центробежный насос с нормальным всасыванием типа «ин-лайн» для монтажа на плите- основании</t>
  </si>
  <si>
    <t>1004-2017-1280 Поставка Инструмент для проведения ремонтно строительных работ</t>
  </si>
  <si>
    <t>1004-2017-1281 Поставка  огнетушители порошковые ОП-5 ABCE -175 шт.,   огнетушители углекислотные ОУ-5 BCE – 100 шт. и огнетушители углекислотные ОУ-80 (ОУ-55) ВСЕ (передвижной) – 15 шт.</t>
  </si>
  <si>
    <t>1004-2017-1282 Поставка  Источник питания ГИТП 500-30</t>
  </si>
  <si>
    <t>1004-2017-1283 Поставка  Комплект радиоизмерительных приборов</t>
  </si>
  <si>
    <t>1004-2017-1284 Поставка Металлорежущий инструмент</t>
  </si>
  <si>
    <t>1004-2017-1285 выполнение работ по ремонту водопровода Ду219 и Ду 320</t>
  </si>
  <si>
    <t>1004-2017-1286 выполнение работ по ремонту территории</t>
  </si>
  <si>
    <t>1004-2017-1287 Поставка Воздуховоды</t>
  </si>
  <si>
    <t>1004-2017-1288 Поставка Замки</t>
  </si>
  <si>
    <t>1004-2017-1289 Поставка Металлические сплавы</t>
  </si>
  <si>
    <t>1004-2017-1290 Поставка Металлические сплавы</t>
  </si>
  <si>
    <t>1004-2017-1291 Поставка Электромонтажные материалы и изделия</t>
  </si>
  <si>
    <t>1004-2017-1292 Поставка Электромонтажные материалы и изделия</t>
  </si>
  <si>
    <t xml:space="preserve">1004-2017-1299 Поставка  Диод 2Д522Б, дР3.362.029-01 ТУ/02 </t>
  </si>
  <si>
    <t xml:space="preserve">1004-2017-1302 Поставка  Объектив SWIR M5018-SW </t>
  </si>
  <si>
    <t>1004-2017-1303 Поставка  Печатные платы для изд. ЛД-294</t>
  </si>
  <si>
    <t>1004-2017-1305Поставка  ТЛ.0010.00.014, комплект деталей модуля ПОМ ЖГДК.741612.028, комплект деталей модуля ПРОМ ЖГДК.741612.029</t>
  </si>
  <si>
    <t>1004-2017-1306 Выполнеие услуг по Инспекционному контролю испытательного центра в системе добровольной аккредитации</t>
  </si>
  <si>
    <t>1004-2017-1313 Поставка Оптические детали ОМЗ</t>
  </si>
  <si>
    <t>1004-2017-1314 Поставка  Оптические детали АЭРОМАШ</t>
  </si>
  <si>
    <t>1004-2017-1316 Поставка Датчик Heidenhain RON 285C</t>
  </si>
  <si>
    <t>1004-2017-1320Поставка  Заточный станок ЗСВ-25</t>
  </si>
  <si>
    <t>1004-2017-1321Поставка  Плата ЖГДК.758773.012</t>
  </si>
  <si>
    <t>1004-2017-1322 Поставка  Плата ЖГДК.758773.012</t>
  </si>
  <si>
    <t>1004-2017-1324 Поставка  Плата ЖГДК.758773.012</t>
  </si>
  <si>
    <t>1004-2017-1323 Поставка   Плата ЖГДК.758773.012</t>
  </si>
  <si>
    <t>1004-2017-1325 Поставка Плата ЖГДК.758773.012</t>
  </si>
  <si>
    <t>1004-2017-1326 Поставка Кристалл ЖГДК.432245.006</t>
  </si>
  <si>
    <t>1004-2017-1327 Поставка Кристалл ЖГДК.432245.006</t>
  </si>
  <si>
    <t>1004-2017-1328 Поставка Кристалл ЖГДК.432245.006</t>
  </si>
  <si>
    <t>1004-2017-1329 Поставка Кристалл ЖГДК.432245.006</t>
  </si>
  <si>
    <t>1004-2017-1330 Поставка Кристалл ЖГДК.432245.006</t>
  </si>
  <si>
    <t>1004-2017-1331 Поставка  Корпус ЖГДК.469333.005</t>
  </si>
  <si>
    <t>1004-2017-1332 Поставка Корпус ЖГДК.469333.005</t>
  </si>
  <si>
    <t>1004-2017-1333 Поставка вилки, розетки, заглушки</t>
  </si>
  <si>
    <t>1004-2017-1336 Поставка волоконно-оптические жгуты</t>
  </si>
  <si>
    <t>1004-2017-1337 Поставка лампы импульсные</t>
  </si>
  <si>
    <t xml:space="preserve">1004-2017-1339 Поставка индикаторы </t>
  </si>
  <si>
    <t>1004-2017-1340 Поставка Транзисторы</t>
  </si>
  <si>
    <t>1004-2017-1341 Поставка микросхемы, диоды</t>
  </si>
  <si>
    <t>1004-2017-1342 Поставка микросхемы, столбы</t>
  </si>
  <si>
    <t>1004-2017-1343 Поставка транзисторы</t>
  </si>
  <si>
    <t>1004-2017-1347 Поставка Металлические сплавы</t>
  </si>
  <si>
    <t>1004-2017-1348 Поставка Электромонтажные материалы и изделия</t>
  </si>
  <si>
    <t>1004-2017-1349 Поставка  Печатные платы для изд. МТ-401</t>
  </si>
  <si>
    <t>1004-2017-1350 Поставка Зеркало ЖГДК.756523.007</t>
  </si>
  <si>
    <t xml:space="preserve">1004-2017-1351 Поставка Узел мембранной дегазации ДУ-1600-08-М  ТУ.4859.022.27572664.16 </t>
  </si>
  <si>
    <t>1004-2017-1352 Поставка  и изготовление иридиевых  тиглей И99.9 ТЦА 10020</t>
  </si>
  <si>
    <t>1004-2017-1357 Поставка оптические заготовки К-108 150х150х30=26 шт. К-108 150х150х20= 12 шт. Тк-102 150х150х20 =9 шт</t>
  </si>
  <si>
    <t>1004-2017-1359 Поставка Электронные весы и весы напольные</t>
  </si>
  <si>
    <t>1004-2017-1361 Поставка Камеры тепла и холода MC-712R "Espec", Япония, в количестве 5 шт.</t>
  </si>
  <si>
    <t>1004-2017-1363 Поставка Трансформатор ЖГДК.671111.022</t>
  </si>
  <si>
    <t>1004-2017-1364 Поставка Механические детали для изд. МТД</t>
  </si>
  <si>
    <t>1004-2017-1365 1 Поставка БАВнп-01-«Ламинар-С.»-1,5 по ТУ 9443-002­51495026-2004 1R-D.001-15.0 (412.150)               2. ШВ -"Ламинар-С"-1,5 по ТУ 9452-011-51495026­2014.</t>
  </si>
  <si>
    <t>1004-2017-1366 Поставка  Узел ультрафиолетового окисления углерода 0-1600-04-УФ ТУ.4859.021.27572664.16</t>
  </si>
  <si>
    <t>1004-2017-1367 Поставка  двухзонный противоточный реактор ДПР-1000-12-О ТУ.4859.006.27572664.17</t>
  </si>
  <si>
    <t>1004-2017-1368 Поставка Комплект для системы считывания нанорешеток в стеклах</t>
  </si>
  <si>
    <t>1004-2017-1369 Поставка Инструмент для проведения работ в ситемах водоснабжения и ветиляции</t>
  </si>
  <si>
    <t xml:space="preserve">1004-2017-1370 Поставка Дозиметр гамма-излучения </t>
  </si>
  <si>
    <t>1004-2017-1371 Поставка войсковой прибор химической разведки ВПХР</t>
  </si>
  <si>
    <t>1004-2017-1372 Поставка Источник питания ГИТП 500-30(10)х12Р-220-П2</t>
  </si>
  <si>
    <t>1004-2017-1373 Поставка Комплект радиоизмерительных приборов</t>
  </si>
  <si>
    <t>1004-2017-1374 Поставка  паяльная станция с принадлежностями</t>
  </si>
  <si>
    <t>1004-2017-1375 Поставка комплект измерительных приборов</t>
  </si>
  <si>
    <t>1004-2017-1376 Поставка Комплект преобразователей линейных перемещений с устройством цифровой индикации 1к-т</t>
  </si>
  <si>
    <t>1004-2017-1377 Поставка и Закупка микроскопов Leica M80</t>
  </si>
  <si>
    <t>1004-2017-1379 Поставка Электронные весы и весы напольные</t>
  </si>
  <si>
    <t>1004-2017-1380 Поставка Дрель -  шуруповерт</t>
  </si>
  <si>
    <t>1004-2017-1381 Поставка  Клапан AVB-KF16-M-E высоковакуумный угловой ручной, фл. KF16, корп. нерж. сталь, уплотнение FKM</t>
  </si>
  <si>
    <t>1004-2017-1382 Предоставление телекоммуникационных услуг</t>
  </si>
  <si>
    <t xml:space="preserve">1004-2017-1383 Поставка кристаллических затворов КПЛЗ АИГ: V (пластины из граната с ванадием), поставка активных элементов из КГВ с неодимом КП 3х50  </t>
  </si>
  <si>
    <t>1004-2017-1384Поставка  Строительно-отделочные материалы</t>
  </si>
  <si>
    <t>1004-2017-1384 Поставка  Металлические сплавы</t>
  </si>
  <si>
    <t xml:space="preserve">1004-2017-1386 Поставка Электротехнические изделия </t>
  </si>
  <si>
    <t>1004-2017-1387Научно-исследовательская экспериментальная работа «Разработка и экспериментальное подтверждение принципов построения мобильного лазерного комплекса с малоразмерными беспилотными летательными аппаратами. Экспериментальное подтверждение ключевых технических решений создания комплекса» Шифр «Комплекс – 1».</t>
  </si>
  <si>
    <t>1004-2017-1388 Поставка  вилки,розетки</t>
  </si>
  <si>
    <t>1004-2017-1389 Поставка  Конденсаторы</t>
  </si>
  <si>
    <t>1004-2017-1390 Поставка  Конденсаторы</t>
  </si>
  <si>
    <t>1004-2017-1391 Поставка  Конденсаторы</t>
  </si>
  <si>
    <t>1004-2017-1392 Поставка термоусадочной трубки СТТК 140/42 (3:1) черной с клеем</t>
  </si>
  <si>
    <t>1004-2017-1393 Поставка жалюзи</t>
  </si>
  <si>
    <t>1004-2017-1394 Поставка карточек учета документов и папок архивных с завязками</t>
  </si>
  <si>
    <t>1004-2017-1395 Поставка Тепловизионного модуля IRidium II-640/МП/120/М</t>
  </si>
  <si>
    <t>1004-2017-1396 Поставка и монтаж окон из ПВХ профиля</t>
  </si>
  <si>
    <t>1004-2017-1397 Поставка  Крышка ет.8.050.477; Контактная пластина ВАНЕ.741221.001; Корпус ЖГДК.711314.001</t>
  </si>
  <si>
    <t>1004-2017-1398 Поставка  и Доработка корпуса ЖГДК 203129.010; Крышка ет.4.127.979</t>
  </si>
  <si>
    <t>1004-2017-1399 Разработка и изготовление измерителя параметров лазерных диодов "ИЛПД-комплекс"</t>
  </si>
  <si>
    <t>1004-2017-1400 Поставка  Активный элемент YAG  ГП3х50-Э.01</t>
  </si>
  <si>
    <t>1004-2017-1401 Поставка триэтилгаллия, триметилиндия, триметилалюминия, диэтилцинка</t>
  </si>
  <si>
    <t xml:space="preserve">1004-2017-1402 Изготовление и поставка активных элементов ИКЮШ.755711.015  </t>
  </si>
  <si>
    <t xml:space="preserve">1004-2017-1403 на составную часть научно-исследовательской экспериментальной работы «Разработка и экспериментальное подтверждение принципов построения мобильного лазерного комплекса борьбы с малоразмерными беспилотными летательными аппаратами. Разработка макета жидкостного лазера с моделированием основных устройств».
Шифр «Комплекс-1Ж»
</t>
  </si>
  <si>
    <t>1004-2017-1404 Поставка  Кристалл фоточувствительный</t>
  </si>
  <si>
    <t>1004-2017-1405 Поставка  Объектив SWIR M5018-SW</t>
  </si>
  <si>
    <t>1004-2017-1406 поставка структуры эпитаксиальной германиевой ЭГС39-2  Яе0.032.039 ТУ</t>
  </si>
  <si>
    <t>1004-2017-1407 поставка Набора из 91 cверел Ruko 214223</t>
  </si>
  <si>
    <t>1004-2017-1408 Поставка  печатные платы ЖГДК.758773.011</t>
  </si>
  <si>
    <t>1004-2017-1409 Поставка  кожух ЖГДК.305143.001 корпус  ЖГДК.301172.013</t>
  </si>
  <si>
    <r>
      <t>1004-2017-1410 Поставка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передающий оптический модуль ПОМ-14</t>
    </r>
  </si>
  <si>
    <t>1004-2017-1411 Поставка  програмируемый оптический аттенюатор FOD5418</t>
  </si>
  <si>
    <t>1004-2017-1412 поставка комплектующих материалов для изготовления УФ установки</t>
  </si>
  <si>
    <t xml:space="preserve">1004-2017-1413 поставка высоковакуумной системы </t>
  </si>
  <si>
    <t>1004-2017-1414 Поставка  комплектующие для установки УФ интерференционной профиломитрии</t>
  </si>
  <si>
    <t>1004-2017-1415 поставка газового лазера ГКЛ-10У(И)</t>
  </si>
  <si>
    <t>1004-2017-1416 поставка лабораторного оборудования и лабораторной мебели </t>
  </si>
  <si>
    <t>1004-2017-1417 Поставка  Электротехнические изделия - 1 комплект</t>
  </si>
  <si>
    <t>1004-2017-1418 Поставка  Канцелярские товары</t>
  </si>
  <si>
    <t>1004-2017-1419 Поставка  конденсаторы</t>
  </si>
  <si>
    <t>1004-2017-1420 Поставка  резисторы</t>
  </si>
  <si>
    <t>1004-2017-1421 Поставка  модули питания</t>
  </si>
  <si>
    <t>1004-2017-1422 Поставка вакуумных масел</t>
  </si>
  <si>
    <t>1004-2017-1423 Поставка  стабилитроны</t>
  </si>
  <si>
    <t>1004-2017-1424 Поставка  диоды</t>
  </si>
  <si>
    <t>1004-2017-1425 Поставка  диоды, транзисторы</t>
  </si>
  <si>
    <t>1004-2017-1426 Поставка  лампы импульсные</t>
  </si>
  <si>
    <t>1004-2017-1427 Поставка товаров общехозяйственного назначения</t>
  </si>
  <si>
    <r>
      <t>1004-2017-1428 Поставка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Корпус фильтра пятипатронный В-5-20-110 ТУ 4859.008.27572664.16</t>
    </r>
  </si>
  <si>
    <t>1004-2017-1429 Поставка Оптические детали Металлист</t>
  </si>
  <si>
    <t>1004-2017-1430 Поставка  Воздушный ресивер РВ 900/10</t>
  </si>
  <si>
    <t>1004-2017-1431 Поставка Харктериограф</t>
  </si>
  <si>
    <t>1004-2017-1432 Поставка Комплект паяльного оборудования</t>
  </si>
  <si>
    <t>1004-2017-1433 Поставка  Уничтожители документов</t>
  </si>
  <si>
    <t>1004-2017-1434 Поставка  Ручной электроинструмент</t>
  </si>
  <si>
    <t>1004-2017-1435 Проведение работ по обслуживанию системы контроля и управления доступом (СКУД)</t>
  </si>
  <si>
    <t>1004-2017-1436 Поставка  Шкафы металлические</t>
  </si>
  <si>
    <t>1004-2017-1437 Поставка и монтаж окон из ПВХ профиля</t>
  </si>
  <si>
    <t>1004-2017-1438 Поставка Активный элемент YAG  ГП3х50-Э.01</t>
  </si>
  <si>
    <t>1004-2017-1439 Поставка  Комплекты механических деталей для изд. МТД</t>
  </si>
  <si>
    <t>1004-2017-1440 Поставка  Печатные платы для изделия 9Б918</t>
  </si>
  <si>
    <t>1004-2017-1441 Поставка аквадисстиляторы</t>
  </si>
  <si>
    <t>1004-2017-1442 Поставка ионообменных смол</t>
  </si>
  <si>
    <t>1004-2017-1443 Поставка  конденсаторы     К53-68  АЖЯР. 673546.007ТУ</t>
  </si>
  <si>
    <t>1004-2017-1444 выполнение услуг по оценке стоимости оборудования</t>
  </si>
  <si>
    <t>1004-2017-1445 Поставка  Электроды ЭК1 – 25 - 120 Я2М4.088.172, Электроды ЭК4 – 25 – 120 ПГАМ4.088.005, Электроды ЭК1 – 30 – 140 Я2М4.088.172, Электроды ЭК4 – 30 – 140 ПГАМ4.088.005</t>
  </si>
  <si>
    <t>1004-2017-1446 Поставка Дозиметр гамма-излучения</t>
  </si>
  <si>
    <t>1004-2017-1447 Поставка  Комплект радиоизмерительных приборов 1 к-т</t>
  </si>
  <si>
    <t>1004-2017-1448 Поставка Комплект измерителя мощности лазерного излучения 1 к-т</t>
  </si>
  <si>
    <t>1004-2017-1449 на составную часть научно-исследовательской экспериментальной работы «Разработка и экспериментальное подтверждение принципов построения мобильного лазерного комплекса борьбы с малоразмерными беспилотными летательными аппаратами. Изготовление макета жидкостного лазера, доработка технологического комплекса и проведение испытаний»</t>
  </si>
  <si>
    <t>1004-2017-1450 поставка Набора из 91 cверел Ruko 214223</t>
  </si>
  <si>
    <t>1004-2017-1451 Поставка жалюзи</t>
  </si>
  <si>
    <t>1004-2017-1452 Поставка карточек учета документов и папок архивных с завязками</t>
  </si>
  <si>
    <t>1004-2017-1453 Поставка установка вентиляционная пылеулавливающая</t>
  </si>
  <si>
    <t>1004-2017-1454 Поставка термоусадочной трубки СТТК 140/42 (3:1) черной с клеем</t>
  </si>
  <si>
    <t>1004-2017-1455 Поставка  Крепежные материалы для вентиляции –  5440 шт.</t>
  </si>
  <si>
    <t>1004-2017-1456 Поставка Сантехнические материалы – 1004 м, 1305 шт.</t>
  </si>
  <si>
    <t>1004-2017-1457 Поставка Металлические сплавы</t>
  </si>
  <si>
    <t>1004-2017-1458 Поставка Металлические сплавы</t>
  </si>
  <si>
    <t>1004-2017-1459 Поставка Металлические сплавы</t>
  </si>
  <si>
    <t>1004-2017-1460 Поставка Металлопрокат</t>
  </si>
  <si>
    <t>1004-2017-1461 Поставка Электромонтажные материалы и изделия в количестве 12153 шт., 6084 м, 7 комплектов, 150 рулонов, 1 кг.</t>
  </si>
  <si>
    <t>1004-2017-1462 Поставка конденсаторы</t>
  </si>
  <si>
    <r>
      <t>1004-2017-1463 Поставка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ТВ-камеры</t>
    </r>
  </si>
  <si>
    <t>1004-2017-1464 Поставка вакуумных масел</t>
  </si>
  <si>
    <t>1004-2017-1465 Поставка оксида алюминия и оксида циркония </t>
  </si>
  <si>
    <t>1004-2017-1466 Поставка  реконструкция тепловых сетей</t>
  </si>
  <si>
    <t>1004-2017-1467 Поставка офисной мебели</t>
  </si>
  <si>
    <t>1004-2017-1468 Поставка  Комплект измерителя оптической мощности PM122D ( PM100D,  S122C, S120-FC,  BA2, PH2, TR2)</t>
  </si>
  <si>
    <t>1004-2017-1469 Поставка  Анализатор спектра СК4М-18/10 с устройством ПКУ-11</t>
  </si>
  <si>
    <t>154590,13российских рублей</t>
  </si>
  <si>
    <t>5043012881</t>
  </si>
  <si>
    <t>АО "Серпуховской завод "Металлист"</t>
  </si>
  <si>
    <t>354-нр-17</t>
  </si>
  <si>
    <t>М-102-2017</t>
  </si>
  <si>
    <t>112355,64 российских рублей</t>
  </si>
  <si>
    <t>226467,96российских рублей</t>
  </si>
  <si>
    <t>1004-2017-1338резонаторы РК60-14ЕЭ-74,945М</t>
  </si>
  <si>
    <t>ОАО Завод 'Метеор'</t>
  </si>
  <si>
    <t>3435000717</t>
  </si>
  <si>
    <t>5753018359</t>
  </si>
  <si>
    <t>АО 'Протон'</t>
  </si>
  <si>
    <t>1162</t>
  </si>
  <si>
    <t>46</t>
  </si>
  <si>
    <t>2446</t>
  </si>
  <si>
    <t xml:space="preserve"> 1</t>
  </si>
  <si>
    <t>1267075,39российских рублей</t>
  </si>
  <si>
    <t>7811483834</t>
  </si>
  <si>
    <t>АКЦИОНЕРНОЕ ОБЩЕСТВО "НАУЧНО-ИССЛЕДОВАТЕЛЬСКИЙ И ТЕХНОЛОГИЧЕСКИЙ ИНСТИТУТ ОПТИЧЕСКОГО МАТЕРИАЛОВЕДЕНИЯ ВСЕРОССИЙСКОГО НАУЧНОГО ЦЕНТРА "ГОСУДАРСТВЕННЫЙ ОПТИЧЕСКИЙ ИНСТИТУТ ИМ. С.И.ВАВИЛОВА"</t>
  </si>
  <si>
    <t>74-2017</t>
  </si>
  <si>
    <t>500022435</t>
  </si>
  <si>
    <t>АО "Завод "Оптик"</t>
  </si>
  <si>
    <t>11-245</t>
  </si>
  <si>
    <t xml:space="preserve"> 4</t>
  </si>
  <si>
    <t>15-1159</t>
  </si>
  <si>
    <t>02565</t>
  </si>
  <si>
    <t>295 000российских рублей</t>
  </si>
  <si>
    <t>6224-88</t>
  </si>
  <si>
    <t>98-17</t>
  </si>
  <si>
    <t>2017.630-3-9</t>
  </si>
  <si>
    <t>2017.630-3-8</t>
  </si>
  <si>
    <t>17705596339160012560-17-392-330</t>
  </si>
  <si>
    <t>5027224977</t>
  </si>
  <si>
    <t>АО "ОКБ "Астрон""</t>
  </si>
  <si>
    <t>12-10-2017</t>
  </si>
  <si>
    <t>119-17</t>
  </si>
  <si>
    <t>7713076301</t>
  </si>
  <si>
    <t>Публичное акционерное общество «Вымпел-Коммуникации»</t>
  </si>
  <si>
    <t>53596</t>
  </si>
  <si>
    <t>15-1051</t>
  </si>
  <si>
    <t>305332,51российских рублей</t>
  </si>
  <si>
    <t>Общество с ограниченной ответственностью «Технотулс»</t>
  </si>
  <si>
    <t>2017.39783</t>
  </si>
  <si>
    <t>26.20;
58.29</t>
  </si>
  <si>
    <t xml:space="preserve">1004-2017-00398Поставка вычислительной техники, оргтехники, сетевого оборудования, комплектующих, расходных материалов и экземпляров программного обеспечения </t>
  </si>
  <si>
    <t>1004-2017-00406Поставка серверного оборудования</t>
  </si>
  <si>
    <t>1109165,86российских рублей</t>
  </si>
  <si>
    <t>1004-2017-00408Поставка оборудования для сканирования и передачи прав на использование программного обеспечения для управления информационным ресурсом на условиях простой (неисключительной) лицензии</t>
  </si>
  <si>
    <t>1164874,5российских рублей</t>
  </si>
  <si>
    <t>2017.32338</t>
  </si>
  <si>
    <t>2017.34096</t>
  </si>
  <si>
    <t>91403,2российских рублей</t>
  </si>
  <si>
    <t>2017.33282</t>
  </si>
  <si>
    <t>2017.33275</t>
  </si>
  <si>
    <t>2017.33278</t>
  </si>
  <si>
    <t>2017.32346</t>
  </si>
  <si>
    <t>2017.34091</t>
  </si>
  <si>
    <t>2017.39273</t>
  </si>
  <si>
    <t>И-016-07-2017</t>
  </si>
  <si>
    <t>156981,49российских рублей</t>
  </si>
  <si>
    <t>АО "НЗПП С ОКБ""</t>
  </si>
  <si>
    <t>3987-17</t>
  </si>
  <si>
    <t>43</t>
  </si>
  <si>
    <t>51</t>
  </si>
  <si>
    <t>406923российских рублей</t>
  </si>
  <si>
    <t>555577,45российских рублей</t>
  </si>
  <si>
    <t>224738-12</t>
  </si>
  <si>
    <t>3786300,00российских рублей</t>
  </si>
  <si>
    <t>1719187412822412241015403-051-1117</t>
  </si>
  <si>
    <t>1199257,6,00российских рублей</t>
  </si>
  <si>
    <t>1719187412822412241015403-15-1192</t>
  </si>
  <si>
    <t>на основании локальной сметы и Технического задания</t>
  </si>
  <si>
    <t>113</t>
  </si>
  <si>
    <t>28.24.12.120</t>
  </si>
  <si>
    <t>245</t>
  </si>
  <si>
    <t>26.11.21.110</t>
  </si>
  <si>
    <t>26.11.22.291</t>
  </si>
  <si>
    <t>26.20.1</t>
  </si>
  <si>
    <t>Установлены в соответствии с требованиями установленными заказчиком.</t>
  </si>
  <si>
    <t>32.99.1</t>
  </si>
  <si>
    <t>32.99.11.111</t>
  </si>
  <si>
    <t>ТУ 8027-007-54598330-2007; ТУ 9398-056-42965160-2013</t>
  </si>
  <si>
    <t>Фирма Vishay; International Rectifier; Maxim</t>
  </si>
  <si>
    <t>фирма Thorlabs</t>
  </si>
  <si>
    <t>25.73.3</t>
  </si>
  <si>
    <t>ет. 7358.068</t>
  </si>
  <si>
    <t>20.13.68</t>
  </si>
  <si>
    <t>Кристаллы должны быть выращены по необходимым параметрам Заказчика</t>
  </si>
  <si>
    <t>27.51.21</t>
  </si>
  <si>
    <t>80.10</t>
  </si>
  <si>
    <t>80.10.12.000</t>
  </si>
  <si>
    <t>В соответствии с Федеральным Законом «Об информации, информационных технологиях и о защите информации" № 149-ФЗ от 27.07.2006  г и в соответствии с Федеральным Законом «О связи» от 7 июля 2003 г. № 126-ФЗ</t>
  </si>
  <si>
    <t>69.20.10.000</t>
  </si>
  <si>
    <t>В соответствии с требованиями установленными заказчиком в документации о закупке; быть своевременно предоставлена</t>
  </si>
  <si>
    <t>19.2</t>
  </si>
  <si>
    <t>19.20.29.213</t>
  </si>
  <si>
    <t>ТУ 2229-001-73057924-2005; ТУ 6-09-5472-90</t>
  </si>
  <si>
    <t xml:space="preserve">АЕЯР.432140.220 ТУ, АЕЯР.432140.558 ТУ, АЕЯР 4321120.567 ТУ </t>
  </si>
  <si>
    <t>в соответствии с техническими характеристиками</t>
  </si>
  <si>
    <t>28.99</t>
  </si>
  <si>
    <t>22.22.14.000</t>
  </si>
  <si>
    <t xml:space="preserve">Марка СТТК 140/42 (3:1) </t>
  </si>
  <si>
    <t>36.00</t>
  </si>
  <si>
    <t>36.00.2</t>
  </si>
  <si>
    <t>Все поставляемые материалы должны соответствовать ГОСТ, быть произведены на территории РФ, что подтверждается сертификатами качества и сертификатами о происхождении товара.Заготовки должны быть получены гидроабразивной резкой из титановой плиты изготовленной методом прокатки.</t>
  </si>
  <si>
    <t>27.11</t>
  </si>
  <si>
    <t>соответствие техническим характеристикам фрезерного станка</t>
  </si>
  <si>
    <t>Установлены в соответствии с требованиями установленными заказчиком. </t>
  </si>
  <si>
    <t>197753,91российских рублей</t>
  </si>
  <si>
    <t>125000,00российских рублей</t>
  </si>
  <si>
    <t>21608650,00российских рублей</t>
  </si>
  <si>
    <t>1319918,00российских рублей</t>
  </si>
  <si>
    <t>842310,00российских рублей</t>
  </si>
  <si>
    <t>716991,01российских рублей</t>
  </si>
  <si>
    <t>147005,79российских рублей</t>
  </si>
  <si>
    <t>290324,99российских рублей</t>
  </si>
  <si>
    <t>159436,31российских рублей</t>
  </si>
  <si>
    <t>1450692,00российских рублей</t>
  </si>
  <si>
    <t>3180100,00российских рублей</t>
  </si>
  <si>
    <t>35790889,16российских рублей</t>
  </si>
  <si>
    <t>725000,00российских рублей</t>
  </si>
  <si>
    <t>68762,50российских рублей</t>
  </si>
  <si>
    <t>5947200,00российских рублей</t>
  </si>
  <si>
    <t>2780717,34российских рублей</t>
  </si>
  <si>
    <t>4385774,03российских рублей</t>
  </si>
  <si>
    <t>389548,33российских рублей</t>
  </si>
  <si>
    <t>1224840,00российских рублей</t>
  </si>
  <si>
    <t>413750,13российских рублей</t>
  </si>
  <si>
    <t>120936,00российских рублей</t>
  </si>
  <si>
    <t>1268981,43российских рублей</t>
  </si>
  <si>
    <t>173266,47российских рублей</t>
  </si>
  <si>
    <t>325380,00российских рублей</t>
  </si>
  <si>
    <t>505087,20российских рублей</t>
  </si>
  <si>
    <t>157327,90российских рублей</t>
  </si>
  <si>
    <t>599663,44российских рублей</t>
  </si>
  <si>
    <t>453860,00российских рублей</t>
  </si>
  <si>
    <t>167535,85российских рублей</t>
  </si>
  <si>
    <t>255177,50российских рублей</t>
  </si>
  <si>
    <t>3342187,30российских рублей</t>
  </si>
  <si>
    <t>575276,37российских рублей</t>
  </si>
  <si>
    <t>185837,26российских рублей</t>
  </si>
  <si>
    <t>2400000,00российских рублей</t>
  </si>
  <si>
    <t>18000,00российских рублей</t>
  </si>
  <si>
    <t>1339435,74российских рублей</t>
  </si>
  <si>
    <t>109928,00российских рублей</t>
  </si>
  <si>
    <t>149400,00российских рублей</t>
  </si>
  <si>
    <t>203000,00российских рублей</t>
  </si>
  <si>
    <t>8511795,72российских рублей</t>
  </si>
  <si>
    <t>21558411,20российских рублей</t>
  </si>
  <si>
    <t>1913818,40российских рублей</t>
  </si>
  <si>
    <t>30990216,10российских рублей</t>
  </si>
  <si>
    <t>2200891,16российских рублей</t>
  </si>
  <si>
    <t>49958975,70российских рублей</t>
  </si>
  <si>
    <t>3022629,00российских рублей</t>
  </si>
  <si>
    <t>16154,75российских рублей</t>
  </si>
  <si>
    <t>103203,63российских рублей</t>
  </si>
  <si>
    <t>2418333,33российских рублей</t>
  </si>
  <si>
    <t>20570892,00российских рублей</t>
  </si>
  <si>
    <t>1200000,00российских рублей</t>
  </si>
  <si>
    <t>1524000,00российских рублей</t>
  </si>
  <si>
    <t>110094,90российских рублей</t>
  </si>
  <si>
    <t>450148,28российских рублей</t>
  </si>
  <si>
    <t>173554,61российских рублей</t>
  </si>
  <si>
    <t>171848,45российских рублей</t>
  </si>
  <si>
    <t>489600,00российских рублей</t>
  </si>
  <si>
    <t>326400,00российских рублей</t>
  </si>
  <si>
    <t>2603971,90российских рублей</t>
  </si>
  <si>
    <t>727796,29российских рублей</t>
  </si>
  <si>
    <t>988000,00российских рублей</t>
  </si>
  <si>
    <t>1831400,00российских рублей</t>
  </si>
  <si>
    <t>82965,00российских рублей</t>
  </si>
  <si>
    <t>118420,00российских рублей</t>
  </si>
  <si>
    <t>515255,00российских рублей</t>
  </si>
  <si>
    <t>177900,00российских рублей</t>
  </si>
  <si>
    <t>3200000,00российских рублей</t>
  </si>
  <si>
    <t>140346,67российских рублей</t>
  </si>
  <si>
    <t>291474,92российских рублей</t>
  </si>
  <si>
    <t>146476,50российских рублей</t>
  </si>
  <si>
    <t>2566957,00российских рублей</t>
  </si>
  <si>
    <t>451271,12российских рублей</t>
  </si>
  <si>
    <t>2475604,60российских рублей</t>
  </si>
  <si>
    <t>470684,00российских рублей</t>
  </si>
  <si>
    <t>123666,36российских рублей</t>
  </si>
  <si>
    <t>3458820,69российских рублей</t>
  </si>
  <si>
    <t>1004-2017-1470</t>
  </si>
  <si>
    <t>1004-2017-1471</t>
  </si>
  <si>
    <t>1004-2017-1472</t>
  </si>
  <si>
    <t>1004-2017-1473</t>
  </si>
  <si>
    <t>1004-2017-1474</t>
  </si>
  <si>
    <t>1004-2017-1475</t>
  </si>
  <si>
    <t>1004-2017-1476</t>
  </si>
  <si>
    <t>1004-2017-1477</t>
  </si>
  <si>
    <t>1004-2017-1478</t>
  </si>
  <si>
    <t>1004-2017-1479</t>
  </si>
  <si>
    <t>1004-2017-1480</t>
  </si>
  <si>
    <t>1004-2017-1481</t>
  </si>
  <si>
    <t>1004-2017-1482</t>
  </si>
  <si>
    <t>1004-2017-1483</t>
  </si>
  <si>
    <t>1004-2017-1484</t>
  </si>
  <si>
    <t>1004-2017-1485</t>
  </si>
  <si>
    <t>1004-2017-1486</t>
  </si>
  <si>
    <t>1004-2017-1487</t>
  </si>
  <si>
    <t>1004-2017-1488</t>
  </si>
  <si>
    <t>1004-2017-1489</t>
  </si>
  <si>
    <t>1004-2017-1490</t>
  </si>
  <si>
    <t>1004-2017-1491</t>
  </si>
  <si>
    <t>1004-2017-1492</t>
  </si>
  <si>
    <t>1004-2017-1493</t>
  </si>
  <si>
    <t>1004-2017-1494</t>
  </si>
  <si>
    <t>1004-2017-1495</t>
  </si>
  <si>
    <t>1004-2017-1496</t>
  </si>
  <si>
    <t>1004-2017-1497</t>
  </si>
  <si>
    <t>1004-2017-1498</t>
  </si>
  <si>
    <t>1004-2017-1499</t>
  </si>
  <si>
    <t>1004-2017-1500</t>
  </si>
  <si>
    <t>1004-2017-1501</t>
  </si>
  <si>
    <t>1004-2017-1502</t>
  </si>
  <si>
    <t>1004-2017-1503</t>
  </si>
  <si>
    <t>1004-2017-1504</t>
  </si>
  <si>
    <t>1004-2017-1505</t>
  </si>
  <si>
    <t>1004-2017-1506</t>
  </si>
  <si>
    <t>1004-2017-1507</t>
  </si>
  <si>
    <t>1004-2017-1508</t>
  </si>
  <si>
    <t>1004-2017-1509</t>
  </si>
  <si>
    <t>1004-2017-1510</t>
  </si>
  <si>
    <t>1004-2017-1511</t>
  </si>
  <si>
    <t>1004-2017-1512</t>
  </si>
  <si>
    <t>1004-2017-1513</t>
  </si>
  <si>
    <t>1004-2017-1514</t>
  </si>
  <si>
    <t>1004-2017-1515</t>
  </si>
  <si>
    <t>1004-2017-1516</t>
  </si>
  <si>
    <t>1004-2017-1517</t>
  </si>
  <si>
    <t>1004-2017-1518</t>
  </si>
  <si>
    <t>1004-2017-1519</t>
  </si>
  <si>
    <t>1004-2017-1520</t>
  </si>
  <si>
    <t>1004-2017-1521</t>
  </si>
  <si>
    <t>1004-2017-1522</t>
  </si>
  <si>
    <t>1004-2017-1523</t>
  </si>
  <si>
    <t>1004-2017-1524</t>
  </si>
  <si>
    <t>1004-2017-1525</t>
  </si>
  <si>
    <t>1004-2017-1526</t>
  </si>
  <si>
    <t>1004-2017-1527</t>
  </si>
  <si>
    <t>1004-2017-1528</t>
  </si>
  <si>
    <t>1004-2017-1529</t>
  </si>
  <si>
    <t>1004-2017-1530</t>
  </si>
  <si>
    <t>1004-2017-1531</t>
  </si>
  <si>
    <t>1004-2017-1532</t>
  </si>
  <si>
    <t>1004-2017-1533</t>
  </si>
  <si>
    <t>1004-2017-1534</t>
  </si>
  <si>
    <t>1004-2017-1535</t>
  </si>
  <si>
    <t>1004-2017-1536</t>
  </si>
  <si>
    <t>1004-2017-1537</t>
  </si>
  <si>
    <t>1004-2017-1538</t>
  </si>
  <si>
    <t>1004-2017-1539</t>
  </si>
  <si>
    <t>1004-2017-1540</t>
  </si>
  <si>
    <t>1004-2017-1541</t>
  </si>
  <si>
    <t>1004-2017-1542</t>
  </si>
  <si>
    <t>1004-2017-1543</t>
  </si>
  <si>
    <t>1004-2017-1544</t>
  </si>
  <si>
    <t>1004-2017-1545</t>
  </si>
  <si>
    <t>1004-2017-1546</t>
  </si>
  <si>
    <t>1004-2017-1547</t>
  </si>
  <si>
    <t>1004-2017-1548</t>
  </si>
  <si>
    <t>1004-2017-1549</t>
  </si>
  <si>
    <t>1004-2017-1550</t>
  </si>
  <si>
    <t>1004-2017-1551</t>
  </si>
  <si>
    <t>1004-2017-1552</t>
  </si>
  <si>
    <t>1004-2017-1553</t>
  </si>
  <si>
    <t>1004-2017-1554</t>
  </si>
  <si>
    <t>1004-2017-1555</t>
  </si>
  <si>
    <t>1004-2017-1556</t>
  </si>
  <si>
    <t>1004-2017-1557</t>
  </si>
  <si>
    <t>1004-2017-1558</t>
  </si>
  <si>
    <t>1004-2017-1559</t>
  </si>
  <si>
    <t>1004-2017-1560</t>
  </si>
  <si>
    <t>1004-2017-1561</t>
  </si>
  <si>
    <t>1004-2017-1562</t>
  </si>
  <si>
    <t>1004-2017-1563</t>
  </si>
  <si>
    <t>1004-2017-1564</t>
  </si>
  <si>
    <t>1004-2017-1564 поставка электрической энергии (мощности)</t>
  </si>
  <si>
    <t>1004-2017-1563 корпус КТ-1-7.02, ножка корпуса ПАЯЗ.551.024</t>
  </si>
  <si>
    <t>1004-2017-1562 Сантехнические материалы – 1004 м, 1305 шт.</t>
  </si>
  <si>
    <t>1004-2017-1561 Сервомотор SGMAS-08A2A6S и сервопривод SGDS-08A01A</t>
  </si>
  <si>
    <t>1004-2017-1560 Зеркало ЖГДК.756523.007, зеркало ЖГДК.203622.003, линза ЖГДК.203512.062</t>
  </si>
  <si>
    <t>1004-2017-1559 Печатные платы для изделия 9Б918</t>
  </si>
  <si>
    <t>1004-2017-1558 Заготовки из титановых сплавов</t>
  </si>
  <si>
    <t xml:space="preserve">1004-2017-1557 ШОС-FC/UFC-FC/UPC-MM-0,9мм /SIMPLEX/2,2,м ТУ 3570-002-45944796-02 </t>
  </si>
  <si>
    <t>1004-2017-1556 Договор № 224738 от 22.10.2012 с АО "Мосводоканал" затраты на воду и прием сточных вод</t>
  </si>
  <si>
    <t>1004-2017-1555 Договор № 224738 от 22.10.2012 с АО "Мосводоканал" затраты на воду и прием сточных вод</t>
  </si>
  <si>
    <t>1004-2017-1554  выполнение ремонтных работ в помещениях 504, 529 Лабораторного корпуса в АО "НИИ "Полюс" им. М.Ф. Стельмаха"</t>
  </si>
  <si>
    <t>1004-2017-1553 монтажный инструмент</t>
  </si>
  <si>
    <t>1004-2017-1552 Поставка термоусадочной трубки СТТК 140/42 (3:1) черной с клеем</t>
  </si>
  <si>
    <t>1004-2017-1551 оказание услуг по изготовлению, доставке и монтажу окон ПВХ</t>
  </si>
  <si>
    <t xml:space="preserve">1004-2017-1550 тумба для инструмента – 2 шт. </t>
  </si>
  <si>
    <t xml:space="preserve">1004-2017-1549 Одноканальный вакуумный пинцет Quick381A ESD </t>
  </si>
  <si>
    <t>1004-2017-1548 контрольно-измерительное оборудование</t>
  </si>
  <si>
    <t>1004-2017-1547 поставка сертифицированных электрорадиоизделий иностранного производства</t>
  </si>
  <si>
    <t>1004-2017-1546 транзисторы, диоды</t>
  </si>
  <si>
    <t>1004-2017-1545 Охлаждающая жидкость ОЖ ПМ1-ООР и БТВ-20000</t>
  </si>
  <si>
    <t>1004-2017-1544 установка вентиляционная пылеулавливающая</t>
  </si>
  <si>
    <t>1004-2017-1543 Оказание услуг по проведению аудита неконсолидированной бухгалтерской (финансовой) отчетности Заказчика, составленной в соответствии с РCБУ за 2018 год</t>
  </si>
  <si>
    <t>1004-2017-1542 Комплект экранов ЭК-104</t>
  </si>
  <si>
    <t>1004-2017-1541 Комплект экранов МТ-501</t>
  </si>
  <si>
    <t>1004-2017-1539 Комплект экранов МТ-401</t>
  </si>
  <si>
    <t>1004-2017-1540 Комплект экранов МТ-401</t>
  </si>
  <si>
    <t>1004-2017-1538 Оказание услуг по защите охраняемых объектов АО "НИИ "Полюс" им М.Ф. Стельмаха" ведомственной охраной Государственной корпорации "Ростехнологии"</t>
  </si>
  <si>
    <t>1004-2017-1537 Крепежные материалы для вентиляции –4 160 шт.</t>
  </si>
  <si>
    <t>1004-2017-1536 Металлические сплавы</t>
  </si>
  <si>
    <t>1004-2017-1535 Металлические сплавы</t>
  </si>
  <si>
    <t>1004-2017-1534 Металлические сплавы</t>
  </si>
  <si>
    <t>1004-2017-1533 Металлические сплавы</t>
  </si>
  <si>
    <t>1004-2017-1532 Оказание услуг по предоставлению доступа к глобальной сети Интернет, оказание услуг местной городской, внутризоновой, доступа к междугородной и международной телефонной связи</t>
  </si>
  <si>
    <t>1004-2017-1531 пресс ручной, Модель ПР</t>
  </si>
  <si>
    <t>1004-2017-1530 Строительно-отделочные материалы</t>
  </si>
  <si>
    <t>1004-2017-1529 Оказание услуг по сопровождению закупочных процедур заказчика на 2018 г.</t>
  </si>
  <si>
    <t>1004-2017-1528 Оказание услуг по защите охраняемых объектов АО "НИИ "Полюс" им М.Ф. Стельмаха" ведомственной охраной Государственной корпорации "Ростехнологии"</t>
  </si>
  <si>
    <t>1004-2017-1527 Статический гониометр СГ-1Ц  в комплекте</t>
  </si>
  <si>
    <t>1004-2017-1526 Инструмент для проведения работ на технических системах служебных зданий</t>
  </si>
  <si>
    <t>1004-2017-1525 Промышленный пылесос для сухой и влажной уборки</t>
  </si>
  <si>
    <t>1004-2017-1524 Механические детали</t>
  </si>
  <si>
    <t>1004-2017-1523 Акселерометр АК-18</t>
  </si>
  <si>
    <t>1004-2017-1522 Упаковка ЖГДК.305647.005</t>
  </si>
  <si>
    <t>1004-2017-1521 ОЭ САО</t>
  </si>
  <si>
    <t>1004-2017-1520 Упаковка ЖГДК.305647.005</t>
  </si>
  <si>
    <t>1004-2017-1519 ОЭ САО</t>
  </si>
  <si>
    <t>1004-2017-1518 Оптические детали Фазотрон</t>
  </si>
  <si>
    <t>1004-2017-1517 Кристаллы кварца</t>
  </si>
  <si>
    <t xml:space="preserve">1004-2017-1516 Пластины из ниобата лития </t>
  </si>
  <si>
    <t>1004-2017-1515 Войсковой прибор химической разведки ВПХР</t>
  </si>
  <si>
    <t>1004-2017-1514 Электроды ЭК1 – 20 - 80 Я2М4.088.172 – 200 шт.</t>
  </si>
  <si>
    <t>1004-2017-1513 Комплект радиоизмерительных приборов 1 к-т.</t>
  </si>
  <si>
    <t>1004-2017-1512 Комплект измерителя мощности лазерного излучения 2 к-т.</t>
  </si>
  <si>
    <t>1004-2017-1511 Комплект дополнительных принадлежностей к измерителю иммитанса АМ-3001 - 1 к-т.</t>
  </si>
  <si>
    <t xml:space="preserve">1004-2017-1510 Оснастка и инструмент </t>
  </si>
  <si>
    <t>1004-2017-1509 Амперметр</t>
  </si>
  <si>
    <t>1004-2017-1508 оптико-механические элементы</t>
  </si>
  <si>
    <t>1004-2017-1507 электрорадиоизделия импортного производства</t>
  </si>
  <si>
    <t>1004-2017-1506 лампы импульсные</t>
  </si>
  <si>
    <t>1004-2017-1505 лампы импульсные</t>
  </si>
  <si>
    <t>1004-2017-1504 Поставка средств гражданской защиты</t>
  </si>
  <si>
    <t>1004-2017-1503 Транзисторы 2Т3191 А91, 2Т3202А9</t>
  </si>
  <si>
    <t>1004-2017-1502 ноутбук Dell Vostro 5468 i3-6006U (2.0)/4G/500G/14,0; сумка HP 15?6 Legend Topload</t>
  </si>
  <si>
    <t>1004-2017-1501 кожух ЖГДК.305143.001 корпус  ЖГДК.301172.013</t>
  </si>
  <si>
    <t xml:space="preserve">1004-2017-1500 конденсаторы     К53-68 </t>
  </si>
  <si>
    <t>1004-2017-1499 Кристалл ЖГДК.432245.006</t>
  </si>
  <si>
    <t>1004-2017-1498 излучатели ЖГДК.433751.092, фотодиоды  ЖГДК.432231.052</t>
  </si>
  <si>
    <t xml:space="preserve">1004-2017-1497 конденсаторы     К53-68 </t>
  </si>
  <si>
    <t>1004-2017-1496 програмируемый оптический аттенюатор FOD5418</t>
  </si>
  <si>
    <t xml:space="preserve">1004-2017-1495 изготовление и установку металлических дверных блоков в отдел 013 (информационной и экономической безопасности), в отдел 001 РСО, на склад готовой продукции пом. 20ПК </t>
  </si>
  <si>
    <t>1004-2017-1494 на выполнение работ по изготовлению, доставке и установке окон ПВХ в ком.      № 727, 729а ЛК; в ком. № 218а</t>
  </si>
  <si>
    <t>1004-2017-1493 Харктериограф</t>
  </si>
  <si>
    <t>1004-2017-1492 Инструмент для проведения работ в ситемах водоснабжения и вентиляции</t>
  </si>
  <si>
    <t>1004-2017-1491 Металличиские шкафы для одежды</t>
  </si>
  <si>
    <t xml:space="preserve">1004-2017-1490 Элемент оптический LiNbO3 КС309249-01 </t>
  </si>
  <si>
    <t>1004-2017-1489 Изготовление комплекта механических деталей для изд. МТД</t>
  </si>
  <si>
    <t>1004-2017-1488 На поставку электрической энергии (мощности) по  Договору №14712281 от 01.01.2007г. ПАО "Мосэнергосбыт" Счет № А-01-16114 от 01.12.2017</t>
  </si>
  <si>
    <t>1004-2017-1487 На поставку электрической энергии (мощности) по  Договору №14712281 от 01.01.2007г. ПАО "Мосэнергосбыт" Счет № Э-01-14783 от 31.10.2017</t>
  </si>
  <si>
    <t>1004-2017-1486 разработка технических заключений и проектов перепланировок помещений, расположенных по адресу: г. Москва, ул. Введенского, д.3, к.1; д.3, к. 1 стр.1, д.3 к.7</t>
  </si>
  <si>
    <t>1004-2017-1485 Изготовление Корпусов ЖГДК.755727.008, ЖГДК.755727.009, ЖГДК.755727.010</t>
  </si>
  <si>
    <t>1004-2017-1484 пресс ручной, Модель ПР</t>
  </si>
  <si>
    <t>1004-2017-1483 Кристалл фоточувствительный</t>
  </si>
  <si>
    <t>1004-2017-1482 реконструкция тепловых сетей</t>
  </si>
  <si>
    <t>1004-2017-1481 Акселерометр АК-18</t>
  </si>
  <si>
    <t>1004-2017-1480 Техническое обслуживание и ремонт грузоподъёмных механизмов</t>
  </si>
  <si>
    <t>1004-2017-1479 техническое обслуживание и ремонт грузоподъёмных механизмов, не регистрируемых в органах  Ростехадзора</t>
  </si>
  <si>
    <t>1004-2017-1478 Договор № 224738 от 22.10.2012 с АО "Мосводоканал" затраты на воду и прием сточных вод</t>
  </si>
  <si>
    <t>1004-2017-1477 Договор № 224738 от 22.10.2012 с АО "Мосводоканал" затраты на воду и прием сточных вод</t>
  </si>
  <si>
    <t>1004-2017-1476 Договор № 224738 от 22.10.2012 с АО "Мосводоканал" затраты на воду и прием сточных вод</t>
  </si>
  <si>
    <t>1004-2017-1475 Выполнение работы по очистке, дезинфекции, санитарно-эпидемиологическому обслуживанию (многоразовый забор проб / проведение смывов, микробиологический анализ смывов на ОМЧ, БГПП в соответствии с рабочим графиком проведения работ по очистке и дезинфекции, включая получение и оформление соответствующих протоколов и заключений) систем вентиляции и кондиционирования, расположенных по адресу: г.Москва, ул. Введенского, д.3, корп.1</t>
  </si>
  <si>
    <t>1004-2017-1474 Призменный блок ЖГДК.203534.021</t>
  </si>
  <si>
    <t>1004-2017-1473 Комплекты механических деталей для изд. ППМ</t>
  </si>
  <si>
    <t>1004-2017-1472 Изготовление мех.деталей изд.МТ-501 и БАиПОИ</t>
  </si>
  <si>
    <t>1004-2017-1471 Техническое обслуживание вибростенда LDS V830-355</t>
  </si>
  <si>
    <t>1004-2017-1470 Металлические сплавы</t>
  </si>
  <si>
    <t>356677,51российских рублей</t>
  </si>
  <si>
    <t>РМ-07/17-КС</t>
  </si>
  <si>
    <t>100104965</t>
  </si>
  <si>
    <t>АО "КБТЭМ-ОМО"</t>
  </si>
  <si>
    <t>ОМО-02-2017</t>
  </si>
  <si>
    <t xml:space="preserve"> И-016-09-2017</t>
  </si>
  <si>
    <t>833080российских рублей</t>
  </si>
  <si>
    <t>531.12.2373-2017</t>
  </si>
  <si>
    <t>104320,26российских рублей</t>
  </si>
  <si>
    <t>АО "ВЗППС"</t>
  </si>
  <si>
    <t>929250российских рублей</t>
  </si>
  <si>
    <t>5321031176</t>
  </si>
  <si>
    <t>ОАО 'ОКБ - Планета'</t>
  </si>
  <si>
    <t>1617187400922412209010034-2017-160</t>
  </si>
  <si>
    <t>224738-17</t>
  </si>
  <si>
    <t>А-01-16114</t>
  </si>
  <si>
    <t>Э-01-14783</t>
  </si>
  <si>
    <t>7704759968</t>
  </si>
  <si>
    <t>АО "РТ-Охрана"</t>
  </si>
  <si>
    <t>7727052043</t>
  </si>
  <si>
    <t>ЗАО "НОЛАТЕХ"</t>
  </si>
  <si>
    <t>1-11</t>
  </si>
  <si>
    <t>7718302770</t>
  </si>
  <si>
    <t>ООО "ТБМ Сервис"</t>
  </si>
  <si>
    <t>30-10-П</t>
  </si>
  <si>
    <t>31705802005, 1004-2017-1404; 1004-2017-1253</t>
  </si>
  <si>
    <t>316270,68российских рублей</t>
  </si>
  <si>
    <t>02735-40-2017</t>
  </si>
  <si>
    <t>А-01-14854</t>
  </si>
  <si>
    <t>3279367, российских рублей</t>
  </si>
  <si>
    <t>7801095832</t>
  </si>
  <si>
    <t>ООО "ЭЛАН+""</t>
  </si>
  <si>
    <t>17-393</t>
  </si>
  <si>
    <t>224738-14</t>
  </si>
  <si>
    <t>224738-11</t>
  </si>
  <si>
    <t>224738-13</t>
  </si>
  <si>
    <t>1004-2017-1385</t>
  </si>
  <si>
    <t>568669,16российских рублей</t>
  </si>
  <si>
    <t>17-391-630</t>
  </si>
  <si>
    <t>Э-01-22844</t>
  </si>
  <si>
    <t>83702,08российских рублей</t>
  </si>
  <si>
    <t>2056 266,64российских рублей</t>
  </si>
  <si>
    <t>195290,74российских рублей</t>
  </si>
  <si>
    <t>375912,61российских рублей</t>
  </si>
  <si>
    <t>498511,12российских рублей</t>
  </si>
  <si>
    <t>2613 985,57российских рублей</t>
  </si>
  <si>
    <t>321034,75российских рублей</t>
  </si>
  <si>
    <t>96417российских рублей</t>
  </si>
  <si>
    <t>38906,88российских рублей</t>
  </si>
  <si>
    <t>290771,20российских рублей</t>
  </si>
  <si>
    <t>2017.44249</t>
  </si>
  <si>
    <t>418562,50российских рублей</t>
  </si>
  <si>
    <t>Закрытое Акционерное Общество "ТЕСТПРИБОР""</t>
  </si>
  <si>
    <t>2017.44211</t>
  </si>
  <si>
    <t>ООО 'Альфа-Тест'</t>
  </si>
  <si>
    <t>2017.43033</t>
  </si>
  <si>
    <t>ИП Ключевский Павел Иванович</t>
  </si>
  <si>
    <t>2017.44247</t>
  </si>
  <si>
    <t>2017.42908</t>
  </si>
  <si>
    <t>2017.42905</t>
  </si>
  <si>
    <t>ФКП "ГЛП "РАДУГА</t>
  </si>
  <si>
    <t>2017.42907</t>
  </si>
  <si>
    <t>38001,57российских рублей</t>
  </si>
  <si>
    <t>2017.42906</t>
  </si>
  <si>
    <t>500427,99российских рублей</t>
  </si>
  <si>
    <t>ООО 'ЦентроСнаб'</t>
  </si>
  <si>
    <t>2017.42909</t>
  </si>
  <si>
    <t>31705796297;1004-2017-1531</t>
  </si>
  <si>
    <t>31705847295;1004-2017-1484</t>
  </si>
  <si>
    <t>2017.42432</t>
  </si>
  <si>
    <t>ООО "ОТС-51""</t>
  </si>
  <si>
    <t>2017.41959</t>
  </si>
  <si>
    <t>2017.42434</t>
  </si>
  <si>
    <t>2017.41964</t>
  </si>
  <si>
    <t>ООО «СЦ «Казанский Гипронииавиапром»</t>
  </si>
  <si>
    <t>2017.41963</t>
  </si>
  <si>
    <t>ООО "ЮНИСТИЛ""</t>
  </si>
  <si>
    <t>2017.41967</t>
  </si>
  <si>
    <t>760228,25российских рублей</t>
  </si>
  <si>
    <t>ООО ТД "ПромПрокат""</t>
  </si>
  <si>
    <t>2017.41966</t>
  </si>
  <si>
    <t>133118,87российских рублей</t>
  </si>
  <si>
    <t>ООО «Полифорт»</t>
  </si>
  <si>
    <t xml:space="preserve"> 11.12.2017 </t>
  </si>
  <si>
    <t>2017.41957</t>
  </si>
  <si>
    <t>3808333,33российских рублей</t>
  </si>
  <si>
    <t>ООО "Алком Медика""</t>
  </si>
  <si>
    <t>2017.40773</t>
  </si>
  <si>
    <t>31705747268-2017.40774</t>
  </si>
  <si>
    <t>ОБЩЕСТВО С ОГРАНИЧЕННОЙ ОТВЕТСТВЕННОСТЬЮ "АТЛАНТ-М""</t>
  </si>
  <si>
    <t>2017.40771</t>
  </si>
  <si>
    <t>ООО "В-Решение""</t>
  </si>
  <si>
    <t>2017.40764</t>
  </si>
  <si>
    <t>ООО "ПОЛИТЕХФОРМ-М""</t>
  </si>
  <si>
    <t>2017.40769</t>
  </si>
  <si>
    <t>159792,72российских рублей</t>
  </si>
  <si>
    <t>ООО "Геркулес ИТ""</t>
  </si>
  <si>
    <t>2017.40481</t>
  </si>
  <si>
    <t>ООО 'Фотон'</t>
  </si>
  <si>
    <t>2017.40775</t>
  </si>
  <si>
    <t>ИП Панфилов Дмитрий Викторович</t>
  </si>
  <si>
    <t>2017.39802</t>
  </si>
  <si>
    <t>2017.39796</t>
  </si>
  <si>
    <t>Общество с ограниченной ответственностью «Электрон-комплект»</t>
  </si>
  <si>
    <t>2017.39785</t>
  </si>
  <si>
    <t>93747российских рублей</t>
  </si>
  <si>
    <t>ООО "Строй-Альянс""</t>
  </si>
  <si>
    <t>2017.39790</t>
  </si>
  <si>
    <t>1467186,33российских рублей</t>
  </si>
  <si>
    <t>ООО «КВАНТУМ ОПТИКС»</t>
  </si>
  <si>
    <t>2017.39782</t>
  </si>
  <si>
    <t>1051550российских рублей</t>
  </si>
  <si>
    <t>Общество с ограниченной ответственностью "ЭРСТВАК"</t>
  </si>
  <si>
    <t>2017.39797</t>
  </si>
  <si>
    <t>ООО "НВ-ЛАБ""</t>
  </si>
  <si>
    <t>2017.39800</t>
  </si>
  <si>
    <t>ООО "СТРАТЕГИЯ ОЦЕНКИ""</t>
  </si>
  <si>
    <t>2017.40767</t>
  </si>
  <si>
    <t>163631,9российских рублей</t>
  </si>
  <si>
    <t>2017.39799</t>
  </si>
  <si>
    <t>2017.39798</t>
  </si>
  <si>
    <t>2017.38430</t>
  </si>
  <si>
    <t>2017.39093</t>
  </si>
  <si>
    <t>513456,31 российских рублей</t>
  </si>
  <si>
    <t>2017.39096</t>
  </si>
  <si>
    <t>2017.39098</t>
  </si>
  <si>
    <t>ООО "ЗАПСИБСТАР""</t>
  </si>
  <si>
    <t>2017.39100</t>
  </si>
  <si>
    <t>ООО "РУТЕКТОР""</t>
  </si>
  <si>
    <t>2017.38429</t>
  </si>
  <si>
    <t>1004-2017-1483; 31705684559</t>
  </si>
  <si>
    <t>7830российских рублей</t>
  </si>
  <si>
    <t>2017.38436</t>
  </si>
  <si>
    <t>23825,67российских рублей</t>
  </si>
  <si>
    <t>ООО «ЭДЕЛЬ»</t>
  </si>
  <si>
    <t>2017.38428</t>
  </si>
  <si>
    <t>183428,91российских рублей</t>
  </si>
  <si>
    <t>2017.38432</t>
  </si>
  <si>
    <t>265820,43российских рублей</t>
  </si>
  <si>
    <t>ООО ПО 'ГЕФЕСД'</t>
  </si>
  <si>
    <t>2017.38433</t>
  </si>
  <si>
    <t>318430,03российских рублей</t>
  </si>
  <si>
    <t>ООО ЭЛТЕХНО</t>
  </si>
  <si>
    <t>2017.38427</t>
  </si>
  <si>
    <t>206500 российских рублей</t>
  </si>
  <si>
    <t>2017.39713</t>
  </si>
  <si>
    <t>64000,9российских рублей</t>
  </si>
  <si>
    <t>396166,67российских рублей</t>
  </si>
  <si>
    <t>ООО 'ЭВТ'</t>
  </si>
  <si>
    <t>2017.37366</t>
  </si>
  <si>
    <t>65745,82российских рублей</t>
  </si>
  <si>
    <t>2017.37365</t>
  </si>
  <si>
    <t>1196410,72российских рублей</t>
  </si>
  <si>
    <t>2017.37778</t>
  </si>
  <si>
    <t>2017.36690</t>
  </si>
  <si>
    <t>31705635595; 1004-2017-1483</t>
  </si>
  <si>
    <t>2017.36694</t>
  </si>
  <si>
    <t>2017.36691</t>
  </si>
  <si>
    <t>3368066,92российских рублей</t>
  </si>
  <si>
    <t>2017.35596</t>
  </si>
  <si>
    <t>ООО «Экоцентр-ПАФ»</t>
  </si>
  <si>
    <t>2017.35593</t>
  </si>
  <si>
    <t>ООО 'ТСК'</t>
  </si>
  <si>
    <t>1 074100российских рублей</t>
  </si>
  <si>
    <t>2017.35591</t>
  </si>
  <si>
    <t>ЗАО "Гигант""</t>
  </si>
  <si>
    <t>2017.35589</t>
  </si>
  <si>
    <t>2017.35038</t>
  </si>
  <si>
    <t>79980,26российских рублей</t>
  </si>
  <si>
    <t>АО 'Швабе - Исследования'</t>
  </si>
  <si>
    <t>2017.43460</t>
  </si>
  <si>
    <t>12713665,06российских рублей</t>
  </si>
  <si>
    <t>2017.41961</t>
  </si>
  <si>
    <t>ООО "Аирклин Сервис""</t>
  </si>
  <si>
    <t>2017.36660</t>
  </si>
  <si>
    <t>2017.36688</t>
  </si>
  <si>
    <t>2017.35040</t>
  </si>
  <si>
    <t>ООО РСП «Витта»</t>
  </si>
  <si>
    <t>2017.44255</t>
  </si>
  <si>
    <t>2017.44253</t>
  </si>
  <si>
    <t>2017.38425</t>
  </si>
  <si>
    <t>2017.37066</t>
  </si>
  <si>
    <t>АО "НОВАТОР""</t>
  </si>
  <si>
    <t>2017.26447</t>
  </si>
  <si>
    <t>ООО "В.А.П.""</t>
  </si>
  <si>
    <t>2017.26450</t>
  </si>
  <si>
    <t>2700000российских рублей</t>
  </si>
  <si>
    <t>ООО "СЕРВИСГРУПП""</t>
  </si>
  <si>
    <t>2017.12398</t>
  </si>
  <si>
    <t>17-402-630</t>
  </si>
  <si>
    <t>7733751096</t>
  </si>
  <si>
    <t>ООО "Ресурс-Металл""</t>
  </si>
  <si>
    <t>7704756043</t>
  </si>
  <si>
    <t>ООО "РТ-КОМПЛЕКТИМПЕКС""</t>
  </si>
  <si>
    <t>226/РТК/18</t>
  </si>
  <si>
    <t>5042109697</t>
  </si>
  <si>
    <t>ООО 'Промышленная группа 'АЛД'</t>
  </si>
  <si>
    <t>31705887323; 1004-2017-1454;1004-2017-1392</t>
  </si>
  <si>
    <t>17-399-630</t>
  </si>
  <si>
    <t>31705721677;1004-2017-1392;004-2017-1552</t>
  </si>
  <si>
    <t>31705691980;1004-2017-1454;1004-2017-1552</t>
  </si>
  <si>
    <t>Фокусное расстояние: 100-400 мм. Тип фокусировки: кольцевой ультразвуковой USM. Минимальная диафрагма: 32. Конструктив (линз/груп): 17/14. Минимальная дистанция фокусировки: 1.8 м. Относительное отверстие: 1:4.5-5.6. Кол-во лепестков диафрагмы: 8. Стабилизация изображения: оптическая. Используемые технологии: FT-M, USM, I/R, S-UD(1), IS, CaF2(1), FLOAT. Диаметр светофильтра: 77 мм. Тип бленды: ET-83C. Размеры (диаметр x длина): 92 x 189 мм. Вес: 1360 г.</t>
  </si>
  <si>
    <t>45.20.11</t>
  </si>
  <si>
    <t>Обязательства по представлению работ/услуг по установке дополнительного оборудования на автомобиле марки AUDI A6 осуществляются в соответствии с условиями  и требованиями действующей нормативно-технической документации соответствующего завода-изготовителя автомобиля.</t>
  </si>
  <si>
    <t>73.11</t>
  </si>
  <si>
    <t>49.31</t>
  </si>
  <si>
    <t>17.23.13.145</t>
  </si>
  <si>
    <t xml:space="preserve">согласно требованиям заказчика
</t>
  </si>
  <si>
    <t>179550российских рублей</t>
  </si>
  <si>
    <t>290771,2российских рублей</t>
  </si>
  <si>
    <t>28005российских рублей</t>
  </si>
  <si>
    <t>255177,5российских рублей</t>
  </si>
  <si>
    <t>120936российских рублей</t>
  </si>
  <si>
    <t>270486,67российских рублей</t>
  </si>
  <si>
    <t>6319636,03российских рублей</t>
  </si>
  <si>
    <t>8358400российских рублей</t>
  </si>
  <si>
    <t>1588800российских рублей</t>
  </si>
  <si>
    <t>1004-2017-1565</t>
  </si>
  <si>
    <t>1004-2017-1566</t>
  </si>
  <si>
    <t>1004-2017-1567</t>
  </si>
  <si>
    <t>1004-2017-1568</t>
  </si>
  <si>
    <t>1004-2017-1569</t>
  </si>
  <si>
    <t>1004-2017-1570</t>
  </si>
  <si>
    <t>1004-2017-1571</t>
  </si>
  <si>
    <t>1004-2017-1572</t>
  </si>
  <si>
    <t>1004-2017-1573</t>
  </si>
  <si>
    <t>1004-2017-1574</t>
  </si>
  <si>
    <t xml:space="preserve">1004-2017-1574 Обеспечение едиными билетами
</t>
  </si>
  <si>
    <t>1004-2017-1573 Металлические сплавы</t>
  </si>
  <si>
    <t>1004-2017-1572 Оказание услуг по организации рекламно-выставочной деятельности и PR- сопровождению в 2018г</t>
  </si>
  <si>
    <t>1004-2017-1571 Поставка электрической энергии (мощности)</t>
  </si>
  <si>
    <t xml:space="preserve">1004-2017-1570 предоставление работ/услуг по установке дополнительного оборудования на автомобиле марки AUDI  </t>
  </si>
  <si>
    <t xml:space="preserve">1004-2017-1569 изготовление и установку металлических дверных блоков в отдел 013 (информационной и экономической безопасности), в отдел 001 РСО, на склад готовой продукции пом. 20ПК </t>
  </si>
  <si>
    <t>1004-2017-1568 Поставка средств гражданской защиты</t>
  </si>
  <si>
    <t>1004-2017-1567 войсковой прибор химической разведки ВПХР</t>
  </si>
  <si>
    <t>1004-2017-1566 Поставка офисной мебели</t>
  </si>
  <si>
    <t>1004-2017-1565 обьектив Canon EF 100-400 mm f/4.5-5.6 L IS USM. 3 шт.</t>
  </si>
  <si>
    <t>А-01-1843</t>
  </si>
  <si>
    <t>224738-18</t>
  </si>
  <si>
    <t>Публичное акционерное общество "МИКРОН"</t>
  </si>
  <si>
    <t>7735007358</t>
  </si>
  <si>
    <t>2958-3</t>
  </si>
  <si>
    <t>504105496394</t>
  </si>
  <si>
    <t>ИП Байг Светлана Сергеевна</t>
  </si>
  <si>
    <t xml:space="preserve"> 120</t>
  </si>
  <si>
    <t>7725263715</t>
  </si>
  <si>
    <t>ООО "СТАНКОГИД""</t>
  </si>
  <si>
    <t>40СГ/17</t>
  </si>
  <si>
    <t>950000российских рублей</t>
  </si>
  <si>
    <t>1719187401392412209015640-03-17-ОЗ</t>
  </si>
  <si>
    <t>2017.45868</t>
  </si>
  <si>
    <t>ООО НТФ «Байко»</t>
  </si>
  <si>
    <t>2017.45816</t>
  </si>
  <si>
    <t>ООО "ПРОСОФТ-ПК""</t>
  </si>
  <si>
    <t>2017.46424</t>
  </si>
  <si>
    <t>2017.37776</t>
  </si>
  <si>
    <t>ООО "Остек-Тест""</t>
  </si>
  <si>
    <t>2017.46421</t>
  </si>
  <si>
    <t>ООО "МОДУЛЬ ЭЛЕКТРОНИКА""</t>
  </si>
  <si>
    <t>2017.45693</t>
  </si>
  <si>
    <t>ООО "Кристаллтехно""</t>
  </si>
  <si>
    <t>2017.45697</t>
  </si>
  <si>
    <t>2017.45691</t>
  </si>
  <si>
    <t>2017.46523</t>
  </si>
  <si>
    <t>ООО Прогресс</t>
  </si>
  <si>
    <t>2017.45689</t>
  </si>
  <si>
    <t>ООО 'ДиКом-Центр'</t>
  </si>
  <si>
    <t xml:space="preserve">
118 420
</t>
  </si>
  <si>
    <t>2017.45694</t>
  </si>
  <si>
    <t>ООО «ЮГ-СТРОЙ»</t>
  </si>
  <si>
    <t>246620 российских рублей</t>
  </si>
  <si>
    <t>3542162,63российских рублей</t>
  </si>
  <si>
    <t>212146,48российских рублей</t>
  </si>
  <si>
    <t>212 931российских рублей</t>
  </si>
  <si>
    <t>1072464,24 российских рублей</t>
  </si>
  <si>
    <t>150662,4 российских рублей</t>
  </si>
  <si>
    <t>176778,21 российских рублей</t>
  </si>
  <si>
    <t>496929,88российских рублей</t>
  </si>
  <si>
    <t>316546,93российских рублей</t>
  </si>
  <si>
    <t>1453750российских рублей</t>
  </si>
  <si>
    <t>425904,48российских рублей</t>
  </si>
  <si>
    <t>155007,23 российских рублей</t>
  </si>
  <si>
    <t>106447,37российских рублей</t>
  </si>
  <si>
    <t>103006,74российских рублей</t>
  </si>
  <si>
    <t>360195российских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</si>
</sst>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0_р_."/>
    <numFmt numFmtId="166" formatCode="[$-419]mmmm\ yyyy;@"/>
    <numFmt numFmtId="167" formatCode="#\ ###.00_р_."/>
    <numFmt numFmtId="168" formatCode="#\ ###\ ###\ ###\ ##0.00_р_."/>
    <numFmt numFmtId="169" formatCode="mmmm\ yyyy"/>
    <numFmt numFmtId="170" formatCode="####################.00"/>
    <numFmt numFmtId="171" formatCode="#,##0\ _₽"/>
    <numFmt numFmtId="172" formatCode="0.00000;[Red]0.00000"/>
    <numFmt numFmtId="173" formatCode="####################.#####"/>
  </numFmts>
  <fonts count="65" x14ac:knownFonts="1">
    <font>
      <sz val="11"/>
      <color theme="1"/>
      <name val="Calibri"/>
      <family val="2"/>
      <charset val="204"/>
      <scheme val="minor"/>
    </font>
    <font>
      <b/>
      <sz val="10"/>
      <color rgb="FF00008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10"/>
      <color theme="1" tint="0.499984740745262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theme="1" tint="0.499984740745262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10"/>
      <color rgb="FF00008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0"/>
      <color theme="1" tint="0.499984740745262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theme="1" tint="0.49998474074526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 tint="0.499984740745262"/>
      <name val="Times New Roman"/>
      <family val="1"/>
      <charset val="204"/>
    </font>
    <font>
      <sz val="8"/>
      <color rgb="FF000000"/>
      <name val="Tahoma"/>
      <family val="2"/>
      <charset val="204"/>
    </font>
    <font>
      <sz val="10"/>
      <color rgb="FF000000"/>
      <name val="Tahoma"/>
      <family val="2"/>
      <charset val="204"/>
    </font>
    <font>
      <sz val="8"/>
      <color theme="1"/>
      <name val="Tahoma"/>
      <family val="2"/>
      <charset val="204"/>
    </font>
    <font>
      <sz val="8"/>
      <name val="Tahoma"/>
      <family val="2"/>
      <charset val="204"/>
    </font>
    <font>
      <sz val="11"/>
      <color rgb="FF1F497D"/>
      <name val="Calibri"/>
      <family val="2"/>
      <charset val="204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 tint="0.499984740745262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 tint="0.499984740745262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EB0A3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rgb="FF002060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21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3" fillId="0" borderId="0"/>
    <xf numFmtId="0" fontId="16" fillId="0" borderId="0"/>
    <xf numFmtId="0" fontId="13" fillId="0" borderId="0"/>
    <xf numFmtId="0" fontId="18" fillId="0" borderId="0"/>
    <xf numFmtId="0" fontId="17" fillId="0" borderId="0" applyNumberFormat="0" applyFont="0" applyFill="0" applyBorder="0" applyAlignment="0" applyProtection="0">
      <alignment vertical="top"/>
    </xf>
    <xf numFmtId="0" fontId="15" fillId="0" borderId="0"/>
    <xf numFmtId="0" fontId="19" fillId="0" borderId="0"/>
    <xf numFmtId="0" fontId="17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2" fillId="0" borderId="0" applyNumberFormat="0" applyFill="0" applyBorder="0" applyAlignment="0" applyProtection="0"/>
    <xf numFmtId="0" fontId="3" fillId="0" borderId="0"/>
  </cellStyleXfs>
  <cellXfs count="1228">
    <xf numFmtId="0" fontId="0" fillId="0" borderId="0" xfId="0"/>
    <xf numFmtId="0" fontId="0" fillId="0" borderId="0" xfId="0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4" xfId="0" applyFont="1" applyBorder="1" applyAlignment="1">
      <alignment vertical="center" wrapText="1"/>
    </xf>
    <xf numFmtId="0" fontId="2" fillId="0" borderId="35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14" fontId="2" fillId="0" borderId="35" xfId="0" applyNumberFormat="1" applyFont="1" applyFill="1" applyBorder="1" applyAlignment="1">
      <alignment horizontal="center" vertical="center" wrapText="1"/>
    </xf>
    <xf numFmtId="166" fontId="2" fillId="2" borderId="3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vertical="center" wrapText="1"/>
    </xf>
    <xf numFmtId="0" fontId="6" fillId="0" borderId="11" xfId="0" applyFont="1" applyFill="1" applyBorder="1" applyAlignment="1">
      <alignment horizontal="justify" vertical="center" wrapText="1"/>
    </xf>
    <xf numFmtId="0" fontId="6" fillId="2" borderId="11" xfId="0" applyFont="1" applyFill="1" applyBorder="1" applyAlignment="1">
      <alignment vertical="center" wrapText="1"/>
    </xf>
    <xf numFmtId="166" fontId="6" fillId="0" borderId="11" xfId="0" applyNumberFormat="1" applyFont="1" applyFill="1" applyBorder="1" applyAlignment="1">
      <alignment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vertical="center" wrapText="1"/>
    </xf>
    <xf numFmtId="166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16" xfId="0" applyFont="1" applyBorder="1" applyAlignment="1">
      <alignment horizontal="justify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16" xfId="0" applyFont="1" applyBorder="1" applyAlignment="1">
      <alignment vertical="center" wrapText="1"/>
    </xf>
    <xf numFmtId="0" fontId="6" fillId="0" borderId="16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left" vertical="center" wrapText="1"/>
    </xf>
    <xf numFmtId="0" fontId="6" fillId="0" borderId="0" xfId="0" applyFont="1"/>
    <xf numFmtId="0" fontId="7" fillId="2" borderId="45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2" borderId="24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/>
    </xf>
    <xf numFmtId="0" fontId="7" fillId="5" borderId="43" xfId="0" applyFont="1" applyFill="1" applyBorder="1" applyAlignment="1">
      <alignment horizontal="right" vertical="center" wrapText="1"/>
    </xf>
    <xf numFmtId="0" fontId="6" fillId="5" borderId="23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right" vertical="center"/>
    </xf>
    <xf numFmtId="0" fontId="6" fillId="0" borderId="46" xfId="0" applyFont="1" applyBorder="1" applyAlignment="1">
      <alignment vertical="center"/>
    </xf>
    <xf numFmtId="0" fontId="6" fillId="0" borderId="48" xfId="0" applyFont="1" applyBorder="1" applyAlignment="1">
      <alignment vertical="center"/>
    </xf>
    <xf numFmtId="0" fontId="6" fillId="0" borderId="26" xfId="0" applyFont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right" wrapText="1"/>
    </xf>
    <xf numFmtId="0" fontId="7" fillId="6" borderId="43" xfId="0" applyFont="1" applyFill="1" applyBorder="1" applyAlignment="1">
      <alignment horizontal="right" vertical="center" wrapText="1"/>
    </xf>
    <xf numFmtId="0" fontId="7" fillId="2" borderId="57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>
      <alignment horizontal="center" vertical="center" wrapText="1"/>
    </xf>
    <xf numFmtId="9" fontId="6" fillId="0" borderId="30" xfId="0" applyNumberFormat="1" applyFont="1" applyBorder="1" applyAlignment="1">
      <alignment horizontal="center" vertical="center" wrapText="1"/>
    </xf>
    <xf numFmtId="9" fontId="6" fillId="0" borderId="31" xfId="1" applyFont="1" applyBorder="1" applyAlignment="1">
      <alignment horizontal="center" vertical="center" wrapText="1"/>
    </xf>
    <xf numFmtId="0" fontId="6" fillId="0" borderId="49" xfId="0" applyFont="1" applyBorder="1" applyAlignment="1">
      <alignment wrapText="1"/>
    </xf>
    <xf numFmtId="0" fontId="6" fillId="0" borderId="44" xfId="0" applyFont="1" applyBorder="1" applyAlignment="1">
      <alignment horizontal="center" wrapText="1"/>
    </xf>
    <xf numFmtId="0" fontId="7" fillId="0" borderId="52" xfId="0" applyFont="1" applyFill="1" applyBorder="1" applyAlignment="1">
      <alignment horizontal="right" vertical="center" wrapText="1"/>
    </xf>
    <xf numFmtId="0" fontId="6" fillId="0" borderId="53" xfId="0" applyFont="1" applyFill="1" applyBorder="1" applyAlignment="1">
      <alignment horizontal="center" vertical="center"/>
    </xf>
    <xf numFmtId="0" fontId="6" fillId="0" borderId="59" xfId="0" applyFont="1" applyBorder="1" applyAlignment="1">
      <alignment horizontal="justify" vertical="center" wrapText="1"/>
    </xf>
    <xf numFmtId="0" fontId="6" fillId="0" borderId="47" xfId="0" applyFont="1" applyBorder="1" applyAlignment="1">
      <alignment horizontal="justify" vertical="center" wrapText="1"/>
    </xf>
    <xf numFmtId="0" fontId="6" fillId="5" borderId="23" xfId="0" applyFont="1" applyFill="1" applyBorder="1" applyAlignment="1">
      <alignment horizont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59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left" vertical="center" wrapText="1"/>
    </xf>
    <xf numFmtId="0" fontId="6" fillId="0" borderId="51" xfId="0" applyFont="1" applyBorder="1" applyAlignment="1">
      <alignment horizontal="left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justify" vertical="center" wrapText="1"/>
    </xf>
    <xf numFmtId="0" fontId="6" fillId="0" borderId="25" xfId="0" applyFont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vertical="center" wrapText="1"/>
    </xf>
    <xf numFmtId="0" fontId="6" fillId="0" borderId="52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167" fontId="6" fillId="2" borderId="10" xfId="0" applyNumberFormat="1" applyFont="1" applyFill="1" applyBorder="1" applyAlignment="1">
      <alignment vertical="center" wrapText="1"/>
    </xf>
    <xf numFmtId="168" fontId="2" fillId="0" borderId="35" xfId="0" applyNumberFormat="1" applyFont="1" applyFill="1" applyBorder="1" applyAlignment="1">
      <alignment horizontal="center" vertical="center" wrapText="1"/>
    </xf>
    <xf numFmtId="168" fontId="0" fillId="0" borderId="35" xfId="0" applyNumberFormat="1" applyFont="1" applyFill="1" applyBorder="1" applyAlignment="1">
      <alignment horizontal="center" vertical="center"/>
    </xf>
    <xf numFmtId="168" fontId="6" fillId="2" borderId="11" xfId="0" applyNumberFormat="1" applyFont="1" applyFill="1" applyBorder="1" applyAlignment="1">
      <alignment vertical="center" wrapText="1"/>
    </xf>
    <xf numFmtId="168" fontId="6" fillId="0" borderId="11" xfId="0" applyNumberFormat="1" applyFont="1" applyFill="1" applyBorder="1" applyAlignment="1">
      <alignment vertical="center" wrapText="1"/>
    </xf>
    <xf numFmtId="168" fontId="6" fillId="0" borderId="1" xfId="0" applyNumberFormat="1" applyFont="1" applyFill="1" applyBorder="1" applyAlignment="1">
      <alignment vertical="center" wrapText="1"/>
    </xf>
    <xf numFmtId="168" fontId="6" fillId="2" borderId="10" xfId="0" applyNumberFormat="1" applyFont="1" applyFill="1" applyBorder="1" applyAlignment="1">
      <alignment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justify" vertical="center" wrapText="1"/>
    </xf>
    <xf numFmtId="0" fontId="2" fillId="7" borderId="34" xfId="0" applyFont="1" applyFill="1" applyBorder="1" applyAlignment="1">
      <alignment vertical="center" wrapText="1"/>
    </xf>
    <xf numFmtId="0" fontId="2" fillId="7" borderId="35" xfId="0" applyFont="1" applyFill="1" applyBorder="1" applyAlignment="1">
      <alignment vertical="center" wrapText="1"/>
    </xf>
    <xf numFmtId="0" fontId="2" fillId="7" borderId="36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0" borderId="6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7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wrapText="1"/>
    </xf>
    <xf numFmtId="0" fontId="6" fillId="5" borderId="24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6" fillId="0" borderId="73" xfId="0" applyFont="1" applyBorder="1" applyAlignment="1">
      <alignment wrapText="1"/>
    </xf>
    <xf numFmtId="0" fontId="6" fillId="9" borderId="26" xfId="0" applyFont="1" applyFill="1" applyBorder="1" applyAlignment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  <xf numFmtId="0" fontId="6" fillId="10" borderId="26" xfId="0" applyFont="1" applyFill="1" applyBorder="1" applyAlignment="1">
      <alignment horizontal="center" vertical="center" wrapText="1"/>
    </xf>
    <xf numFmtId="0" fontId="6" fillId="10" borderId="67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0" fontId="6" fillId="10" borderId="80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79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67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/>
    </xf>
    <xf numFmtId="0" fontId="6" fillId="2" borderId="66" xfId="0" applyFont="1" applyFill="1" applyBorder="1" applyAlignment="1">
      <alignment horizontal="center" vertical="center" wrapText="1"/>
    </xf>
    <xf numFmtId="0" fontId="6" fillId="10" borderId="79" xfId="0" applyFont="1" applyFill="1" applyBorder="1" applyAlignment="1">
      <alignment horizontal="center" vertical="center" wrapText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10" borderId="30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1" fontId="6" fillId="10" borderId="43" xfId="0" applyNumberFormat="1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 wrapText="1"/>
    </xf>
    <xf numFmtId="0" fontId="6" fillId="11" borderId="79" xfId="0" applyFont="1" applyFill="1" applyBorder="1" applyAlignment="1">
      <alignment horizontal="center" vertical="center" wrapText="1"/>
    </xf>
    <xf numFmtId="0" fontId="6" fillId="11" borderId="16" xfId="0" applyFont="1" applyFill="1" applyBorder="1" applyAlignment="1">
      <alignment horizontal="center" vertical="center" wrapText="1"/>
    </xf>
    <xf numFmtId="0" fontId="6" fillId="11" borderId="30" xfId="0" applyFont="1" applyFill="1" applyBorder="1" applyAlignment="1">
      <alignment horizontal="center" vertical="center" wrapText="1"/>
    </xf>
    <xf numFmtId="1" fontId="6" fillId="11" borderId="43" xfId="0" applyNumberFormat="1" applyFont="1" applyFill="1" applyBorder="1" applyAlignment="1">
      <alignment horizontal="center" vertical="center" wrapText="1"/>
    </xf>
    <xf numFmtId="1" fontId="6" fillId="9" borderId="43" xfId="0" applyNumberFormat="1" applyFont="1" applyFill="1" applyBorder="1" applyAlignment="1">
      <alignment horizontal="center" vertical="center" wrapText="1"/>
    </xf>
    <xf numFmtId="0" fontId="6" fillId="9" borderId="79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vertical="center" wrapText="1"/>
    </xf>
    <xf numFmtId="1" fontId="6" fillId="3" borderId="43" xfId="0" applyNumberFormat="1" applyFont="1" applyFill="1" applyBorder="1" applyAlignment="1">
      <alignment horizontal="center" vertical="center" wrapText="1"/>
    </xf>
    <xf numFmtId="0" fontId="6" fillId="10" borderId="66" xfId="0" applyFont="1" applyFill="1" applyBorder="1" applyAlignment="1">
      <alignment horizontal="center" vertical="center" wrapText="1"/>
    </xf>
    <xf numFmtId="0" fontId="6" fillId="10" borderId="29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6" fillId="10" borderId="43" xfId="0" applyFont="1" applyFill="1" applyBorder="1" applyAlignment="1">
      <alignment horizontal="center" vertical="center" wrapText="1"/>
    </xf>
    <xf numFmtId="0" fontId="6" fillId="3" borderId="66" xfId="0" applyFont="1" applyFill="1" applyBorder="1" applyAlignment="1">
      <alignment horizontal="center" vertical="center" wrapText="1"/>
    </xf>
    <xf numFmtId="0" fontId="6" fillId="3" borderId="67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6" fillId="9" borderId="43" xfId="0" applyFont="1" applyFill="1" applyBorder="1" applyAlignment="1">
      <alignment horizontal="center" vertical="center" wrapText="1"/>
    </xf>
    <xf numFmtId="0" fontId="6" fillId="9" borderId="66" xfId="0" applyFont="1" applyFill="1" applyBorder="1" applyAlignment="1">
      <alignment horizontal="center" vertical="center" wrapText="1"/>
    </xf>
    <xf numFmtId="0" fontId="6" fillId="9" borderId="67" xfId="0" applyFont="1" applyFill="1" applyBorder="1" applyAlignment="1">
      <alignment horizontal="center" vertical="center" wrapText="1"/>
    </xf>
    <xf numFmtId="0" fontId="6" fillId="9" borderId="29" xfId="0" applyFont="1" applyFill="1" applyBorder="1" applyAlignment="1">
      <alignment horizontal="center" vertical="center" wrapText="1"/>
    </xf>
    <xf numFmtId="0" fontId="6" fillId="11" borderId="43" xfId="0" applyFont="1" applyFill="1" applyBorder="1" applyAlignment="1">
      <alignment horizontal="center" vertical="center" wrapText="1"/>
    </xf>
    <xf numFmtId="0" fontId="6" fillId="11" borderId="66" xfId="0" applyFont="1" applyFill="1" applyBorder="1" applyAlignment="1">
      <alignment horizontal="center" vertical="center" wrapText="1"/>
    </xf>
    <xf numFmtId="0" fontId="6" fillId="11" borderId="29" xfId="0" applyFont="1" applyFill="1" applyBorder="1" applyAlignment="1">
      <alignment horizontal="center" vertical="center" wrapText="1"/>
    </xf>
    <xf numFmtId="0" fontId="6" fillId="11" borderId="6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84" xfId="0" applyFont="1" applyBorder="1" applyAlignment="1">
      <alignment horizontal="center" vertical="center" wrapText="1"/>
    </xf>
    <xf numFmtId="0" fontId="7" fillId="8" borderId="45" xfId="0" applyFont="1" applyFill="1" applyBorder="1" applyAlignment="1">
      <alignment vertical="center"/>
    </xf>
    <xf numFmtId="0" fontId="7" fillId="8" borderId="40" xfId="0" applyFont="1" applyFill="1" applyBorder="1" applyAlignment="1">
      <alignment vertical="center"/>
    </xf>
    <xf numFmtId="49" fontId="1" fillId="0" borderId="0" xfId="0" applyNumberFormat="1" applyFont="1" applyAlignment="1">
      <alignment horizontal="right" vertical="center" wrapText="1"/>
    </xf>
    <xf numFmtId="0" fontId="9" fillId="0" borderId="0" xfId="0" applyFont="1" applyFill="1" applyBorder="1" applyAlignment="1">
      <alignment wrapText="1"/>
    </xf>
    <xf numFmtId="49" fontId="9" fillId="0" borderId="0" xfId="0" applyNumberFormat="1" applyFont="1" applyFill="1" applyBorder="1" applyAlignment="1">
      <alignment wrapText="1"/>
    </xf>
    <xf numFmtId="0" fontId="10" fillId="12" borderId="43" xfId="0" applyFont="1" applyFill="1" applyBorder="1" applyAlignment="1">
      <alignment horizontal="center" vertical="center" wrapText="1"/>
    </xf>
    <xf numFmtId="0" fontId="11" fillId="13" borderId="43" xfId="0" applyFont="1" applyFill="1" applyBorder="1" applyAlignment="1">
      <alignment horizontal="center" vertical="center" wrapText="1"/>
    </xf>
    <xf numFmtId="0" fontId="11" fillId="14" borderId="50" xfId="0" applyNumberFormat="1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49" fontId="11" fillId="0" borderId="39" xfId="0" applyNumberFormat="1" applyFont="1" applyFill="1" applyBorder="1" applyAlignment="1">
      <alignment horizontal="center" vertical="center" wrapText="1"/>
    </xf>
    <xf numFmtId="49" fontId="11" fillId="0" borderId="82" xfId="0" applyNumberFormat="1" applyFont="1" applyFill="1" applyBorder="1" applyAlignment="1">
      <alignment horizontal="center" vertical="center" wrapText="1"/>
    </xf>
    <xf numFmtId="49" fontId="11" fillId="0" borderId="28" xfId="0" applyNumberFormat="1" applyFont="1" applyFill="1" applyBorder="1" applyAlignment="1">
      <alignment horizontal="center" vertical="center" wrapText="1"/>
    </xf>
    <xf numFmtId="49" fontId="11" fillId="0" borderId="83" xfId="0" applyNumberFormat="1" applyFont="1" applyFill="1" applyBorder="1" applyAlignment="1">
      <alignment horizontal="center" vertical="center" wrapText="1"/>
    </xf>
    <xf numFmtId="49" fontId="11" fillId="0" borderId="3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wrapText="1"/>
    </xf>
    <xf numFmtId="49" fontId="11" fillId="0" borderId="38" xfId="0" applyNumberFormat="1" applyFont="1" applyFill="1" applyBorder="1" applyAlignment="1">
      <alignment horizontal="center" vertical="center" wrapText="1"/>
    </xf>
    <xf numFmtId="0" fontId="6" fillId="9" borderId="80" xfId="0" applyFont="1" applyFill="1" applyBorder="1" applyAlignment="1">
      <alignment horizontal="center" vertical="center" wrapText="1"/>
    </xf>
    <xf numFmtId="0" fontId="6" fillId="11" borderId="80" xfId="0" applyFont="1" applyFill="1" applyBorder="1" applyAlignment="1">
      <alignment horizontal="center" vertical="center" wrapText="1"/>
    </xf>
    <xf numFmtId="0" fontId="6" fillId="11" borderId="74" xfId="0" applyFont="1" applyFill="1" applyBorder="1" applyAlignment="1">
      <alignment horizontal="center" vertical="center" wrapText="1"/>
    </xf>
    <xf numFmtId="0" fontId="6" fillId="3" borderId="80" xfId="0" applyFont="1" applyFill="1" applyBorder="1" applyAlignment="1">
      <alignment horizontal="center" vertical="center" wrapText="1"/>
    </xf>
    <xf numFmtId="0" fontId="6" fillId="3" borderId="74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11" fillId="13" borderId="71" xfId="0" applyFont="1" applyFill="1" applyBorder="1" applyAlignment="1">
      <alignment horizontal="center" vertical="center" wrapText="1"/>
    </xf>
    <xf numFmtId="0" fontId="2" fillId="2" borderId="35" xfId="0" applyNumberFormat="1" applyFont="1" applyFill="1" applyBorder="1" applyAlignment="1">
      <alignment horizontal="center" vertical="center" wrapText="1"/>
    </xf>
    <xf numFmtId="168" fontId="2" fillId="2" borderId="34" xfId="0" applyNumberFormat="1" applyFont="1" applyFill="1" applyBorder="1" applyAlignment="1">
      <alignment horizontal="center" vertical="center" wrapText="1"/>
    </xf>
    <xf numFmtId="10" fontId="2" fillId="2" borderId="34" xfId="1" applyNumberFormat="1" applyFont="1" applyFill="1" applyBorder="1" applyAlignment="1">
      <alignment horizontal="center" vertical="center" wrapText="1"/>
    </xf>
    <xf numFmtId="168" fontId="2" fillId="2" borderId="35" xfId="0" applyNumberFormat="1" applyFont="1" applyFill="1" applyBorder="1" applyAlignment="1">
      <alignment horizontal="center" vertical="center" wrapText="1"/>
    </xf>
    <xf numFmtId="0" fontId="2" fillId="0" borderId="35" xfId="0" applyNumberFormat="1" applyFont="1" applyFill="1" applyBorder="1" applyAlignment="1">
      <alignment horizontal="center" vertical="center" wrapText="1"/>
    </xf>
    <xf numFmtId="166" fontId="2" fillId="0" borderId="35" xfId="0" applyNumberFormat="1" applyFont="1" applyFill="1" applyBorder="1" applyAlignment="1">
      <alignment horizontal="center" vertical="center" wrapText="1"/>
    </xf>
    <xf numFmtId="3" fontId="6" fillId="0" borderId="79" xfId="0" applyNumberFormat="1" applyFont="1" applyBorder="1" applyAlignment="1">
      <alignment horizontal="center" vertical="center"/>
    </xf>
    <xf numFmtId="3" fontId="6" fillId="0" borderId="39" xfId="0" applyNumberFormat="1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8" xfId="0" applyNumberFormat="1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10" fontId="6" fillId="10" borderId="16" xfId="1" applyNumberFormat="1" applyFont="1" applyFill="1" applyBorder="1" applyAlignment="1" applyProtection="1">
      <alignment horizontal="center" vertical="center" wrapText="1"/>
    </xf>
    <xf numFmtId="10" fontId="6" fillId="3" borderId="16" xfId="1" applyNumberFormat="1" applyFont="1" applyFill="1" applyBorder="1" applyAlignment="1">
      <alignment horizontal="center" vertical="center" wrapText="1"/>
    </xf>
    <xf numFmtId="10" fontId="6" fillId="10" borderId="43" xfId="1" applyNumberFormat="1" applyFont="1" applyFill="1" applyBorder="1" applyAlignment="1" applyProtection="1">
      <alignment horizontal="center" vertical="center" wrapText="1"/>
    </xf>
    <xf numFmtId="10" fontId="6" fillId="3" borderId="43" xfId="1" applyNumberFormat="1" applyFont="1" applyFill="1" applyBorder="1" applyAlignment="1">
      <alignment horizontal="center" vertical="center" wrapText="1"/>
    </xf>
    <xf numFmtId="10" fontId="6" fillId="9" borderId="81" xfId="1" applyNumberFormat="1" applyFont="1" applyFill="1" applyBorder="1" applyAlignment="1">
      <alignment horizontal="center" vertical="center" wrapText="1"/>
    </xf>
    <xf numFmtId="10" fontId="6" fillId="9" borderId="16" xfId="1" applyNumberFormat="1" applyFont="1" applyFill="1" applyBorder="1" applyAlignment="1">
      <alignment horizontal="center" vertical="center" wrapText="1"/>
    </xf>
    <xf numFmtId="10" fontId="6" fillId="9" borderId="64" xfId="1" applyNumberFormat="1" applyFont="1" applyFill="1" applyBorder="1" applyAlignment="1">
      <alignment horizontal="center" vertical="center" wrapText="1"/>
    </xf>
    <xf numFmtId="10" fontId="6" fillId="9" borderId="43" xfId="1" applyNumberFormat="1" applyFont="1" applyFill="1" applyBorder="1" applyAlignment="1">
      <alignment horizontal="center" vertical="center" wrapText="1"/>
    </xf>
    <xf numFmtId="10" fontId="6" fillId="11" borderId="64" xfId="1" applyNumberFormat="1" applyFont="1" applyFill="1" applyBorder="1" applyAlignment="1">
      <alignment horizontal="center" vertical="center" wrapText="1"/>
    </xf>
    <xf numFmtId="10" fontId="6" fillId="11" borderId="16" xfId="1" applyNumberFormat="1" applyFont="1" applyFill="1" applyBorder="1" applyAlignment="1">
      <alignment horizontal="center" vertical="center" wrapText="1"/>
    </xf>
    <xf numFmtId="10" fontId="6" fillId="11" borderId="27" xfId="1" applyNumberFormat="1" applyFont="1" applyFill="1" applyBorder="1" applyAlignment="1">
      <alignment horizontal="center" vertical="center" wrapText="1"/>
    </xf>
    <xf numFmtId="10" fontId="6" fillId="11" borderId="28" xfId="1" applyNumberFormat="1" applyFont="1" applyFill="1" applyBorder="1" applyAlignment="1">
      <alignment horizontal="center" vertical="center" wrapText="1"/>
    </xf>
    <xf numFmtId="10" fontId="6" fillId="11" borderId="43" xfId="1" applyNumberFormat="1" applyFont="1" applyFill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vertical="center" wrapText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/>
    </xf>
    <xf numFmtId="10" fontId="7" fillId="5" borderId="43" xfId="1" applyNumberFormat="1" applyFont="1" applyFill="1" applyBorder="1" applyAlignment="1">
      <alignment horizontal="center" vertical="center" wrapText="1"/>
    </xf>
    <xf numFmtId="9" fontId="7" fillId="5" borderId="24" xfId="1" applyFont="1" applyFill="1" applyBorder="1" applyAlignment="1">
      <alignment horizontal="center" vertical="center" wrapText="1"/>
    </xf>
    <xf numFmtId="9" fontId="7" fillId="5" borderId="25" xfId="1" applyFont="1" applyFill="1" applyBorder="1" applyAlignment="1">
      <alignment horizontal="center" wrapText="1"/>
    </xf>
    <xf numFmtId="9" fontId="7" fillId="5" borderId="43" xfId="1" applyFont="1" applyFill="1" applyBorder="1" applyAlignment="1">
      <alignment horizontal="center" wrapText="1"/>
    </xf>
    <xf numFmtId="9" fontId="7" fillId="5" borderId="24" xfId="1" applyFont="1" applyFill="1" applyBorder="1" applyAlignment="1">
      <alignment horizontal="center" wrapText="1"/>
    </xf>
    <xf numFmtId="0" fontId="7" fillId="2" borderId="71" xfId="0" applyFont="1" applyFill="1" applyBorder="1" applyAlignment="1">
      <alignment horizontal="center" vertical="center" wrapText="1"/>
    </xf>
    <xf numFmtId="0" fontId="6" fillId="0" borderId="70" xfId="0" applyFont="1" applyBorder="1" applyAlignment="1">
      <alignment wrapText="1"/>
    </xf>
    <xf numFmtId="0" fontId="6" fillId="0" borderId="76" xfId="0" applyFont="1" applyBorder="1" applyAlignment="1">
      <alignment wrapText="1"/>
    </xf>
    <xf numFmtId="0" fontId="6" fillId="0" borderId="76" xfId="0" applyFont="1" applyBorder="1"/>
    <xf numFmtId="0" fontId="6" fillId="2" borderId="86" xfId="0" applyFont="1" applyFill="1" applyBorder="1" applyAlignment="1">
      <alignment horizontal="center" vertical="center" wrapText="1"/>
    </xf>
    <xf numFmtId="0" fontId="6" fillId="2" borderId="88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2" fontId="2" fillId="2" borderId="35" xfId="0" applyNumberFormat="1" applyFont="1" applyFill="1" applyBorder="1" applyAlignment="1">
      <alignment horizontal="center" vertical="center" wrapText="1"/>
    </xf>
    <xf numFmtId="10" fontId="7" fillId="5" borderId="24" xfId="1" applyNumberFormat="1" applyFont="1" applyFill="1" applyBorder="1" applyAlignment="1">
      <alignment horizontal="center" vertical="center" wrapText="1"/>
    </xf>
    <xf numFmtId="10" fontId="7" fillId="5" borderId="25" xfId="1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wrapText="1"/>
    </xf>
    <xf numFmtId="49" fontId="13" fillId="0" borderId="0" xfId="0" applyNumberFormat="1" applyFont="1" applyFill="1" applyBorder="1" applyAlignment="1">
      <alignment wrapText="1"/>
    </xf>
    <xf numFmtId="0" fontId="13" fillId="0" borderId="52" xfId="0" applyFont="1" applyFill="1" applyBorder="1" applyAlignment="1">
      <alignment wrapText="1"/>
    </xf>
    <xf numFmtId="0" fontId="11" fillId="15" borderId="43" xfId="0" applyFont="1" applyFill="1" applyBorder="1" applyAlignment="1">
      <alignment horizontal="center" vertical="center" wrapText="1"/>
    </xf>
    <xf numFmtId="0" fontId="11" fillId="13" borderId="23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11" fillId="15" borderId="66" xfId="0" applyFont="1" applyFill="1" applyBorder="1" applyAlignment="1">
      <alignment horizontal="center" vertical="center" wrapText="1"/>
    </xf>
    <xf numFmtId="0" fontId="11" fillId="15" borderId="87" xfId="0" applyFont="1" applyFill="1" applyBorder="1" applyAlignment="1">
      <alignment horizontal="center" vertical="center" wrapText="1"/>
    </xf>
    <xf numFmtId="0" fontId="11" fillId="15" borderId="67" xfId="0" applyFont="1" applyFill="1" applyBorder="1" applyAlignment="1">
      <alignment horizontal="center" vertical="center" wrapText="1"/>
    </xf>
    <xf numFmtId="0" fontId="11" fillId="15" borderId="88" xfId="0" applyFont="1" applyFill="1" applyBorder="1" applyAlignment="1">
      <alignment horizontal="center" vertical="center" wrapText="1"/>
    </xf>
    <xf numFmtId="0" fontId="11" fillId="15" borderId="29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vertical="center" wrapText="1"/>
    </xf>
    <xf numFmtId="0" fontId="7" fillId="2" borderId="55" xfId="0" applyFont="1" applyFill="1" applyBorder="1" applyAlignment="1">
      <alignment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/>
    </xf>
    <xf numFmtId="14" fontId="0" fillId="0" borderId="0" xfId="0" applyNumberFormat="1" applyAlignment="1">
      <alignment wrapText="1"/>
    </xf>
    <xf numFmtId="49" fontId="21" fillId="4" borderId="0" xfId="0" applyNumberFormat="1" applyFont="1" applyFill="1" applyBorder="1" applyAlignment="1">
      <alignment horizontal="center" vertical="center" wrapText="1"/>
    </xf>
    <xf numFmtId="49" fontId="21" fillId="4" borderId="8" xfId="0" applyNumberFormat="1" applyFont="1" applyFill="1" applyBorder="1" applyAlignment="1">
      <alignment horizontal="center" vertical="center" wrapText="1"/>
    </xf>
    <xf numFmtId="49" fontId="23" fillId="0" borderId="0" xfId="0" applyNumberFormat="1" applyFont="1"/>
    <xf numFmtId="0" fontId="2" fillId="2" borderId="34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22" fillId="16" borderId="89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11" fillId="13" borderId="41" xfId="0" applyFont="1" applyFill="1" applyBorder="1" applyAlignment="1">
      <alignment horizontal="center" vertical="center" wrapText="1"/>
    </xf>
    <xf numFmtId="0" fontId="11" fillId="13" borderId="37" xfId="0" applyFont="1" applyFill="1" applyBorder="1" applyAlignment="1">
      <alignment horizontal="center" vertical="center" wrapText="1"/>
    </xf>
    <xf numFmtId="0" fontId="11" fillId="13" borderId="66" xfId="0" applyFont="1" applyFill="1" applyBorder="1" applyAlignment="1">
      <alignment horizontal="center" vertical="center" wrapText="1"/>
    </xf>
    <xf numFmtId="0" fontId="11" fillId="13" borderId="39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15" borderId="26" xfId="0" applyFont="1" applyFill="1" applyBorder="1" applyAlignment="1">
      <alignment horizontal="center" vertical="center" wrapText="1"/>
    </xf>
    <xf numFmtId="49" fontId="11" fillId="0" borderId="27" xfId="0" applyNumberFormat="1" applyFont="1" applyFill="1" applyBorder="1" applyAlignment="1">
      <alignment horizontal="center" vertical="center" wrapText="1"/>
    </xf>
    <xf numFmtId="10" fontId="7" fillId="2" borderId="25" xfId="1" applyNumberFormat="1" applyFont="1" applyFill="1" applyBorder="1" applyAlignment="1">
      <alignment horizontal="center" vertical="center"/>
    </xf>
    <xf numFmtId="9" fontId="7" fillId="5" borderId="30" xfId="1" applyFont="1" applyFill="1" applyBorder="1" applyAlignment="1">
      <alignment horizontal="center" vertical="center" wrapText="1"/>
    </xf>
    <xf numFmtId="168" fontId="7" fillId="5" borderId="30" xfId="0" applyNumberFormat="1" applyFont="1" applyFill="1" applyBorder="1" applyAlignment="1">
      <alignment horizontal="center" vertical="center" wrapText="1"/>
    </xf>
    <xf numFmtId="168" fontId="7" fillId="5" borderId="38" xfId="0" applyNumberFormat="1" applyFont="1" applyFill="1" applyBorder="1" applyAlignment="1">
      <alignment horizontal="center" vertical="center" wrapText="1"/>
    </xf>
    <xf numFmtId="168" fontId="6" fillId="10" borderId="64" xfId="0" applyNumberFormat="1" applyFont="1" applyFill="1" applyBorder="1" applyAlignment="1">
      <alignment horizontal="center" vertical="center" wrapText="1"/>
    </xf>
    <xf numFmtId="168" fontId="6" fillId="10" borderId="43" xfId="0" applyNumberFormat="1" applyFont="1" applyFill="1" applyBorder="1" applyAlignment="1">
      <alignment horizontal="center" vertical="center" wrapText="1"/>
    </xf>
    <xf numFmtId="168" fontId="6" fillId="3" borderId="64" xfId="0" applyNumberFormat="1" applyFont="1" applyFill="1" applyBorder="1" applyAlignment="1">
      <alignment horizontal="center" vertical="center" wrapText="1"/>
    </xf>
    <xf numFmtId="168" fontId="6" fillId="3" borderId="43" xfId="0" applyNumberFormat="1" applyFont="1" applyFill="1" applyBorder="1" applyAlignment="1">
      <alignment horizontal="center" vertical="center" wrapText="1"/>
    </xf>
    <xf numFmtId="168" fontId="6" fillId="9" borderId="64" xfId="0" applyNumberFormat="1" applyFont="1" applyFill="1" applyBorder="1" applyAlignment="1">
      <alignment horizontal="center" vertical="center" wrapText="1"/>
    </xf>
    <xf numFmtId="168" fontId="6" fillId="9" borderId="43" xfId="0" applyNumberFormat="1" applyFont="1" applyFill="1" applyBorder="1" applyAlignment="1">
      <alignment horizontal="center" vertical="center" wrapText="1"/>
    </xf>
    <xf numFmtId="168" fontId="6" fillId="11" borderId="64" xfId="0" applyNumberFormat="1" applyFont="1" applyFill="1" applyBorder="1" applyAlignment="1">
      <alignment horizontal="center" vertical="center" wrapText="1"/>
    </xf>
    <xf numFmtId="168" fontId="6" fillId="11" borderId="43" xfId="0" applyNumberFormat="1" applyFont="1" applyFill="1" applyBorder="1" applyAlignment="1">
      <alignment horizontal="center" vertical="center" wrapText="1"/>
    </xf>
    <xf numFmtId="168" fontId="6" fillId="10" borderId="16" xfId="0" applyNumberFormat="1" applyFont="1" applyFill="1" applyBorder="1" applyAlignment="1">
      <alignment horizontal="center" vertical="center" wrapText="1"/>
    </xf>
    <xf numFmtId="168" fontId="6" fillId="10" borderId="74" xfId="0" applyNumberFormat="1" applyFont="1" applyFill="1" applyBorder="1" applyAlignment="1">
      <alignment horizontal="center" vertical="center" wrapText="1"/>
    </xf>
    <xf numFmtId="168" fontId="6" fillId="5" borderId="24" xfId="0" applyNumberFormat="1" applyFont="1" applyFill="1" applyBorder="1" applyAlignment="1">
      <alignment horizontal="center" vertical="center" wrapText="1"/>
    </xf>
    <xf numFmtId="168" fontId="6" fillId="5" borderId="37" xfId="0" applyNumberFormat="1" applyFont="1" applyFill="1" applyBorder="1" applyAlignment="1">
      <alignment horizontal="center" vertical="center" wrapText="1"/>
    </xf>
    <xf numFmtId="168" fontId="6" fillId="5" borderId="43" xfId="0" applyNumberFormat="1" applyFont="1" applyFill="1" applyBorder="1" applyAlignment="1">
      <alignment horizontal="center" vertical="center" wrapText="1"/>
    </xf>
    <xf numFmtId="0" fontId="6" fillId="0" borderId="52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73" xfId="0" applyFont="1" applyBorder="1" applyAlignment="1">
      <alignment horizontal="center" wrapText="1"/>
    </xf>
    <xf numFmtId="168" fontId="6" fillId="5" borderId="25" xfId="0" applyNumberFormat="1" applyFont="1" applyFill="1" applyBorder="1" applyAlignment="1">
      <alignment horizontal="center" vertical="center" wrapText="1"/>
    </xf>
    <xf numFmtId="10" fontId="6" fillId="0" borderId="27" xfId="1" applyNumberFormat="1" applyFont="1" applyBorder="1" applyAlignment="1">
      <alignment horizontal="center" vertical="center" wrapText="1"/>
    </xf>
    <xf numFmtId="168" fontId="6" fillId="0" borderId="66" xfId="0" applyNumberFormat="1" applyFont="1" applyFill="1" applyBorder="1" applyAlignment="1">
      <alignment horizontal="center" vertical="center" wrapText="1"/>
    </xf>
    <xf numFmtId="10" fontId="6" fillId="0" borderId="63" xfId="1" applyNumberFormat="1" applyFont="1" applyBorder="1" applyAlignment="1">
      <alignment horizontal="center" wrapText="1"/>
    </xf>
    <xf numFmtId="168" fontId="6" fillId="0" borderId="67" xfId="0" applyNumberFormat="1" applyFont="1" applyFill="1" applyBorder="1" applyAlignment="1">
      <alignment horizontal="center" vertical="center" wrapText="1"/>
    </xf>
    <xf numFmtId="168" fontId="6" fillId="0" borderId="29" xfId="0" applyNumberFormat="1" applyFont="1" applyFill="1" applyBorder="1" applyAlignment="1">
      <alignment horizontal="center" vertical="center" wrapText="1"/>
    </xf>
    <xf numFmtId="10" fontId="6" fillId="0" borderId="58" xfId="1" applyNumberFormat="1" applyFont="1" applyFill="1" applyBorder="1" applyAlignment="1">
      <alignment horizontal="center" vertical="center"/>
    </xf>
    <xf numFmtId="165" fontId="6" fillId="0" borderId="53" xfId="0" applyNumberFormat="1" applyFont="1" applyFill="1" applyBorder="1" applyAlignment="1">
      <alignment horizontal="center" vertical="center"/>
    </xf>
    <xf numFmtId="10" fontId="6" fillId="0" borderId="44" xfId="1" applyNumberFormat="1" applyFont="1" applyBorder="1" applyAlignment="1">
      <alignment horizontal="center" wrapText="1"/>
    </xf>
    <xf numFmtId="165" fontId="6" fillId="0" borderId="44" xfId="0" applyNumberFormat="1" applyFont="1" applyBorder="1" applyAlignment="1">
      <alignment horizontal="center" vertical="center" wrapText="1"/>
    </xf>
    <xf numFmtId="10" fontId="6" fillId="0" borderId="27" xfId="1" applyNumberFormat="1" applyFont="1" applyBorder="1" applyAlignment="1">
      <alignment horizontal="center" wrapText="1"/>
    </xf>
    <xf numFmtId="168" fontId="6" fillId="0" borderId="26" xfId="0" applyNumberFormat="1" applyFont="1" applyBorder="1" applyAlignment="1">
      <alignment horizontal="center" vertical="center" wrapText="1"/>
    </xf>
    <xf numFmtId="10" fontId="6" fillId="0" borderId="28" xfId="1" applyNumberFormat="1" applyFont="1" applyBorder="1" applyAlignment="1">
      <alignment horizontal="center" wrapText="1"/>
    </xf>
    <xf numFmtId="168" fontId="6" fillId="0" borderId="67" xfId="0" applyNumberFormat="1" applyFont="1" applyBorder="1" applyAlignment="1">
      <alignment horizontal="center" vertical="center" wrapText="1"/>
    </xf>
    <xf numFmtId="10" fontId="6" fillId="0" borderId="31" xfId="1" applyNumberFormat="1" applyFont="1" applyBorder="1" applyAlignment="1">
      <alignment horizontal="center" wrapText="1"/>
    </xf>
    <xf numFmtId="168" fontId="6" fillId="0" borderId="29" xfId="0" applyNumberFormat="1" applyFont="1" applyBorder="1" applyAlignment="1">
      <alignment horizontal="center" vertical="center" wrapText="1"/>
    </xf>
    <xf numFmtId="168" fontId="6" fillId="5" borderId="41" xfId="0" applyNumberFormat="1" applyFont="1" applyFill="1" applyBorder="1" applyAlignment="1">
      <alignment horizontal="center" wrapText="1"/>
    </xf>
    <xf numFmtId="168" fontId="6" fillId="10" borderId="79" xfId="0" applyNumberFormat="1" applyFont="1" applyFill="1" applyBorder="1" applyAlignment="1">
      <alignment horizontal="center" vertical="center" wrapText="1"/>
    </xf>
    <xf numFmtId="168" fontId="6" fillId="10" borderId="39" xfId="0" applyNumberFormat="1" applyFont="1" applyFill="1" applyBorder="1" applyAlignment="1">
      <alignment horizontal="center" vertical="center" wrapText="1"/>
    </xf>
    <xf numFmtId="168" fontId="6" fillId="3" borderId="79" xfId="0" applyNumberFormat="1" applyFont="1" applyFill="1" applyBorder="1" applyAlignment="1">
      <alignment horizontal="center" vertical="center" wrapText="1"/>
    </xf>
    <xf numFmtId="168" fontId="6" fillId="3" borderId="39" xfId="0" applyNumberFormat="1" applyFont="1" applyFill="1" applyBorder="1" applyAlignment="1">
      <alignment horizontal="center" vertical="center" wrapText="1"/>
    </xf>
    <xf numFmtId="168" fontId="6" fillId="9" borderId="79" xfId="0" applyNumberFormat="1" applyFont="1" applyFill="1" applyBorder="1" applyAlignment="1">
      <alignment horizontal="center" vertical="center" wrapText="1"/>
    </xf>
    <xf numFmtId="168" fontId="6" fillId="9" borderId="39" xfId="0" applyNumberFormat="1" applyFont="1" applyFill="1" applyBorder="1" applyAlignment="1">
      <alignment horizontal="center" vertical="center" wrapText="1"/>
    </xf>
    <xf numFmtId="168" fontId="6" fillId="11" borderId="79" xfId="0" applyNumberFormat="1" applyFont="1" applyFill="1" applyBorder="1" applyAlignment="1">
      <alignment horizontal="center" vertical="center" wrapText="1"/>
    </xf>
    <xf numFmtId="168" fontId="6" fillId="11" borderId="39" xfId="0" applyNumberFormat="1" applyFont="1" applyFill="1" applyBorder="1" applyAlignment="1">
      <alignment horizontal="center" vertical="center" wrapText="1"/>
    </xf>
    <xf numFmtId="168" fontId="6" fillId="10" borderId="28" xfId="0" applyNumberFormat="1" applyFont="1" applyFill="1" applyBorder="1" applyAlignment="1">
      <alignment horizontal="center" vertical="center" wrapText="1"/>
    </xf>
    <xf numFmtId="168" fontId="6" fillId="3" borderId="16" xfId="0" applyNumberFormat="1" applyFont="1" applyFill="1" applyBorder="1" applyAlignment="1">
      <alignment horizontal="center" vertical="center" wrapText="1"/>
    </xf>
    <xf numFmtId="168" fontId="6" fillId="3" borderId="28" xfId="0" applyNumberFormat="1" applyFont="1" applyFill="1" applyBorder="1" applyAlignment="1">
      <alignment horizontal="center" vertical="center" wrapText="1"/>
    </xf>
    <xf numFmtId="168" fontId="6" fillId="9" borderId="16" xfId="0" applyNumberFormat="1" applyFont="1" applyFill="1" applyBorder="1" applyAlignment="1">
      <alignment horizontal="center" vertical="center" wrapText="1"/>
    </xf>
    <xf numFmtId="168" fontId="6" fillId="9" borderId="28" xfId="0" applyNumberFormat="1" applyFont="1" applyFill="1" applyBorder="1" applyAlignment="1">
      <alignment horizontal="center" vertical="center" wrapText="1"/>
    </xf>
    <xf numFmtId="168" fontId="6" fillId="11" borderId="16" xfId="0" applyNumberFormat="1" applyFont="1" applyFill="1" applyBorder="1" applyAlignment="1">
      <alignment horizontal="center" vertical="center" wrapText="1"/>
    </xf>
    <xf numFmtId="168" fontId="6" fillId="11" borderId="28" xfId="0" applyNumberFormat="1" applyFont="1" applyFill="1" applyBorder="1" applyAlignment="1">
      <alignment horizontal="center" vertical="center" wrapText="1"/>
    </xf>
    <xf numFmtId="168" fontId="6" fillId="3" borderId="74" xfId="0" applyNumberFormat="1" applyFont="1" applyFill="1" applyBorder="1" applyAlignment="1">
      <alignment horizontal="center" vertical="center" wrapText="1"/>
    </xf>
    <xf numFmtId="168" fontId="6" fillId="9" borderId="74" xfId="0" applyNumberFormat="1" applyFont="1" applyFill="1" applyBorder="1" applyAlignment="1">
      <alignment horizontal="center" vertical="center" wrapText="1"/>
    </xf>
    <xf numFmtId="168" fontId="6" fillId="11" borderId="74" xfId="0" applyNumberFormat="1" applyFont="1" applyFill="1" applyBorder="1" applyAlignment="1">
      <alignment horizontal="center" vertical="center" wrapText="1"/>
    </xf>
    <xf numFmtId="168" fontId="6" fillId="10" borderId="30" xfId="0" applyNumberFormat="1" applyFont="1" applyFill="1" applyBorder="1" applyAlignment="1">
      <alignment horizontal="center" vertical="center" wrapText="1"/>
    </xf>
    <xf numFmtId="168" fontId="6" fillId="10" borderId="31" xfId="0" applyNumberFormat="1" applyFont="1" applyFill="1" applyBorder="1" applyAlignment="1">
      <alignment horizontal="center" vertical="center" wrapText="1"/>
    </xf>
    <xf numFmtId="168" fontId="6" fillId="3" borderId="30" xfId="0" applyNumberFormat="1" applyFont="1" applyFill="1" applyBorder="1" applyAlignment="1">
      <alignment horizontal="center" vertical="center" wrapText="1"/>
    </xf>
    <xf numFmtId="168" fontId="6" fillId="3" borderId="31" xfId="0" applyNumberFormat="1" applyFont="1" applyFill="1" applyBorder="1" applyAlignment="1">
      <alignment horizontal="center" vertical="center" wrapText="1"/>
    </xf>
    <xf numFmtId="168" fontId="6" fillId="9" borderId="30" xfId="0" applyNumberFormat="1" applyFont="1" applyFill="1" applyBorder="1" applyAlignment="1">
      <alignment horizontal="center" vertical="center" wrapText="1"/>
    </xf>
    <xf numFmtId="168" fontId="6" fillId="9" borderId="31" xfId="0" applyNumberFormat="1" applyFont="1" applyFill="1" applyBorder="1" applyAlignment="1">
      <alignment horizontal="center" vertical="center" wrapText="1"/>
    </xf>
    <xf numFmtId="168" fontId="6" fillId="11" borderId="30" xfId="0" applyNumberFormat="1" applyFont="1" applyFill="1" applyBorder="1" applyAlignment="1">
      <alignment horizontal="center" vertical="center" wrapText="1"/>
    </xf>
    <xf numFmtId="168" fontId="6" fillId="11" borderId="31" xfId="0" applyNumberFormat="1" applyFont="1" applyFill="1" applyBorder="1" applyAlignment="1">
      <alignment horizontal="center" vertical="center" wrapText="1"/>
    </xf>
    <xf numFmtId="168" fontId="6" fillId="5" borderId="24" xfId="0" applyNumberFormat="1" applyFont="1" applyFill="1" applyBorder="1" applyAlignment="1">
      <alignment horizontal="center" wrapText="1"/>
    </xf>
    <xf numFmtId="168" fontId="6" fillId="5" borderId="25" xfId="0" applyNumberFormat="1" applyFont="1" applyFill="1" applyBorder="1" applyAlignment="1">
      <alignment horizontal="center" wrapText="1"/>
    </xf>
    <xf numFmtId="168" fontId="6" fillId="5" borderId="43" xfId="0" applyNumberFormat="1" applyFont="1" applyFill="1" applyBorder="1" applyAlignment="1">
      <alignment horizontal="center" wrapText="1"/>
    </xf>
    <xf numFmtId="168" fontId="6" fillId="5" borderId="33" xfId="0" applyNumberFormat="1" applyFont="1" applyFill="1" applyBorder="1" applyAlignment="1">
      <alignment horizontal="center" wrapText="1"/>
    </xf>
    <xf numFmtId="168" fontId="6" fillId="3" borderId="82" xfId="0" applyNumberFormat="1" applyFont="1" applyFill="1" applyBorder="1" applyAlignment="1">
      <alignment horizontal="center" vertical="center" wrapText="1"/>
    </xf>
    <xf numFmtId="168" fontId="6" fillId="3" borderId="38" xfId="0" applyNumberFormat="1" applyFont="1" applyFill="1" applyBorder="1" applyAlignment="1">
      <alignment horizontal="center" vertical="center" wrapText="1"/>
    </xf>
    <xf numFmtId="10" fontId="6" fillId="0" borderId="39" xfId="1" applyNumberFormat="1" applyFont="1" applyBorder="1" applyAlignment="1">
      <alignment horizontal="center" wrapText="1"/>
    </xf>
    <xf numFmtId="168" fontId="6" fillId="0" borderId="30" xfId="0" applyNumberFormat="1" applyFont="1" applyBorder="1" applyAlignment="1">
      <alignment horizontal="center" vertical="center" wrapText="1"/>
    </xf>
    <xf numFmtId="10" fontId="7" fillId="5" borderId="25" xfId="1" applyNumberFormat="1" applyFont="1" applyFill="1" applyBorder="1" applyAlignment="1">
      <alignment horizontal="center" vertical="center"/>
    </xf>
    <xf numFmtId="168" fontId="7" fillId="5" borderId="23" xfId="0" applyNumberFormat="1" applyFont="1" applyFill="1" applyBorder="1" applyAlignment="1">
      <alignment horizontal="center" vertical="center" wrapText="1"/>
    </xf>
    <xf numFmtId="10" fontId="7" fillId="6" borderId="25" xfId="1" applyNumberFormat="1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wrapText="1"/>
    </xf>
    <xf numFmtId="9" fontId="7" fillId="5" borderId="37" xfId="1" applyFont="1" applyFill="1" applyBorder="1" applyAlignment="1">
      <alignment horizontal="center" wrapText="1"/>
    </xf>
    <xf numFmtId="9" fontId="7" fillId="5" borderId="25" xfId="0" applyNumberFormat="1" applyFont="1" applyFill="1" applyBorder="1" applyAlignment="1">
      <alignment horizontal="center" wrapText="1"/>
    </xf>
    <xf numFmtId="168" fontId="7" fillId="5" borderId="43" xfId="0" applyNumberFormat="1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wrapText="1"/>
    </xf>
    <xf numFmtId="0" fontId="7" fillId="5" borderId="23" xfId="0" applyFont="1" applyFill="1" applyBorder="1" applyAlignment="1">
      <alignment horizontal="center" vertical="center" wrapText="1"/>
    </xf>
    <xf numFmtId="10" fontId="7" fillId="5" borderId="25" xfId="1" applyNumberFormat="1" applyFont="1" applyFill="1" applyBorder="1" applyAlignment="1">
      <alignment horizontal="center" wrapText="1"/>
    </xf>
    <xf numFmtId="168" fontId="7" fillId="5" borderId="41" xfId="0" applyNumberFormat="1" applyFont="1" applyFill="1" applyBorder="1" applyAlignment="1">
      <alignment horizontal="center" wrapText="1"/>
    </xf>
    <xf numFmtId="10" fontId="7" fillId="5" borderId="25" xfId="0" applyNumberFormat="1" applyFont="1" applyFill="1" applyBorder="1" applyAlignment="1">
      <alignment horizontal="center" wrapText="1"/>
    </xf>
    <xf numFmtId="2" fontId="7" fillId="0" borderId="43" xfId="1" applyNumberFormat="1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right"/>
    </xf>
    <xf numFmtId="0" fontId="7" fillId="5" borderId="43" xfId="0" applyFont="1" applyFill="1" applyBorder="1" applyAlignment="1">
      <alignment horizontal="center"/>
    </xf>
    <xf numFmtId="0" fontId="7" fillId="6" borderId="23" xfId="0" applyFont="1" applyFill="1" applyBorder="1" applyAlignment="1">
      <alignment horizontal="center" vertical="center" wrapText="1"/>
    </xf>
    <xf numFmtId="10" fontId="6" fillId="2" borderId="46" xfId="0" applyNumberFormat="1" applyFont="1" applyFill="1" applyBorder="1" applyAlignment="1">
      <alignment horizontal="center" vertical="center" wrapText="1"/>
    </xf>
    <xf numFmtId="10" fontId="6" fillId="0" borderId="27" xfId="1" applyNumberFormat="1" applyFont="1" applyBorder="1" applyAlignment="1">
      <alignment horizontal="center" vertical="center"/>
    </xf>
    <xf numFmtId="168" fontId="6" fillId="2" borderId="26" xfId="0" applyNumberFormat="1" applyFont="1" applyFill="1" applyBorder="1" applyAlignment="1">
      <alignment horizontal="center" vertical="center" wrapText="1"/>
    </xf>
    <xf numFmtId="10" fontId="6" fillId="2" borderId="27" xfId="1" applyNumberFormat="1" applyFont="1" applyFill="1" applyBorder="1" applyAlignment="1">
      <alignment horizontal="center" vertical="center" wrapText="1"/>
    </xf>
    <xf numFmtId="168" fontId="6" fillId="0" borderId="42" xfId="0" applyNumberFormat="1" applyFont="1" applyBorder="1" applyAlignment="1">
      <alignment horizontal="center" vertical="center"/>
    </xf>
    <xf numFmtId="10" fontId="7" fillId="2" borderId="45" xfId="0" applyNumberFormat="1" applyFont="1" applyFill="1" applyBorder="1" applyAlignment="1">
      <alignment horizontal="center" vertical="center" wrapText="1"/>
    </xf>
    <xf numFmtId="168" fontId="7" fillId="2" borderId="23" xfId="1" applyNumberFormat="1" applyFont="1" applyFill="1" applyBorder="1" applyAlignment="1">
      <alignment horizontal="center" vertical="center"/>
    </xf>
    <xf numFmtId="168" fontId="7" fillId="5" borderId="41" xfId="0" applyNumberFormat="1" applyFont="1" applyFill="1" applyBorder="1" applyAlignment="1">
      <alignment horizontal="center" vertical="center"/>
    </xf>
    <xf numFmtId="168" fontId="7" fillId="6" borderId="42" xfId="0" applyNumberFormat="1" applyFont="1" applyFill="1" applyBorder="1" applyAlignment="1">
      <alignment horizontal="center" vertical="center"/>
    </xf>
    <xf numFmtId="10" fontId="7" fillId="2" borderId="45" xfId="0" applyNumberFormat="1" applyFont="1" applyFill="1" applyBorder="1" applyAlignment="1">
      <alignment horizontal="center" vertical="center"/>
    </xf>
    <xf numFmtId="10" fontId="7" fillId="5" borderId="25" xfId="0" applyNumberFormat="1" applyFont="1" applyFill="1" applyBorder="1" applyAlignment="1">
      <alignment horizontal="center" vertical="center"/>
    </xf>
    <xf numFmtId="168" fontId="6" fillId="2" borderId="79" xfId="0" applyNumberFormat="1" applyFont="1" applyFill="1" applyBorder="1" applyAlignment="1">
      <alignment horizontal="center" vertical="center" wrapText="1"/>
    </xf>
    <xf numFmtId="168" fontId="6" fillId="2" borderId="43" xfId="0" applyNumberFormat="1" applyFont="1" applyFill="1" applyBorder="1" applyAlignment="1">
      <alignment horizontal="center" vertical="center" wrapText="1"/>
    </xf>
    <xf numFmtId="168" fontId="6" fillId="2" borderId="16" xfId="0" applyNumberFormat="1" applyFont="1" applyFill="1" applyBorder="1" applyAlignment="1">
      <alignment horizontal="center" vertical="center" wrapText="1"/>
    </xf>
    <xf numFmtId="168" fontId="6" fillId="2" borderId="30" xfId="0" applyNumberFormat="1" applyFont="1" applyFill="1" applyBorder="1" applyAlignment="1">
      <alignment horizontal="center" vertical="center" wrapText="1"/>
    </xf>
    <xf numFmtId="168" fontId="6" fillId="2" borderId="24" xfId="0" applyNumberFormat="1" applyFont="1" applyFill="1" applyBorder="1" applyAlignment="1">
      <alignment horizontal="center" vertical="center" wrapText="1"/>
    </xf>
    <xf numFmtId="168" fontId="6" fillId="2" borderId="66" xfId="0" applyNumberFormat="1" applyFont="1" applyFill="1" applyBorder="1" applyAlignment="1">
      <alignment horizontal="center" vertical="center" wrapText="1"/>
    </xf>
    <xf numFmtId="168" fontId="6" fillId="2" borderId="64" xfId="0" applyNumberFormat="1" applyFont="1" applyFill="1" applyBorder="1" applyAlignment="1">
      <alignment horizontal="center" vertical="center" wrapText="1"/>
    </xf>
    <xf numFmtId="168" fontId="6" fillId="2" borderId="67" xfId="0" applyNumberFormat="1" applyFont="1" applyFill="1" applyBorder="1" applyAlignment="1">
      <alignment horizontal="center" vertical="center" wrapText="1"/>
    </xf>
    <xf numFmtId="168" fontId="6" fillId="2" borderId="74" xfId="0" applyNumberFormat="1" applyFont="1" applyFill="1" applyBorder="1" applyAlignment="1">
      <alignment horizontal="center" vertical="center" wrapText="1"/>
    </xf>
    <xf numFmtId="168" fontId="6" fillId="2" borderId="29" xfId="0" applyNumberFormat="1" applyFont="1" applyFill="1" applyBorder="1" applyAlignment="1">
      <alignment horizontal="center" vertical="center" wrapText="1"/>
    </xf>
    <xf numFmtId="168" fontId="7" fillId="2" borderId="23" xfId="0" applyNumberFormat="1" applyFont="1" applyFill="1" applyBorder="1" applyAlignment="1">
      <alignment horizontal="center" vertical="center" wrapText="1"/>
    </xf>
    <xf numFmtId="168" fontId="7" fillId="5" borderId="24" xfId="0" applyNumberFormat="1" applyFont="1" applyFill="1" applyBorder="1" applyAlignment="1">
      <alignment horizontal="center" vertical="center" wrapText="1"/>
    </xf>
    <xf numFmtId="168" fontId="7" fillId="2" borderId="24" xfId="0" applyNumberFormat="1" applyFont="1" applyFill="1" applyBorder="1" applyAlignment="1">
      <alignment horizontal="center" vertical="center" wrapText="1"/>
    </xf>
    <xf numFmtId="168" fontId="7" fillId="2" borderId="43" xfId="0" applyNumberFormat="1" applyFont="1" applyFill="1" applyBorder="1" applyAlignment="1">
      <alignment horizontal="center" vertical="center" wrapText="1"/>
    </xf>
    <xf numFmtId="168" fontId="6" fillId="2" borderId="27" xfId="0" applyNumberFormat="1" applyFont="1" applyFill="1" applyBorder="1" applyAlignment="1">
      <alignment horizontal="center" vertical="center" wrapText="1"/>
    </xf>
    <xf numFmtId="10" fontId="6" fillId="0" borderId="64" xfId="0" applyNumberFormat="1" applyFont="1" applyFill="1" applyBorder="1" applyAlignment="1">
      <alignment horizontal="center" vertical="center" wrapText="1"/>
    </xf>
    <xf numFmtId="168" fontId="6" fillId="0" borderId="65" xfId="0" applyNumberFormat="1" applyFont="1" applyBorder="1" applyAlignment="1">
      <alignment horizontal="center" vertical="center"/>
    </xf>
    <xf numFmtId="168" fontId="7" fillId="2" borderId="25" xfId="0" applyNumberFormat="1" applyFont="1" applyFill="1" applyBorder="1" applyAlignment="1">
      <alignment horizontal="center" wrapText="1"/>
    </xf>
    <xf numFmtId="10" fontId="7" fillId="6" borderId="24" xfId="0" applyNumberFormat="1" applyFont="1" applyFill="1" applyBorder="1" applyAlignment="1">
      <alignment horizontal="center" wrapText="1"/>
    </xf>
    <xf numFmtId="168" fontId="7" fillId="5" borderId="43" xfId="0" applyNumberFormat="1" applyFont="1" applyFill="1" applyBorder="1" applyAlignment="1">
      <alignment horizontal="center" wrapText="1"/>
    </xf>
    <xf numFmtId="10" fontId="6" fillId="2" borderId="81" xfId="0" applyNumberFormat="1" applyFont="1" applyFill="1" applyBorder="1" applyAlignment="1">
      <alignment horizontal="center" vertical="center" wrapText="1"/>
    </xf>
    <xf numFmtId="10" fontId="6" fillId="2" borderId="39" xfId="0" applyNumberFormat="1" applyFont="1" applyFill="1" applyBorder="1" applyAlignment="1">
      <alignment horizontal="center" vertical="center" wrapText="1"/>
    </xf>
    <xf numFmtId="168" fontId="6" fillId="2" borderId="56" xfId="0" applyNumberFormat="1" applyFont="1" applyFill="1" applyBorder="1" applyAlignment="1">
      <alignment horizontal="center" vertical="center" wrapText="1"/>
    </xf>
    <xf numFmtId="10" fontId="6" fillId="2" borderId="57" xfId="0" applyNumberFormat="1" applyFont="1" applyFill="1" applyBorder="1" applyAlignment="1">
      <alignment horizontal="center" vertical="center" wrapText="1"/>
    </xf>
    <xf numFmtId="10" fontId="7" fillId="2" borderId="25" xfId="0" applyNumberFormat="1" applyFont="1" applyFill="1" applyBorder="1" applyAlignment="1">
      <alignment horizontal="center" wrapText="1"/>
    </xf>
    <xf numFmtId="168" fontId="7" fillId="2" borderId="23" xfId="0" applyNumberFormat="1" applyFont="1" applyFill="1" applyBorder="1" applyAlignment="1">
      <alignment horizontal="center" wrapText="1"/>
    </xf>
    <xf numFmtId="0" fontId="6" fillId="0" borderId="0" xfId="0" applyFont="1" applyBorder="1" applyAlignment="1">
      <alignment horizontal="justify" vertical="center" wrapText="1"/>
    </xf>
    <xf numFmtId="0" fontId="6" fillId="0" borderId="0" xfId="0" applyFont="1" applyBorder="1" applyAlignment="1">
      <alignment horizontal="center" vertical="center" wrapText="1"/>
    </xf>
    <xf numFmtId="0" fontId="11" fillId="13" borderId="9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168" fontId="8" fillId="2" borderId="11" xfId="0" applyNumberFormat="1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2" fontId="24" fillId="0" borderId="63" xfId="0" applyNumberFormat="1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165" fontId="0" fillId="0" borderId="19" xfId="0" applyNumberFormat="1" applyFont="1" applyFill="1" applyBorder="1" applyAlignment="1">
      <alignment horizontal="center" vertical="center"/>
    </xf>
    <xf numFmtId="165" fontId="2" fillId="0" borderId="93" xfId="0" applyNumberFormat="1" applyFont="1" applyFill="1" applyBorder="1" applyAlignment="1">
      <alignment horizontal="center" vertical="center" wrapText="1"/>
    </xf>
    <xf numFmtId="165" fontId="2" fillId="0" borderId="94" xfId="0" applyNumberFormat="1" applyFont="1" applyFill="1" applyBorder="1" applyAlignment="1">
      <alignment horizontal="center" vertical="center" wrapText="1"/>
    </xf>
    <xf numFmtId="165" fontId="2" fillId="0" borderId="95" xfId="0" applyNumberFormat="1" applyFont="1" applyFill="1" applyBorder="1" applyAlignment="1">
      <alignment horizontal="center" vertical="center" wrapText="1"/>
    </xf>
    <xf numFmtId="165" fontId="2" fillId="0" borderId="54" xfId="0" applyNumberFormat="1" applyFont="1" applyFill="1" applyBorder="1" applyAlignment="1">
      <alignment horizontal="center" vertical="center" wrapText="1"/>
    </xf>
    <xf numFmtId="165" fontId="2" fillId="0" borderId="72" xfId="0" applyNumberFormat="1" applyFont="1" applyFill="1" applyBorder="1" applyAlignment="1">
      <alignment horizontal="center" vertical="center" wrapText="1"/>
    </xf>
    <xf numFmtId="165" fontId="2" fillId="0" borderId="55" xfId="0" applyNumberFormat="1" applyFont="1" applyFill="1" applyBorder="1" applyAlignment="1">
      <alignment horizontal="center" vertical="center" wrapText="1"/>
    </xf>
    <xf numFmtId="1" fontId="20" fillId="16" borderId="92" xfId="0" applyNumberFormat="1" applyFont="1" applyFill="1" applyBorder="1" applyAlignment="1">
      <alignment horizontal="center" vertical="center" wrapText="1"/>
    </xf>
    <xf numFmtId="49" fontId="2" fillId="0" borderId="54" xfId="0" applyNumberFormat="1" applyFont="1" applyFill="1" applyBorder="1" applyAlignment="1">
      <alignment horizontal="center" vertical="center" wrapText="1"/>
    </xf>
    <xf numFmtId="49" fontId="2" fillId="0" borderId="72" xfId="0" applyNumberFormat="1" applyFont="1" applyFill="1" applyBorder="1" applyAlignment="1">
      <alignment horizontal="center" vertical="center" wrapText="1"/>
    </xf>
    <xf numFmtId="49" fontId="2" fillId="0" borderId="5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6" fillId="0" borderId="60" xfId="0" applyFont="1" applyBorder="1" applyAlignment="1">
      <alignment wrapText="1"/>
    </xf>
    <xf numFmtId="0" fontId="25" fillId="0" borderId="43" xfId="0" applyFont="1" applyBorder="1" applyAlignment="1">
      <alignment wrapText="1"/>
    </xf>
    <xf numFmtId="10" fontId="7" fillId="5" borderId="40" xfId="1" applyNumberFormat="1" applyFont="1" applyFill="1" applyBorder="1" applyAlignment="1">
      <alignment horizontal="center" vertical="center" wrapText="1"/>
    </xf>
    <xf numFmtId="10" fontId="25" fillId="0" borderId="40" xfId="1" applyNumberFormat="1" applyFont="1" applyBorder="1" applyAlignment="1">
      <alignment horizont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168" fontId="6" fillId="0" borderId="50" xfId="0" applyNumberFormat="1" applyFont="1" applyBorder="1" applyAlignment="1">
      <alignment horizontal="center" vertical="center" wrapText="1"/>
    </xf>
    <xf numFmtId="168" fontId="6" fillId="0" borderId="65" xfId="0" applyNumberFormat="1" applyFont="1" applyBorder="1" applyAlignment="1">
      <alignment horizontal="center" vertical="center" wrapText="1"/>
    </xf>
    <xf numFmtId="168" fontId="6" fillId="0" borderId="55" xfId="0" applyNumberFormat="1" applyFont="1" applyBorder="1" applyAlignment="1">
      <alignment horizontal="center" vertical="center" wrapText="1"/>
    </xf>
    <xf numFmtId="0" fontId="25" fillId="0" borderId="66" xfId="0" applyFont="1" applyFill="1" applyBorder="1" applyAlignment="1">
      <alignment horizontal="center" vertical="center" wrapText="1"/>
    </xf>
    <xf numFmtId="168" fontId="25" fillId="0" borderId="79" xfId="0" applyNumberFormat="1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168" fontId="25" fillId="0" borderId="43" xfId="0" applyNumberFormat="1" applyFont="1" applyFill="1" applyBorder="1" applyAlignment="1">
      <alignment horizontal="center" vertical="center" wrapText="1"/>
    </xf>
    <xf numFmtId="168" fontId="25" fillId="0" borderId="82" xfId="0" applyNumberFormat="1" applyFont="1" applyFill="1" applyBorder="1" applyAlignment="1">
      <alignment horizontal="center" vertical="center" wrapText="1"/>
    </xf>
    <xf numFmtId="10" fontId="6" fillId="5" borderId="24" xfId="0" applyNumberFormat="1" applyFont="1" applyFill="1" applyBorder="1" applyAlignment="1">
      <alignment horizontal="center" vertical="center" wrapText="1"/>
    </xf>
    <xf numFmtId="164" fontId="24" fillId="5" borderId="43" xfId="16" applyFont="1" applyFill="1" applyBorder="1" applyAlignment="1">
      <alignment horizontal="center" vertical="center" wrapText="1"/>
    </xf>
    <xf numFmtId="10" fontId="6" fillId="5" borderId="43" xfId="1" applyNumberFormat="1" applyFont="1" applyFill="1" applyBorder="1" applyAlignment="1" applyProtection="1">
      <alignment horizontal="center" vertical="center" wrapText="1"/>
    </xf>
    <xf numFmtId="10" fontId="6" fillId="5" borderId="43" xfId="1" applyNumberFormat="1" applyFont="1" applyFill="1" applyBorder="1" applyAlignment="1">
      <alignment horizontal="center" vertical="center" wrapText="1"/>
    </xf>
    <xf numFmtId="164" fontId="24" fillId="0" borderId="73" xfId="16" applyFont="1" applyFill="1" applyBorder="1" applyAlignment="1">
      <alignment horizontal="center" vertical="center" wrapText="1"/>
    </xf>
    <xf numFmtId="164" fontId="24" fillId="0" borderId="63" xfId="16" applyFont="1" applyFill="1" applyBorder="1" applyAlignment="1">
      <alignment horizontal="center" vertical="center" wrapText="1"/>
    </xf>
    <xf numFmtId="10" fontId="24" fillId="0" borderId="51" xfId="1" applyNumberFormat="1" applyFont="1" applyBorder="1" applyAlignment="1">
      <alignment horizontal="center" vertical="center"/>
    </xf>
    <xf numFmtId="0" fontId="2" fillId="3" borderId="35" xfId="0" applyNumberFormat="1" applyFont="1" applyFill="1" applyBorder="1" applyAlignment="1">
      <alignment horizontal="center" vertical="center" wrapText="1"/>
    </xf>
    <xf numFmtId="10" fontId="2" fillId="2" borderId="35" xfId="1" applyNumberFormat="1" applyFont="1" applyFill="1" applyBorder="1" applyAlignment="1">
      <alignment horizontal="center" vertical="center" wrapText="1"/>
    </xf>
    <xf numFmtId="168" fontId="2" fillId="0" borderId="35" xfId="0" applyNumberFormat="1" applyFont="1" applyFill="1" applyBorder="1" applyAlignment="1">
      <alignment horizontal="center" vertical="center"/>
    </xf>
    <xf numFmtId="165" fontId="0" fillId="0" borderId="35" xfId="0" applyNumberFormat="1" applyFont="1" applyFill="1" applyBorder="1" applyAlignment="1">
      <alignment horizontal="center" vertical="center"/>
    </xf>
    <xf numFmtId="9" fontId="24" fillId="0" borderId="51" xfId="1" applyFont="1" applyBorder="1" applyAlignment="1">
      <alignment horizontal="center" vertical="center"/>
    </xf>
    <xf numFmtId="168" fontId="6" fillId="10" borderId="44" xfId="0" applyNumberFormat="1" applyFont="1" applyFill="1" applyBorder="1" applyAlignment="1">
      <alignment horizontal="center" vertical="center" wrapText="1"/>
    </xf>
    <xf numFmtId="10" fontId="6" fillId="10" borderId="74" xfId="1" applyNumberFormat="1" applyFont="1" applyFill="1" applyBorder="1" applyAlignment="1" applyProtection="1">
      <alignment horizontal="center" vertical="center" wrapText="1"/>
    </xf>
    <xf numFmtId="168" fontId="6" fillId="2" borderId="54" xfId="0" applyNumberFormat="1" applyFont="1" applyFill="1" applyBorder="1" applyAlignment="1">
      <alignment horizontal="center" vertical="center" wrapText="1"/>
    </xf>
    <xf numFmtId="168" fontId="6" fillId="10" borderId="54" xfId="0" applyNumberFormat="1" applyFont="1" applyFill="1" applyBorder="1" applyAlignment="1">
      <alignment horizontal="center" vertical="center" wrapText="1"/>
    </xf>
    <xf numFmtId="10" fontId="6" fillId="10" borderId="54" xfId="1" applyNumberFormat="1" applyFont="1" applyFill="1" applyBorder="1" applyAlignment="1" applyProtection="1">
      <alignment horizontal="center" vertical="center" wrapText="1"/>
    </xf>
    <xf numFmtId="168" fontId="6" fillId="3" borderId="44" xfId="0" applyNumberFormat="1" applyFont="1" applyFill="1" applyBorder="1" applyAlignment="1">
      <alignment horizontal="center" vertical="center" wrapText="1"/>
    </xf>
    <xf numFmtId="10" fontId="6" fillId="3" borderId="74" xfId="1" applyNumberFormat="1" applyFont="1" applyFill="1" applyBorder="1" applyAlignment="1">
      <alignment horizontal="center" vertical="center" wrapText="1"/>
    </xf>
    <xf numFmtId="168" fontId="6" fillId="3" borderId="54" xfId="0" applyNumberFormat="1" applyFont="1" applyFill="1" applyBorder="1" applyAlignment="1">
      <alignment horizontal="center" vertical="center" wrapText="1"/>
    </xf>
    <xf numFmtId="10" fontId="6" fillId="3" borderId="54" xfId="1" applyNumberFormat="1" applyFont="1" applyFill="1" applyBorder="1" applyAlignment="1">
      <alignment horizontal="center" vertical="center" wrapText="1"/>
    </xf>
    <xf numFmtId="168" fontId="6" fillId="9" borderId="44" xfId="0" applyNumberFormat="1" applyFont="1" applyFill="1" applyBorder="1" applyAlignment="1">
      <alignment horizontal="center" vertical="center" wrapText="1"/>
    </xf>
    <xf numFmtId="10" fontId="6" fillId="9" borderId="74" xfId="1" applyNumberFormat="1" applyFont="1" applyFill="1" applyBorder="1" applyAlignment="1">
      <alignment horizontal="center" vertical="center" wrapText="1"/>
    </xf>
    <xf numFmtId="168" fontId="6" fillId="9" borderId="54" xfId="0" applyNumberFormat="1" applyFont="1" applyFill="1" applyBorder="1" applyAlignment="1">
      <alignment horizontal="center" vertical="center" wrapText="1"/>
    </xf>
    <xf numFmtId="10" fontId="6" fillId="9" borderId="54" xfId="1" applyNumberFormat="1" applyFont="1" applyFill="1" applyBorder="1" applyAlignment="1">
      <alignment horizontal="center" vertical="center" wrapText="1"/>
    </xf>
    <xf numFmtId="168" fontId="6" fillId="11" borderId="44" xfId="0" applyNumberFormat="1" applyFont="1" applyFill="1" applyBorder="1" applyAlignment="1">
      <alignment horizontal="center" vertical="center" wrapText="1"/>
    </xf>
    <xf numFmtId="10" fontId="6" fillId="11" borderId="74" xfId="1" applyNumberFormat="1" applyFont="1" applyFill="1" applyBorder="1" applyAlignment="1">
      <alignment horizontal="center" vertical="center" wrapText="1"/>
    </xf>
    <xf numFmtId="10" fontId="6" fillId="11" borderId="85" xfId="1" applyNumberFormat="1" applyFont="1" applyFill="1" applyBorder="1" applyAlignment="1">
      <alignment horizontal="center" vertical="center" wrapText="1"/>
    </xf>
    <xf numFmtId="168" fontId="6" fillId="11" borderId="54" xfId="0" applyNumberFormat="1" applyFont="1" applyFill="1" applyBorder="1" applyAlignment="1">
      <alignment horizontal="center" vertical="center" wrapText="1"/>
    </xf>
    <xf numFmtId="10" fontId="6" fillId="11" borderId="54" xfId="1" applyNumberFormat="1" applyFont="1" applyFill="1" applyBorder="1" applyAlignment="1">
      <alignment horizontal="center" vertical="center" wrapText="1"/>
    </xf>
    <xf numFmtId="10" fontId="6" fillId="10" borderId="64" xfId="1" applyNumberFormat="1" applyFont="1" applyFill="1" applyBorder="1" applyAlignment="1" applyProtection="1">
      <alignment horizontal="center" vertical="center" wrapText="1"/>
    </xf>
    <xf numFmtId="168" fontId="6" fillId="2" borderId="55" xfId="0" applyNumberFormat="1" applyFont="1" applyFill="1" applyBorder="1" applyAlignment="1">
      <alignment horizontal="center" vertical="center" wrapText="1"/>
    </xf>
    <xf numFmtId="168" fontId="6" fillId="10" borderId="55" xfId="0" applyNumberFormat="1" applyFont="1" applyFill="1" applyBorder="1" applyAlignment="1">
      <alignment horizontal="center" vertical="center" wrapText="1"/>
    </xf>
    <xf numFmtId="10" fontId="6" fillId="10" borderId="55" xfId="1" applyNumberFormat="1" applyFont="1" applyFill="1" applyBorder="1" applyAlignment="1" applyProtection="1">
      <alignment horizontal="center" vertical="center" wrapText="1"/>
    </xf>
    <xf numFmtId="10" fontId="6" fillId="3" borderId="64" xfId="1" applyNumberFormat="1" applyFont="1" applyFill="1" applyBorder="1" applyAlignment="1">
      <alignment horizontal="center" vertical="center" wrapText="1"/>
    </xf>
    <xf numFmtId="168" fontId="6" fillId="3" borderId="55" xfId="0" applyNumberFormat="1" applyFont="1" applyFill="1" applyBorder="1" applyAlignment="1">
      <alignment horizontal="center" vertical="center" wrapText="1"/>
    </xf>
    <xf numFmtId="10" fontId="6" fillId="3" borderId="55" xfId="1" applyNumberFormat="1" applyFont="1" applyFill="1" applyBorder="1" applyAlignment="1">
      <alignment horizontal="center" vertical="center" wrapText="1"/>
    </xf>
    <xf numFmtId="168" fontId="6" fillId="9" borderId="55" xfId="0" applyNumberFormat="1" applyFont="1" applyFill="1" applyBorder="1" applyAlignment="1">
      <alignment horizontal="center" vertical="center" wrapText="1"/>
    </xf>
    <xf numFmtId="10" fontId="6" fillId="9" borderId="55" xfId="1" applyNumberFormat="1" applyFont="1" applyFill="1" applyBorder="1" applyAlignment="1">
      <alignment horizontal="center" vertical="center" wrapText="1"/>
    </xf>
    <xf numFmtId="168" fontId="6" fillId="11" borderId="55" xfId="0" applyNumberFormat="1" applyFont="1" applyFill="1" applyBorder="1" applyAlignment="1">
      <alignment horizontal="center" vertical="center" wrapText="1"/>
    </xf>
    <xf numFmtId="10" fontId="6" fillId="11" borderId="55" xfId="1" applyNumberFormat="1" applyFont="1" applyFill="1" applyBorder="1" applyAlignment="1">
      <alignment horizontal="center" vertical="center" wrapText="1"/>
    </xf>
    <xf numFmtId="10" fontId="6" fillId="5" borderId="24" xfId="1" applyNumberFormat="1" applyFont="1" applyFill="1" applyBorder="1" applyAlignment="1" applyProtection="1">
      <alignment horizontal="center" vertical="center" wrapText="1"/>
    </xf>
    <xf numFmtId="10" fontId="6" fillId="5" borderId="24" xfId="1" applyNumberFormat="1" applyFont="1" applyFill="1" applyBorder="1" applyAlignment="1">
      <alignment horizontal="center" vertical="center" wrapText="1"/>
    </xf>
    <xf numFmtId="10" fontId="6" fillId="5" borderId="25" xfId="1" applyNumberFormat="1" applyFont="1" applyFill="1" applyBorder="1" applyAlignment="1">
      <alignment horizontal="center" vertical="center" wrapText="1"/>
    </xf>
    <xf numFmtId="168" fontId="6" fillId="2" borderId="80" xfId="0" applyNumberFormat="1" applyFont="1" applyFill="1" applyBorder="1" applyAlignment="1">
      <alignment horizontal="center" vertical="center" wrapText="1"/>
    </xf>
    <xf numFmtId="168" fontId="6" fillId="10" borderId="61" xfId="0" applyNumberFormat="1" applyFont="1" applyFill="1" applyBorder="1" applyAlignment="1">
      <alignment horizontal="center" vertical="center" wrapText="1"/>
    </xf>
    <xf numFmtId="10" fontId="6" fillId="10" borderId="61" xfId="1" applyNumberFormat="1" applyFont="1" applyFill="1" applyBorder="1" applyAlignment="1" applyProtection="1">
      <alignment horizontal="center" vertical="center" wrapText="1"/>
    </xf>
    <xf numFmtId="168" fontId="6" fillId="2" borderId="61" xfId="0" applyNumberFormat="1" applyFont="1" applyFill="1" applyBorder="1" applyAlignment="1">
      <alignment horizontal="center" vertical="center" wrapText="1"/>
    </xf>
    <xf numFmtId="168" fontId="6" fillId="3" borderId="61" xfId="0" applyNumberFormat="1" applyFont="1" applyFill="1" applyBorder="1" applyAlignment="1">
      <alignment horizontal="center" vertical="center" wrapText="1"/>
    </xf>
    <xf numFmtId="10" fontId="6" fillId="3" borderId="61" xfId="1" applyNumberFormat="1" applyFont="1" applyFill="1" applyBorder="1" applyAlignment="1">
      <alignment horizontal="center" vertical="center" wrapText="1"/>
    </xf>
    <xf numFmtId="168" fontId="6" fillId="9" borderId="61" xfId="0" applyNumberFormat="1" applyFont="1" applyFill="1" applyBorder="1" applyAlignment="1">
      <alignment horizontal="center" vertical="center" wrapText="1"/>
    </xf>
    <xf numFmtId="10" fontId="6" fillId="9" borderId="61" xfId="1" applyNumberFormat="1" applyFont="1" applyFill="1" applyBorder="1" applyAlignment="1">
      <alignment horizontal="center" vertical="center" wrapText="1"/>
    </xf>
    <xf numFmtId="168" fontId="6" fillId="11" borderId="61" xfId="0" applyNumberFormat="1" applyFont="1" applyFill="1" applyBorder="1" applyAlignment="1">
      <alignment horizontal="center" vertical="center" wrapText="1"/>
    </xf>
    <xf numFmtId="10" fontId="6" fillId="11" borderId="61" xfId="1" applyNumberFormat="1" applyFont="1" applyFill="1" applyBorder="1" applyAlignment="1">
      <alignment horizontal="center" vertical="center" wrapText="1"/>
    </xf>
    <xf numFmtId="10" fontId="6" fillId="11" borderId="57" xfId="1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wrapText="1"/>
    </xf>
    <xf numFmtId="0" fontId="10" fillId="12" borderId="39" xfId="0" applyFont="1" applyFill="1" applyBorder="1" applyAlignment="1">
      <alignment horizontal="center" vertical="center" wrapText="1"/>
    </xf>
    <xf numFmtId="0" fontId="10" fillId="12" borderId="66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6" fillId="0" borderId="43" xfId="0" applyFont="1" applyBorder="1" applyAlignment="1">
      <alignment wrapText="1"/>
    </xf>
    <xf numFmtId="164" fontId="6" fillId="0" borderId="63" xfId="16" applyFont="1" applyFill="1" applyBorder="1" applyAlignment="1">
      <alignment horizontal="center" vertical="center" wrapText="1"/>
    </xf>
    <xf numFmtId="10" fontId="6" fillId="0" borderId="51" xfId="1" applyNumberFormat="1" applyFont="1" applyBorder="1" applyAlignment="1">
      <alignment horizontal="center" vertical="center"/>
    </xf>
    <xf numFmtId="0" fontId="11" fillId="13" borderId="96" xfId="0" applyFont="1" applyFill="1" applyBorder="1" applyAlignment="1">
      <alignment horizontal="center" vertical="center" wrapText="1"/>
    </xf>
    <xf numFmtId="0" fontId="11" fillId="13" borderId="86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49" fontId="11" fillId="0" borderId="39" xfId="0" applyNumberFormat="1" applyFont="1" applyFill="1" applyBorder="1" applyAlignment="1">
      <alignment horizontal="center" vertical="center" wrapText="1"/>
    </xf>
    <xf numFmtId="49" fontId="11" fillId="0" borderId="82" xfId="0" applyNumberFormat="1" applyFont="1" applyFill="1" applyBorder="1" applyAlignment="1">
      <alignment horizontal="center" vertical="center" wrapText="1"/>
    </xf>
    <xf numFmtId="49" fontId="11" fillId="0" borderId="28" xfId="0" applyNumberFormat="1" applyFont="1" applyFill="1" applyBorder="1" applyAlignment="1">
      <alignment horizontal="center" vertical="center" wrapText="1"/>
    </xf>
    <xf numFmtId="49" fontId="11" fillId="0" borderId="83" xfId="0" applyNumberFormat="1" applyFont="1" applyFill="1" applyBorder="1" applyAlignment="1">
      <alignment horizontal="center" vertical="center" wrapText="1"/>
    </xf>
    <xf numFmtId="49" fontId="11" fillId="0" borderId="31" xfId="0" applyNumberFormat="1" applyFont="1" applyFill="1" applyBorder="1" applyAlignment="1">
      <alignment horizontal="center" vertical="center" wrapText="1"/>
    </xf>
    <xf numFmtId="49" fontId="11" fillId="0" borderId="38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8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13" borderId="23" xfId="0" applyFont="1" applyFill="1" applyBorder="1" applyAlignment="1">
      <alignment horizontal="center" vertical="center" wrapText="1"/>
    </xf>
    <xf numFmtId="0" fontId="11" fillId="15" borderId="66" xfId="0" applyFont="1" applyFill="1" applyBorder="1" applyAlignment="1">
      <alignment horizontal="center" vertical="center" wrapText="1"/>
    </xf>
    <xf numFmtId="0" fontId="11" fillId="15" borderId="67" xfId="0" applyNumberFormat="1" applyFont="1" applyFill="1" applyBorder="1" applyAlignment="1">
      <alignment horizontal="center" vertical="center" wrapText="1"/>
    </xf>
    <xf numFmtId="0" fontId="11" fillId="15" borderId="87" xfId="0" applyFont="1" applyFill="1" applyBorder="1" applyAlignment="1">
      <alignment horizontal="center" vertical="center" wrapText="1"/>
    </xf>
    <xf numFmtId="0" fontId="11" fillId="15" borderId="67" xfId="0" applyFont="1" applyFill="1" applyBorder="1" applyAlignment="1">
      <alignment horizontal="center" vertical="center" wrapText="1"/>
    </xf>
    <xf numFmtId="0" fontId="10" fillId="14" borderId="67" xfId="0" applyFont="1" applyFill="1" applyBorder="1" applyAlignment="1">
      <alignment horizontal="center" vertical="center" wrapText="1"/>
    </xf>
    <xf numFmtId="0" fontId="11" fillId="15" borderId="88" xfId="0" applyFont="1" applyFill="1" applyBorder="1" applyAlignment="1">
      <alignment horizontal="center" vertical="center" wrapText="1"/>
    </xf>
    <xf numFmtId="0" fontId="11" fillId="15" borderId="29" xfId="0" applyFont="1" applyFill="1" applyBorder="1" applyAlignment="1">
      <alignment horizontal="center" vertical="center" wrapText="1"/>
    </xf>
    <xf numFmtId="0" fontId="11" fillId="15" borderId="80" xfId="0" applyFont="1" applyFill="1" applyBorder="1" applyAlignment="1">
      <alignment horizontal="center" vertical="center" wrapText="1"/>
    </xf>
    <xf numFmtId="0" fontId="11" fillId="14" borderId="67" xfId="0" applyFont="1" applyFill="1" applyBorder="1" applyAlignment="1">
      <alignment horizontal="center" vertical="center" wrapText="1"/>
    </xf>
    <xf numFmtId="0" fontId="11" fillId="13" borderId="37" xfId="0" applyFont="1" applyFill="1" applyBorder="1" applyAlignment="1">
      <alignment horizontal="center" vertical="center" wrapText="1"/>
    </xf>
    <xf numFmtId="0" fontId="11" fillId="13" borderId="66" xfId="0" applyFont="1" applyFill="1" applyBorder="1" applyAlignment="1">
      <alignment horizontal="center" vertical="center" wrapText="1"/>
    </xf>
    <xf numFmtId="0" fontId="11" fillId="13" borderId="39" xfId="0" applyFont="1" applyFill="1" applyBorder="1" applyAlignment="1">
      <alignment horizontal="center" vertical="center" wrapText="1"/>
    </xf>
    <xf numFmtId="0" fontId="11" fillId="15" borderId="26" xfId="0" applyFont="1" applyFill="1" applyBorder="1" applyAlignment="1">
      <alignment horizontal="center" vertical="center" wrapText="1"/>
    </xf>
    <xf numFmtId="49" fontId="11" fillId="0" borderId="27" xfId="0" applyNumberFormat="1" applyFont="1" applyFill="1" applyBorder="1" applyAlignment="1">
      <alignment horizontal="center" vertical="center" wrapText="1"/>
    </xf>
    <xf numFmtId="0" fontId="11" fillId="17" borderId="28" xfId="0" applyNumberFormat="1" applyFont="1" applyFill="1" applyBorder="1" applyAlignment="1">
      <alignment horizontal="center" vertical="center" wrapText="1"/>
    </xf>
    <xf numFmtId="0" fontId="11" fillId="14" borderId="29" xfId="0" applyFont="1" applyFill="1" applyBorder="1" applyAlignment="1">
      <alignment horizontal="center" vertical="center" wrapText="1"/>
    </xf>
    <xf numFmtId="49" fontId="11" fillId="0" borderId="85" xfId="0" applyNumberFormat="1" applyFont="1" applyFill="1" applyBorder="1" applyAlignment="1">
      <alignment horizontal="center" vertical="center" wrapText="1"/>
    </xf>
    <xf numFmtId="0" fontId="11" fillId="13" borderId="90" xfId="0" applyFont="1" applyFill="1" applyBorder="1" applyAlignment="1">
      <alignment horizontal="center" vertical="center" wrapText="1"/>
    </xf>
    <xf numFmtId="0" fontId="10" fillId="14" borderId="67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left" vertical="center"/>
    </xf>
    <xf numFmtId="0" fontId="27" fillId="0" borderId="16" xfId="0" applyFont="1" applyFill="1" applyBorder="1" applyAlignment="1">
      <alignment horizontal="justify" vertical="center"/>
    </xf>
    <xf numFmtId="49" fontId="31" fillId="0" borderId="16" xfId="0" applyNumberFormat="1" applyFont="1" applyFill="1" applyBorder="1" applyProtection="1"/>
    <xf numFmtId="0" fontId="31" fillId="0" borderId="16" xfId="0" applyFont="1" applyFill="1" applyBorder="1" applyProtection="1"/>
    <xf numFmtId="0" fontId="31" fillId="0" borderId="16" xfId="0" applyNumberFormat="1" applyFont="1" applyFill="1" applyBorder="1" applyAlignment="1" applyProtection="1">
      <alignment horizontal="left"/>
    </xf>
    <xf numFmtId="49" fontId="31" fillId="0" borderId="16" xfId="0" applyNumberFormat="1" applyFont="1" applyFill="1" applyBorder="1" applyAlignment="1" applyProtection="1">
      <alignment horizontal="left" vertical="center"/>
    </xf>
    <xf numFmtId="170" fontId="31" fillId="0" borderId="16" xfId="0" applyNumberFormat="1" applyFont="1" applyFill="1" applyBorder="1" applyAlignment="1" applyProtection="1">
      <alignment horizontal="right" vertical="center"/>
    </xf>
    <xf numFmtId="170" fontId="31" fillId="0" borderId="16" xfId="0" applyNumberFormat="1" applyFont="1" applyFill="1" applyBorder="1" applyAlignment="1" applyProtection="1">
      <alignment horizontal="left" vertical="center"/>
    </xf>
    <xf numFmtId="169" fontId="31" fillId="0" borderId="16" xfId="0" applyNumberFormat="1" applyFont="1" applyFill="1" applyBorder="1" applyAlignment="1" applyProtection="1">
      <alignment horizontal="left" vertical="center"/>
    </xf>
    <xf numFmtId="0" fontId="27" fillId="0" borderId="16" xfId="0" applyNumberFormat="1" applyFont="1" applyFill="1" applyBorder="1" applyAlignment="1">
      <alignment horizontal="left" vertical="center" wrapText="1"/>
    </xf>
    <xf numFmtId="0" fontId="27" fillId="0" borderId="16" xfId="0" applyFont="1" applyFill="1" applyBorder="1" applyAlignment="1">
      <alignment horizontal="left" vertical="center" wrapText="1"/>
    </xf>
    <xf numFmtId="168" fontId="27" fillId="0" borderId="16" xfId="0" applyNumberFormat="1" applyFont="1" applyFill="1" applyBorder="1" applyAlignment="1">
      <alignment horizontal="left" vertical="center" wrapText="1"/>
    </xf>
    <xf numFmtId="166" fontId="27" fillId="0" borderId="16" xfId="0" applyNumberFormat="1" applyFont="1" applyFill="1" applyBorder="1" applyAlignment="1">
      <alignment horizontal="left" vertical="center" wrapText="1"/>
    </xf>
    <xf numFmtId="169" fontId="27" fillId="0" borderId="16" xfId="0" applyNumberFormat="1" applyFont="1" applyFill="1" applyBorder="1" applyAlignment="1" applyProtection="1">
      <alignment horizontal="left" vertical="center"/>
    </xf>
    <xf numFmtId="49" fontId="27" fillId="0" borderId="16" xfId="18" applyNumberFormat="1" applyFont="1" applyFill="1" applyBorder="1" applyAlignment="1" applyProtection="1">
      <alignment horizontal="left" vertical="center"/>
    </xf>
    <xf numFmtId="49" fontId="27" fillId="0" borderId="16" xfId="0" applyNumberFormat="1" applyFont="1" applyFill="1" applyBorder="1" applyAlignment="1" applyProtection="1">
      <alignment horizontal="left" vertical="center"/>
    </xf>
    <xf numFmtId="170" fontId="27" fillId="0" borderId="16" xfId="0" applyNumberFormat="1" applyFont="1" applyFill="1" applyBorder="1" applyAlignment="1" applyProtection="1">
      <alignment horizontal="right" vertical="center"/>
    </xf>
    <xf numFmtId="170" fontId="27" fillId="0" borderId="16" xfId="0" applyNumberFormat="1" applyFont="1" applyFill="1" applyBorder="1" applyAlignment="1" applyProtection="1">
      <alignment horizontal="left" vertical="center"/>
    </xf>
    <xf numFmtId="0" fontId="27" fillId="0" borderId="16" xfId="0" applyFont="1" applyFill="1" applyBorder="1" applyAlignment="1" applyProtection="1">
      <alignment horizontal="left" vertical="center"/>
    </xf>
    <xf numFmtId="1" fontId="27" fillId="0" borderId="16" xfId="0" applyNumberFormat="1" applyFont="1" applyFill="1" applyBorder="1" applyAlignment="1" applyProtection="1">
      <alignment horizontal="left" vertical="center"/>
    </xf>
    <xf numFmtId="0" fontId="27" fillId="0" borderId="16" xfId="0" applyFont="1" applyFill="1" applyBorder="1" applyAlignment="1" applyProtection="1">
      <alignment horizontal="left" vertical="center" wrapText="1"/>
    </xf>
    <xf numFmtId="49" fontId="27" fillId="0" borderId="16" xfId="0" applyNumberFormat="1" applyFont="1" applyFill="1" applyBorder="1" applyAlignment="1" applyProtection="1">
      <alignment horizontal="left" vertical="center" wrapText="1"/>
    </xf>
    <xf numFmtId="49" fontId="27" fillId="0" borderId="16" xfId="0" applyNumberFormat="1" applyFont="1" applyFill="1" applyBorder="1" applyAlignment="1">
      <alignment horizontal="left" vertical="center" wrapText="1"/>
    </xf>
    <xf numFmtId="1" fontId="27" fillId="0" borderId="16" xfId="0" applyNumberFormat="1" applyFont="1" applyFill="1" applyBorder="1" applyAlignment="1" applyProtection="1">
      <alignment horizontal="left" vertical="center" wrapText="1"/>
    </xf>
    <xf numFmtId="49" fontId="27" fillId="0" borderId="16" xfId="18" applyNumberFormat="1" applyFont="1" applyFill="1" applyBorder="1" applyAlignment="1" applyProtection="1">
      <alignment horizontal="left" vertical="center" wrapText="1"/>
    </xf>
    <xf numFmtId="4" fontId="27" fillId="0" borderId="16" xfId="0" applyNumberFormat="1" applyFont="1" applyFill="1" applyBorder="1" applyAlignment="1" applyProtection="1">
      <alignment horizontal="left" vertical="center"/>
    </xf>
    <xf numFmtId="4" fontId="27" fillId="0" borderId="16" xfId="0" applyNumberFormat="1" applyFont="1" applyFill="1" applyBorder="1" applyAlignment="1">
      <alignment horizontal="left" vertical="center"/>
    </xf>
    <xf numFmtId="2" fontId="27" fillId="0" borderId="16" xfId="0" applyNumberFormat="1" applyFont="1" applyFill="1" applyBorder="1" applyAlignment="1">
      <alignment horizontal="right" vertical="center"/>
    </xf>
    <xf numFmtId="0" fontId="29" fillId="0" borderId="16" xfId="0" applyFont="1" applyFill="1" applyBorder="1" applyAlignment="1">
      <alignment horizontal="left" vertical="center"/>
    </xf>
    <xf numFmtId="0" fontId="30" fillId="0" borderId="16" xfId="0" applyFont="1" applyFill="1" applyBorder="1" applyAlignment="1">
      <alignment horizontal="left" vertical="center"/>
    </xf>
    <xf numFmtId="49" fontId="28" fillId="0" borderId="16" xfId="0" applyNumberFormat="1" applyFont="1" applyFill="1" applyBorder="1" applyAlignment="1" applyProtection="1">
      <alignment horizontal="left" vertical="center"/>
    </xf>
    <xf numFmtId="0" fontId="27" fillId="0" borderId="16" xfId="0" applyFont="1" applyFill="1" applyBorder="1" applyAlignment="1">
      <alignment horizontal="justify" vertical="center" wrapText="1"/>
    </xf>
    <xf numFmtId="170" fontId="31" fillId="0" borderId="16" xfId="0" applyNumberFormat="1" applyFont="1" applyFill="1" applyBorder="1" applyAlignment="1" applyProtection="1">
      <alignment horizontal="justify" vertical="center"/>
    </xf>
    <xf numFmtId="43" fontId="27" fillId="0" borderId="16" xfId="5" applyFont="1" applyFill="1" applyBorder="1" applyAlignment="1">
      <alignment horizontal="left" vertical="center"/>
    </xf>
    <xf numFmtId="0" fontId="8" fillId="2" borderId="35" xfId="0" applyNumberFormat="1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left" vertical="center" wrapText="1"/>
    </xf>
    <xf numFmtId="49" fontId="33" fillId="0" borderId="16" xfId="0" applyNumberFormat="1" applyFont="1" applyFill="1" applyBorder="1" applyAlignment="1">
      <alignment horizontal="left" vertical="center" wrapText="1"/>
    </xf>
    <xf numFmtId="170" fontId="33" fillId="0" borderId="16" xfId="0" applyNumberFormat="1" applyFont="1" applyFill="1" applyBorder="1" applyAlignment="1" applyProtection="1">
      <alignment horizontal="left" vertical="center"/>
    </xf>
    <xf numFmtId="0" fontId="33" fillId="0" borderId="16" xfId="0" applyFont="1" applyFill="1" applyBorder="1" applyAlignment="1">
      <alignment horizontal="left" vertical="center"/>
    </xf>
    <xf numFmtId="49" fontId="33" fillId="0" borderId="16" xfId="0" applyNumberFormat="1" applyFont="1" applyFill="1" applyBorder="1" applyAlignment="1">
      <alignment horizontal="left" vertical="center"/>
    </xf>
    <xf numFmtId="0" fontId="34" fillId="0" borderId="0" xfId="0" applyFont="1"/>
    <xf numFmtId="49" fontId="31" fillId="0" borderId="16" xfId="0" applyNumberFormat="1" applyFont="1" applyBorder="1"/>
    <xf numFmtId="0" fontId="31" fillId="0" borderId="16" xfId="0" applyFont="1" applyBorder="1"/>
    <xf numFmtId="0" fontId="31" fillId="0" borderId="16" xfId="2" applyFont="1" applyFill="1" applyBorder="1" applyAlignment="1">
      <alignment horizontal="center" vertical="center" wrapText="1" shrinkToFit="1"/>
    </xf>
    <xf numFmtId="0" fontId="35" fillId="0" borderId="16" xfId="0" applyFont="1" applyBorder="1" applyAlignment="1">
      <alignment vertical="center" wrapText="1"/>
    </xf>
    <xf numFmtId="0" fontId="35" fillId="0" borderId="16" xfId="0" applyFont="1" applyBorder="1" applyAlignment="1">
      <alignment horizontal="center" vertical="center" wrapText="1"/>
    </xf>
    <xf numFmtId="0" fontId="12" fillId="0" borderId="16" xfId="0" applyFont="1" applyBorder="1" applyAlignment="1">
      <alignment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49" fontId="38" fillId="2" borderId="16" xfId="0" applyNumberFormat="1" applyFont="1" applyFill="1" applyBorder="1" applyAlignment="1">
      <alignment horizontal="center" vertical="center" wrapText="1"/>
    </xf>
    <xf numFmtId="49" fontId="38" fillId="17" borderId="16" xfId="0" applyNumberFormat="1" applyFont="1" applyFill="1" applyBorder="1" applyAlignment="1">
      <alignment horizontal="center" vertical="center" wrapText="1"/>
    </xf>
    <xf numFmtId="49" fontId="39" fillId="2" borderId="16" xfId="0" applyNumberFormat="1" applyFont="1" applyFill="1" applyBorder="1" applyAlignment="1">
      <alignment horizontal="center" vertical="center" wrapText="1"/>
    </xf>
    <xf numFmtId="49" fontId="40" fillId="16" borderId="16" xfId="0" applyNumberFormat="1" applyFont="1" applyFill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1" fontId="37" fillId="16" borderId="16" xfId="0" applyNumberFormat="1" applyFont="1" applyFill="1" applyBorder="1" applyAlignment="1">
      <alignment horizontal="center" vertical="center" wrapText="1"/>
    </xf>
    <xf numFmtId="0" fontId="42" fillId="0" borderId="16" xfId="0" applyFont="1" applyBorder="1"/>
    <xf numFmtId="0" fontId="42" fillId="0" borderId="16" xfId="0" applyFont="1" applyBorder="1" applyAlignment="1">
      <alignment wrapText="1"/>
    </xf>
    <xf numFmtId="0" fontId="31" fillId="0" borderId="16" xfId="0" applyFont="1" applyFill="1" applyBorder="1" applyAlignment="1" applyProtection="1">
      <alignment wrapText="1"/>
    </xf>
    <xf numFmtId="0" fontId="42" fillId="0" borderId="16" xfId="0" applyFont="1" applyBorder="1" applyAlignment="1">
      <alignment horizontal="center"/>
    </xf>
    <xf numFmtId="49" fontId="31" fillId="0" borderId="16" xfId="18" applyNumberFormat="1" applyFont="1" applyBorder="1" applyProtection="1"/>
    <xf numFmtId="0" fontId="31" fillId="0" borderId="16" xfId="0" applyFont="1" applyFill="1" applyBorder="1" applyAlignment="1" applyProtection="1">
      <alignment vertical="center"/>
    </xf>
    <xf numFmtId="0" fontId="43" fillId="0" borderId="16" xfId="0" applyFont="1" applyFill="1" applyBorder="1" applyProtection="1"/>
    <xf numFmtId="0" fontId="2" fillId="0" borderId="0" xfId="0" applyFont="1" applyAlignment="1">
      <alignment horizontal="center" vertical="center"/>
    </xf>
    <xf numFmtId="0" fontId="44" fillId="0" borderId="0" xfId="0" applyFont="1"/>
    <xf numFmtId="0" fontId="1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45" fillId="0" borderId="16" xfId="0" applyFont="1" applyFill="1" applyBorder="1" applyAlignment="1">
      <alignment horizontal="left" vertical="center" wrapText="1"/>
    </xf>
    <xf numFmtId="49" fontId="45" fillId="0" borderId="16" xfId="0" applyNumberFormat="1" applyFont="1" applyFill="1" applyBorder="1" applyAlignment="1">
      <alignment horizontal="left" vertical="center" wrapText="1"/>
    </xf>
    <xf numFmtId="170" fontId="45" fillId="0" borderId="16" xfId="0" applyNumberFormat="1" applyFont="1" applyFill="1" applyBorder="1" applyAlignment="1" applyProtection="1">
      <alignment horizontal="left" vertical="center"/>
    </xf>
    <xf numFmtId="0" fontId="45" fillId="0" borderId="16" xfId="0" applyFont="1" applyFill="1" applyBorder="1" applyAlignment="1">
      <alignment horizontal="left" vertical="center"/>
    </xf>
    <xf numFmtId="49" fontId="45" fillId="0" borderId="16" xfId="0" applyNumberFormat="1" applyFont="1" applyFill="1" applyBorder="1" applyAlignment="1">
      <alignment horizontal="left" vertical="center"/>
    </xf>
    <xf numFmtId="0" fontId="33" fillId="0" borderId="16" xfId="0" applyNumberFormat="1" applyFont="1" applyFill="1" applyBorder="1" applyAlignment="1" applyProtection="1">
      <alignment horizontal="left" vertical="center" wrapText="1"/>
    </xf>
    <xf numFmtId="0" fontId="33" fillId="0" borderId="16" xfId="0" applyNumberFormat="1" applyFont="1" applyFill="1" applyBorder="1" applyAlignment="1">
      <alignment horizontal="left" vertical="center" wrapText="1"/>
    </xf>
    <xf numFmtId="0" fontId="8" fillId="0" borderId="35" xfId="0" applyNumberFormat="1" applyFont="1" applyFill="1" applyBorder="1" applyAlignment="1">
      <alignment horizontal="center" vertical="center"/>
    </xf>
    <xf numFmtId="2" fontId="2" fillId="0" borderId="35" xfId="0" applyNumberFormat="1" applyFont="1" applyFill="1" applyBorder="1" applyAlignment="1">
      <alignment horizontal="center" vertical="center" wrapText="1"/>
    </xf>
    <xf numFmtId="10" fontId="2" fillId="0" borderId="35" xfId="1" applyNumberFormat="1" applyFont="1" applyFill="1" applyBorder="1" applyAlignment="1">
      <alignment horizontal="center" vertical="center" wrapText="1"/>
    </xf>
    <xf numFmtId="1" fontId="20" fillId="0" borderId="92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33" fillId="0" borderId="74" xfId="0" applyFont="1" applyFill="1" applyBorder="1" applyAlignment="1">
      <alignment horizontal="left" vertical="center"/>
    </xf>
    <xf numFmtId="1" fontId="37" fillId="16" borderId="97" xfId="0" applyNumberFormat="1" applyFont="1" applyFill="1" applyBorder="1" applyAlignment="1">
      <alignment horizontal="center" vertical="center" wrapText="1"/>
    </xf>
    <xf numFmtId="0" fontId="1" fillId="17" borderId="0" xfId="0" applyFont="1" applyFill="1" applyAlignment="1">
      <alignment vertical="center" wrapText="1"/>
    </xf>
    <xf numFmtId="0" fontId="1" fillId="17" borderId="0" xfId="0" applyFont="1" applyFill="1" applyAlignment="1">
      <alignment horizontal="center" vertical="center" wrapText="1"/>
    </xf>
    <xf numFmtId="0" fontId="0" fillId="17" borderId="0" xfId="0" applyFill="1"/>
    <xf numFmtId="0" fontId="2" fillId="17" borderId="6" xfId="0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/>
    </xf>
    <xf numFmtId="49" fontId="21" fillId="17" borderId="8" xfId="0" applyNumberFormat="1" applyFont="1" applyFill="1" applyBorder="1" applyAlignment="1">
      <alignment horizontal="center" vertical="center" wrapText="1"/>
    </xf>
    <xf numFmtId="14" fontId="2" fillId="17" borderId="35" xfId="0" applyNumberFormat="1" applyFont="1" applyFill="1" applyBorder="1" applyAlignment="1">
      <alignment horizontal="center" vertical="center" wrapText="1"/>
    </xf>
    <xf numFmtId="166" fontId="2" fillId="17" borderId="35" xfId="0" applyNumberFormat="1" applyFont="1" applyFill="1" applyBorder="1" applyAlignment="1">
      <alignment horizontal="center" vertical="center" wrapText="1"/>
    </xf>
    <xf numFmtId="168" fontId="8" fillId="17" borderId="11" xfId="0" applyNumberFormat="1" applyFont="1" applyFill="1" applyBorder="1" applyAlignment="1">
      <alignment horizontal="center" vertical="center" wrapText="1"/>
    </xf>
    <xf numFmtId="3" fontId="2" fillId="17" borderId="35" xfId="0" applyNumberFormat="1" applyFont="1" applyFill="1" applyBorder="1" applyAlignment="1">
      <alignment horizontal="center" vertical="center" wrapText="1"/>
    </xf>
    <xf numFmtId="49" fontId="2" fillId="17" borderId="35" xfId="0" applyNumberFormat="1" applyFont="1" applyFill="1" applyBorder="1" applyAlignment="1">
      <alignment horizontal="center" vertical="center" wrapText="1"/>
    </xf>
    <xf numFmtId="0" fontId="2" fillId="17" borderId="35" xfId="0" applyNumberFormat="1" applyFont="1" applyFill="1" applyBorder="1" applyAlignment="1">
      <alignment horizontal="center" vertical="center" wrapText="1"/>
    </xf>
    <xf numFmtId="168" fontId="2" fillId="17" borderId="35" xfId="0" applyNumberFormat="1" applyFont="1" applyFill="1" applyBorder="1" applyAlignment="1">
      <alignment horizontal="center" vertical="center" wrapText="1"/>
    </xf>
    <xf numFmtId="0" fontId="34" fillId="17" borderId="0" xfId="0" applyFont="1" applyFill="1"/>
    <xf numFmtId="14" fontId="2" fillId="17" borderId="0" xfId="0" applyNumberFormat="1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32" fillId="0" borderId="0" xfId="19"/>
    <xf numFmtId="4" fontId="34" fillId="0" borderId="0" xfId="0" applyNumberFormat="1" applyFont="1"/>
    <xf numFmtId="3" fontId="34" fillId="0" borderId="0" xfId="0" applyNumberFormat="1" applyFont="1"/>
    <xf numFmtId="14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3" fontId="34" fillId="17" borderId="0" xfId="0" applyNumberFormat="1" applyFont="1" applyFill="1" applyAlignment="1">
      <alignment horizontal="center" vertical="center"/>
    </xf>
    <xf numFmtId="0" fontId="34" fillId="17" borderId="0" xfId="0" applyFont="1" applyFill="1" applyAlignment="1">
      <alignment horizontal="center" vertical="center"/>
    </xf>
    <xf numFmtId="0" fontId="34" fillId="17" borderId="0" xfId="0" applyFont="1" applyFill="1" applyAlignment="1">
      <alignment horizontal="center" vertical="center" wrapText="1"/>
    </xf>
    <xf numFmtId="14" fontId="34" fillId="17" borderId="0" xfId="0" applyNumberFormat="1" applyFont="1" applyFill="1" applyAlignment="1">
      <alignment horizontal="center" vertical="center"/>
    </xf>
    <xf numFmtId="0" fontId="8" fillId="17" borderId="35" xfId="0" applyNumberFormat="1" applyFont="1" applyFill="1" applyBorder="1" applyAlignment="1">
      <alignment horizontal="center" vertical="center"/>
    </xf>
    <xf numFmtId="0" fontId="2" fillId="17" borderId="35" xfId="0" applyFont="1" applyFill="1" applyBorder="1" applyAlignment="1">
      <alignment horizontal="center" vertical="center" wrapText="1"/>
    </xf>
    <xf numFmtId="2" fontId="2" fillId="17" borderId="35" xfId="0" applyNumberFormat="1" applyFont="1" applyFill="1" applyBorder="1" applyAlignment="1">
      <alignment horizontal="center" vertical="center" wrapText="1"/>
    </xf>
    <xf numFmtId="10" fontId="2" fillId="17" borderId="35" xfId="1" applyNumberFormat="1" applyFont="1" applyFill="1" applyBorder="1" applyAlignment="1">
      <alignment horizontal="center" vertical="center" wrapText="1"/>
    </xf>
    <xf numFmtId="168" fontId="2" fillId="17" borderId="35" xfId="0" applyNumberFormat="1" applyFont="1" applyFill="1" applyBorder="1" applyAlignment="1">
      <alignment horizontal="center" vertical="center"/>
    </xf>
    <xf numFmtId="165" fontId="0" fillId="17" borderId="35" xfId="0" applyNumberFormat="1" applyFont="1" applyFill="1" applyBorder="1" applyAlignment="1">
      <alignment horizontal="center" vertical="center"/>
    </xf>
    <xf numFmtId="165" fontId="2" fillId="17" borderId="72" xfId="0" applyNumberFormat="1" applyFont="1" applyFill="1" applyBorder="1" applyAlignment="1">
      <alignment horizontal="center" vertical="center" wrapText="1"/>
    </xf>
    <xf numFmtId="49" fontId="2" fillId="17" borderId="72" xfId="0" applyNumberFormat="1" applyFont="1" applyFill="1" applyBorder="1" applyAlignment="1">
      <alignment horizontal="center" vertical="center" wrapText="1"/>
    </xf>
    <xf numFmtId="1" fontId="20" fillId="17" borderId="92" xfId="0" applyNumberFormat="1" applyFont="1" applyFill="1" applyBorder="1" applyAlignment="1">
      <alignment horizontal="center" vertical="center" wrapText="1"/>
    </xf>
    <xf numFmtId="0" fontId="47" fillId="17" borderId="0" xfId="0" applyFont="1" applyFill="1" applyAlignment="1">
      <alignment horizontal="center" vertical="center"/>
    </xf>
    <xf numFmtId="0" fontId="2" fillId="2" borderId="98" xfId="0" applyNumberFormat="1" applyFont="1" applyFill="1" applyBorder="1" applyAlignment="1">
      <alignment horizontal="center" vertical="center" wrapText="1"/>
    </xf>
    <xf numFmtId="0" fontId="8" fillId="2" borderId="98" xfId="0" applyNumberFormat="1" applyFont="1" applyFill="1" applyBorder="1" applyAlignment="1">
      <alignment horizontal="center" vertical="center"/>
    </xf>
    <xf numFmtId="0" fontId="2" fillId="3" borderId="98" xfId="0" applyNumberFormat="1" applyFont="1" applyFill="1" applyBorder="1" applyAlignment="1">
      <alignment horizontal="center" vertical="center" wrapText="1"/>
    </xf>
    <xf numFmtId="0" fontId="2" fillId="0" borderId="98" xfId="0" applyNumberFormat="1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2" fontId="2" fillId="2" borderId="98" xfId="0" applyNumberFormat="1" applyFont="1" applyFill="1" applyBorder="1" applyAlignment="1">
      <alignment horizontal="center" vertical="center" wrapText="1"/>
    </xf>
    <xf numFmtId="14" fontId="2" fillId="0" borderId="98" xfId="0" applyNumberFormat="1" applyFont="1" applyFill="1" applyBorder="1" applyAlignment="1">
      <alignment horizontal="center" vertical="center" wrapText="1"/>
    </xf>
    <xf numFmtId="166" fontId="2" fillId="2" borderId="98" xfId="0" applyNumberFormat="1" applyFont="1" applyFill="1" applyBorder="1" applyAlignment="1">
      <alignment horizontal="center" vertical="center" wrapText="1"/>
    </xf>
    <xf numFmtId="166" fontId="2" fillId="0" borderId="98" xfId="0" applyNumberFormat="1" applyFont="1" applyFill="1" applyBorder="1" applyAlignment="1">
      <alignment horizontal="center" vertical="center" wrapText="1"/>
    </xf>
    <xf numFmtId="14" fontId="2" fillId="17" borderId="98" xfId="0" applyNumberFormat="1" applyFont="1" applyFill="1" applyBorder="1" applyAlignment="1">
      <alignment horizontal="center" vertical="center" wrapText="1"/>
    </xf>
    <xf numFmtId="168" fontId="2" fillId="2" borderId="98" xfId="0" applyNumberFormat="1" applyFont="1" applyFill="1" applyBorder="1" applyAlignment="1">
      <alignment horizontal="center" vertical="center" wrapText="1"/>
    </xf>
    <xf numFmtId="3" fontId="2" fillId="17" borderId="98" xfId="0" applyNumberFormat="1" applyFont="1" applyFill="1" applyBorder="1" applyAlignment="1">
      <alignment horizontal="center" vertical="center" wrapText="1"/>
    </xf>
    <xf numFmtId="49" fontId="2" fillId="17" borderId="98" xfId="0" applyNumberFormat="1" applyFont="1" applyFill="1" applyBorder="1" applyAlignment="1">
      <alignment horizontal="center" vertical="center" wrapText="1"/>
    </xf>
    <xf numFmtId="0" fontId="2" fillId="17" borderId="98" xfId="0" applyNumberFormat="1" applyFont="1" applyFill="1" applyBorder="1" applyAlignment="1">
      <alignment horizontal="center" vertical="center" wrapText="1"/>
    </xf>
    <xf numFmtId="168" fontId="2" fillId="0" borderId="98" xfId="0" applyNumberFormat="1" applyFont="1" applyFill="1" applyBorder="1" applyAlignment="1">
      <alignment horizontal="center" vertical="center" wrapText="1"/>
    </xf>
    <xf numFmtId="49" fontId="2" fillId="0" borderId="98" xfId="0" applyNumberFormat="1" applyFont="1" applyFill="1" applyBorder="1" applyAlignment="1">
      <alignment horizontal="center" vertical="center" wrapText="1"/>
    </xf>
    <xf numFmtId="168" fontId="2" fillId="17" borderId="98" xfId="0" applyNumberFormat="1" applyFont="1" applyFill="1" applyBorder="1" applyAlignment="1">
      <alignment horizontal="center" vertical="center" wrapText="1"/>
    </xf>
    <xf numFmtId="10" fontId="2" fillId="2" borderId="98" xfId="1" applyNumberFormat="1" applyFont="1" applyFill="1" applyBorder="1" applyAlignment="1">
      <alignment horizontal="center" vertical="center" wrapText="1"/>
    </xf>
    <xf numFmtId="168" fontId="2" fillId="0" borderId="98" xfId="0" applyNumberFormat="1" applyFont="1" applyFill="1" applyBorder="1" applyAlignment="1">
      <alignment horizontal="center" vertical="center"/>
    </xf>
    <xf numFmtId="165" fontId="0" fillId="0" borderId="98" xfId="0" applyNumberFormat="1" applyFont="1" applyFill="1" applyBorder="1" applyAlignment="1">
      <alignment horizontal="center" vertical="center"/>
    </xf>
    <xf numFmtId="165" fontId="2" fillId="0" borderId="99" xfId="0" applyNumberFormat="1" applyFont="1" applyFill="1" applyBorder="1" applyAlignment="1">
      <alignment horizontal="center" vertical="center" wrapText="1"/>
    </xf>
    <xf numFmtId="14" fontId="2" fillId="17" borderId="100" xfId="0" applyNumberFormat="1" applyFont="1" applyFill="1" applyBorder="1" applyAlignment="1">
      <alignment horizontal="center" vertical="center" wrapText="1"/>
    </xf>
    <xf numFmtId="3" fontId="2" fillId="17" borderId="100" xfId="0" applyNumberFormat="1" applyFont="1" applyFill="1" applyBorder="1" applyAlignment="1">
      <alignment horizontal="center" vertical="center" wrapText="1"/>
    </xf>
    <xf numFmtId="49" fontId="2" fillId="17" borderId="100" xfId="0" applyNumberFormat="1" applyFont="1" applyFill="1" applyBorder="1" applyAlignment="1">
      <alignment horizontal="center" vertical="center" wrapText="1"/>
    </xf>
    <xf numFmtId="0" fontId="2" fillId="17" borderId="100" xfId="0" applyNumberFormat="1" applyFont="1" applyFill="1" applyBorder="1" applyAlignment="1">
      <alignment horizontal="center" vertical="center" wrapText="1"/>
    </xf>
    <xf numFmtId="168" fontId="2" fillId="17" borderId="100" xfId="0" applyNumberFormat="1" applyFont="1" applyFill="1" applyBorder="1" applyAlignment="1">
      <alignment horizontal="center" vertical="center" wrapText="1"/>
    </xf>
    <xf numFmtId="0" fontId="8" fillId="17" borderId="100" xfId="0" applyNumberFormat="1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horizontal="center" vertical="center" wrapText="1"/>
    </xf>
    <xf numFmtId="2" fontId="2" fillId="17" borderId="100" xfId="0" applyNumberFormat="1" applyFont="1" applyFill="1" applyBorder="1" applyAlignment="1">
      <alignment horizontal="center" vertical="center" wrapText="1"/>
    </xf>
    <xf numFmtId="166" fontId="2" fillId="17" borderId="100" xfId="0" applyNumberFormat="1" applyFont="1" applyFill="1" applyBorder="1" applyAlignment="1">
      <alignment horizontal="center" vertical="center" wrapText="1"/>
    </xf>
    <xf numFmtId="10" fontId="2" fillId="17" borderId="100" xfId="1" applyNumberFormat="1" applyFont="1" applyFill="1" applyBorder="1" applyAlignment="1">
      <alignment horizontal="center" vertical="center" wrapText="1"/>
    </xf>
    <xf numFmtId="168" fontId="2" fillId="17" borderId="100" xfId="0" applyNumberFormat="1" applyFont="1" applyFill="1" applyBorder="1" applyAlignment="1">
      <alignment horizontal="center" vertical="center"/>
    </xf>
    <xf numFmtId="165" fontId="0" fillId="17" borderId="100" xfId="0" applyNumberFormat="1" applyFont="1" applyFill="1" applyBorder="1" applyAlignment="1">
      <alignment horizontal="center" vertical="center"/>
    </xf>
    <xf numFmtId="165" fontId="2" fillId="17" borderId="65" xfId="0" applyNumberFormat="1" applyFont="1" applyFill="1" applyBorder="1" applyAlignment="1">
      <alignment horizontal="center" vertical="center" wrapText="1"/>
    </xf>
    <xf numFmtId="49" fontId="2" fillId="17" borderId="65" xfId="0" applyNumberFormat="1" applyFont="1" applyFill="1" applyBorder="1" applyAlignment="1">
      <alignment horizontal="center" vertical="center" wrapText="1"/>
    </xf>
    <xf numFmtId="1" fontId="20" fillId="17" borderId="102" xfId="0" applyNumberFormat="1" applyFont="1" applyFill="1" applyBorder="1" applyAlignment="1">
      <alignment horizontal="center" vertical="center" wrapText="1"/>
    </xf>
    <xf numFmtId="0" fontId="0" fillId="17" borderId="103" xfId="0" applyFill="1" applyBorder="1"/>
    <xf numFmtId="0" fontId="8" fillId="17" borderId="98" xfId="0" applyNumberFormat="1" applyFont="1" applyFill="1" applyBorder="1" applyAlignment="1">
      <alignment horizontal="center" vertical="center"/>
    </xf>
    <xf numFmtId="0" fontId="2" fillId="17" borderId="98" xfId="0" applyFont="1" applyFill="1" applyBorder="1" applyAlignment="1">
      <alignment horizontal="center" vertical="center" wrapText="1"/>
    </xf>
    <xf numFmtId="2" fontId="2" fillId="17" borderId="98" xfId="0" applyNumberFormat="1" applyFont="1" applyFill="1" applyBorder="1" applyAlignment="1">
      <alignment horizontal="center" vertical="center" wrapText="1"/>
    </xf>
    <xf numFmtId="166" fontId="2" fillId="17" borderId="98" xfId="0" applyNumberFormat="1" applyFont="1" applyFill="1" applyBorder="1" applyAlignment="1">
      <alignment horizontal="center" vertical="center" wrapText="1"/>
    </xf>
    <xf numFmtId="10" fontId="2" fillId="17" borderId="98" xfId="1" applyNumberFormat="1" applyFont="1" applyFill="1" applyBorder="1" applyAlignment="1">
      <alignment horizontal="center" vertical="center" wrapText="1"/>
    </xf>
    <xf numFmtId="168" fontId="2" fillId="17" borderId="98" xfId="0" applyNumberFormat="1" applyFont="1" applyFill="1" applyBorder="1" applyAlignment="1">
      <alignment horizontal="center" vertical="center"/>
    </xf>
    <xf numFmtId="165" fontId="0" fillId="17" borderId="98" xfId="0" applyNumberFormat="1" applyFont="1" applyFill="1" applyBorder="1" applyAlignment="1">
      <alignment horizontal="center" vertical="center"/>
    </xf>
    <xf numFmtId="14" fontId="44" fillId="17" borderId="0" xfId="0" applyNumberFormat="1" applyFont="1" applyFill="1" applyAlignment="1">
      <alignment horizontal="center" vertical="center"/>
    </xf>
    <xf numFmtId="14" fontId="44" fillId="17" borderId="35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Alignment="1">
      <alignment horizontal="center" vertical="center"/>
    </xf>
    <xf numFmtId="14" fontId="44" fillId="17" borderId="100" xfId="0" applyNumberFormat="1" applyFont="1" applyFill="1" applyBorder="1" applyAlignment="1">
      <alignment horizontal="center" vertical="center" wrapText="1"/>
    </xf>
    <xf numFmtId="14" fontId="44" fillId="17" borderId="98" xfId="0" applyNumberFormat="1" applyFont="1" applyFill="1" applyBorder="1" applyAlignment="1">
      <alignment horizontal="center" vertical="center" wrapText="1"/>
    </xf>
    <xf numFmtId="0" fontId="34" fillId="17" borderId="0" xfId="0" applyNumberFormat="1" applyFont="1" applyFill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168" fontId="2" fillId="7" borderId="35" xfId="0" applyNumberFormat="1" applyFont="1" applyFill="1" applyBorder="1" applyAlignment="1">
      <alignment horizontal="center" vertical="center" wrapText="1"/>
    </xf>
    <xf numFmtId="165" fontId="2" fillId="7" borderId="94" xfId="0" applyNumberFormat="1" applyFont="1" applyFill="1" applyBorder="1" applyAlignment="1">
      <alignment horizontal="center" vertical="center" wrapText="1"/>
    </xf>
    <xf numFmtId="165" fontId="2" fillId="7" borderId="72" xfId="0" applyNumberFormat="1" applyFont="1" applyFill="1" applyBorder="1" applyAlignment="1">
      <alignment horizontal="center" vertical="center" wrapText="1"/>
    </xf>
    <xf numFmtId="49" fontId="2" fillId="7" borderId="72" xfId="0" applyNumberFormat="1" applyFont="1" applyFill="1" applyBorder="1" applyAlignment="1">
      <alignment horizontal="center" vertical="center" wrapText="1"/>
    </xf>
    <xf numFmtId="0" fontId="2" fillId="8" borderId="35" xfId="0" applyNumberFormat="1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2" fontId="2" fillId="8" borderId="35" xfId="0" applyNumberFormat="1" applyFont="1" applyFill="1" applyBorder="1" applyAlignment="1">
      <alignment horizontal="center" vertical="center" wrapText="1"/>
    </xf>
    <xf numFmtId="166" fontId="2" fillId="8" borderId="35" xfId="0" applyNumberFormat="1" applyFont="1" applyFill="1" applyBorder="1" applyAlignment="1">
      <alignment horizontal="center" vertical="center" wrapText="1"/>
    </xf>
    <xf numFmtId="14" fontId="2" fillId="8" borderId="35" xfId="0" applyNumberFormat="1" applyFont="1" applyFill="1" applyBorder="1" applyAlignment="1">
      <alignment horizontal="center" vertical="center" wrapText="1"/>
    </xf>
    <xf numFmtId="168" fontId="2" fillId="8" borderId="35" xfId="0" applyNumberFormat="1" applyFont="1" applyFill="1" applyBorder="1" applyAlignment="1">
      <alignment horizontal="center" vertical="center" wrapText="1"/>
    </xf>
    <xf numFmtId="49" fontId="2" fillId="8" borderId="35" xfId="0" applyNumberFormat="1" applyFont="1" applyFill="1" applyBorder="1" applyAlignment="1">
      <alignment horizontal="center" vertical="center" wrapText="1"/>
    </xf>
    <xf numFmtId="168" fontId="2" fillId="8" borderId="34" xfId="0" applyNumberFormat="1" applyFont="1" applyFill="1" applyBorder="1" applyAlignment="1">
      <alignment horizontal="center" vertical="center" wrapText="1"/>
    </xf>
    <xf numFmtId="10" fontId="2" fillId="8" borderId="34" xfId="1" applyNumberFormat="1" applyFont="1" applyFill="1" applyBorder="1" applyAlignment="1">
      <alignment horizontal="center" vertical="center" wrapText="1"/>
    </xf>
    <xf numFmtId="165" fontId="2" fillId="8" borderId="72" xfId="0" applyNumberFormat="1" applyFont="1" applyFill="1" applyBorder="1" applyAlignment="1">
      <alignment horizontal="center" vertical="center" wrapText="1"/>
    </xf>
    <xf numFmtId="49" fontId="2" fillId="8" borderId="72" xfId="0" applyNumberFormat="1" applyFont="1" applyFill="1" applyBorder="1" applyAlignment="1">
      <alignment horizontal="center" vertical="center" wrapText="1"/>
    </xf>
    <xf numFmtId="1" fontId="20" fillId="8" borderId="92" xfId="0" applyNumberFormat="1" applyFont="1" applyFill="1" applyBorder="1" applyAlignment="1">
      <alignment horizontal="center" vertical="center" wrapText="1"/>
    </xf>
    <xf numFmtId="0" fontId="0" fillId="8" borderId="0" xfId="0" applyFill="1"/>
    <xf numFmtId="0" fontId="27" fillId="0" borderId="16" xfId="0" applyNumberFormat="1" applyFont="1" applyFill="1" applyBorder="1" applyAlignment="1" applyProtection="1">
      <alignment horizontal="right" vertical="center"/>
    </xf>
    <xf numFmtId="10" fontId="2" fillId="7" borderId="35" xfId="1" applyNumberFormat="1" applyFont="1" applyFill="1" applyBorder="1" applyAlignment="1">
      <alignment horizontal="center" vertical="center" wrapText="1"/>
    </xf>
    <xf numFmtId="168" fontId="2" fillId="7" borderId="35" xfId="0" applyNumberFormat="1" applyFont="1" applyFill="1" applyBorder="1" applyAlignment="1">
      <alignment horizontal="center" vertical="center"/>
    </xf>
    <xf numFmtId="165" fontId="0" fillId="7" borderId="35" xfId="0" applyNumberFormat="1" applyFont="1" applyFill="1" applyBorder="1" applyAlignment="1">
      <alignment horizontal="center" vertical="center"/>
    </xf>
    <xf numFmtId="0" fontId="47" fillId="17" borderId="0" xfId="0" applyFont="1" applyFill="1" applyAlignment="1">
      <alignment horizontal="center"/>
    </xf>
    <xf numFmtId="0" fontId="8" fillId="8" borderId="35" xfId="0" applyNumberFormat="1" applyFont="1" applyFill="1" applyBorder="1" applyAlignment="1">
      <alignment horizontal="center" vertical="center"/>
    </xf>
    <xf numFmtId="168" fontId="0" fillId="17" borderId="35" xfId="0" applyNumberFormat="1" applyFont="1" applyFill="1" applyBorder="1" applyAlignment="1">
      <alignment horizontal="center" vertical="center"/>
    </xf>
    <xf numFmtId="165" fontId="0" fillId="17" borderId="19" xfId="0" applyNumberFormat="1" applyFont="1" applyFill="1" applyBorder="1" applyAlignment="1">
      <alignment horizontal="center" vertical="center"/>
    </xf>
    <xf numFmtId="10" fontId="2" fillId="8" borderId="35" xfId="1" applyNumberFormat="1" applyFont="1" applyFill="1" applyBorder="1" applyAlignment="1">
      <alignment horizontal="center" vertical="center" wrapText="1"/>
    </xf>
    <xf numFmtId="168" fontId="2" fillId="8" borderId="35" xfId="0" applyNumberFormat="1" applyFont="1" applyFill="1" applyBorder="1" applyAlignment="1">
      <alignment horizontal="center" vertical="center"/>
    </xf>
    <xf numFmtId="9" fontId="7" fillId="5" borderId="31" xfId="1" applyFont="1" applyFill="1" applyBorder="1" applyAlignment="1">
      <alignment horizontal="center" vertical="center" wrapText="1"/>
    </xf>
    <xf numFmtId="0" fontId="27" fillId="0" borderId="16" xfId="0" applyNumberFormat="1" applyFont="1" applyFill="1" applyBorder="1" applyAlignment="1">
      <alignment horizontal="right" vertical="center" wrapText="1"/>
    </xf>
    <xf numFmtId="0" fontId="27" fillId="0" borderId="16" xfId="0" applyNumberFormat="1" applyFont="1" applyFill="1" applyBorder="1" applyAlignment="1">
      <alignment horizontal="right" vertical="center"/>
    </xf>
    <xf numFmtId="0" fontId="31" fillId="0" borderId="16" xfId="0" applyNumberFormat="1" applyFont="1" applyFill="1" applyBorder="1" applyAlignment="1" applyProtection="1">
      <alignment horizontal="right" vertical="center"/>
    </xf>
    <xf numFmtId="2" fontId="27" fillId="0" borderId="16" xfId="0" applyNumberFormat="1" applyFont="1" applyFill="1" applyBorder="1" applyAlignment="1">
      <alignment horizontal="left" vertical="center" wrapText="1"/>
    </xf>
    <xf numFmtId="0" fontId="2" fillId="17" borderId="94" xfId="0" applyNumberFormat="1" applyFont="1" applyFill="1" applyBorder="1" applyAlignment="1">
      <alignment horizontal="center" vertical="center" wrapText="1"/>
    </xf>
    <xf numFmtId="0" fontId="2" fillId="0" borderId="94" xfId="0" applyNumberFormat="1" applyFont="1" applyFill="1" applyBorder="1" applyAlignment="1">
      <alignment horizontal="center" vertical="center" wrapText="1"/>
    </xf>
    <xf numFmtId="0" fontId="34" fillId="0" borderId="0" xfId="0" applyNumberFormat="1" applyFont="1" applyAlignment="1">
      <alignment horizontal="center" vertical="center"/>
    </xf>
    <xf numFmtId="4" fontId="2" fillId="17" borderId="35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4" fontId="27" fillId="0" borderId="16" xfId="0" applyNumberFormat="1" applyFont="1" applyFill="1" applyBorder="1" applyAlignment="1" applyProtection="1">
      <alignment horizontal="right" vertical="center"/>
    </xf>
    <xf numFmtId="0" fontId="2" fillId="8" borderId="94" xfId="0" applyNumberFormat="1" applyFont="1" applyFill="1" applyBorder="1" applyAlignment="1">
      <alignment horizontal="center" vertical="center" wrapText="1"/>
    </xf>
    <xf numFmtId="0" fontId="49" fillId="17" borderId="0" xfId="0" applyFont="1" applyFill="1" applyAlignment="1">
      <alignment horizontal="center" vertical="center"/>
    </xf>
    <xf numFmtId="14" fontId="34" fillId="17" borderId="0" xfId="0" applyNumberFormat="1" applyFont="1" applyFill="1" applyAlignment="1">
      <alignment horizontal="center" vertical="center" wrapText="1"/>
    </xf>
    <xf numFmtId="14" fontId="34" fillId="0" borderId="0" xfId="0" applyNumberFormat="1" applyFont="1" applyAlignment="1">
      <alignment horizontal="center" vertical="center" wrapText="1"/>
    </xf>
    <xf numFmtId="0" fontId="2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wrapText="1"/>
    </xf>
    <xf numFmtId="4" fontId="50" fillId="1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0" fontId="2" fillId="17" borderId="35" xfId="0" applyNumberFormat="1" applyFont="1" applyFill="1" applyBorder="1" applyAlignment="1">
      <alignment horizontal="center" vertical="center"/>
    </xf>
    <xf numFmtId="0" fontId="2" fillId="17" borderId="101" xfId="0" applyNumberFormat="1" applyFont="1" applyFill="1" applyBorder="1" applyAlignment="1">
      <alignment horizontal="center" vertical="center" wrapText="1"/>
    </xf>
    <xf numFmtId="0" fontId="2" fillId="17" borderId="99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2" fillId="17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1" fontId="20" fillId="7" borderId="92" xfId="0" applyNumberFormat="1" applyFont="1" applyFill="1" applyBorder="1" applyAlignment="1">
      <alignment horizontal="center" vertical="center" wrapText="1"/>
    </xf>
    <xf numFmtId="14" fontId="44" fillId="8" borderId="35" xfId="0" applyNumberFormat="1" applyFont="1" applyFill="1" applyBorder="1" applyAlignment="1">
      <alignment horizontal="center" vertical="center" wrapText="1"/>
    </xf>
    <xf numFmtId="3" fontId="2" fillId="8" borderId="35" xfId="0" applyNumberFormat="1" applyFont="1" applyFill="1" applyBorder="1" applyAlignment="1">
      <alignment horizontal="center" vertical="center" wrapText="1"/>
    </xf>
    <xf numFmtId="0" fontId="2" fillId="8" borderId="35" xfId="0" applyNumberFormat="1" applyFont="1" applyFill="1" applyBorder="1" applyAlignment="1">
      <alignment horizontal="center" vertical="center"/>
    </xf>
    <xf numFmtId="165" fontId="0" fillId="8" borderId="35" xfId="0" applyNumberFormat="1" applyFont="1" applyFill="1" applyBorder="1" applyAlignment="1">
      <alignment horizontal="center" vertical="center"/>
    </xf>
    <xf numFmtId="0" fontId="2" fillId="3" borderId="100" xfId="0" applyNumberFormat="1" applyFont="1" applyFill="1" applyBorder="1" applyAlignment="1">
      <alignment horizontal="center" vertical="center" wrapText="1"/>
    </xf>
    <xf numFmtId="0" fontId="17" fillId="3" borderId="35" xfId="0" applyNumberFormat="1" applyFont="1" applyFill="1" applyBorder="1" applyAlignment="1">
      <alignment horizontal="center" vertical="center" wrapText="1"/>
    </xf>
    <xf numFmtId="0" fontId="2" fillId="17" borderId="0" xfId="0" applyNumberFormat="1" applyFont="1" applyFill="1" applyAlignment="1">
      <alignment horizontal="center" vertical="center" wrapText="1"/>
    </xf>
    <xf numFmtId="0" fontId="8" fillId="17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7" fillId="17" borderId="0" xfId="0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17" borderId="0" xfId="0" applyFont="1" applyFill="1" applyAlignment="1">
      <alignment wrapText="1"/>
    </xf>
    <xf numFmtId="0" fontId="34" fillId="0" borderId="0" xfId="0" applyFont="1" applyAlignment="1">
      <alignment wrapText="1"/>
    </xf>
    <xf numFmtId="0" fontId="27" fillId="17" borderId="16" xfId="0" applyFont="1" applyFill="1" applyBorder="1" applyAlignment="1">
      <alignment horizontal="center" vertical="center" wrapText="1"/>
    </xf>
    <xf numFmtId="0" fontId="33" fillId="17" borderId="16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7" fillId="18" borderId="16" xfId="0" applyFont="1" applyFill="1" applyBorder="1" applyAlignment="1">
      <alignment horizontal="left" vertical="center" wrapText="1"/>
    </xf>
    <xf numFmtId="3" fontId="27" fillId="0" borderId="16" xfId="0" applyNumberFormat="1" applyFont="1" applyFill="1" applyBorder="1" applyAlignment="1">
      <alignment horizontal="left" vertical="center" wrapText="1"/>
    </xf>
    <xf numFmtId="0" fontId="27" fillId="18" borderId="16" xfId="0" applyNumberFormat="1" applyFont="1" applyFill="1" applyBorder="1" applyAlignment="1">
      <alignment horizontal="left" vertical="center" wrapText="1"/>
    </xf>
    <xf numFmtId="3" fontId="31" fillId="0" borderId="16" xfId="0" applyNumberFormat="1" applyFont="1" applyFill="1" applyBorder="1" applyAlignment="1" applyProtection="1">
      <alignment horizontal="right" vertical="center"/>
    </xf>
    <xf numFmtId="49" fontId="33" fillId="0" borderId="16" xfId="0" applyNumberFormat="1" applyFont="1" applyFill="1" applyBorder="1" applyAlignment="1" applyProtection="1">
      <alignment horizontal="left" vertical="center"/>
    </xf>
    <xf numFmtId="0" fontId="31" fillId="0" borderId="16" xfId="2" applyFont="1" applyFill="1" applyBorder="1" applyAlignment="1">
      <alignment horizontal="left" vertical="center" wrapText="1" shrinkToFit="1"/>
    </xf>
    <xf numFmtId="0" fontId="41" fillId="0" borderId="16" xfId="0" applyFont="1" applyFill="1" applyBorder="1" applyAlignment="1">
      <alignment horizontal="left" vertical="center" wrapText="1"/>
    </xf>
    <xf numFmtId="49" fontId="33" fillId="0" borderId="16" xfId="18" applyNumberFormat="1" applyFont="1" applyFill="1" applyBorder="1" applyAlignment="1" applyProtection="1">
      <alignment horizontal="left" vertical="center"/>
    </xf>
    <xf numFmtId="49" fontId="0" fillId="0" borderId="16" xfId="0" applyNumberFormat="1" applyFill="1" applyBorder="1" applyProtection="1"/>
    <xf numFmtId="0" fontId="0" fillId="0" borderId="16" xfId="0" applyFill="1" applyBorder="1" applyProtection="1"/>
    <xf numFmtId="171" fontId="0" fillId="0" borderId="16" xfId="0" applyNumberFormat="1" applyFill="1" applyBorder="1" applyAlignment="1" applyProtection="1">
      <alignment horizontal="left"/>
    </xf>
    <xf numFmtId="170" fontId="0" fillId="0" borderId="16" xfId="0" applyNumberFormat="1" applyFill="1" applyBorder="1" applyAlignment="1" applyProtection="1">
      <alignment horizontal="left"/>
    </xf>
    <xf numFmtId="0" fontId="0" fillId="0" borderId="16" xfId="0" applyNumberFormat="1" applyFill="1" applyBorder="1" applyAlignment="1" applyProtection="1">
      <alignment horizontal="right"/>
    </xf>
    <xf numFmtId="169" fontId="0" fillId="0" borderId="16" xfId="0" applyNumberFormat="1" applyFill="1" applyBorder="1" applyProtection="1"/>
    <xf numFmtId="1" fontId="46" fillId="16" borderId="16" xfId="0" applyNumberFormat="1" applyFont="1" applyFill="1" applyBorder="1" applyAlignment="1">
      <alignment horizontal="center" vertical="center" wrapText="1"/>
    </xf>
    <xf numFmtId="0" fontId="34" fillId="0" borderId="16" xfId="0" applyFont="1" applyBorder="1"/>
    <xf numFmtId="0" fontId="0" fillId="0" borderId="16" xfId="0" applyBorder="1" applyProtection="1"/>
    <xf numFmtId="49" fontId="3" fillId="0" borderId="16" xfId="20" applyNumberFormat="1" applyFont="1" applyBorder="1" applyProtection="1"/>
    <xf numFmtId="0" fontId="0" fillId="0" borderId="16" xfId="0" applyFill="1" applyBorder="1" applyAlignment="1" applyProtection="1">
      <alignment wrapText="1"/>
    </xf>
    <xf numFmtId="49" fontId="3" fillId="0" borderId="16" xfId="18" applyNumberFormat="1" applyFont="1" applyBorder="1" applyProtection="1"/>
    <xf numFmtId="172" fontId="0" fillId="0" borderId="16" xfId="0" applyNumberFormat="1" applyFill="1" applyBorder="1" applyProtection="1"/>
    <xf numFmtId="0" fontId="0" fillId="0" borderId="16" xfId="0" applyNumberFormat="1" applyFill="1" applyBorder="1" applyProtection="1"/>
    <xf numFmtId="0" fontId="0" fillId="0" borderId="16" xfId="0" applyNumberFormat="1" applyFill="1" applyBorder="1" applyAlignment="1" applyProtection="1">
      <alignment horizontal="left"/>
    </xf>
    <xf numFmtId="1" fontId="37" fillId="16" borderId="16" xfId="0" applyNumberFormat="1" applyFont="1" applyFill="1" applyBorder="1" applyAlignment="1">
      <alignment horizontal="left" vertical="center" wrapText="1"/>
    </xf>
    <xf numFmtId="170" fontId="0" fillId="0" borderId="16" xfId="0" applyNumberFormat="1" applyFill="1" applyBorder="1" applyProtection="1"/>
    <xf numFmtId="0" fontId="51" fillId="0" borderId="16" xfId="0" applyFont="1" applyFill="1" applyBorder="1" applyAlignment="1" applyProtection="1">
      <alignment vertical="top" wrapText="1"/>
    </xf>
    <xf numFmtId="0" fontId="51" fillId="0" borderId="16" xfId="0" applyFont="1" applyFill="1" applyBorder="1" applyAlignment="1" applyProtection="1">
      <alignment vertical="center" wrapText="1"/>
    </xf>
    <xf numFmtId="173" fontId="0" fillId="0" borderId="16" xfId="0" applyNumberFormat="1" applyFill="1" applyBorder="1" applyProtection="1"/>
    <xf numFmtId="170" fontId="52" fillId="0" borderId="16" xfId="0" applyNumberFormat="1" applyFont="1" applyFill="1" applyBorder="1" applyProtection="1"/>
    <xf numFmtId="170" fontId="52" fillId="0" borderId="16" xfId="0" applyNumberFormat="1" applyFont="1" applyFill="1" applyBorder="1" applyAlignment="1" applyProtection="1">
      <alignment horizontal="left"/>
    </xf>
    <xf numFmtId="170" fontId="0" fillId="0" borderId="16" xfId="0" applyNumberFormat="1" applyFill="1" applyBorder="1" applyAlignment="1" applyProtection="1">
      <alignment horizontal="right"/>
    </xf>
    <xf numFmtId="170" fontId="52" fillId="0" borderId="16" xfId="0" applyNumberFormat="1" applyFont="1" applyFill="1" applyBorder="1" applyAlignment="1" applyProtection="1">
      <alignment horizontal="right"/>
    </xf>
    <xf numFmtId="0" fontId="8" fillId="2" borderId="35" xfId="0" applyNumberFormat="1" applyFont="1" applyFill="1" applyBorder="1" applyAlignment="1">
      <alignment horizontal="center" vertical="center" wrapText="1"/>
    </xf>
    <xf numFmtId="4" fontId="0" fillId="0" borderId="16" xfId="0" applyNumberFormat="1" applyFill="1" applyBorder="1" applyAlignment="1" applyProtection="1">
      <alignment horizontal="right"/>
    </xf>
    <xf numFmtId="4" fontId="0" fillId="0" borderId="16" xfId="0" applyNumberFormat="1" applyFill="1" applyBorder="1" applyAlignment="1" applyProtection="1">
      <alignment horizontal="left"/>
    </xf>
    <xf numFmtId="4" fontId="27" fillId="0" borderId="16" xfId="0" applyNumberFormat="1" applyFont="1" applyFill="1" applyBorder="1" applyAlignment="1">
      <alignment horizontal="left" vertical="center" wrapText="1"/>
    </xf>
    <xf numFmtId="0" fontId="0" fillId="0" borderId="16" xfId="0" applyFont="1" applyFill="1" applyBorder="1" applyAlignment="1" applyProtection="1">
      <alignment vertical="center"/>
    </xf>
    <xf numFmtId="0" fontId="0" fillId="0" borderId="0" xfId="0" applyFill="1" applyBorder="1" applyProtection="1"/>
    <xf numFmtId="0" fontId="52" fillId="0" borderId="0" xfId="0" applyFont="1" applyFill="1" applyBorder="1" applyProtection="1"/>
    <xf numFmtId="1" fontId="37" fillId="16" borderId="83" xfId="0" applyNumberFormat="1" applyFont="1" applyFill="1" applyBorder="1" applyAlignment="1">
      <alignment horizontal="center" vertical="center" wrapText="1"/>
    </xf>
    <xf numFmtId="0" fontId="0" fillId="0" borderId="16" xfId="0" applyFont="1" applyBorder="1" applyAlignment="1">
      <alignment vertical="center"/>
    </xf>
    <xf numFmtId="49" fontId="52" fillId="0" borderId="16" xfId="0" applyNumberFormat="1" applyFont="1" applyFill="1" applyBorder="1" applyAlignment="1">
      <alignment horizontal="left" vertical="center" wrapText="1"/>
    </xf>
    <xf numFmtId="49" fontId="52" fillId="0" borderId="16" xfId="18" applyNumberFormat="1" applyFont="1" applyFill="1" applyBorder="1" applyProtection="1"/>
    <xf numFmtId="49" fontId="52" fillId="0" borderId="16" xfId="18" applyNumberFormat="1" applyFont="1" applyFill="1" applyBorder="1" applyAlignment="1" applyProtection="1">
      <alignment wrapText="1"/>
    </xf>
    <xf numFmtId="49" fontId="52" fillId="0" borderId="16" xfId="0" applyNumberFormat="1" applyFont="1" applyFill="1" applyBorder="1" applyProtection="1"/>
    <xf numFmtId="0" fontId="52" fillId="0" borderId="16" xfId="0" applyFont="1" applyFill="1" applyBorder="1" applyAlignment="1" applyProtection="1">
      <alignment wrapText="1"/>
    </xf>
    <xf numFmtId="172" fontId="52" fillId="0" borderId="16" xfId="0" applyNumberFormat="1" applyFont="1" applyFill="1" applyBorder="1" applyProtection="1"/>
    <xf numFmtId="0" fontId="52" fillId="0" borderId="16" xfId="0" applyFont="1" applyFill="1" applyBorder="1" applyProtection="1"/>
    <xf numFmtId="4" fontId="52" fillId="0" borderId="16" xfId="0" applyNumberFormat="1" applyFont="1" applyFill="1" applyBorder="1" applyAlignment="1">
      <alignment horizontal="right" vertical="center" wrapText="1"/>
    </xf>
    <xf numFmtId="169" fontId="52" fillId="0" borderId="16" xfId="0" applyNumberFormat="1" applyFont="1" applyFill="1" applyBorder="1" applyProtection="1"/>
    <xf numFmtId="0" fontId="52" fillId="0" borderId="16" xfId="0" applyFont="1" applyFill="1" applyBorder="1" applyAlignment="1">
      <alignment horizontal="left" vertical="center" wrapText="1"/>
    </xf>
    <xf numFmtId="0" fontId="52" fillId="0" borderId="16" xfId="0" applyFont="1" applyFill="1" applyBorder="1" applyAlignment="1">
      <alignment horizontal="right"/>
    </xf>
    <xf numFmtId="49" fontId="52" fillId="0" borderId="16" xfId="0" applyNumberFormat="1" applyFont="1" applyFill="1" applyBorder="1" applyAlignment="1" applyProtection="1">
      <alignment vertical="center"/>
    </xf>
    <xf numFmtId="0" fontId="52" fillId="0" borderId="16" xfId="0" applyFont="1" applyFill="1" applyBorder="1" applyAlignment="1" applyProtection="1">
      <alignment vertical="center"/>
    </xf>
    <xf numFmtId="0" fontId="52" fillId="0" borderId="16" xfId="0" applyFont="1" applyFill="1" applyBorder="1" applyAlignment="1" applyProtection="1">
      <alignment vertical="center" wrapText="1"/>
    </xf>
    <xf numFmtId="172" fontId="52" fillId="0" borderId="16" xfId="0" applyNumberFormat="1" applyFont="1" applyFill="1" applyBorder="1" applyAlignment="1" applyProtection="1">
      <alignment vertical="center"/>
    </xf>
    <xf numFmtId="170" fontId="52" fillId="0" borderId="16" xfId="0" applyNumberFormat="1" applyFont="1" applyFill="1" applyBorder="1" applyAlignment="1" applyProtection="1">
      <alignment vertical="center"/>
    </xf>
    <xf numFmtId="169" fontId="52" fillId="0" borderId="16" xfId="0" applyNumberFormat="1" applyFont="1" applyFill="1" applyBorder="1" applyAlignment="1" applyProtection="1">
      <alignment vertical="center"/>
    </xf>
    <xf numFmtId="0" fontId="44" fillId="0" borderId="16" xfId="0" applyFont="1" applyFill="1" applyBorder="1" applyAlignment="1" applyProtection="1">
      <alignment horizontal="justify" vertical="center"/>
    </xf>
    <xf numFmtId="0" fontId="3" fillId="0" borderId="16" xfId="0" applyFont="1" applyBorder="1" applyAlignment="1">
      <alignment horizontal="left" vertical="center"/>
    </xf>
    <xf numFmtId="49" fontId="0" fillId="0" borderId="16" xfId="0" applyNumberFormat="1" applyFill="1" applyBorder="1" applyAlignment="1" applyProtection="1">
      <alignment horizontal="left" vertical="center"/>
    </xf>
    <xf numFmtId="49" fontId="52" fillId="0" borderId="16" xfId="18" applyNumberFormat="1" applyFont="1" applyFill="1" applyBorder="1" applyAlignment="1" applyProtection="1">
      <alignment horizontal="left" vertical="center"/>
    </xf>
    <xf numFmtId="49" fontId="52" fillId="0" borderId="16" xfId="0" applyNumberFormat="1" applyFont="1" applyFill="1" applyBorder="1" applyAlignment="1" applyProtection="1">
      <alignment horizontal="left" vertical="center"/>
    </xf>
    <xf numFmtId="49" fontId="3" fillId="0" borderId="16" xfId="18" applyNumberFormat="1" applyFont="1" applyBorder="1" applyAlignment="1" applyProtection="1">
      <alignment horizontal="left" vertical="center"/>
    </xf>
    <xf numFmtId="0" fontId="0" fillId="0" borderId="16" xfId="0" applyFill="1" applyBorder="1" applyAlignment="1" applyProtection="1"/>
    <xf numFmtId="170" fontId="52" fillId="0" borderId="16" xfId="0" applyNumberFormat="1" applyFont="1" applyFill="1" applyBorder="1" applyAlignment="1" applyProtection="1">
      <alignment horizontal="right" vertical="center"/>
    </xf>
    <xf numFmtId="4" fontId="52" fillId="0" borderId="16" xfId="0" applyNumberFormat="1" applyFont="1" applyFill="1" applyBorder="1" applyAlignment="1">
      <alignment horizontal="left" vertical="center" wrapText="1"/>
    </xf>
    <xf numFmtId="0" fontId="52" fillId="0" borderId="16" xfId="0" applyFont="1" applyFill="1" applyBorder="1" applyAlignment="1">
      <alignment horizontal="left"/>
    </xf>
    <xf numFmtId="170" fontId="52" fillId="0" borderId="16" xfId="0" applyNumberFormat="1" applyFont="1" applyFill="1" applyBorder="1" applyAlignment="1" applyProtection="1">
      <alignment horizontal="left" vertical="center"/>
    </xf>
    <xf numFmtId="0" fontId="31" fillId="0" borderId="16" xfId="0" applyFont="1" applyFill="1" applyBorder="1" applyAlignment="1" applyProtection="1">
      <alignment horizontal="left" vertical="center"/>
    </xf>
    <xf numFmtId="0" fontId="27" fillId="0" borderId="16" xfId="0" applyFont="1" applyFill="1" applyBorder="1" applyAlignment="1">
      <alignment horizontal="left" vertical="justify"/>
    </xf>
    <xf numFmtId="0" fontId="33" fillId="0" borderId="16" xfId="0" applyNumberFormat="1" applyFont="1" applyFill="1" applyBorder="1" applyAlignment="1">
      <alignment horizontal="left" vertical="center"/>
    </xf>
    <xf numFmtId="165" fontId="0" fillId="0" borderId="35" xfId="0" applyNumberFormat="1" applyFont="1" applyFill="1" applyBorder="1" applyAlignment="1">
      <alignment horizontal="center" vertical="center" wrapText="1"/>
    </xf>
    <xf numFmtId="4" fontId="31" fillId="0" borderId="16" xfId="0" applyNumberFormat="1" applyFont="1" applyFill="1" applyBorder="1" applyAlignment="1" applyProtection="1">
      <alignment horizontal="right" vertical="center"/>
    </xf>
    <xf numFmtId="3" fontId="27" fillId="0" borderId="16" xfId="0" applyNumberFormat="1" applyFont="1" applyFill="1" applyBorder="1" applyAlignment="1">
      <alignment horizontal="left" vertical="center"/>
    </xf>
    <xf numFmtId="4" fontId="2" fillId="17" borderId="35" xfId="0" applyNumberFormat="1" applyFont="1" applyFill="1" applyBorder="1" applyAlignment="1">
      <alignment horizontal="center" vertical="center"/>
    </xf>
    <xf numFmtId="3" fontId="2" fillId="17" borderId="35" xfId="0" applyNumberFormat="1" applyFont="1" applyFill="1" applyBorder="1" applyAlignment="1">
      <alignment horizontal="center" vertical="center"/>
    </xf>
    <xf numFmtId="14" fontId="41" fillId="0" borderId="16" xfId="0" applyNumberFormat="1" applyFont="1" applyFill="1" applyBorder="1" applyAlignment="1">
      <alignment horizontal="left" vertical="center" wrapText="1"/>
    </xf>
    <xf numFmtId="3" fontId="27" fillId="0" borderId="16" xfId="0" applyNumberFormat="1" applyFont="1" applyFill="1" applyBorder="1" applyAlignment="1" applyProtection="1">
      <alignment horizontal="right" vertical="center"/>
    </xf>
    <xf numFmtId="14" fontId="34" fillId="0" borderId="0" xfId="0" applyNumberFormat="1" applyFont="1"/>
    <xf numFmtId="3" fontId="2" fillId="17" borderId="0" xfId="0" applyNumberFormat="1" applyFont="1" applyFill="1" applyAlignment="1">
      <alignment horizontal="center" vertical="center"/>
    </xf>
    <xf numFmtId="4" fontId="2" fillId="17" borderId="100" xfId="0" applyNumberFormat="1" applyFont="1" applyFill="1" applyBorder="1" applyAlignment="1">
      <alignment horizontal="center" vertical="center"/>
    </xf>
    <xf numFmtId="170" fontId="54" fillId="0" borderId="0" xfId="0" applyNumberFormat="1" applyFont="1" applyFill="1" applyBorder="1" applyAlignment="1" applyProtection="1"/>
    <xf numFmtId="0" fontId="56" fillId="0" borderId="87" xfId="0" applyNumberFormat="1" applyFont="1" applyFill="1" applyBorder="1" applyAlignment="1">
      <alignment horizontal="left" vertical="center" wrapText="1"/>
    </xf>
    <xf numFmtId="49" fontId="56" fillId="0" borderId="16" xfId="0" applyNumberFormat="1" applyFont="1" applyFill="1" applyBorder="1" applyAlignment="1" applyProtection="1">
      <alignment horizontal="left" vertical="center"/>
    </xf>
    <xf numFmtId="49" fontId="56" fillId="0" borderId="16" xfId="20" applyNumberFormat="1" applyFont="1" applyFill="1" applyBorder="1" applyAlignment="1" applyProtection="1">
      <alignment horizontal="left" vertical="center"/>
    </xf>
    <xf numFmtId="0" fontId="56" fillId="0" borderId="16" xfId="0" applyNumberFormat="1" applyFont="1" applyFill="1" applyBorder="1" applyAlignment="1" applyProtection="1">
      <alignment horizontal="left" vertical="center" wrapText="1"/>
    </xf>
    <xf numFmtId="0" fontId="56" fillId="0" borderId="16" xfId="0" applyFont="1" applyFill="1" applyBorder="1" applyAlignment="1" applyProtection="1">
      <alignment horizontal="left" vertical="center"/>
    </xf>
    <xf numFmtId="49" fontId="57" fillId="0" borderId="16" xfId="0" applyNumberFormat="1" applyFont="1" applyFill="1" applyBorder="1" applyAlignment="1" applyProtection="1">
      <alignment horizontal="left" vertical="center" wrapText="1"/>
    </xf>
    <xf numFmtId="49" fontId="58" fillId="0" borderId="16" xfId="0" applyNumberFormat="1" applyFont="1" applyFill="1" applyBorder="1" applyAlignment="1" applyProtection="1">
      <alignment horizontal="left" vertical="center" wrapText="1"/>
    </xf>
    <xf numFmtId="0" fontId="58" fillId="0" borderId="16" xfId="0" applyFont="1" applyFill="1" applyBorder="1" applyAlignment="1">
      <alignment horizontal="left" vertical="center" wrapText="1"/>
    </xf>
    <xf numFmtId="0" fontId="56" fillId="0" borderId="16" xfId="0" applyFont="1" applyFill="1" applyBorder="1" applyAlignment="1" applyProtection="1">
      <alignment horizontal="left" vertical="center" wrapText="1"/>
    </xf>
    <xf numFmtId="0" fontId="56" fillId="0" borderId="16" xfId="0" applyFont="1" applyFill="1" applyBorder="1" applyAlignment="1">
      <alignment horizontal="left" vertical="center" wrapText="1"/>
    </xf>
    <xf numFmtId="172" fontId="56" fillId="0" borderId="16" xfId="0" applyNumberFormat="1" applyFont="1" applyFill="1" applyBorder="1" applyAlignment="1" applyProtection="1">
      <alignment horizontal="left" vertical="center" wrapText="1"/>
    </xf>
    <xf numFmtId="170" fontId="56" fillId="0" borderId="16" xfId="0" applyNumberFormat="1" applyFont="1" applyFill="1" applyBorder="1" applyAlignment="1" applyProtection="1">
      <alignment horizontal="left" vertical="center" wrapText="1"/>
    </xf>
    <xf numFmtId="170" fontId="56" fillId="0" borderId="16" xfId="0" applyNumberFormat="1" applyFont="1" applyFill="1" applyBorder="1" applyAlignment="1" applyProtection="1">
      <alignment horizontal="left" vertical="center"/>
    </xf>
    <xf numFmtId="0" fontId="56" fillId="0" borderId="16" xfId="0" applyFont="1" applyFill="1" applyBorder="1" applyAlignment="1">
      <alignment horizontal="left" vertical="center"/>
    </xf>
    <xf numFmtId="49" fontId="56" fillId="0" borderId="16" xfId="0" applyNumberFormat="1" applyFont="1" applyFill="1" applyBorder="1" applyAlignment="1">
      <alignment horizontal="left" vertical="center"/>
    </xf>
    <xf numFmtId="0" fontId="59" fillId="0" borderId="16" xfId="0" applyFont="1" applyFill="1" applyBorder="1" applyAlignment="1">
      <alignment horizontal="center" vertical="center" wrapText="1"/>
    </xf>
    <xf numFmtId="1" fontId="60" fillId="16" borderId="83" xfId="0" applyNumberFormat="1" applyFont="1" applyFill="1" applyBorder="1" applyAlignment="1">
      <alignment horizontal="center" vertical="center" wrapText="1"/>
    </xf>
    <xf numFmtId="49" fontId="56" fillId="0" borderId="74" xfId="0" applyNumberFormat="1" applyFont="1" applyFill="1" applyBorder="1" applyAlignment="1" applyProtection="1">
      <alignment horizontal="left" vertical="center"/>
    </xf>
    <xf numFmtId="0" fontId="56" fillId="0" borderId="74" xfId="0" applyNumberFormat="1" applyFont="1" applyFill="1" applyBorder="1" applyAlignment="1" applyProtection="1">
      <alignment horizontal="left" vertical="center" wrapText="1"/>
    </xf>
    <xf numFmtId="0" fontId="56" fillId="0" borderId="74" xfId="0" applyFont="1" applyFill="1" applyBorder="1" applyAlignment="1" applyProtection="1">
      <alignment horizontal="left" vertical="center"/>
    </xf>
    <xf numFmtId="49" fontId="57" fillId="0" borderId="74" xfId="0" applyNumberFormat="1" applyFont="1" applyFill="1" applyBorder="1" applyAlignment="1" applyProtection="1">
      <alignment horizontal="left" vertical="center" wrapText="1"/>
    </xf>
    <xf numFmtId="0" fontId="56" fillId="0" borderId="74" xfId="0" applyFont="1" applyFill="1" applyBorder="1" applyAlignment="1" applyProtection="1">
      <alignment horizontal="left" vertical="center" wrapText="1"/>
    </xf>
    <xf numFmtId="172" fontId="56" fillId="0" borderId="74" xfId="0" applyNumberFormat="1" applyFont="1" applyFill="1" applyBorder="1" applyAlignment="1" applyProtection="1">
      <alignment horizontal="left" vertical="center" wrapText="1"/>
    </xf>
    <xf numFmtId="170" fontId="56" fillId="0" borderId="74" xfId="0" applyNumberFormat="1" applyFont="1" applyFill="1" applyBorder="1" applyAlignment="1" applyProtection="1">
      <alignment horizontal="left" vertical="center"/>
    </xf>
    <xf numFmtId="0" fontId="56" fillId="0" borderId="74" xfId="0" applyFont="1" applyFill="1" applyBorder="1" applyAlignment="1">
      <alignment horizontal="left" vertical="center" wrapText="1"/>
    </xf>
    <xf numFmtId="0" fontId="56" fillId="0" borderId="74" xfId="0" applyFont="1" applyFill="1" applyBorder="1" applyAlignment="1">
      <alignment horizontal="left" vertical="center"/>
    </xf>
    <xf numFmtId="49" fontId="56" fillId="0" borderId="74" xfId="0" applyNumberFormat="1" applyFont="1" applyFill="1" applyBorder="1" applyAlignment="1">
      <alignment horizontal="left" vertical="center"/>
    </xf>
    <xf numFmtId="0" fontId="59" fillId="0" borderId="74" xfId="0" applyFont="1" applyFill="1" applyBorder="1" applyAlignment="1">
      <alignment horizontal="center" vertical="center" wrapText="1"/>
    </xf>
    <xf numFmtId="1" fontId="60" fillId="16" borderId="97" xfId="0" applyNumberFormat="1" applyFont="1" applyFill="1" applyBorder="1" applyAlignment="1">
      <alignment horizontal="center" vertical="center" wrapText="1"/>
    </xf>
    <xf numFmtId="170" fontId="0" fillId="0" borderId="0" xfId="0" applyNumberFormat="1" applyFill="1" applyBorder="1" applyProtection="1"/>
    <xf numFmtId="170" fontId="53" fillId="0" borderId="0" xfId="0" applyNumberFormat="1" applyFont="1" applyFill="1" applyBorder="1" applyAlignment="1" applyProtection="1"/>
    <xf numFmtId="0" fontId="53" fillId="0" borderId="0" xfId="0" applyFont="1" applyFill="1" applyBorder="1" applyAlignment="1">
      <alignment horizontal="right" vertical="center"/>
    </xf>
    <xf numFmtId="170" fontId="53" fillId="0" borderId="0" xfId="0" applyNumberFormat="1" applyFont="1" applyFill="1" applyBorder="1" applyAlignment="1" applyProtection="1">
      <alignment vertical="center"/>
    </xf>
    <xf numFmtId="170" fontId="53" fillId="0" borderId="0" xfId="0" applyNumberFormat="1" applyFont="1" applyFill="1" applyBorder="1" applyAlignment="1" applyProtection="1">
      <alignment horizontal="right" vertical="center"/>
    </xf>
    <xf numFmtId="170" fontId="55" fillId="0" borderId="0" xfId="0" applyNumberFormat="1" applyFont="1" applyFill="1" applyBorder="1" applyAlignment="1" applyProtection="1"/>
    <xf numFmtId="170" fontId="55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ill="1" applyBorder="1" applyProtection="1"/>
    <xf numFmtId="169" fontId="0" fillId="0" borderId="0" xfId="0" applyNumberFormat="1" applyFill="1" applyBorder="1" applyProtection="1"/>
    <xf numFmtId="0" fontId="2" fillId="2" borderId="35" xfId="0" applyNumberFormat="1" applyFont="1" applyFill="1" applyBorder="1" applyAlignment="1">
      <alignment horizontal="center" vertical="center" wrapText="1" shrinkToFit="1"/>
    </xf>
    <xf numFmtId="0" fontId="33" fillId="0" borderId="87" xfId="0" applyNumberFormat="1" applyFont="1" applyFill="1" applyBorder="1" applyAlignment="1">
      <alignment horizontal="left" vertical="center" wrapText="1"/>
    </xf>
    <xf numFmtId="0" fontId="31" fillId="0" borderId="16" xfId="0" applyNumberFormat="1" applyFont="1" applyFill="1" applyBorder="1" applyAlignment="1" applyProtection="1">
      <alignment horizontal="left" vertical="center"/>
    </xf>
    <xf numFmtId="0" fontId="56" fillId="0" borderId="0" xfId="0" applyFont="1" applyFill="1" applyBorder="1" applyAlignment="1">
      <alignment horizontal="left" vertical="center" wrapText="1"/>
    </xf>
    <xf numFmtId="0" fontId="33" fillId="0" borderId="74" xfId="0" applyFont="1" applyFill="1" applyBorder="1" applyAlignment="1">
      <alignment horizontal="left" vertical="center" wrapText="1"/>
    </xf>
    <xf numFmtId="0" fontId="2" fillId="0" borderId="94" xfId="0" applyNumberFormat="1" applyFont="1" applyFill="1" applyBorder="1" applyAlignment="1">
      <alignment horizontal="center" vertical="center" shrinkToFit="1"/>
    </xf>
    <xf numFmtId="0" fontId="53" fillId="0" borderId="0" xfId="0" applyNumberFormat="1" applyFont="1" applyFill="1" applyBorder="1" applyAlignment="1">
      <alignment horizontal="right" vertical="center"/>
    </xf>
    <xf numFmtId="0" fontId="53" fillId="0" borderId="0" xfId="0" applyNumberFormat="1" applyFont="1" applyFill="1" applyBorder="1" applyAlignment="1">
      <alignment horizontal="left"/>
    </xf>
    <xf numFmtId="0" fontId="27" fillId="0" borderId="16" xfId="0" applyNumberFormat="1" applyFont="1" applyFill="1" applyBorder="1" applyAlignment="1" applyProtection="1">
      <alignment horizontal="left" vertical="center"/>
    </xf>
    <xf numFmtId="14" fontId="0" fillId="0" borderId="0" xfId="0" applyNumberFormat="1"/>
    <xf numFmtId="0" fontId="31" fillId="0" borderId="16" xfId="0" applyFont="1" applyBorder="1" applyAlignment="1">
      <alignment wrapText="1"/>
    </xf>
    <xf numFmtId="49" fontId="56" fillId="0" borderId="16" xfId="0" applyNumberFormat="1" applyFont="1" applyFill="1" applyBorder="1" applyAlignment="1">
      <alignment horizontal="left" vertical="center" wrapText="1"/>
    </xf>
    <xf numFmtId="49" fontId="0" fillId="0" borderId="16" xfId="0" applyNumberFormat="1" applyFill="1" applyBorder="1" applyAlignment="1" applyProtection="1">
      <alignment wrapText="1"/>
    </xf>
    <xf numFmtId="172" fontId="0" fillId="0" borderId="16" xfId="0" applyNumberFormat="1" applyFill="1" applyBorder="1" applyAlignment="1" applyProtection="1">
      <alignment wrapText="1"/>
    </xf>
    <xf numFmtId="170" fontId="0" fillId="0" borderId="16" xfId="0" applyNumberFormat="1" applyFill="1" applyBorder="1" applyAlignment="1" applyProtection="1">
      <alignment wrapText="1"/>
    </xf>
    <xf numFmtId="0" fontId="0" fillId="0" borderId="16" xfId="0" applyNumberFormat="1" applyFill="1" applyBorder="1" applyAlignment="1" applyProtection="1">
      <alignment wrapText="1"/>
    </xf>
    <xf numFmtId="169" fontId="0" fillId="0" borderId="16" xfId="0" applyNumberFormat="1" applyFill="1" applyBorder="1" applyAlignment="1" applyProtection="1">
      <alignment wrapText="1"/>
    </xf>
    <xf numFmtId="0" fontId="33" fillId="0" borderId="104" xfId="0" applyNumberFormat="1" applyFont="1" applyFill="1" applyBorder="1" applyAlignment="1">
      <alignment horizontal="left" vertical="center" wrapText="1"/>
    </xf>
    <xf numFmtId="0" fontId="33" fillId="0" borderId="16" xfId="0" applyFont="1" applyFill="1" applyBorder="1" applyAlignment="1" applyProtection="1">
      <alignment horizontal="left" vertical="center"/>
    </xf>
    <xf numFmtId="0" fontId="2" fillId="2" borderId="35" xfId="0" applyNumberFormat="1" applyFont="1" applyFill="1" applyBorder="1" applyAlignment="1">
      <alignment horizontal="center" vertical="center" shrinkToFit="1"/>
    </xf>
    <xf numFmtId="3" fontId="27" fillId="0" borderId="16" xfId="0" applyNumberFormat="1" applyFont="1" applyFill="1" applyBorder="1" applyAlignment="1">
      <alignment horizontal="right" vertical="center" wrapText="1"/>
    </xf>
    <xf numFmtId="0" fontId="33" fillId="0" borderId="16" xfId="20" applyNumberFormat="1" applyFont="1" applyFill="1" applyBorder="1" applyAlignment="1" applyProtection="1">
      <alignment horizontal="left" vertical="center" wrapText="1"/>
    </xf>
    <xf numFmtId="4" fontId="0" fillId="0" borderId="0" xfId="0" applyNumberFormat="1" applyFill="1" applyBorder="1" applyProtection="1"/>
    <xf numFmtId="3" fontId="0" fillId="0" borderId="16" xfId="0" applyNumberFormat="1" applyFill="1" applyBorder="1" applyAlignment="1" applyProtection="1">
      <alignment wrapText="1"/>
    </xf>
    <xf numFmtId="4" fontId="0" fillId="0" borderId="16" xfId="0" applyNumberFormat="1" applyFill="1" applyBorder="1" applyAlignment="1" applyProtection="1">
      <alignment wrapText="1"/>
    </xf>
    <xf numFmtId="0" fontId="56" fillId="0" borderId="16" xfId="0" applyNumberFormat="1" applyFont="1" applyFill="1" applyBorder="1" applyAlignment="1" applyProtection="1">
      <alignment horizontal="left" vertical="center"/>
    </xf>
    <xf numFmtId="49" fontId="56" fillId="0" borderId="16" xfId="0" applyNumberFormat="1" applyFont="1" applyFill="1" applyBorder="1" applyAlignment="1" applyProtection="1">
      <alignment horizontal="left" vertical="center" wrapText="1"/>
    </xf>
    <xf numFmtId="0" fontId="56" fillId="0" borderId="74" xfId="0" applyNumberFormat="1" applyFont="1" applyFill="1" applyBorder="1" applyAlignment="1" applyProtection="1">
      <alignment horizontal="left" vertical="center"/>
    </xf>
    <xf numFmtId="49" fontId="56" fillId="0" borderId="74" xfId="0" applyNumberFormat="1" applyFont="1" applyFill="1" applyBorder="1" applyAlignment="1" applyProtection="1">
      <alignment horizontal="left" vertical="center" wrapText="1"/>
    </xf>
    <xf numFmtId="0" fontId="33" fillId="0" borderId="74" xfId="0" applyNumberFormat="1" applyFont="1" applyFill="1" applyBorder="1" applyAlignment="1" applyProtection="1">
      <alignment horizontal="left" vertical="center" wrapText="1"/>
    </xf>
    <xf numFmtId="170" fontId="0" fillId="0" borderId="16" xfId="0" applyNumberFormat="1" applyFill="1" applyBorder="1" applyAlignment="1" applyProtection="1"/>
    <xf numFmtId="0" fontId="0" fillId="0" borderId="16" xfId="0" applyNumberFormat="1" applyFill="1" applyBorder="1" applyAlignment="1" applyProtection="1"/>
    <xf numFmtId="169" fontId="0" fillId="0" borderId="16" xfId="0" applyNumberFormat="1" applyFill="1" applyBorder="1" applyAlignment="1" applyProtection="1"/>
    <xf numFmtId="0" fontId="53" fillId="0" borderId="16" xfId="0" applyFont="1" applyFill="1" applyBorder="1" applyAlignment="1" applyProtection="1"/>
    <xf numFmtId="0" fontId="53" fillId="0" borderId="16" xfId="0" applyFont="1" applyFill="1" applyBorder="1" applyAlignment="1" applyProtection="1">
      <alignment horizontal="center" vertical="center"/>
    </xf>
    <xf numFmtId="0" fontId="54" fillId="0" borderId="16" xfId="0" applyFont="1" applyFill="1" applyBorder="1" applyAlignment="1" applyProtection="1"/>
    <xf numFmtId="0" fontId="55" fillId="0" borderId="16" xfId="0" applyFont="1" applyFill="1" applyBorder="1" applyAlignment="1" applyProtection="1"/>
    <xf numFmtId="0" fontId="55" fillId="0" borderId="16" xfId="0" applyFont="1" applyFill="1" applyBorder="1" applyAlignment="1" applyProtection="1">
      <alignment vertical="center"/>
    </xf>
    <xf numFmtId="0" fontId="56" fillId="0" borderId="83" xfId="0" applyFont="1" applyFill="1" applyBorder="1" applyAlignment="1">
      <alignment horizontal="left" vertical="center" wrapText="1"/>
    </xf>
    <xf numFmtId="0" fontId="56" fillId="0" borderId="83" xfId="0" applyNumberFormat="1" applyFont="1" applyFill="1" applyBorder="1" applyAlignment="1">
      <alignment horizontal="left" vertical="center" wrapText="1"/>
    </xf>
    <xf numFmtId="0" fontId="56" fillId="0" borderId="97" xfId="0" applyFont="1" applyFill="1" applyBorder="1" applyAlignment="1">
      <alignment horizontal="left" vertical="center" wrapText="1"/>
    </xf>
    <xf numFmtId="0" fontId="56" fillId="0" borderId="81" xfId="0" applyFont="1" applyFill="1" applyBorder="1" applyAlignment="1">
      <alignment horizontal="left" vertical="center" wrapText="1"/>
    </xf>
    <xf numFmtId="170" fontId="0" fillId="0" borderId="74" xfId="0" applyNumberFormat="1" applyFill="1" applyBorder="1" applyAlignment="1" applyProtection="1">
      <alignment horizontal="left"/>
    </xf>
    <xf numFmtId="169" fontId="0" fillId="0" borderId="74" xfId="0" applyNumberFormat="1" applyFill="1" applyBorder="1" applyProtection="1"/>
    <xf numFmtId="4" fontId="0" fillId="0" borderId="16" xfId="0" applyNumberFormat="1" applyFill="1" applyBorder="1" applyProtection="1"/>
    <xf numFmtId="0" fontId="53" fillId="0" borderId="16" xfId="0" applyNumberFormat="1" applyFont="1" applyFill="1" applyBorder="1" applyAlignment="1">
      <alignment horizontal="right" vertical="center"/>
    </xf>
    <xf numFmtId="169" fontId="53" fillId="0" borderId="16" xfId="0" applyNumberFormat="1" applyFont="1" applyFill="1" applyBorder="1" applyAlignment="1" applyProtection="1"/>
    <xf numFmtId="170" fontId="53" fillId="0" borderId="16" xfId="0" applyNumberFormat="1" applyFont="1" applyFill="1" applyBorder="1" applyAlignment="1" applyProtection="1"/>
    <xf numFmtId="170" fontId="54" fillId="0" borderId="16" xfId="0" applyNumberFormat="1" applyFont="1" applyFill="1" applyBorder="1" applyAlignment="1" applyProtection="1"/>
    <xf numFmtId="0" fontId="53" fillId="0" borderId="16" xfId="0" applyFont="1" applyFill="1" applyBorder="1" applyAlignment="1">
      <alignment horizontal="right" vertical="center"/>
    </xf>
    <xf numFmtId="170" fontId="53" fillId="0" borderId="16" xfId="0" applyNumberFormat="1" applyFont="1" applyFill="1" applyBorder="1" applyAlignment="1" applyProtection="1">
      <alignment vertical="center"/>
    </xf>
    <xf numFmtId="170" fontId="53" fillId="0" borderId="16" xfId="0" applyNumberFormat="1" applyFont="1" applyFill="1" applyBorder="1" applyAlignment="1" applyProtection="1">
      <alignment horizontal="right" vertical="center"/>
    </xf>
    <xf numFmtId="170" fontId="55" fillId="0" borderId="16" xfId="0" applyNumberFormat="1" applyFont="1" applyFill="1" applyBorder="1" applyAlignment="1" applyProtection="1"/>
    <xf numFmtId="169" fontId="55" fillId="0" borderId="16" xfId="0" applyNumberFormat="1" applyFont="1" applyFill="1" applyBorder="1" applyAlignment="1" applyProtection="1"/>
    <xf numFmtId="170" fontId="55" fillId="0" borderId="16" xfId="0" applyNumberFormat="1" applyFont="1" applyFill="1" applyBorder="1" applyAlignment="1" applyProtection="1">
      <alignment vertical="center"/>
    </xf>
    <xf numFmtId="169" fontId="55" fillId="0" borderId="16" xfId="0" applyNumberFormat="1" applyFont="1" applyFill="1" applyBorder="1" applyAlignment="1" applyProtection="1">
      <alignment vertical="center"/>
    </xf>
    <xf numFmtId="169" fontId="0" fillId="0" borderId="0" xfId="0" applyNumberFormat="1" applyFill="1" applyAlignment="1" applyProtection="1"/>
    <xf numFmtId="49" fontId="56" fillId="0" borderId="74" xfId="0" applyNumberFormat="1" applyFont="1" applyFill="1" applyBorder="1" applyAlignment="1">
      <alignment horizontal="left" vertical="center" wrapText="1"/>
    </xf>
    <xf numFmtId="170" fontId="56" fillId="0" borderId="74" xfId="0" applyNumberFormat="1" applyFont="1" applyFill="1" applyBorder="1" applyAlignment="1" applyProtection="1">
      <alignment horizontal="left" vertical="center" wrapText="1"/>
    </xf>
    <xf numFmtId="3" fontId="0" fillId="0" borderId="16" xfId="0" applyNumberFormat="1" applyFill="1" applyBorder="1" applyAlignment="1" applyProtection="1"/>
    <xf numFmtId="49" fontId="0" fillId="0" borderId="0" xfId="0" applyNumberFormat="1" applyFill="1" applyAlignment="1" applyProtection="1">
      <alignment horizontal="center" vertical="center" wrapText="1"/>
    </xf>
    <xf numFmtId="49" fontId="0" fillId="0" borderId="16" xfId="0" applyNumberFormat="1" applyFill="1" applyBorder="1" applyAlignment="1" applyProtection="1">
      <alignment horizontal="center" vertical="center" wrapText="1"/>
    </xf>
    <xf numFmtId="4" fontId="0" fillId="0" borderId="16" xfId="0" applyNumberFormat="1" applyFill="1" applyBorder="1" applyAlignment="1" applyProtection="1"/>
    <xf numFmtId="49" fontId="33" fillId="0" borderId="74" xfId="0" applyNumberFormat="1" applyFont="1" applyFill="1" applyBorder="1" applyAlignment="1">
      <alignment horizontal="left" vertical="center"/>
    </xf>
    <xf numFmtId="0" fontId="33" fillId="0" borderId="16" xfId="0" applyNumberFormat="1" applyFont="1" applyFill="1" applyBorder="1" applyAlignment="1" applyProtection="1">
      <alignment horizontal="left" vertical="center"/>
    </xf>
    <xf numFmtId="172" fontId="33" fillId="0" borderId="16" xfId="0" applyNumberFormat="1" applyFont="1" applyFill="1" applyBorder="1" applyAlignment="1" applyProtection="1">
      <alignment horizontal="left" vertical="center" wrapText="1"/>
    </xf>
    <xf numFmtId="49" fontId="33" fillId="0" borderId="16" xfId="0" applyNumberFormat="1" applyFont="1" applyFill="1" applyBorder="1" applyAlignment="1" applyProtection="1">
      <alignment horizontal="left" vertical="center" wrapText="1"/>
    </xf>
    <xf numFmtId="49" fontId="33" fillId="0" borderId="74" xfId="0" applyNumberFormat="1" applyFont="1" applyFill="1" applyBorder="1" applyAlignment="1" applyProtection="1">
      <alignment horizontal="left" vertical="center"/>
    </xf>
    <xf numFmtId="0" fontId="33" fillId="0" borderId="74" xfId="0" applyNumberFormat="1" applyFont="1" applyFill="1" applyBorder="1" applyAlignment="1" applyProtection="1">
      <alignment horizontal="left" vertical="center"/>
    </xf>
    <xf numFmtId="49" fontId="27" fillId="0" borderId="74" xfId="0" applyNumberFormat="1" applyFont="1" applyFill="1" applyBorder="1" applyAlignment="1" applyProtection="1">
      <alignment horizontal="left" vertical="center" wrapText="1"/>
    </xf>
    <xf numFmtId="172" fontId="33" fillId="0" borderId="74" xfId="0" applyNumberFormat="1" applyFont="1" applyFill="1" applyBorder="1" applyAlignment="1" applyProtection="1">
      <alignment horizontal="left" vertical="center" wrapText="1"/>
    </xf>
    <xf numFmtId="49" fontId="33" fillId="0" borderId="74" xfId="0" applyNumberFormat="1" applyFont="1" applyFill="1" applyBorder="1" applyAlignment="1" applyProtection="1">
      <alignment horizontal="left" vertical="center" wrapText="1"/>
    </xf>
    <xf numFmtId="170" fontId="33" fillId="0" borderId="74" xfId="0" applyNumberFormat="1" applyFont="1" applyFill="1" applyBorder="1" applyAlignment="1" applyProtection="1">
      <alignment horizontal="left" vertical="center"/>
    </xf>
    <xf numFmtId="0" fontId="41" fillId="0" borderId="74" xfId="0" applyFont="1" applyFill="1" applyBorder="1" applyAlignment="1">
      <alignment horizontal="center" vertical="center" wrapText="1"/>
    </xf>
    <xf numFmtId="170" fontId="0" fillId="0" borderId="74" xfId="0" applyNumberFormat="1" applyFill="1" applyBorder="1" applyAlignment="1" applyProtection="1"/>
    <xf numFmtId="0" fontId="0" fillId="0" borderId="74" xfId="0" applyNumberFormat="1" applyFill="1" applyBorder="1" applyAlignment="1" applyProtection="1"/>
    <xf numFmtId="0" fontId="61" fillId="2" borderId="35" xfId="0" applyNumberFormat="1" applyFont="1" applyFill="1" applyBorder="1" applyAlignment="1">
      <alignment horizontal="center" vertical="center" wrapText="1"/>
    </xf>
    <xf numFmtId="0" fontId="62" fillId="2" borderId="35" xfId="0" applyNumberFormat="1" applyFont="1" applyFill="1" applyBorder="1" applyAlignment="1">
      <alignment horizontal="center" vertical="center"/>
    </xf>
    <xf numFmtId="0" fontId="61" fillId="3" borderId="35" xfId="0" applyNumberFormat="1" applyFont="1" applyFill="1" applyBorder="1" applyAlignment="1">
      <alignment horizontal="center" vertical="center" wrapText="1"/>
    </xf>
    <xf numFmtId="0" fontId="61" fillId="0" borderId="35" xfId="0" applyNumberFormat="1" applyFont="1" applyFill="1" applyBorder="1" applyAlignment="1">
      <alignment horizontal="center" vertical="center" wrapText="1"/>
    </xf>
    <xf numFmtId="0" fontId="61" fillId="2" borderId="35" xfId="0" applyFont="1" applyFill="1" applyBorder="1" applyAlignment="1">
      <alignment horizontal="center" vertical="center" wrapText="1"/>
    </xf>
    <xf numFmtId="2" fontId="61" fillId="2" borderId="35" xfId="0" applyNumberFormat="1" applyFont="1" applyFill="1" applyBorder="1" applyAlignment="1">
      <alignment horizontal="center" vertical="center" wrapText="1"/>
    </xf>
    <xf numFmtId="14" fontId="61" fillId="0" borderId="35" xfId="0" applyNumberFormat="1" applyFont="1" applyFill="1" applyBorder="1" applyAlignment="1">
      <alignment horizontal="center" vertical="center" wrapText="1"/>
    </xf>
    <xf numFmtId="166" fontId="61" fillId="2" borderId="35" xfId="0" applyNumberFormat="1" applyFont="1" applyFill="1" applyBorder="1" applyAlignment="1">
      <alignment horizontal="center" vertical="center" wrapText="1"/>
    </xf>
    <xf numFmtId="166" fontId="61" fillId="0" borderId="35" xfId="0" applyNumberFormat="1" applyFont="1" applyFill="1" applyBorder="1" applyAlignment="1">
      <alignment horizontal="center" vertical="center" wrapText="1"/>
    </xf>
    <xf numFmtId="168" fontId="61" fillId="2" borderId="35" xfId="0" applyNumberFormat="1" applyFont="1" applyFill="1" applyBorder="1" applyAlignment="1">
      <alignment horizontal="center" vertical="center" wrapText="1"/>
    </xf>
    <xf numFmtId="3" fontId="61" fillId="0" borderId="35" xfId="0" applyNumberFormat="1" applyFont="1" applyFill="1" applyBorder="1" applyAlignment="1">
      <alignment horizontal="center" vertical="center" wrapText="1"/>
    </xf>
    <xf numFmtId="49" fontId="61" fillId="0" borderId="35" xfId="0" applyNumberFormat="1" applyFont="1" applyFill="1" applyBorder="1" applyAlignment="1">
      <alignment horizontal="center" vertical="center" wrapText="1"/>
    </xf>
    <xf numFmtId="168" fontId="61" fillId="0" borderId="35" xfId="0" applyNumberFormat="1" applyFont="1" applyFill="1" applyBorder="1" applyAlignment="1">
      <alignment horizontal="center" vertical="center" wrapText="1"/>
    </xf>
    <xf numFmtId="10" fontId="61" fillId="2" borderId="35" xfId="1" applyNumberFormat="1" applyFont="1" applyFill="1" applyBorder="1" applyAlignment="1">
      <alignment horizontal="center" vertical="center" wrapText="1"/>
    </xf>
    <xf numFmtId="168" fontId="61" fillId="0" borderId="35" xfId="0" applyNumberFormat="1" applyFont="1" applyFill="1" applyBorder="1" applyAlignment="1">
      <alignment horizontal="center" vertical="center"/>
    </xf>
    <xf numFmtId="165" fontId="63" fillId="0" borderId="35" xfId="0" applyNumberFormat="1" applyFont="1" applyFill="1" applyBorder="1" applyAlignment="1">
      <alignment horizontal="center" vertical="center"/>
    </xf>
    <xf numFmtId="165" fontId="61" fillId="0" borderId="94" xfId="0" applyNumberFormat="1" applyFont="1" applyFill="1" applyBorder="1" applyAlignment="1">
      <alignment horizontal="center" vertical="center" wrapText="1"/>
    </xf>
    <xf numFmtId="165" fontId="61" fillId="0" borderId="72" xfId="0" applyNumberFormat="1" applyFont="1" applyFill="1" applyBorder="1" applyAlignment="1">
      <alignment horizontal="center" vertical="center" wrapText="1"/>
    </xf>
    <xf numFmtId="49" fontId="61" fillId="0" borderId="72" xfId="0" applyNumberFormat="1" applyFont="1" applyFill="1" applyBorder="1" applyAlignment="1">
      <alignment horizontal="center" vertical="center" wrapText="1"/>
    </xf>
    <xf numFmtId="1" fontId="64" fillId="16" borderId="92" xfId="0" applyNumberFormat="1" applyFont="1" applyFill="1" applyBorder="1" applyAlignment="1">
      <alignment horizontal="center" vertical="center" wrapText="1"/>
    </xf>
    <xf numFmtId="0" fontId="2" fillId="17" borderId="0" xfId="0" applyNumberFormat="1" applyFont="1" applyFill="1" applyAlignment="1">
      <alignment horizontal="center" vertical="center"/>
    </xf>
    <xf numFmtId="0" fontId="48" fillId="0" borderId="0" xfId="0" applyNumberFormat="1" applyFont="1" applyAlignment="1">
      <alignment horizontal="center" vertical="center"/>
    </xf>
    <xf numFmtId="0" fontId="12" fillId="17" borderId="16" xfId="0" applyNumberFormat="1" applyFont="1" applyFill="1" applyBorder="1" applyAlignment="1">
      <alignment horizontal="center" vertical="center"/>
    </xf>
    <xf numFmtId="0" fontId="48" fillId="17" borderId="0" xfId="0" applyFont="1" applyFill="1" applyAlignment="1">
      <alignment horizontal="center" vertical="center"/>
    </xf>
    <xf numFmtId="0" fontId="47" fillId="17" borderId="0" xfId="0" applyNumberFormat="1" applyFont="1" applyFill="1" applyAlignment="1">
      <alignment horizontal="center" vertical="center"/>
    </xf>
    <xf numFmtId="0" fontId="37" fillId="16" borderId="16" xfId="0" applyFont="1" applyFill="1" applyBorder="1" applyAlignment="1">
      <alignment horizontal="center" vertical="center" textRotation="90" wrapText="1"/>
    </xf>
    <xf numFmtId="0" fontId="12" fillId="2" borderId="16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49" fontId="12" fillId="0" borderId="16" xfId="0" applyNumberFormat="1" applyFont="1" applyFill="1" applyBorder="1" applyAlignment="1">
      <alignment horizontal="center" vertical="center" wrapText="1"/>
    </xf>
    <xf numFmtId="0" fontId="36" fillId="0" borderId="16" xfId="19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7" fillId="11" borderId="70" xfId="0" applyFont="1" applyFill="1" applyBorder="1" applyAlignment="1">
      <alignment horizontal="center" vertical="center" wrapText="1"/>
    </xf>
    <xf numFmtId="0" fontId="7" fillId="11" borderId="78" xfId="0" applyFont="1" applyFill="1" applyBorder="1" applyAlignment="1">
      <alignment horizontal="center" vertical="center" wrapText="1"/>
    </xf>
    <xf numFmtId="0" fontId="7" fillId="11" borderId="76" xfId="0" applyFont="1" applyFill="1" applyBorder="1" applyAlignment="1">
      <alignment horizontal="center" vertical="center" wrapText="1"/>
    </xf>
    <xf numFmtId="0" fontId="7" fillId="11" borderId="75" xfId="0" applyFont="1" applyFill="1" applyBorder="1" applyAlignment="1">
      <alignment horizontal="center" vertical="center" wrapText="1"/>
    </xf>
    <xf numFmtId="0" fontId="7" fillId="11" borderId="32" xfId="0" applyFont="1" applyFill="1" applyBorder="1" applyAlignment="1">
      <alignment horizontal="center" vertical="center" wrapText="1"/>
    </xf>
    <xf numFmtId="0" fontId="7" fillId="11" borderId="77" xfId="0" applyFont="1" applyFill="1" applyBorder="1" applyAlignment="1">
      <alignment horizontal="center" vertical="center" wrapText="1"/>
    </xf>
    <xf numFmtId="0" fontId="7" fillId="2" borderId="66" xfId="0" applyNumberFormat="1" applyFont="1" applyFill="1" applyBorder="1" applyAlignment="1">
      <alignment horizontal="center" vertical="center" wrapText="1"/>
    </xf>
    <xf numFmtId="0" fontId="7" fillId="2" borderId="82" xfId="0" applyNumberFormat="1" applyFont="1" applyFill="1" applyBorder="1" applyAlignment="1">
      <alignment horizontal="center" vertical="center" wrapText="1"/>
    </xf>
    <xf numFmtId="0" fontId="7" fillId="2" borderId="39" xfId="0" applyNumberFormat="1" applyFont="1" applyFill="1" applyBorder="1" applyAlignment="1">
      <alignment horizontal="center" vertical="center" wrapText="1"/>
    </xf>
    <xf numFmtId="0" fontId="7" fillId="2" borderId="86" xfId="0" applyNumberFormat="1" applyFont="1" applyFill="1" applyBorder="1" applyAlignment="1">
      <alignment horizontal="center" vertical="center" wrapText="1"/>
    </xf>
    <xf numFmtId="0" fontId="7" fillId="2" borderId="79" xfId="0" applyNumberFormat="1" applyFont="1" applyFill="1" applyBorder="1" applyAlignment="1">
      <alignment horizontal="center" vertical="center" wrapText="1"/>
    </xf>
    <xf numFmtId="49" fontId="7" fillId="2" borderId="43" xfId="0" applyNumberFormat="1" applyFont="1" applyFill="1" applyBorder="1" applyAlignment="1">
      <alignment horizontal="center" vertical="center" wrapText="1"/>
    </xf>
    <xf numFmtId="0" fontId="7" fillId="9" borderId="70" xfId="0" applyFont="1" applyFill="1" applyBorder="1" applyAlignment="1">
      <alignment horizontal="center" vertical="center" wrapText="1"/>
    </xf>
    <xf numFmtId="0" fontId="7" fillId="9" borderId="78" xfId="0" applyFont="1" applyFill="1" applyBorder="1" applyAlignment="1">
      <alignment horizontal="center" vertical="center" wrapText="1"/>
    </xf>
    <xf numFmtId="0" fontId="7" fillId="9" borderId="76" xfId="0" applyFont="1" applyFill="1" applyBorder="1" applyAlignment="1">
      <alignment horizontal="center" vertical="center" wrapText="1"/>
    </xf>
    <xf numFmtId="0" fontId="7" fillId="9" borderId="75" xfId="0" applyFont="1" applyFill="1" applyBorder="1" applyAlignment="1">
      <alignment horizontal="center" vertical="center" wrapText="1"/>
    </xf>
    <xf numFmtId="0" fontId="7" fillId="9" borderId="32" xfId="0" applyFont="1" applyFill="1" applyBorder="1" applyAlignment="1">
      <alignment horizontal="center" vertical="center" wrapText="1"/>
    </xf>
    <xf numFmtId="0" fontId="7" fillId="9" borderId="77" xfId="0" applyFont="1" applyFill="1" applyBorder="1" applyAlignment="1">
      <alignment horizontal="center" vertical="center" wrapText="1"/>
    </xf>
    <xf numFmtId="0" fontId="7" fillId="3" borderId="70" xfId="0" applyFont="1" applyFill="1" applyBorder="1" applyAlignment="1">
      <alignment horizontal="center" vertical="center" wrapText="1"/>
    </xf>
    <xf numFmtId="0" fontId="7" fillId="3" borderId="78" xfId="0" applyFont="1" applyFill="1" applyBorder="1" applyAlignment="1">
      <alignment horizontal="center" vertical="center" wrapText="1"/>
    </xf>
    <xf numFmtId="0" fontId="7" fillId="3" borderId="76" xfId="0" applyFont="1" applyFill="1" applyBorder="1" applyAlignment="1">
      <alignment horizontal="center" vertical="center" wrapText="1"/>
    </xf>
    <xf numFmtId="0" fontId="7" fillId="3" borderId="75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77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7" borderId="45" xfId="0" applyFont="1" applyFill="1" applyBorder="1" applyAlignment="1">
      <alignment horizontal="center" vertical="center" wrapText="1"/>
    </xf>
    <xf numFmtId="0" fontId="7" fillId="7" borderId="40" xfId="0" applyFont="1" applyFill="1" applyBorder="1" applyAlignment="1">
      <alignment horizontal="center" vertical="center" wrapText="1"/>
    </xf>
    <xf numFmtId="0" fontId="7" fillId="10" borderId="70" xfId="0" applyFont="1" applyFill="1" applyBorder="1" applyAlignment="1">
      <alignment horizontal="center" vertical="center" wrapText="1"/>
    </xf>
    <xf numFmtId="0" fontId="7" fillId="10" borderId="78" xfId="0" applyFont="1" applyFill="1" applyBorder="1" applyAlignment="1">
      <alignment horizontal="center" vertical="center" wrapText="1"/>
    </xf>
    <xf numFmtId="0" fontId="7" fillId="10" borderId="76" xfId="0" applyFont="1" applyFill="1" applyBorder="1" applyAlignment="1">
      <alignment horizontal="center" vertical="center" wrapText="1"/>
    </xf>
    <xf numFmtId="0" fontId="7" fillId="10" borderId="75" xfId="0" applyFont="1" applyFill="1" applyBorder="1" applyAlignment="1">
      <alignment horizontal="center" vertical="center" wrapText="1"/>
    </xf>
    <xf numFmtId="0" fontId="7" fillId="10" borderId="32" xfId="0" applyFont="1" applyFill="1" applyBorder="1" applyAlignment="1">
      <alignment horizontal="center" vertical="center" wrapText="1"/>
    </xf>
    <xf numFmtId="0" fontId="7" fillId="10" borderId="77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0" fillId="16" borderId="91" xfId="0" applyFont="1" applyFill="1" applyBorder="1" applyAlignment="1">
      <alignment horizontal="center" vertical="center" textRotation="90" wrapText="1"/>
    </xf>
    <xf numFmtId="0" fontId="20" fillId="16" borderId="92" xfId="0" applyFont="1" applyFill="1" applyBorder="1" applyAlignment="1">
      <alignment horizontal="center" vertical="center" textRotation="90" wrapText="1"/>
    </xf>
    <xf numFmtId="0" fontId="2" fillId="17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17" borderId="11" xfId="0" applyFont="1" applyFill="1" applyBorder="1" applyAlignment="1">
      <alignment horizontal="center" vertical="center" wrapText="1"/>
    </xf>
    <xf numFmtId="0" fontId="2" fillId="17" borderId="13" xfId="0" applyFont="1" applyFill="1" applyBorder="1" applyAlignment="1">
      <alignment horizontal="center" vertical="center" wrapText="1"/>
    </xf>
    <xf numFmtId="0" fontId="2" fillId="17" borderId="14" xfId="0" applyFont="1" applyFill="1" applyBorder="1" applyAlignment="1">
      <alignment horizontal="center" vertical="center" wrapText="1"/>
    </xf>
    <xf numFmtId="0" fontId="2" fillId="17" borderId="7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72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7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left" vertical="center" wrapText="1"/>
    </xf>
    <xf numFmtId="0" fontId="6" fillId="0" borderId="55" xfId="0" applyFont="1" applyBorder="1" applyAlignment="1">
      <alignment horizontal="left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wrapText="1"/>
    </xf>
    <xf numFmtId="0" fontId="6" fillId="0" borderId="45" xfId="0" applyFont="1" applyBorder="1" applyAlignment="1">
      <alignment horizontal="center" wrapText="1"/>
    </xf>
    <xf numFmtId="0" fontId="6" fillId="0" borderId="33" xfId="0" applyFont="1" applyBorder="1" applyAlignment="1">
      <alignment horizontal="center" wrapText="1"/>
    </xf>
    <xf numFmtId="0" fontId="6" fillId="0" borderId="40" xfId="0" applyFont="1" applyBorder="1" applyAlignment="1">
      <alignment horizont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0" fillId="0" borderId="33" xfId="0" applyBorder="1" applyAlignment="1"/>
    <xf numFmtId="0" fontId="7" fillId="2" borderId="1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40" xfId="0" applyFont="1" applyFill="1" applyBorder="1" applyAlignment="1">
      <alignment horizontal="center" vertical="center" wrapText="1"/>
    </xf>
    <xf numFmtId="0" fontId="7" fillId="11" borderId="45" xfId="0" applyFont="1" applyFill="1" applyBorder="1" applyAlignment="1">
      <alignment horizontal="center" vertical="center" wrapText="1"/>
    </xf>
    <xf numFmtId="0" fontId="7" fillId="11" borderId="33" xfId="0" applyFont="1" applyFill="1" applyBorder="1" applyAlignment="1">
      <alignment horizontal="center" vertical="center" wrapText="1"/>
    </xf>
    <xf numFmtId="0" fontId="7" fillId="11" borderId="40" xfId="0" applyFont="1" applyFill="1" applyBorder="1" applyAlignment="1">
      <alignment horizontal="center" vertical="center" wrapText="1"/>
    </xf>
    <xf numFmtId="0" fontId="7" fillId="9" borderId="45" xfId="0" applyFont="1" applyFill="1" applyBorder="1" applyAlignment="1">
      <alignment horizontal="center" vertical="center" wrapText="1"/>
    </xf>
    <xf numFmtId="0" fontId="7" fillId="9" borderId="33" xfId="0" applyFont="1" applyFill="1" applyBorder="1" applyAlignment="1">
      <alignment horizontal="center" vertical="center" wrapText="1"/>
    </xf>
    <xf numFmtId="0" fontId="7" fillId="9" borderId="40" xfId="0" applyFont="1" applyFill="1" applyBorder="1" applyAlignment="1">
      <alignment horizontal="center" vertical="center" wrapText="1"/>
    </xf>
    <xf numFmtId="0" fontId="7" fillId="8" borderId="43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79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8" borderId="16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16" xfId="0" applyFont="1" applyFill="1" applyBorder="1" applyAlignment="1">
      <alignment horizontal="center" vertical="center" wrapText="1"/>
    </xf>
    <xf numFmtId="0" fontId="7" fillId="8" borderId="30" xfId="0" applyFont="1" applyFill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7" fillId="8" borderId="66" xfId="0" applyFont="1" applyFill="1" applyBorder="1" applyAlignment="1">
      <alignment horizontal="center" vertical="center" textRotation="90"/>
    </xf>
    <xf numFmtId="0" fontId="7" fillId="8" borderId="67" xfId="0" applyFont="1" applyFill="1" applyBorder="1" applyAlignment="1">
      <alignment horizontal="center" vertical="center" textRotation="90"/>
    </xf>
    <xf numFmtId="0" fontId="7" fillId="8" borderId="29" xfId="0" applyFont="1" applyFill="1" applyBorder="1" applyAlignment="1">
      <alignment horizontal="center" vertical="center" textRotation="90"/>
    </xf>
    <xf numFmtId="0" fontId="7" fillId="2" borderId="68" xfId="0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7" fillId="10" borderId="45" xfId="0" applyFont="1" applyFill="1" applyBorder="1" applyAlignment="1">
      <alignment horizontal="center" vertical="center" wrapText="1"/>
    </xf>
    <xf numFmtId="0" fontId="7" fillId="10" borderId="33" xfId="0" applyFont="1" applyFill="1" applyBorder="1" applyAlignment="1">
      <alignment horizontal="center" vertical="center" wrapText="1"/>
    </xf>
    <xf numFmtId="0" fontId="7" fillId="10" borderId="40" xfId="0" applyFont="1" applyFill="1" applyBorder="1" applyAlignment="1">
      <alignment horizontal="center" vertical="center" wrapText="1"/>
    </xf>
    <xf numFmtId="0" fontId="7" fillId="8" borderId="28" xfId="0" applyFont="1" applyFill="1" applyBorder="1" applyAlignment="1">
      <alignment horizontal="center" vertical="center" wrapText="1"/>
    </xf>
    <xf numFmtId="0" fontId="7" fillId="8" borderId="31" xfId="0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49" fontId="2" fillId="7" borderId="19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7" fillId="2" borderId="69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11" fillId="0" borderId="0" xfId="0" applyFont="1" applyFill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21">
    <cellStyle name="Excel Built-in Normal" xfId="9"/>
    <cellStyle name="TableStyleLight1" xfId="10"/>
    <cellStyle name="Гиперссылка" xfId="19" builtinId="8"/>
    <cellStyle name="Гиперссылка 2" xfId="3"/>
    <cellStyle name="Обычный" xfId="0" builtinId="0"/>
    <cellStyle name="Обычный 10 10" xfId="13"/>
    <cellStyle name="Обычный 2" xfId="6"/>
    <cellStyle name="Обычный 2 2" xfId="12"/>
    <cellStyle name="Обычный 2 3" xfId="14"/>
    <cellStyle name="Обычный 3" xfId="2"/>
    <cellStyle name="Обычный 3 2" xfId="8"/>
    <cellStyle name="Обычный 3 3" xfId="15"/>
    <cellStyle name="Обычный 6" xfId="18"/>
    <cellStyle name="Обычный 6 2" xfId="20"/>
    <cellStyle name="Процентный" xfId="1" builtinId="5"/>
    <cellStyle name="Процентный 2" xfId="7"/>
    <cellStyle name="Стиль 1" xfId="11"/>
    <cellStyle name="Финансовый" xfId="16" builtinId="3"/>
    <cellStyle name="Финансовый 2" xfId="5"/>
    <cellStyle name="Финансовый 3" xfId="4"/>
    <cellStyle name="Финансовый 3 2" xfId="17"/>
  </cellStyles>
  <dxfs count="104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499984740745262"/>
        <name val="Arial"/>
        <scheme val="none"/>
      </font>
      <numFmt numFmtId="1" formatCode="0"/>
      <fill>
        <patternFill patternType="solid">
          <fgColor indexed="64"/>
          <bgColor theme="1" tint="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5" formatCode="#,##0.00_р_.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5" formatCode="#,##0.00_р_.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rgb="FF000000"/>
        </top>
        <bottom style="thin">
          <color rgb="FF000000"/>
        </bottom>
        <vertical/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_р_.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4" formatCode="0.00%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8" formatCode="#\ ###\ ###\ ###\ ##0.00_р_.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419]mmmm\ yyyy;@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419]mmmm\ yyyy;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419]mmmm\ yyyy;@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2" formatCode="0.00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indexed="64"/>
          <bgColor theme="0" tint="-9.9978637043366805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30" formatCode="@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font>
        <color theme="0" tint="-9.9948118533890809E-2"/>
      </font>
    </dxf>
    <dxf>
      <font>
        <color theme="0" tint="-9.9948118533890809E-2"/>
      </font>
      <numFmt numFmtId="166" formatCode="[$-419]mmmm\ yyyy;@"/>
      <fill>
        <patternFill>
          <fgColor theme="0" tint="-9.9948118533890809E-2"/>
        </patternFill>
      </fill>
    </dxf>
    <dxf>
      <font>
        <color theme="0" tint="-9.9948118533890809E-2"/>
      </font>
      <numFmt numFmtId="166" formatCode="[$-419]mmmm\ 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499984740745262"/>
        <name val="Times New Roman"/>
        <scheme val="none"/>
      </font>
      <numFmt numFmtId="1" formatCode="0"/>
      <fill>
        <patternFill patternType="solid">
          <fgColor indexed="64"/>
          <bgColor theme="1" tint="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####################.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mmmm\ 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9" formatCode="mmmm\ 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####################.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####################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####################.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vertAlign val="baseline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rgb="FF000000"/>
        </left>
        <right style="thin">
          <color rgb="FF000000"/>
        </right>
      </border>
    </dxf>
    <dxf>
      <font>
        <strike val="0"/>
        <outline val="0"/>
        <shadow val="0"/>
        <vertAlign val="baseline"/>
        <name val="Times New Roman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numFmt numFmtId="30" formatCode="@"/>
      <fill>
        <patternFill patternType="solid">
          <fgColor indexed="64"/>
          <bgColor theme="0" tint="-9.9978637043366805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DDDDDD"/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1781175</xdr:colOff>
      <xdr:row>14</xdr:row>
      <xdr:rowOff>66675</xdr:rowOff>
    </xdr:from>
    <xdr:ext cx="184731" cy="264560"/>
    <xdr:sp macro="" textlink="">
      <xdr:nvSpPr>
        <xdr:cNvPr id="2" name="TextBox 1"/>
        <xdr:cNvSpPr txBox="1"/>
      </xdr:nvSpPr>
      <xdr:spPr>
        <a:xfrm>
          <a:off x="7820025" y="44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3;&#1086;&#1074;&#1072;&#1103;%20&#1087;&#1072;&#1087;&#1082;&#1072;%20(3)/2017/&#1055;&#1083;&#1072;&#1085;%20&#1079;&#1072;&#1082;&#1091;&#1087;&#1086;&#1082;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5;&#1051;&#1040;&#1053;%20&#1047;&#1040;&#1050;&#1059;&#1055;&#1054;&#1050;\2017\&#1048;&#1055;&#1047;%20&#1052;&#1040;&#1056;&#1058;%20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3;&#1086;&#1074;&#1072;&#1103;%20&#1087;&#1072;&#1087;&#1082;&#1072;%20(3)/2017/&#1080;&#1102;&#1083;&#1100;/&#1082;%2026%20&#1095;&#1080;&#1089;&#1083;&#1091;/&#1048;&#1055;&#1047;%20&#1048;&#1070;&#1053;&#1068;%20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3;&#1086;&#1074;&#1072;&#1103;%20&#1087;&#1072;&#1087;&#1082;&#1072;%20(3)/2017/&#1055;&#1083;&#1072;&#1085;%20&#1079;&#1072;&#1082;&#1091;&#1087;&#1086;&#1082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5;&#1051;&#1040;&#1053;%20&#1047;&#1040;&#1050;&#1059;&#1055;&#1054;&#1050;\2017\&#1048;&#1055;&#1047;%20&#1048;&#1070;&#1051;&#1068;%20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556-3\&#1054;&#1041;&#1052;&#1045;&#1053;\&#1042;%20&#1087;&#1083;&#1072;&#1085;\&#1048;&#1055;&#1047;%20&#1040;&#1042;&#1043;&#1059;&#1057;&#1058;%20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43;&#1072;&#1074;&#1088;&#1080;&#1096;&#1082;&#1077;&#1074;&#1080;&#1095;%20&#1052;.&#1071;\&#1087;&#1083;&#1072;&#1085;%20&#1043;&#1040;&#1042;&#1056;&#1048;&#1064;&#1050;&#1045;&#1042;&#1048;&#1063;%20&#1079;&#1072;&#1082;&#1091;&#1087;&#1086;&#1082;%20201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5;&#1051;&#1040;&#1053;%20&#1047;&#1040;&#1050;&#1059;&#1055;&#1054;&#1050;\2017\&#1048;&#1055;&#1047;_20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556-3\&#1054;&#1041;&#1052;&#1045;&#1053;\&#1042;%20&#1087;&#1083;&#1072;&#1085;\&#1048;&#1055;&#1047;%20&#1042;&#1085;&#1077;&#1089;&#1077;&#1085;&#1080;&#1077;%20&#1045;&#1055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556-3\&#1054;&#1041;&#1052;&#1045;&#1053;\&#1042;%20&#1087;&#1083;&#1072;&#1085;\&#1048;&#1055;&#1047;%20&#1042;&#1085;&#1077;&#1089;&#1077;&#1085;&#1080;&#1077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47;-2017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.O.Aksenov/&#1056;&#1072;&#1073;&#1086;&#1095;&#1080;&#1081;%20&#1089;&#1090;&#1086;&#1083;/&#1087;&#1083;&#1072;&#1085;&#1080;&#1088;&#1086;&#1074;&#1072;&#1085;&#1080;&#1077;-&#1086;&#1090;&#1095;&#1077;&#1090;&#1085;&#1086;&#1089;&#1090;&#1100;/&#1055;&#1086;&#1083;&#1086;&#1078;&#1077;&#1085;&#1080;&#1077;%20&#1086;%20&#1087;&#1086;&#1088;&#1103;&#1076;&#1082;&#1077;%20&#1087;&#1083;&#1072;&#1085;&#1080;&#1088;&#1086;&#1074;&#1072;&#1085;&#1080;&#1103;/&#1055;&#1088;&#1072;&#1074;&#1082;&#1080;%2001.11.16/&#1060;&#1086;&#1088;&#1084;&#1072;%20&#1056;&#1055;&#1047;%20&#1092;&#1086;&#1088;&#1084;&#1099;%20&#1086;&#1090;&#1095;&#1077;&#1090;&#1086;&#1074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90;&#1076;&#1077;&#1083;%20700_&#1048;&#1055;&#1047;%20&#1085;&#1072;%202017%20&#1075;&#1086;&#1076;%20(1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6;&#1055;&#1047;%202017\&#1055;&#1051;&#1040;&#1053;_&#1047;&#1040;&#1050;&#1059;&#1055;&#1054;&#1050;_2017_&#1075;&#1088;.&#1086;&#1073;&#1086;&#1088;&#1091;&#1076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48;&#1055;&#1047;_2017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3;&#1072;&#1085;%20&#1079;&#1072;&#1082;&#1091;&#1087;&#1086;&#1082;_2017_36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3;&#1072;&#1085;%20&#1079;&#1072;&#1082;&#1091;&#1087;&#1086;&#1082;%20920-2017%20&#1053;&#1086;&#1074;&#1072;&#1103;%20&#1092;&#1086;&#1088;&#1084;&#1072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90;&#1072;&#1085;&#1077;%20&#1055;&#1047;\&#1064;&#1072;&#1073;&#1083;&#1086;&#1085;%20&#1087;&#1083;&#1072;&#1085;&#1072;%20&#1079;&#1072;&#1082;&#1091;&#1087;&#1086;&#1082;%20&#1084;&#1077;&#1090;&#1072;&#1083;&#1083;&#1086;&#1086;&#1088;&#1075;&#1072;&#1085;&#1080;&#1082;&#107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96;&#1072;&#1073;&#1083;&#1086;&#1085;&#1099;/9%20&#1055;&#1047;%20&#1085;&#1072;%20&#1084;&#1072;&#1081;%202016&#1075;.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5;&#1051;&#1040;&#1053;%20&#1047;&#1040;&#1050;&#1059;&#1055;&#1054;&#1050;\2017\&#1048;&#1055;&#1047;%20&#1048;&#1070;&#1053;&#1068;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47;-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3;&#1072;&#1085;%20&#1079;&#1072;&#1082;&#1091;&#1087;&#1086;&#1082;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84;&#1072;&#1088;&#1090;/&#1074;&#1077;&#1088;&#1086;&#1103;&#1090;&#1085;&#1086;%206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3;&#1072;&#1085;%20&#1079;&#1072;&#1082;&#1091;&#1087;&#1086;&#1082;%202017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64;&#1072;&#1073;&#1083;&#1086;&#1085;%20&#1087;&#1083;&#1072;&#1085;&#1072;%20&#1079;&#1072;&#1082;&#1091;&#1087;&#1086;&#1082;%20&#1060;&#1086;&#1085;&#1086;&#1085;&#1099;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84;&#1072;&#1088;&#1090;-&#1072;&#1087;&#1088;&#1077;&#1083;&#1100;/&#1048;&#1055;&#1047;%20&#1040;&#1055;&#1056;&#1045;&#1051;&#1068;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48;&#1055;&#1047;%20&#1048;&#1070;&#1053;&#1068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  <sheetName val="окпд 2"/>
    </sheetNames>
    <sheetDataSet>
      <sheetData sheetId="0"/>
      <sheetData sheetId="1">
        <row r="1">
          <cell r="A1" t="str">
            <v>643. Российский рубль</v>
          </cell>
        </row>
        <row r="2">
          <cell r="A2" t="str">
            <v>840. Доллар США</v>
          </cell>
        </row>
        <row r="3">
          <cell r="A3" t="str">
            <v>000. % (процент)</v>
          </cell>
        </row>
        <row r="4">
          <cell r="A4" t="str">
            <v>978. Евро</v>
          </cell>
        </row>
        <row r="5">
          <cell r="A5" t="str">
            <v>008. Лек</v>
          </cell>
        </row>
        <row r="6">
          <cell r="A6" t="str">
            <v>012. Алжирский динар</v>
          </cell>
        </row>
        <row r="7">
          <cell r="A7" t="str">
            <v>032. Аргентинское песо</v>
          </cell>
        </row>
        <row r="8">
          <cell r="A8" t="str">
            <v>036. Австралийский доллар</v>
          </cell>
        </row>
        <row r="9">
          <cell r="A9" t="str">
            <v>044. Багамский доллар</v>
          </cell>
        </row>
        <row r="10">
          <cell r="A10" t="str">
            <v>048. Бахрейнский динар</v>
          </cell>
        </row>
        <row r="11">
          <cell r="A11" t="str">
            <v>050. Така</v>
          </cell>
        </row>
        <row r="12">
          <cell r="A12" t="str">
            <v>051. Армянский драм</v>
          </cell>
        </row>
        <row r="13">
          <cell r="A13" t="str">
            <v>052. Барбадосский доллар</v>
          </cell>
        </row>
        <row r="14">
          <cell r="A14" t="str">
            <v>060. Бермудский доллар</v>
          </cell>
        </row>
        <row r="15">
          <cell r="A15" t="str">
            <v>064. Нгултрум</v>
          </cell>
        </row>
        <row r="16">
          <cell r="A16" t="str">
            <v>068. Боливиано</v>
          </cell>
        </row>
        <row r="17">
          <cell r="A17" t="str">
            <v>072. Пула</v>
          </cell>
        </row>
        <row r="18">
          <cell r="A18" t="str">
            <v>084. Белизский доллар</v>
          </cell>
        </row>
        <row r="19">
          <cell r="A19" t="str">
            <v>090. Доллар Соломоновых Островов</v>
          </cell>
        </row>
        <row r="20">
          <cell r="A20" t="str">
            <v>096. Брунейский доллар</v>
          </cell>
        </row>
        <row r="21">
          <cell r="A21" t="str">
            <v>104. Кьят</v>
          </cell>
        </row>
        <row r="22">
          <cell r="A22" t="str">
            <v>108. Бурундийский франк</v>
          </cell>
        </row>
        <row r="23">
          <cell r="A23" t="str">
            <v>116. Риель</v>
          </cell>
        </row>
        <row r="24">
          <cell r="A24" t="str">
            <v>124. Канадский доллар</v>
          </cell>
        </row>
        <row r="25">
          <cell r="A25" t="str">
            <v>132. Эскудо Кабо-Верде</v>
          </cell>
        </row>
        <row r="26">
          <cell r="A26" t="str">
            <v>136. Доллар Островов Кайман</v>
          </cell>
        </row>
        <row r="27">
          <cell r="A27" t="str">
            <v>144. Шри-Ланкийская рупия</v>
          </cell>
        </row>
        <row r="28">
          <cell r="A28" t="str">
            <v>152. Чилийское песо</v>
          </cell>
        </row>
        <row r="29">
          <cell r="A29" t="str">
            <v>156. Юань Жэньминьби</v>
          </cell>
        </row>
        <row r="30">
          <cell r="A30" t="str">
            <v>170. Колумбийское песо</v>
          </cell>
        </row>
        <row r="31">
          <cell r="A31" t="str">
            <v>174. Франк Комор</v>
          </cell>
        </row>
        <row r="32">
          <cell r="A32" t="str">
            <v>188. Костариканский колон</v>
          </cell>
        </row>
        <row r="33">
          <cell r="A33" t="str">
            <v>191. Хорватская куна</v>
          </cell>
        </row>
        <row r="34">
          <cell r="A34" t="str">
            <v>192. Кубинское песо</v>
          </cell>
        </row>
        <row r="35">
          <cell r="A35" t="str">
            <v>196. Кипрский фунт</v>
          </cell>
        </row>
        <row r="36">
          <cell r="A36" t="str">
            <v>203. Чешская крона</v>
          </cell>
        </row>
        <row r="37">
          <cell r="A37" t="str">
            <v>208. Датская крона</v>
          </cell>
        </row>
        <row r="38">
          <cell r="A38" t="str">
            <v>214. Доминиканское песо</v>
          </cell>
        </row>
        <row r="39">
          <cell r="A39" t="str">
            <v>222. Сальвадорский колон</v>
          </cell>
        </row>
        <row r="40">
          <cell r="A40" t="str">
            <v>230. Эфиопский быр</v>
          </cell>
        </row>
        <row r="41">
          <cell r="A41" t="str">
            <v>232. Накфа</v>
          </cell>
        </row>
        <row r="42">
          <cell r="A42" t="str">
            <v>233. Крона</v>
          </cell>
        </row>
        <row r="43">
          <cell r="A43" t="str">
            <v>238. Фунт Фолклендских островов</v>
          </cell>
        </row>
        <row r="44">
          <cell r="A44" t="str">
            <v>242. Доллар Фиджи</v>
          </cell>
        </row>
        <row r="45">
          <cell r="A45" t="str">
            <v>262. Франк Джибути</v>
          </cell>
        </row>
        <row r="46">
          <cell r="A46" t="str">
            <v>270. Даласи</v>
          </cell>
        </row>
        <row r="47">
          <cell r="A47" t="str">
            <v>288. Седи</v>
          </cell>
        </row>
        <row r="48">
          <cell r="A48" t="str">
            <v>292. Гибралтарский фунт</v>
          </cell>
        </row>
        <row r="49">
          <cell r="A49" t="str">
            <v>320. Кетсаль</v>
          </cell>
        </row>
        <row r="50">
          <cell r="A50" t="str">
            <v>324. Гвинейский франк</v>
          </cell>
        </row>
        <row r="51">
          <cell r="A51" t="str">
            <v>328. Гайанский доллар</v>
          </cell>
        </row>
        <row r="52">
          <cell r="A52" t="str">
            <v>332. Гурд</v>
          </cell>
        </row>
        <row r="53">
          <cell r="A53" t="str">
            <v>340. Лемпира</v>
          </cell>
        </row>
        <row r="54">
          <cell r="A54" t="str">
            <v>344. Гонконгский доллар</v>
          </cell>
        </row>
        <row r="55">
          <cell r="A55" t="str">
            <v>348. Форинт</v>
          </cell>
        </row>
        <row r="56">
          <cell r="A56" t="str">
            <v>352. Исландская крона</v>
          </cell>
        </row>
        <row r="57">
          <cell r="A57" t="str">
            <v>356. Индийская рупия</v>
          </cell>
        </row>
        <row r="58">
          <cell r="A58" t="str">
            <v>360. Рупия</v>
          </cell>
        </row>
        <row r="59">
          <cell r="A59" t="str">
            <v>364. Иранский риал</v>
          </cell>
        </row>
        <row r="60">
          <cell r="A60" t="str">
            <v>368. Иракский динар</v>
          </cell>
        </row>
        <row r="61">
          <cell r="A61" t="str">
            <v>376. Новый израильский шекель</v>
          </cell>
        </row>
        <row r="62">
          <cell r="A62" t="str">
            <v>388. Ямайский доллар</v>
          </cell>
        </row>
        <row r="63">
          <cell r="A63" t="str">
            <v>392. Йена</v>
          </cell>
        </row>
        <row r="64">
          <cell r="A64" t="str">
            <v>398. Тенге</v>
          </cell>
        </row>
        <row r="65">
          <cell r="A65" t="str">
            <v>400. Иорданский динар</v>
          </cell>
        </row>
        <row r="66">
          <cell r="A66" t="str">
            <v>404. Кенийский шиллинг</v>
          </cell>
        </row>
        <row r="67">
          <cell r="A67" t="str">
            <v>408. Северо-корейская вона</v>
          </cell>
        </row>
        <row r="68">
          <cell r="A68" t="str">
            <v>410. Вона</v>
          </cell>
        </row>
        <row r="69">
          <cell r="A69" t="str">
            <v>414. Кувейтский динар</v>
          </cell>
        </row>
        <row r="70">
          <cell r="A70" t="str">
            <v>417. Сом</v>
          </cell>
        </row>
        <row r="71">
          <cell r="A71" t="str">
            <v>418. Кип</v>
          </cell>
        </row>
        <row r="72">
          <cell r="A72" t="str">
            <v>422. Ливанский фунт</v>
          </cell>
        </row>
        <row r="73">
          <cell r="A73" t="str">
            <v>426. Лоти</v>
          </cell>
        </row>
        <row r="74">
          <cell r="A74" t="str">
            <v>428. Латвийский лат</v>
          </cell>
        </row>
        <row r="75">
          <cell r="A75" t="str">
            <v>430. Либерийский доллар</v>
          </cell>
        </row>
        <row r="76">
          <cell r="A76" t="str">
            <v>434. Ливийский динар</v>
          </cell>
        </row>
        <row r="77">
          <cell r="A77" t="str">
            <v>44 . 444</v>
          </cell>
        </row>
        <row r="78">
          <cell r="A78" t="str">
            <v>440. Литовский лит</v>
          </cell>
        </row>
        <row r="79">
          <cell r="A79" t="str">
            <v>446. Патака</v>
          </cell>
        </row>
        <row r="80">
          <cell r="A80" t="str">
            <v>454. Квача</v>
          </cell>
        </row>
        <row r="81">
          <cell r="A81" t="str">
            <v>458. Малайзийский ринггит</v>
          </cell>
        </row>
        <row r="82">
          <cell r="A82" t="str">
            <v>462. Руфия</v>
          </cell>
        </row>
        <row r="83">
          <cell r="A83" t="str">
            <v>470. Мальтийская лира</v>
          </cell>
        </row>
        <row r="84">
          <cell r="A84" t="str">
            <v>478. Угия</v>
          </cell>
        </row>
        <row r="85">
          <cell r="A85" t="str">
            <v>480. Маврикийская рупия</v>
          </cell>
        </row>
        <row r="86">
          <cell r="A86" t="str">
            <v>484. Мексиканское песо</v>
          </cell>
        </row>
        <row r="87">
          <cell r="A87" t="str">
            <v>496. Тугрик</v>
          </cell>
        </row>
        <row r="88">
          <cell r="A88" t="str">
            <v>498. Молдавский лей</v>
          </cell>
        </row>
        <row r="89">
          <cell r="A89" t="str">
            <v>504. Марокканский дирхам</v>
          </cell>
        </row>
        <row r="90">
          <cell r="A90" t="str">
            <v>512. Оманский риал</v>
          </cell>
        </row>
        <row r="91">
          <cell r="A91" t="str">
            <v>516. Доллар Намибии</v>
          </cell>
        </row>
        <row r="92">
          <cell r="A92" t="str">
            <v>524. Непальская рупия</v>
          </cell>
        </row>
        <row r="93">
          <cell r="A93" t="str">
            <v>532. Нидерландский антильский гульден</v>
          </cell>
        </row>
        <row r="94">
          <cell r="A94" t="str">
            <v>533. Арубанский гульден</v>
          </cell>
        </row>
        <row r="95">
          <cell r="A95" t="str">
            <v>548. Вату</v>
          </cell>
        </row>
        <row r="96">
          <cell r="A96" t="str">
            <v>554. Новозеландский доллар</v>
          </cell>
        </row>
        <row r="97">
          <cell r="A97" t="str">
            <v>558. Золотая кордоба</v>
          </cell>
        </row>
        <row r="98">
          <cell r="A98" t="str">
            <v>566. Найра</v>
          </cell>
        </row>
        <row r="99">
          <cell r="A99" t="str">
            <v>578. Норвежская крона</v>
          </cell>
        </row>
        <row r="100">
          <cell r="A100" t="str">
            <v>586. Пакистанская рупия</v>
          </cell>
        </row>
        <row r="101">
          <cell r="A101" t="str">
            <v>590. Бальбоа</v>
          </cell>
        </row>
        <row r="102">
          <cell r="A102" t="str">
            <v>598. Кина</v>
          </cell>
        </row>
        <row r="103">
          <cell r="A103" t="str">
            <v>600. Гуарани</v>
          </cell>
        </row>
        <row r="104">
          <cell r="A104" t="str">
            <v>604. Новый соль</v>
          </cell>
        </row>
        <row r="105">
          <cell r="A105" t="str">
            <v>608. Филиппинское песо</v>
          </cell>
        </row>
        <row r="106">
          <cell r="A106" t="str">
            <v>624. Песо Гвинеи-Бисау</v>
          </cell>
        </row>
        <row r="107">
          <cell r="A107" t="str">
            <v>634. Катарский риал</v>
          </cell>
        </row>
        <row r="108">
          <cell r="A108" t="str">
            <v>646. Франк Руанды</v>
          </cell>
        </row>
        <row r="109">
          <cell r="A109" t="str">
            <v>654. Фунт Святой Елены</v>
          </cell>
        </row>
        <row r="110">
          <cell r="A110" t="str">
            <v>678. Добра</v>
          </cell>
        </row>
        <row r="111">
          <cell r="A111" t="str">
            <v>682. Саудовский риял</v>
          </cell>
        </row>
        <row r="112">
          <cell r="A112" t="str">
            <v>690. Сейшельская рупия</v>
          </cell>
        </row>
        <row r="113">
          <cell r="A113" t="str">
            <v>694. Леоне</v>
          </cell>
        </row>
        <row r="114">
          <cell r="A114" t="str">
            <v>702. Сингапурский доллар</v>
          </cell>
        </row>
        <row r="115">
          <cell r="A115" t="str">
            <v>703. Словацкая крона</v>
          </cell>
        </row>
        <row r="116">
          <cell r="A116" t="str">
            <v>704. Донг</v>
          </cell>
        </row>
        <row r="117">
          <cell r="A117" t="str">
            <v>706. Сомалийский шиллинг</v>
          </cell>
        </row>
        <row r="118">
          <cell r="A118" t="str">
            <v>710. Рэнд</v>
          </cell>
        </row>
        <row r="119">
          <cell r="A119" t="str">
            <v>716. Доллар Зимбабве</v>
          </cell>
        </row>
        <row r="120">
          <cell r="A120" t="str">
            <v>736. Суданский динар</v>
          </cell>
        </row>
        <row r="121">
          <cell r="A121" t="str">
            <v>748. Лилангени</v>
          </cell>
        </row>
        <row r="122">
          <cell r="A122" t="str">
            <v>752. Шведская крона</v>
          </cell>
        </row>
        <row r="123">
          <cell r="A123" t="str">
            <v>756. Швейцарский франк</v>
          </cell>
        </row>
        <row r="124">
          <cell r="A124" t="str">
            <v>760. Сирийский фунт</v>
          </cell>
        </row>
        <row r="125">
          <cell r="A125" t="str">
            <v>764. Бат</v>
          </cell>
        </row>
        <row r="126">
          <cell r="A126" t="str">
            <v>776. Паанга</v>
          </cell>
        </row>
        <row r="127">
          <cell r="A127" t="str">
            <v>780. Доллар Тринидада и Тобаго</v>
          </cell>
        </row>
        <row r="128">
          <cell r="A128" t="str">
            <v>784. Дирхам (ОАЭ)</v>
          </cell>
        </row>
        <row r="129">
          <cell r="A129" t="str">
            <v>788. Тунисский динар</v>
          </cell>
        </row>
        <row r="130">
          <cell r="A130" t="str">
            <v>795. Манат</v>
          </cell>
        </row>
        <row r="131">
          <cell r="A131" t="str">
            <v>800. Угандийский шиллинг</v>
          </cell>
        </row>
        <row r="132">
          <cell r="A132" t="str">
            <v>807. Денар</v>
          </cell>
        </row>
        <row r="133">
          <cell r="A133" t="str">
            <v>818. Египетский фунт</v>
          </cell>
        </row>
        <row r="134">
          <cell r="A134" t="str">
            <v>826. Фунт стерлингов</v>
          </cell>
        </row>
        <row r="135">
          <cell r="A135" t="str">
            <v>834. Танзанийский шиллинг</v>
          </cell>
        </row>
        <row r="136">
          <cell r="A136" t="str">
            <v>858. Уругвайское песо</v>
          </cell>
        </row>
        <row r="137">
          <cell r="A137" t="str">
            <v>860. Узбекский сум</v>
          </cell>
        </row>
        <row r="138">
          <cell r="A138" t="str">
            <v>862. Боливар</v>
          </cell>
        </row>
        <row r="139">
          <cell r="A139" t="str">
            <v>882. Тала</v>
          </cell>
        </row>
        <row r="140">
          <cell r="A140" t="str">
            <v>886. Йеменский риал</v>
          </cell>
        </row>
        <row r="141">
          <cell r="A141" t="str">
            <v>894. Квача</v>
          </cell>
        </row>
        <row r="142">
          <cell r="A142" t="str">
            <v>901. Новый тайваньский доллар</v>
          </cell>
        </row>
        <row r="143">
          <cell r="A143" t="str">
            <v>940. Уругвайское песо в индексированных единицах</v>
          </cell>
        </row>
        <row r="144">
          <cell r="A144" t="str">
            <v>941. Сербский динар</v>
          </cell>
        </row>
        <row r="145">
          <cell r="A145" t="str">
            <v>943. Метикал</v>
          </cell>
        </row>
        <row r="146">
          <cell r="A146" t="str">
            <v>944. Азербайджанский манат</v>
          </cell>
        </row>
        <row r="147">
          <cell r="A147" t="str">
            <v>946. Новый румынский лей</v>
          </cell>
        </row>
        <row r="148">
          <cell r="A148" t="str">
            <v>949. Новая турецкая лира</v>
          </cell>
        </row>
        <row r="149">
          <cell r="A149" t="str">
            <v>950. Франк КФА ВЕАС</v>
          </cell>
        </row>
        <row r="150">
          <cell r="A150" t="str">
            <v>951. Восточно-карибский доллар</v>
          </cell>
        </row>
        <row r="151">
          <cell r="A151" t="str">
            <v>952. Франк КФА ВСЕАО</v>
          </cell>
        </row>
        <row r="152">
          <cell r="A152" t="str">
            <v>953. Франк КФП</v>
          </cell>
        </row>
        <row r="153">
          <cell r="A153" t="str">
            <v>960. СДР (специальные права заимствования)</v>
          </cell>
        </row>
        <row r="154">
          <cell r="A154" t="str">
            <v>968. Суринамский доллар</v>
          </cell>
        </row>
        <row r="155">
          <cell r="A155" t="str">
            <v>969. Малагасийский ариари</v>
          </cell>
        </row>
        <row r="156">
          <cell r="A156" t="str">
            <v>970. Единица реальной стоимости</v>
          </cell>
        </row>
        <row r="157">
          <cell r="A157" t="str">
            <v>971. Афгани</v>
          </cell>
        </row>
        <row r="158">
          <cell r="A158" t="str">
            <v>972. Сомони</v>
          </cell>
        </row>
        <row r="159">
          <cell r="A159" t="str">
            <v>973. Кванза</v>
          </cell>
        </row>
        <row r="160">
          <cell r="A160" t="str">
            <v>974. Белорусский рубль</v>
          </cell>
        </row>
        <row r="161">
          <cell r="A161" t="str">
            <v>975. Болгарский лев</v>
          </cell>
        </row>
        <row r="162">
          <cell r="A162" t="str">
            <v>976. Конголезский франк</v>
          </cell>
        </row>
        <row r="163">
          <cell r="A163" t="str">
            <v>977. Конвертируемая марка</v>
          </cell>
        </row>
        <row r="164">
          <cell r="A164" t="str">
            <v>980. Гривна</v>
          </cell>
        </row>
        <row r="165">
          <cell r="A165" t="str">
            <v>981. Лари</v>
          </cell>
        </row>
        <row r="166">
          <cell r="A166" t="str">
            <v>985. Злотый</v>
          </cell>
        </row>
        <row r="167">
          <cell r="A167" t="str">
            <v>986. Бразильский реал</v>
          </cell>
        </row>
      </sheetData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>
        <row r="1">
          <cell r="A1">
            <v>79000000000</v>
          </cell>
          <cell r="B1" t="str">
            <v>Адыгея</v>
          </cell>
        </row>
        <row r="2">
          <cell r="A2">
            <v>80000000000</v>
          </cell>
          <cell r="B2" t="str">
            <v>Башкортостан</v>
          </cell>
        </row>
        <row r="3">
          <cell r="A3">
            <v>81000000000</v>
          </cell>
          <cell r="B3" t="str">
            <v>Бурятия</v>
          </cell>
        </row>
        <row r="4">
          <cell r="A4">
            <v>84000000000</v>
          </cell>
          <cell r="B4" t="str">
            <v>Алтай</v>
          </cell>
        </row>
        <row r="5">
          <cell r="A5">
            <v>82000000000</v>
          </cell>
          <cell r="B5" t="str">
            <v>Дагестан</v>
          </cell>
        </row>
        <row r="6">
          <cell r="A6">
            <v>26000000000</v>
          </cell>
          <cell r="B6" t="str">
            <v>Ингушетия</v>
          </cell>
        </row>
        <row r="7">
          <cell r="A7">
            <v>83000000000</v>
          </cell>
          <cell r="B7" t="str">
            <v>Кабардино-Балкарская</v>
          </cell>
        </row>
        <row r="8">
          <cell r="A8">
            <v>85000000000</v>
          </cell>
          <cell r="B8" t="str">
            <v>Калмыкия</v>
          </cell>
        </row>
        <row r="9">
          <cell r="A9">
            <v>91000000000</v>
          </cell>
          <cell r="B9" t="str">
            <v>Карачаево-Черкесская</v>
          </cell>
        </row>
        <row r="10">
          <cell r="A10">
            <v>86000000000</v>
          </cell>
          <cell r="B10" t="str">
            <v>Карелия</v>
          </cell>
        </row>
        <row r="11">
          <cell r="A11">
            <v>87000000000</v>
          </cell>
          <cell r="B11" t="str">
            <v>Коми</v>
          </cell>
        </row>
        <row r="12">
          <cell r="A12">
            <v>88000000000</v>
          </cell>
          <cell r="B12" t="str">
            <v>Марий Эл</v>
          </cell>
        </row>
        <row r="13">
          <cell r="A13">
            <v>89000000000</v>
          </cell>
          <cell r="B13" t="str">
            <v>Мордовия</v>
          </cell>
        </row>
        <row r="14">
          <cell r="A14">
            <v>98000000000</v>
          </cell>
          <cell r="B14" t="str">
            <v>Саха /Якутия/</v>
          </cell>
        </row>
        <row r="15">
          <cell r="A15">
            <v>90000000000</v>
          </cell>
          <cell r="B15" t="str">
            <v>Северная Осетия - Алания</v>
          </cell>
        </row>
        <row r="16">
          <cell r="A16">
            <v>92000000000</v>
          </cell>
          <cell r="B16" t="str">
            <v>Татарстан</v>
          </cell>
        </row>
        <row r="17">
          <cell r="A17">
            <v>93000000000</v>
          </cell>
          <cell r="B17" t="str">
            <v>Тыва</v>
          </cell>
        </row>
        <row r="18">
          <cell r="A18">
            <v>94000000000</v>
          </cell>
          <cell r="B18" t="str">
            <v>Удмуртская</v>
          </cell>
        </row>
        <row r="19">
          <cell r="A19">
            <v>95000000000</v>
          </cell>
          <cell r="B19" t="str">
            <v>Хакасия</v>
          </cell>
        </row>
        <row r="20">
          <cell r="A20">
            <v>96000000000</v>
          </cell>
          <cell r="B20" t="str">
            <v>Чеченская</v>
          </cell>
        </row>
        <row r="21">
          <cell r="A21">
            <v>97000000000</v>
          </cell>
          <cell r="B21" t="str">
            <v>Чувашская Республика -</v>
          </cell>
        </row>
        <row r="22">
          <cell r="A22" t="str">
            <v>01000000000</v>
          </cell>
          <cell r="B22" t="str">
            <v>Алтайский</v>
          </cell>
        </row>
        <row r="23">
          <cell r="A23" t="str">
            <v>03000000000</v>
          </cell>
          <cell r="B23" t="str">
            <v>Краснодарский</v>
          </cell>
        </row>
        <row r="24">
          <cell r="A24" t="str">
            <v>04000000000</v>
          </cell>
          <cell r="B24" t="str">
            <v>Красноярский</v>
          </cell>
        </row>
        <row r="25">
          <cell r="A25" t="str">
            <v>05000000000</v>
          </cell>
          <cell r="B25" t="str">
            <v>Приморский</v>
          </cell>
        </row>
        <row r="26">
          <cell r="A26" t="str">
            <v>07000000000</v>
          </cell>
          <cell r="B26" t="str">
            <v>Ставропольский</v>
          </cell>
        </row>
        <row r="27">
          <cell r="A27" t="str">
            <v>08000000000</v>
          </cell>
          <cell r="B27" t="str">
            <v>Хабаровский</v>
          </cell>
        </row>
        <row r="28">
          <cell r="A28">
            <v>10000000000</v>
          </cell>
          <cell r="B28" t="str">
            <v>Амурская</v>
          </cell>
        </row>
        <row r="29">
          <cell r="A29">
            <v>11000000000</v>
          </cell>
          <cell r="B29" t="str">
            <v>Архангельская</v>
          </cell>
        </row>
        <row r="30">
          <cell r="A30">
            <v>12000000000</v>
          </cell>
          <cell r="B30" t="str">
            <v>Астраханская</v>
          </cell>
        </row>
        <row r="31">
          <cell r="A31">
            <v>14000000000</v>
          </cell>
          <cell r="B31" t="str">
            <v>Белгородская</v>
          </cell>
        </row>
        <row r="32">
          <cell r="A32">
            <v>15000000000</v>
          </cell>
          <cell r="B32" t="str">
            <v>Брянская</v>
          </cell>
        </row>
        <row r="33">
          <cell r="A33">
            <v>17000000000</v>
          </cell>
          <cell r="B33" t="str">
            <v>Владимирская</v>
          </cell>
        </row>
        <row r="34">
          <cell r="A34">
            <v>18000000000</v>
          </cell>
          <cell r="B34" t="str">
            <v>Волгоградская</v>
          </cell>
        </row>
        <row r="35">
          <cell r="A35">
            <v>19000000000</v>
          </cell>
          <cell r="B35" t="str">
            <v>Вологодская</v>
          </cell>
        </row>
        <row r="36">
          <cell r="A36">
            <v>20000000000</v>
          </cell>
          <cell r="B36" t="str">
            <v>Воронежская</v>
          </cell>
        </row>
        <row r="37">
          <cell r="A37">
            <v>24000000000</v>
          </cell>
          <cell r="B37" t="str">
            <v>Ивановская</v>
          </cell>
        </row>
        <row r="38">
          <cell r="A38">
            <v>25000000000</v>
          </cell>
          <cell r="B38" t="str">
            <v>Иркутская</v>
          </cell>
        </row>
        <row r="39">
          <cell r="A39">
            <v>27000000000</v>
          </cell>
          <cell r="B39" t="str">
            <v>Калининградская</v>
          </cell>
        </row>
        <row r="40">
          <cell r="A40">
            <v>29000000000</v>
          </cell>
          <cell r="B40" t="str">
            <v>Калужская</v>
          </cell>
        </row>
        <row r="41">
          <cell r="A41">
            <v>30000000000</v>
          </cell>
          <cell r="B41" t="str">
            <v>Камчатский</v>
          </cell>
        </row>
        <row r="42">
          <cell r="A42">
            <v>32000000000</v>
          </cell>
          <cell r="B42" t="str">
            <v>Кемеровская</v>
          </cell>
        </row>
        <row r="43">
          <cell r="A43">
            <v>33000000000</v>
          </cell>
          <cell r="B43" t="str">
            <v>Кировская</v>
          </cell>
        </row>
        <row r="44">
          <cell r="A44">
            <v>34000000000</v>
          </cell>
          <cell r="B44" t="str">
            <v>Костромская</v>
          </cell>
        </row>
        <row r="45">
          <cell r="A45">
            <v>37000000000</v>
          </cell>
          <cell r="B45" t="str">
            <v>Курганская</v>
          </cell>
        </row>
        <row r="46">
          <cell r="A46">
            <v>38000000000</v>
          </cell>
          <cell r="B46" t="str">
            <v>Курская</v>
          </cell>
        </row>
        <row r="47">
          <cell r="A47">
            <v>41000000000</v>
          </cell>
          <cell r="B47" t="str">
            <v>Ленинградская</v>
          </cell>
        </row>
        <row r="48">
          <cell r="A48">
            <v>42000000000</v>
          </cell>
          <cell r="B48" t="str">
            <v>Липецкая</v>
          </cell>
        </row>
        <row r="49">
          <cell r="A49">
            <v>44000000000</v>
          </cell>
          <cell r="B49" t="str">
            <v>Магаданская</v>
          </cell>
        </row>
        <row r="50">
          <cell r="A50">
            <v>46000000000</v>
          </cell>
          <cell r="B50" t="str">
            <v>Московская</v>
          </cell>
        </row>
        <row r="51">
          <cell r="A51">
            <v>47000000000</v>
          </cell>
          <cell r="B51" t="str">
            <v>Мурманская</v>
          </cell>
        </row>
        <row r="52">
          <cell r="A52">
            <v>22000000000</v>
          </cell>
          <cell r="B52" t="str">
            <v>Нижегородская</v>
          </cell>
        </row>
        <row r="53">
          <cell r="A53">
            <v>49000000000</v>
          </cell>
          <cell r="B53" t="str">
            <v>Новгородская</v>
          </cell>
        </row>
        <row r="54">
          <cell r="A54">
            <v>50000000000</v>
          </cell>
          <cell r="B54" t="str">
            <v>Новосибирская</v>
          </cell>
        </row>
        <row r="55">
          <cell r="A55">
            <v>52000000000</v>
          </cell>
          <cell r="B55" t="str">
            <v>Омская</v>
          </cell>
        </row>
        <row r="56">
          <cell r="A56">
            <v>53000000000</v>
          </cell>
          <cell r="B56" t="str">
            <v>Оренбургская</v>
          </cell>
        </row>
        <row r="57">
          <cell r="A57">
            <v>54000000000</v>
          </cell>
          <cell r="B57" t="str">
            <v>Орловская</v>
          </cell>
        </row>
        <row r="58">
          <cell r="A58">
            <v>56000000000</v>
          </cell>
          <cell r="B58" t="str">
            <v>Пензенская</v>
          </cell>
        </row>
        <row r="59">
          <cell r="A59">
            <v>57000000000</v>
          </cell>
          <cell r="B59" t="str">
            <v>Пермский</v>
          </cell>
        </row>
        <row r="60">
          <cell r="A60">
            <v>58000000000</v>
          </cell>
          <cell r="B60" t="str">
            <v>Псковская</v>
          </cell>
        </row>
        <row r="61">
          <cell r="A61">
            <v>60000000000</v>
          </cell>
          <cell r="B61" t="str">
            <v>Ростовская</v>
          </cell>
        </row>
        <row r="62">
          <cell r="A62">
            <v>61000000000</v>
          </cell>
          <cell r="B62" t="str">
            <v>Рязанская</v>
          </cell>
        </row>
        <row r="63">
          <cell r="A63">
            <v>36000000000</v>
          </cell>
          <cell r="B63" t="str">
            <v>Самарская</v>
          </cell>
        </row>
        <row r="64">
          <cell r="A64">
            <v>63000000000</v>
          </cell>
          <cell r="B64" t="str">
            <v>Саратовская</v>
          </cell>
        </row>
        <row r="65">
          <cell r="A65">
            <v>64000000000</v>
          </cell>
          <cell r="B65" t="str">
            <v>Сахалинская</v>
          </cell>
        </row>
        <row r="66">
          <cell r="A66">
            <v>65000000000</v>
          </cell>
          <cell r="B66" t="str">
            <v>Свердловская</v>
          </cell>
        </row>
        <row r="67">
          <cell r="A67">
            <v>66000000000</v>
          </cell>
          <cell r="B67" t="str">
            <v>Смоленская</v>
          </cell>
        </row>
        <row r="68">
          <cell r="A68">
            <v>68000000000</v>
          </cell>
          <cell r="B68" t="str">
            <v>Тамбовская</v>
          </cell>
        </row>
        <row r="69">
          <cell r="A69">
            <v>28000000000</v>
          </cell>
          <cell r="B69" t="str">
            <v>Тверская</v>
          </cell>
        </row>
        <row r="70">
          <cell r="A70">
            <v>69000000000</v>
          </cell>
          <cell r="B70" t="str">
            <v>Томская</v>
          </cell>
        </row>
        <row r="71">
          <cell r="A71">
            <v>70000000000</v>
          </cell>
          <cell r="B71" t="str">
            <v>Тульская</v>
          </cell>
        </row>
        <row r="72">
          <cell r="A72">
            <v>71000000000</v>
          </cell>
          <cell r="B72" t="str">
            <v>Тюменская</v>
          </cell>
        </row>
        <row r="73">
          <cell r="A73">
            <v>73000000000</v>
          </cell>
          <cell r="B73" t="str">
            <v>Ульяновская</v>
          </cell>
        </row>
        <row r="74">
          <cell r="A74">
            <v>75000000000</v>
          </cell>
          <cell r="B74" t="str">
            <v>Челябинская</v>
          </cell>
        </row>
        <row r="75">
          <cell r="A75">
            <v>76000000000</v>
          </cell>
          <cell r="B75" t="str">
            <v>Забайкальский</v>
          </cell>
        </row>
        <row r="76">
          <cell r="A76">
            <v>78000000000</v>
          </cell>
          <cell r="B76" t="str">
            <v>Ярославская</v>
          </cell>
        </row>
        <row r="77">
          <cell r="A77">
            <v>45000000000</v>
          </cell>
          <cell r="B77" t="str">
            <v>Москва</v>
          </cell>
        </row>
        <row r="78">
          <cell r="A78">
            <v>40000000000</v>
          </cell>
          <cell r="B78" t="str">
            <v>Санкт-Петербург</v>
          </cell>
        </row>
        <row r="79">
          <cell r="A79">
            <v>99000000000</v>
          </cell>
          <cell r="B79" t="str">
            <v>Еврейская</v>
          </cell>
        </row>
        <row r="80">
          <cell r="A80">
            <v>11100000000</v>
          </cell>
          <cell r="B80" t="str">
            <v>Ненецкий</v>
          </cell>
        </row>
        <row r="81">
          <cell r="A81">
            <v>71100000000</v>
          </cell>
          <cell r="B81" t="str">
            <v>Ханты-Мансийский Автономный округ - Югра</v>
          </cell>
        </row>
        <row r="82">
          <cell r="A82">
            <v>77000000000</v>
          </cell>
          <cell r="B82" t="str">
            <v>Чукотский</v>
          </cell>
        </row>
        <row r="83">
          <cell r="A83">
            <v>71140000000</v>
          </cell>
          <cell r="B83" t="str">
            <v>Ямало-Ненецкий</v>
          </cell>
        </row>
        <row r="84">
          <cell r="A84">
            <v>35000000000</v>
          </cell>
          <cell r="B84" t="str">
            <v>Крым</v>
          </cell>
        </row>
        <row r="85">
          <cell r="A85">
            <v>67000000000</v>
          </cell>
          <cell r="B85" t="str">
            <v>Севастополь</v>
          </cell>
        </row>
        <row r="86">
          <cell r="A86">
            <v>55000000000</v>
          </cell>
          <cell r="B86" t="str">
            <v>Байконур</v>
          </cell>
        </row>
      </sheetData>
      <sheetData sheetId="8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79000000000</v>
          </cell>
          <cell r="B1" t="str">
            <v>Адыгея</v>
          </cell>
        </row>
        <row r="2">
          <cell r="A2">
            <v>80000000000</v>
          </cell>
          <cell r="B2" t="str">
            <v>Башкортостан</v>
          </cell>
        </row>
        <row r="3">
          <cell r="A3">
            <v>81000000000</v>
          </cell>
          <cell r="B3" t="str">
            <v>Бурятия</v>
          </cell>
        </row>
        <row r="4">
          <cell r="A4">
            <v>84000000000</v>
          </cell>
          <cell r="B4" t="str">
            <v>Алтай</v>
          </cell>
        </row>
        <row r="5">
          <cell r="A5">
            <v>82000000000</v>
          </cell>
          <cell r="B5" t="str">
            <v>Дагестан</v>
          </cell>
        </row>
        <row r="6">
          <cell r="A6">
            <v>26000000000</v>
          </cell>
          <cell r="B6" t="str">
            <v>Ингушетия</v>
          </cell>
        </row>
        <row r="7">
          <cell r="A7">
            <v>83000000000</v>
          </cell>
          <cell r="B7" t="str">
            <v>Кабардино-Балкарская</v>
          </cell>
        </row>
        <row r="8">
          <cell r="A8">
            <v>85000000000</v>
          </cell>
          <cell r="B8" t="str">
            <v>Калмыкия</v>
          </cell>
        </row>
        <row r="9">
          <cell r="A9">
            <v>91000000000</v>
          </cell>
          <cell r="B9" t="str">
            <v>Карачаево-Черкесская</v>
          </cell>
        </row>
        <row r="10">
          <cell r="A10">
            <v>86000000000</v>
          </cell>
          <cell r="B10" t="str">
            <v>Карелия</v>
          </cell>
        </row>
        <row r="11">
          <cell r="A11">
            <v>87000000000</v>
          </cell>
          <cell r="B11" t="str">
            <v>Коми</v>
          </cell>
        </row>
        <row r="12">
          <cell r="A12">
            <v>88000000000</v>
          </cell>
          <cell r="B12" t="str">
            <v>Марий Эл</v>
          </cell>
        </row>
        <row r="13">
          <cell r="A13">
            <v>89000000000</v>
          </cell>
          <cell r="B13" t="str">
            <v>Мордовия</v>
          </cell>
        </row>
        <row r="14">
          <cell r="A14">
            <v>98000000000</v>
          </cell>
          <cell r="B14" t="str">
            <v>Саха /Якутия/</v>
          </cell>
        </row>
        <row r="15">
          <cell r="A15">
            <v>90000000000</v>
          </cell>
          <cell r="B15" t="str">
            <v>Северная Осетия - Алания</v>
          </cell>
        </row>
        <row r="16">
          <cell r="A16">
            <v>92000000000</v>
          </cell>
          <cell r="B16" t="str">
            <v>Татарстан</v>
          </cell>
        </row>
        <row r="17">
          <cell r="A17">
            <v>93000000000</v>
          </cell>
          <cell r="B17" t="str">
            <v>Тыва</v>
          </cell>
        </row>
        <row r="18">
          <cell r="A18">
            <v>94000000000</v>
          </cell>
          <cell r="B18" t="str">
            <v>Удмуртская</v>
          </cell>
        </row>
        <row r="19">
          <cell r="A19">
            <v>95000000000</v>
          </cell>
          <cell r="B19" t="str">
            <v>Хакасия</v>
          </cell>
        </row>
        <row r="20">
          <cell r="A20">
            <v>96000000000</v>
          </cell>
          <cell r="B20" t="str">
            <v>Чеченская</v>
          </cell>
        </row>
        <row r="21">
          <cell r="A21">
            <v>97000000000</v>
          </cell>
          <cell r="B21" t="str">
            <v>Чувашская Республика -</v>
          </cell>
        </row>
        <row r="22">
          <cell r="A22" t="str">
            <v>01000000000</v>
          </cell>
          <cell r="B22" t="str">
            <v>Алтайский</v>
          </cell>
        </row>
        <row r="23">
          <cell r="A23" t="str">
            <v>03000000000</v>
          </cell>
          <cell r="B23" t="str">
            <v>Краснодарский</v>
          </cell>
        </row>
        <row r="24">
          <cell r="A24" t="str">
            <v>04000000000</v>
          </cell>
          <cell r="B24" t="str">
            <v>Красноярский</v>
          </cell>
        </row>
        <row r="25">
          <cell r="A25" t="str">
            <v>05000000000</v>
          </cell>
          <cell r="B25" t="str">
            <v>Приморский</v>
          </cell>
        </row>
        <row r="26">
          <cell r="A26" t="str">
            <v>07000000000</v>
          </cell>
          <cell r="B26" t="str">
            <v>Ставропольский</v>
          </cell>
        </row>
        <row r="27">
          <cell r="A27" t="str">
            <v>08000000000</v>
          </cell>
          <cell r="B27" t="str">
            <v>Хабаровский</v>
          </cell>
        </row>
        <row r="28">
          <cell r="A28">
            <v>10000000000</v>
          </cell>
          <cell r="B28" t="str">
            <v>Амурская</v>
          </cell>
        </row>
        <row r="29">
          <cell r="A29">
            <v>11000000000</v>
          </cell>
          <cell r="B29" t="str">
            <v>Архангельская</v>
          </cell>
        </row>
        <row r="30">
          <cell r="A30">
            <v>12000000000</v>
          </cell>
          <cell r="B30" t="str">
            <v>Астраханская</v>
          </cell>
        </row>
        <row r="31">
          <cell r="A31">
            <v>14000000000</v>
          </cell>
          <cell r="B31" t="str">
            <v>Белгородская</v>
          </cell>
        </row>
        <row r="32">
          <cell r="A32">
            <v>15000000000</v>
          </cell>
          <cell r="B32" t="str">
            <v>Брянская</v>
          </cell>
        </row>
        <row r="33">
          <cell r="A33">
            <v>17000000000</v>
          </cell>
          <cell r="B33" t="str">
            <v>Владимирская</v>
          </cell>
        </row>
        <row r="34">
          <cell r="A34">
            <v>18000000000</v>
          </cell>
          <cell r="B34" t="str">
            <v>Волгоградская</v>
          </cell>
        </row>
        <row r="35">
          <cell r="A35">
            <v>19000000000</v>
          </cell>
          <cell r="B35" t="str">
            <v>Вологодская</v>
          </cell>
        </row>
        <row r="36">
          <cell r="A36">
            <v>20000000000</v>
          </cell>
          <cell r="B36" t="str">
            <v>Воронежская</v>
          </cell>
        </row>
        <row r="37">
          <cell r="A37">
            <v>24000000000</v>
          </cell>
          <cell r="B37" t="str">
            <v>Ивановская</v>
          </cell>
        </row>
        <row r="38">
          <cell r="A38">
            <v>25000000000</v>
          </cell>
          <cell r="B38" t="str">
            <v>Иркутская</v>
          </cell>
        </row>
        <row r="39">
          <cell r="A39">
            <v>27000000000</v>
          </cell>
          <cell r="B39" t="str">
            <v>Калининградская</v>
          </cell>
        </row>
        <row r="40">
          <cell r="A40">
            <v>29000000000</v>
          </cell>
          <cell r="B40" t="str">
            <v>Калужская</v>
          </cell>
        </row>
        <row r="41">
          <cell r="A41">
            <v>30000000000</v>
          </cell>
          <cell r="B41" t="str">
            <v>Камчатский</v>
          </cell>
        </row>
        <row r="42">
          <cell r="A42">
            <v>32000000000</v>
          </cell>
          <cell r="B42" t="str">
            <v>Кемеровская</v>
          </cell>
        </row>
        <row r="43">
          <cell r="A43">
            <v>33000000000</v>
          </cell>
          <cell r="B43" t="str">
            <v>Кировская</v>
          </cell>
        </row>
        <row r="44">
          <cell r="A44">
            <v>34000000000</v>
          </cell>
          <cell r="B44" t="str">
            <v>Костромская</v>
          </cell>
        </row>
        <row r="45">
          <cell r="A45">
            <v>37000000000</v>
          </cell>
          <cell r="B45" t="str">
            <v>Курганская</v>
          </cell>
        </row>
        <row r="46">
          <cell r="A46">
            <v>38000000000</v>
          </cell>
          <cell r="B46" t="str">
            <v>Курская</v>
          </cell>
        </row>
        <row r="47">
          <cell r="A47">
            <v>41000000000</v>
          </cell>
          <cell r="B47" t="str">
            <v>Ленинградская</v>
          </cell>
        </row>
        <row r="48">
          <cell r="A48">
            <v>42000000000</v>
          </cell>
          <cell r="B48" t="str">
            <v>Липецкая</v>
          </cell>
        </row>
        <row r="49">
          <cell r="A49">
            <v>44000000000</v>
          </cell>
          <cell r="B49" t="str">
            <v>Магаданская</v>
          </cell>
        </row>
        <row r="50">
          <cell r="A50">
            <v>46000000000</v>
          </cell>
          <cell r="B50" t="str">
            <v>Московская</v>
          </cell>
        </row>
        <row r="51">
          <cell r="A51">
            <v>47000000000</v>
          </cell>
          <cell r="B51" t="str">
            <v>Мурманская</v>
          </cell>
        </row>
        <row r="52">
          <cell r="A52">
            <v>22000000000</v>
          </cell>
          <cell r="B52" t="str">
            <v>Нижегородская</v>
          </cell>
        </row>
        <row r="53">
          <cell r="A53">
            <v>49000000000</v>
          </cell>
          <cell r="B53" t="str">
            <v>Новгородская</v>
          </cell>
        </row>
        <row r="54">
          <cell r="A54">
            <v>50000000000</v>
          </cell>
          <cell r="B54" t="str">
            <v>Новосибирская</v>
          </cell>
        </row>
        <row r="55">
          <cell r="A55">
            <v>52000000000</v>
          </cell>
          <cell r="B55" t="str">
            <v>Омская</v>
          </cell>
        </row>
        <row r="56">
          <cell r="A56">
            <v>53000000000</v>
          </cell>
          <cell r="B56" t="str">
            <v>Оренбургская</v>
          </cell>
        </row>
        <row r="57">
          <cell r="A57">
            <v>54000000000</v>
          </cell>
          <cell r="B57" t="str">
            <v>Орловская</v>
          </cell>
        </row>
        <row r="58">
          <cell r="A58">
            <v>56000000000</v>
          </cell>
          <cell r="B58" t="str">
            <v>Пензенская</v>
          </cell>
        </row>
        <row r="59">
          <cell r="A59">
            <v>57000000000</v>
          </cell>
          <cell r="B59" t="str">
            <v>Пермский</v>
          </cell>
        </row>
        <row r="60">
          <cell r="A60">
            <v>58000000000</v>
          </cell>
          <cell r="B60" t="str">
            <v>Псковская</v>
          </cell>
        </row>
        <row r="61">
          <cell r="A61">
            <v>60000000000</v>
          </cell>
          <cell r="B61" t="str">
            <v>Ростовская</v>
          </cell>
        </row>
        <row r="62">
          <cell r="A62">
            <v>61000000000</v>
          </cell>
          <cell r="B62" t="str">
            <v>Рязанская</v>
          </cell>
        </row>
        <row r="63">
          <cell r="A63">
            <v>36000000000</v>
          </cell>
          <cell r="B63" t="str">
            <v>Самарская</v>
          </cell>
        </row>
        <row r="64">
          <cell r="A64">
            <v>63000000000</v>
          </cell>
          <cell r="B64" t="str">
            <v>Саратовская</v>
          </cell>
        </row>
        <row r="65">
          <cell r="A65">
            <v>64000000000</v>
          </cell>
          <cell r="B65" t="str">
            <v>Сахалинская</v>
          </cell>
        </row>
        <row r="66">
          <cell r="A66">
            <v>65000000000</v>
          </cell>
          <cell r="B66" t="str">
            <v>Свердловская</v>
          </cell>
        </row>
        <row r="67">
          <cell r="A67">
            <v>66000000000</v>
          </cell>
          <cell r="B67" t="str">
            <v>Смоленская</v>
          </cell>
        </row>
        <row r="68">
          <cell r="A68">
            <v>68000000000</v>
          </cell>
          <cell r="B68" t="str">
            <v>Тамбовская</v>
          </cell>
        </row>
        <row r="69">
          <cell r="A69">
            <v>28000000000</v>
          </cell>
          <cell r="B69" t="str">
            <v>Тверская</v>
          </cell>
        </row>
        <row r="70">
          <cell r="A70">
            <v>69000000000</v>
          </cell>
          <cell r="B70" t="str">
            <v>Томская</v>
          </cell>
        </row>
        <row r="71">
          <cell r="A71">
            <v>70000000000</v>
          </cell>
          <cell r="B71" t="str">
            <v>Тульская</v>
          </cell>
        </row>
        <row r="72">
          <cell r="A72">
            <v>71000000000</v>
          </cell>
          <cell r="B72" t="str">
            <v>Тюменская</v>
          </cell>
        </row>
        <row r="73">
          <cell r="A73">
            <v>73000000000</v>
          </cell>
          <cell r="B73" t="str">
            <v>Ульяновская</v>
          </cell>
        </row>
        <row r="74">
          <cell r="A74">
            <v>75000000000</v>
          </cell>
          <cell r="B74" t="str">
            <v>Челябинская</v>
          </cell>
        </row>
        <row r="75">
          <cell r="A75">
            <v>76000000000</v>
          </cell>
          <cell r="B75" t="str">
            <v>Забайкальский</v>
          </cell>
        </row>
        <row r="76">
          <cell r="A76">
            <v>78000000000</v>
          </cell>
          <cell r="B76" t="str">
            <v>Ярославская</v>
          </cell>
        </row>
        <row r="77">
          <cell r="A77">
            <v>45000000000</v>
          </cell>
          <cell r="B77" t="str">
            <v>Москва</v>
          </cell>
        </row>
        <row r="78">
          <cell r="A78">
            <v>40000000000</v>
          </cell>
          <cell r="B78" t="str">
            <v>Санкт-Петербург</v>
          </cell>
        </row>
        <row r="79">
          <cell r="A79">
            <v>99000000000</v>
          </cell>
          <cell r="B79" t="str">
            <v>Еврейская</v>
          </cell>
        </row>
        <row r="80">
          <cell r="A80">
            <v>11100000000</v>
          </cell>
          <cell r="B80" t="str">
            <v>Ненецкий</v>
          </cell>
        </row>
        <row r="81">
          <cell r="A81">
            <v>71100000000</v>
          </cell>
          <cell r="B81" t="str">
            <v>Ханты-Мансийский Автономный округ - Югра</v>
          </cell>
        </row>
        <row r="82">
          <cell r="A82">
            <v>77000000000</v>
          </cell>
          <cell r="B82" t="str">
            <v>Чукотский</v>
          </cell>
        </row>
        <row r="83">
          <cell r="A83">
            <v>71140000000</v>
          </cell>
          <cell r="B83" t="str">
            <v>Ямало-Ненецкий</v>
          </cell>
        </row>
        <row r="84">
          <cell r="A84">
            <v>35000000000</v>
          </cell>
          <cell r="B84" t="str">
            <v>Крым</v>
          </cell>
        </row>
        <row r="85">
          <cell r="A85">
            <v>67000000000</v>
          </cell>
          <cell r="B85" t="str">
            <v>Севастополь</v>
          </cell>
        </row>
        <row r="86">
          <cell r="A86">
            <v>55000000000</v>
          </cell>
          <cell r="B86" t="str">
            <v>Байконур</v>
          </cell>
        </row>
      </sheetData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 refreshError="1"/>
      <sheetData sheetId="7" refreshError="1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 t="str">
            <v>003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З"/>
      <sheetName val="РПЦЗ"/>
      <sheetName val="ПП"/>
      <sheetName val="Отчет РПЗ(ПЗ)_ПЗИП"/>
      <sheetName val="Отчет о ПП"/>
      <sheetName val="Сведения о ЗД"/>
      <sheetName val="Справочно"/>
    </sheetNames>
    <sheetDataSet>
      <sheetData sheetId="0">
        <row r="4">
          <cell r="A4" t="str">
            <v>Наименование заказчика</v>
          </cell>
        </row>
        <row r="5">
          <cell r="A5" t="str">
            <v>Адрес местонахождения заказчика</v>
          </cell>
        </row>
        <row r="6">
          <cell r="A6" t="str">
            <v>Телефон заказчика</v>
          </cell>
        </row>
        <row r="7">
          <cell r="A7" t="str">
            <v>Электронная почта заказчика</v>
          </cell>
        </row>
        <row r="8">
          <cell r="A8" t="str">
            <v>ИНН</v>
          </cell>
        </row>
        <row r="9">
          <cell r="A9" t="str">
            <v>КПП</v>
          </cell>
        </row>
        <row r="10">
          <cell r="A10" t="str">
            <v>ОКАТО</v>
          </cell>
        </row>
        <row r="12">
          <cell r="A12" t="str">
            <v>Индивидуальный номер</v>
          </cell>
        </row>
        <row r="15">
          <cell r="A15" t="str">
            <v>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 t="str">
            <v>003</v>
          </cell>
        </row>
      </sheetData>
      <sheetData sheetId="5" refreshError="1"/>
      <sheetData sheetId="6" refreshError="1"/>
      <sheetData sheetId="7">
        <row r="1">
          <cell r="A1">
            <v>79000000000</v>
          </cell>
        </row>
      </sheetData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од окдп 2"/>
      <sheetName val="оквэд 2"/>
      <sheetName val="код океи"/>
      <sheetName val="Лист2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003</v>
          </cell>
        </row>
      </sheetData>
      <sheetData sheetId="4" refreshError="1"/>
      <sheetData sheetId="5">
        <row r="1">
          <cell r="A1" t="str">
            <v>01000000000</v>
          </cell>
        </row>
      </sheetData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оквэд 2"/>
      <sheetName val="код окдп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Лист1"/>
      <sheetName val="код окдп 2"/>
      <sheetName val="оквэд 2"/>
      <sheetName val="код океи"/>
      <sheetName val="Лист2"/>
      <sheetName val="регион"/>
      <sheetName val="тип извещения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</row>
        <row r="3">
          <cell r="B3" t="str">
            <v>004</v>
          </cell>
        </row>
        <row r="4">
          <cell r="B4" t="str">
            <v>005</v>
          </cell>
        </row>
        <row r="5">
          <cell r="B5" t="str">
            <v>006</v>
          </cell>
        </row>
        <row r="6">
          <cell r="B6" t="str">
            <v>017</v>
          </cell>
        </row>
        <row r="7">
          <cell r="B7" t="str">
            <v>018</v>
          </cell>
        </row>
        <row r="8">
          <cell r="B8" t="str">
            <v>019</v>
          </cell>
        </row>
        <row r="9">
          <cell r="B9" t="str">
            <v>020</v>
          </cell>
        </row>
        <row r="10">
          <cell r="B10" t="str">
            <v>039</v>
          </cell>
        </row>
        <row r="11">
          <cell r="B11" t="str">
            <v>041</v>
          </cell>
        </row>
        <row r="12">
          <cell r="B12" t="str">
            <v>043</v>
          </cell>
        </row>
        <row r="13">
          <cell r="B13" t="str">
            <v>045</v>
          </cell>
        </row>
        <row r="14">
          <cell r="B14" t="str">
            <v>047</v>
          </cell>
        </row>
        <row r="15">
          <cell r="B15" t="str">
            <v>048</v>
          </cell>
        </row>
        <row r="16">
          <cell r="B16" t="str">
            <v>049</v>
          </cell>
        </row>
        <row r="17">
          <cell r="B17" t="str">
            <v>050</v>
          </cell>
        </row>
        <row r="18">
          <cell r="B18" t="str">
            <v>051</v>
          </cell>
        </row>
        <row r="19">
          <cell r="B19" t="str">
            <v>053</v>
          </cell>
        </row>
        <row r="20">
          <cell r="B20" t="str">
            <v>054</v>
          </cell>
        </row>
        <row r="21">
          <cell r="B21" t="str">
            <v>055</v>
          </cell>
        </row>
        <row r="22">
          <cell r="B22" t="str">
            <v>056</v>
          </cell>
        </row>
        <row r="23">
          <cell r="B23" t="str">
            <v>057</v>
          </cell>
        </row>
        <row r="24">
          <cell r="B24" t="str">
            <v>058</v>
          </cell>
        </row>
        <row r="25">
          <cell r="B25" t="str">
            <v>059</v>
          </cell>
        </row>
        <row r="26">
          <cell r="B26" t="str">
            <v>060</v>
          </cell>
        </row>
        <row r="27">
          <cell r="B27" t="str">
            <v>061</v>
          </cell>
        </row>
        <row r="28">
          <cell r="B28" t="str">
            <v>062</v>
          </cell>
        </row>
        <row r="29">
          <cell r="B29" t="str">
            <v>063</v>
          </cell>
        </row>
        <row r="30">
          <cell r="B30" t="str">
            <v>064</v>
          </cell>
        </row>
        <row r="31">
          <cell r="B31" t="str">
            <v>071</v>
          </cell>
        </row>
        <row r="32">
          <cell r="B32" t="str">
            <v>073</v>
          </cell>
        </row>
        <row r="33">
          <cell r="B33" t="str">
            <v>075</v>
          </cell>
        </row>
        <row r="34">
          <cell r="B34" t="str">
            <v>077</v>
          </cell>
        </row>
        <row r="35">
          <cell r="B35" t="str">
            <v>079</v>
          </cell>
        </row>
        <row r="36">
          <cell r="B36" t="str">
            <v>081</v>
          </cell>
        </row>
        <row r="37">
          <cell r="B37" t="str">
            <v>082</v>
          </cell>
        </row>
        <row r="38">
          <cell r="B38" t="str">
            <v>083</v>
          </cell>
        </row>
        <row r="39">
          <cell r="B39" t="str">
            <v>084</v>
          </cell>
        </row>
        <row r="40">
          <cell r="B40" t="str">
            <v>085</v>
          </cell>
        </row>
        <row r="41">
          <cell r="B41" t="str">
            <v>086</v>
          </cell>
        </row>
        <row r="42">
          <cell r="B42" t="str">
            <v>087</v>
          </cell>
        </row>
        <row r="43">
          <cell r="B43" t="str">
            <v>088</v>
          </cell>
        </row>
        <row r="44">
          <cell r="B44" t="str">
            <v>089</v>
          </cell>
        </row>
        <row r="45">
          <cell r="B45" t="str">
            <v>109</v>
          </cell>
        </row>
        <row r="46">
          <cell r="B46" t="str">
            <v>110</v>
          </cell>
        </row>
        <row r="47">
          <cell r="B47" t="str">
            <v>112</v>
          </cell>
        </row>
        <row r="48">
          <cell r="B48" t="str">
            <v>113</v>
          </cell>
        </row>
        <row r="49">
          <cell r="B49" t="str">
            <v>114</v>
          </cell>
        </row>
        <row r="50">
          <cell r="B50" t="str">
            <v>115</v>
          </cell>
        </row>
        <row r="51">
          <cell r="B51" t="str">
            <v>116</v>
          </cell>
        </row>
        <row r="52">
          <cell r="B52" t="str">
            <v>118</v>
          </cell>
        </row>
        <row r="53">
          <cell r="B53" t="str">
            <v>119</v>
          </cell>
        </row>
        <row r="54">
          <cell r="B54" t="str">
            <v>120</v>
          </cell>
        </row>
        <row r="55">
          <cell r="B55" t="str">
            <v>121</v>
          </cell>
        </row>
        <row r="56">
          <cell r="B56" t="str">
            <v>122</v>
          </cell>
        </row>
        <row r="57">
          <cell r="B57" t="str">
            <v>123</v>
          </cell>
        </row>
        <row r="58">
          <cell r="B58" t="str">
            <v>124</v>
          </cell>
        </row>
        <row r="59">
          <cell r="B59" t="str">
            <v>125</v>
          </cell>
        </row>
        <row r="60">
          <cell r="B60" t="str">
            <v>126</v>
          </cell>
        </row>
        <row r="61">
          <cell r="B61" t="str">
            <v>127</v>
          </cell>
        </row>
        <row r="62">
          <cell r="B62" t="str">
            <v>128</v>
          </cell>
        </row>
        <row r="63">
          <cell r="B63" t="str">
            <v>129</v>
          </cell>
        </row>
        <row r="64">
          <cell r="B64" t="str">
            <v>131</v>
          </cell>
        </row>
        <row r="65">
          <cell r="B65" t="str">
            <v>132</v>
          </cell>
        </row>
        <row r="66">
          <cell r="B66" t="str">
            <v>133</v>
          </cell>
        </row>
        <row r="67">
          <cell r="B67" t="str">
            <v>135</v>
          </cell>
        </row>
        <row r="68">
          <cell r="B68" t="str">
            <v>136</v>
          </cell>
        </row>
        <row r="69">
          <cell r="B69" t="str">
            <v>137</v>
          </cell>
        </row>
        <row r="70">
          <cell r="B70" t="str">
            <v>138</v>
          </cell>
        </row>
        <row r="71">
          <cell r="B71" t="str">
            <v>139</v>
          </cell>
        </row>
        <row r="72">
          <cell r="B72" t="str">
            <v>140</v>
          </cell>
        </row>
        <row r="73">
          <cell r="B73" t="str">
            <v>141</v>
          </cell>
        </row>
        <row r="74">
          <cell r="B74" t="str">
            <v>142</v>
          </cell>
        </row>
        <row r="75">
          <cell r="B75" t="str">
            <v>143</v>
          </cell>
        </row>
        <row r="76">
          <cell r="B76" t="str">
            <v>144</v>
          </cell>
        </row>
        <row r="77">
          <cell r="B77" t="str">
            <v>145</v>
          </cell>
        </row>
        <row r="78">
          <cell r="B78" t="str">
            <v>146</v>
          </cell>
        </row>
        <row r="79">
          <cell r="B79" t="str">
            <v>147</v>
          </cell>
        </row>
        <row r="80">
          <cell r="B80" t="str">
            <v>148</v>
          </cell>
        </row>
        <row r="81">
          <cell r="B81" t="str">
            <v>149</v>
          </cell>
        </row>
        <row r="82">
          <cell r="B82" t="str">
            <v>150</v>
          </cell>
        </row>
        <row r="83">
          <cell r="B83" t="str">
            <v>151</v>
          </cell>
        </row>
        <row r="84">
          <cell r="B84" t="str">
            <v>152</v>
          </cell>
        </row>
        <row r="85">
          <cell r="B85" t="str">
            <v>153</v>
          </cell>
        </row>
        <row r="86">
          <cell r="B86" t="str">
            <v>154</v>
          </cell>
        </row>
        <row r="87">
          <cell r="B87" t="str">
            <v>159</v>
          </cell>
        </row>
        <row r="88">
          <cell r="B88" t="str">
            <v>160</v>
          </cell>
        </row>
        <row r="89">
          <cell r="B89" t="str">
            <v>161</v>
          </cell>
        </row>
        <row r="90">
          <cell r="B90" t="str">
            <v>162</v>
          </cell>
        </row>
        <row r="91">
          <cell r="B91" t="str">
            <v>163</v>
          </cell>
        </row>
        <row r="92">
          <cell r="B92" t="str">
            <v>165</v>
          </cell>
        </row>
        <row r="93">
          <cell r="B93" t="str">
            <v>166</v>
          </cell>
        </row>
        <row r="94">
          <cell r="B94" t="str">
            <v>167</v>
          </cell>
        </row>
        <row r="95">
          <cell r="B95" t="str">
            <v>168</v>
          </cell>
        </row>
        <row r="96">
          <cell r="B96" t="str">
            <v>169</v>
          </cell>
        </row>
        <row r="97">
          <cell r="B97" t="str">
            <v>170</v>
          </cell>
        </row>
        <row r="98">
          <cell r="B98" t="str">
            <v>171</v>
          </cell>
        </row>
        <row r="99">
          <cell r="B99" t="str">
            <v>172</v>
          </cell>
        </row>
        <row r="100">
          <cell r="B100" t="str">
            <v>173</v>
          </cell>
        </row>
        <row r="101">
          <cell r="B101" t="str">
            <v>175</v>
          </cell>
        </row>
        <row r="102">
          <cell r="B102" t="str">
            <v>176</v>
          </cell>
        </row>
        <row r="103">
          <cell r="B103" t="str">
            <v>177</v>
          </cell>
        </row>
        <row r="104">
          <cell r="B104" t="str">
            <v>178</v>
          </cell>
        </row>
        <row r="105">
          <cell r="B105" t="str">
            <v>179</v>
          </cell>
        </row>
        <row r="106">
          <cell r="B106" t="str">
            <v>181</v>
          </cell>
        </row>
        <row r="107">
          <cell r="B107" t="str">
            <v>182</v>
          </cell>
        </row>
        <row r="108">
          <cell r="B108" t="str">
            <v>183</v>
          </cell>
        </row>
        <row r="109">
          <cell r="B109" t="str">
            <v>184</v>
          </cell>
        </row>
        <row r="110">
          <cell r="B110" t="str">
            <v>185</v>
          </cell>
        </row>
        <row r="111">
          <cell r="B111" t="str">
            <v>186</v>
          </cell>
        </row>
        <row r="112">
          <cell r="B112" t="str">
            <v>187</v>
          </cell>
        </row>
        <row r="113">
          <cell r="B113" t="str">
            <v>188</v>
          </cell>
        </row>
        <row r="114">
          <cell r="B114" t="str">
            <v>189</v>
          </cell>
        </row>
        <row r="115">
          <cell r="B115" t="str">
            <v>190</v>
          </cell>
        </row>
        <row r="116">
          <cell r="B116" t="str">
            <v>191</v>
          </cell>
        </row>
        <row r="117">
          <cell r="B117" t="str">
            <v>192</v>
          </cell>
        </row>
        <row r="118">
          <cell r="B118" t="str">
            <v>193</v>
          </cell>
        </row>
        <row r="119">
          <cell r="B119" t="str">
            <v>194</v>
          </cell>
        </row>
        <row r="120">
          <cell r="B120" t="str">
            <v>195</v>
          </cell>
        </row>
        <row r="121">
          <cell r="B121" t="str">
            <v>196</v>
          </cell>
        </row>
        <row r="122">
          <cell r="B122" t="str">
            <v>197</v>
          </cell>
        </row>
        <row r="123">
          <cell r="B123" t="str">
            <v>198</v>
          </cell>
        </row>
        <row r="124">
          <cell r="B124" t="str">
            <v>199</v>
          </cell>
        </row>
        <row r="125">
          <cell r="B125" t="str">
            <v>200</v>
          </cell>
        </row>
        <row r="126">
          <cell r="B126" t="str">
            <v>202</v>
          </cell>
        </row>
        <row r="127">
          <cell r="B127" t="str">
            <v>207</v>
          </cell>
        </row>
        <row r="128">
          <cell r="B128" t="str">
            <v>212</v>
          </cell>
        </row>
        <row r="129">
          <cell r="B129" t="str">
            <v>213</v>
          </cell>
        </row>
        <row r="130">
          <cell r="B130" t="str">
            <v>214</v>
          </cell>
        </row>
        <row r="131">
          <cell r="B131" t="str">
            <v>222</v>
          </cell>
        </row>
        <row r="132">
          <cell r="B132" t="str">
            <v>223</v>
          </cell>
        </row>
        <row r="133">
          <cell r="B133" t="str">
            <v>226</v>
          </cell>
        </row>
        <row r="134">
          <cell r="B134" t="str">
            <v>227</v>
          </cell>
        </row>
        <row r="135">
          <cell r="B135" t="str">
            <v>228</v>
          </cell>
        </row>
        <row r="136">
          <cell r="B136" t="str">
            <v>230</v>
          </cell>
        </row>
        <row r="137">
          <cell r="B137" t="str">
            <v>231</v>
          </cell>
        </row>
        <row r="138">
          <cell r="B138" t="str">
            <v>232</v>
          </cell>
        </row>
        <row r="139">
          <cell r="B139" t="str">
            <v>233</v>
          </cell>
        </row>
        <row r="140">
          <cell r="B140" t="str">
            <v>234</v>
          </cell>
        </row>
        <row r="141">
          <cell r="B141" t="str">
            <v>235</v>
          </cell>
        </row>
        <row r="142">
          <cell r="B142" t="str">
            <v>236</v>
          </cell>
        </row>
        <row r="143">
          <cell r="B143" t="str">
            <v>237</v>
          </cell>
        </row>
        <row r="144">
          <cell r="B144" t="str">
            <v>238</v>
          </cell>
        </row>
        <row r="145">
          <cell r="B145" t="str">
            <v>239</v>
          </cell>
        </row>
        <row r="146">
          <cell r="B146" t="str">
            <v>241</v>
          </cell>
        </row>
        <row r="147">
          <cell r="B147" t="str">
            <v>242</v>
          </cell>
        </row>
        <row r="148">
          <cell r="B148" t="str">
            <v>243</v>
          </cell>
        </row>
        <row r="149">
          <cell r="B149" t="str">
            <v>245</v>
          </cell>
        </row>
        <row r="150">
          <cell r="B150" t="str">
            <v>247</v>
          </cell>
        </row>
        <row r="151">
          <cell r="B151" t="str">
            <v>248</v>
          </cell>
        </row>
        <row r="152">
          <cell r="B152" t="str">
            <v>249</v>
          </cell>
        </row>
        <row r="153">
          <cell r="B153" t="str">
            <v>250</v>
          </cell>
        </row>
        <row r="154">
          <cell r="B154" t="str">
            <v>251</v>
          </cell>
        </row>
        <row r="155">
          <cell r="B155" t="str">
            <v>252</v>
          </cell>
        </row>
        <row r="156">
          <cell r="B156" t="str">
            <v>253</v>
          </cell>
        </row>
        <row r="157">
          <cell r="B157" t="str">
            <v>254</v>
          </cell>
        </row>
        <row r="158">
          <cell r="B158" t="str">
            <v>255</v>
          </cell>
        </row>
        <row r="159">
          <cell r="B159" t="str">
            <v>256</v>
          </cell>
        </row>
        <row r="160">
          <cell r="B160" t="str">
            <v>257</v>
          </cell>
        </row>
        <row r="161">
          <cell r="B161" t="str">
            <v>258</v>
          </cell>
        </row>
        <row r="162">
          <cell r="B162" t="str">
            <v>260</v>
          </cell>
        </row>
        <row r="163">
          <cell r="B163" t="str">
            <v>263</v>
          </cell>
        </row>
        <row r="164">
          <cell r="B164" t="str">
            <v>264</v>
          </cell>
        </row>
        <row r="165">
          <cell r="B165" t="str">
            <v>270</v>
          </cell>
        </row>
        <row r="166">
          <cell r="B166" t="str">
            <v>271</v>
          </cell>
        </row>
        <row r="167">
          <cell r="B167" t="str">
            <v>273</v>
          </cell>
        </row>
        <row r="168">
          <cell r="B168" t="str">
            <v>274</v>
          </cell>
        </row>
        <row r="169">
          <cell r="B169" t="str">
            <v>275</v>
          </cell>
        </row>
        <row r="170">
          <cell r="B170" t="str">
            <v>280</v>
          </cell>
        </row>
        <row r="171">
          <cell r="B171" t="str">
            <v>281</v>
          </cell>
        </row>
        <row r="172">
          <cell r="B172" t="str">
            <v>282</v>
          </cell>
        </row>
        <row r="173">
          <cell r="B173" t="str">
            <v>283</v>
          </cell>
        </row>
        <row r="174">
          <cell r="B174" t="str">
            <v>284</v>
          </cell>
        </row>
        <row r="175">
          <cell r="B175" t="str">
            <v>287</v>
          </cell>
        </row>
        <row r="176">
          <cell r="B176" t="str">
            <v>288</v>
          </cell>
        </row>
        <row r="177">
          <cell r="B177" t="str">
            <v>289</v>
          </cell>
        </row>
        <row r="178">
          <cell r="B178" t="str">
            <v>290</v>
          </cell>
        </row>
        <row r="179">
          <cell r="B179" t="str">
            <v>291</v>
          </cell>
        </row>
        <row r="180">
          <cell r="B180" t="str">
            <v>292</v>
          </cell>
        </row>
        <row r="181">
          <cell r="B181" t="str">
            <v>294</v>
          </cell>
        </row>
        <row r="182">
          <cell r="B182" t="str">
            <v>296</v>
          </cell>
        </row>
        <row r="183">
          <cell r="B183" t="str">
            <v>297</v>
          </cell>
        </row>
        <row r="184">
          <cell r="B184" t="str">
            <v>298</v>
          </cell>
        </row>
        <row r="185">
          <cell r="B185" t="str">
            <v>300</v>
          </cell>
        </row>
        <row r="186">
          <cell r="B186" t="str">
            <v>301</v>
          </cell>
        </row>
        <row r="187">
          <cell r="B187" t="str">
            <v>302</v>
          </cell>
        </row>
        <row r="188">
          <cell r="B188" t="str">
            <v>304</v>
          </cell>
        </row>
        <row r="189">
          <cell r="B189" t="str">
            <v>305</v>
          </cell>
        </row>
        <row r="190">
          <cell r="B190" t="str">
            <v>306</v>
          </cell>
        </row>
        <row r="191">
          <cell r="B191" t="str">
            <v>308</v>
          </cell>
        </row>
        <row r="192">
          <cell r="B192" t="str">
            <v>309</v>
          </cell>
        </row>
        <row r="193">
          <cell r="B193" t="str">
            <v>310</v>
          </cell>
        </row>
        <row r="194">
          <cell r="B194" t="str">
            <v>312</v>
          </cell>
        </row>
        <row r="195">
          <cell r="B195" t="str">
            <v>313</v>
          </cell>
        </row>
        <row r="196">
          <cell r="B196" t="str">
            <v>314</v>
          </cell>
        </row>
        <row r="197">
          <cell r="B197" t="str">
            <v>316</v>
          </cell>
        </row>
        <row r="198">
          <cell r="B198" t="str">
            <v>317</v>
          </cell>
        </row>
        <row r="199">
          <cell r="B199" t="str">
            <v>323</v>
          </cell>
        </row>
        <row r="200">
          <cell r="B200" t="str">
            <v>324</v>
          </cell>
        </row>
        <row r="201">
          <cell r="B201" t="str">
            <v>327</v>
          </cell>
        </row>
        <row r="202">
          <cell r="B202" t="str">
            <v>328</v>
          </cell>
        </row>
        <row r="203">
          <cell r="B203" t="str">
            <v>330</v>
          </cell>
        </row>
        <row r="204">
          <cell r="B204" t="str">
            <v>331</v>
          </cell>
        </row>
        <row r="205">
          <cell r="B205" t="str">
            <v>333</v>
          </cell>
        </row>
        <row r="206">
          <cell r="B206" t="str">
            <v>335</v>
          </cell>
        </row>
        <row r="207">
          <cell r="B207" t="str">
            <v>337</v>
          </cell>
        </row>
        <row r="208">
          <cell r="B208" t="str">
            <v>338</v>
          </cell>
        </row>
        <row r="209">
          <cell r="B209" t="str">
            <v>339</v>
          </cell>
        </row>
        <row r="210">
          <cell r="B210" t="str">
            <v>349</v>
          </cell>
        </row>
        <row r="211">
          <cell r="B211" t="str">
            <v>352</v>
          </cell>
        </row>
        <row r="212">
          <cell r="B212" t="str">
            <v>353</v>
          </cell>
        </row>
        <row r="213">
          <cell r="B213" t="str">
            <v>354</v>
          </cell>
        </row>
        <row r="214">
          <cell r="B214" t="str">
            <v>355</v>
          </cell>
        </row>
        <row r="215">
          <cell r="B215" t="str">
            <v>356</v>
          </cell>
        </row>
        <row r="216">
          <cell r="B216" t="str">
            <v>360</v>
          </cell>
        </row>
        <row r="217">
          <cell r="B217" t="str">
            <v>361</v>
          </cell>
        </row>
        <row r="218">
          <cell r="B218" t="str">
            <v>362</v>
          </cell>
        </row>
        <row r="219">
          <cell r="B219" t="str">
            <v>364</v>
          </cell>
        </row>
        <row r="220">
          <cell r="B220" t="str">
            <v>365</v>
          </cell>
        </row>
        <row r="221">
          <cell r="B221" t="str">
            <v>366</v>
          </cell>
        </row>
        <row r="222">
          <cell r="B222" t="str">
            <v>368</v>
          </cell>
        </row>
        <row r="223">
          <cell r="B223" t="str">
            <v>383</v>
          </cell>
        </row>
        <row r="224">
          <cell r="B224" t="str">
            <v>384</v>
          </cell>
        </row>
        <row r="225">
          <cell r="B225" t="str">
            <v>385</v>
          </cell>
        </row>
        <row r="226">
          <cell r="B226" t="str">
            <v>386</v>
          </cell>
        </row>
        <row r="227">
          <cell r="B227" t="str">
            <v>387</v>
          </cell>
        </row>
        <row r="228">
          <cell r="B228" t="str">
            <v>388</v>
          </cell>
        </row>
        <row r="229">
          <cell r="B229" t="str">
            <v>414</v>
          </cell>
        </row>
        <row r="230">
          <cell r="B230" t="str">
            <v>421</v>
          </cell>
        </row>
        <row r="231">
          <cell r="B231" t="str">
            <v>423</v>
          </cell>
        </row>
        <row r="232">
          <cell r="B232" t="str">
            <v>424</v>
          </cell>
        </row>
        <row r="233">
          <cell r="B233" t="str">
            <v>427</v>
          </cell>
        </row>
        <row r="234">
          <cell r="B234" t="str">
            <v>449</v>
          </cell>
        </row>
        <row r="235">
          <cell r="B235" t="str">
            <v>450</v>
          </cell>
        </row>
        <row r="236">
          <cell r="B236" t="str">
            <v>451</v>
          </cell>
        </row>
        <row r="237">
          <cell r="B237" t="str">
            <v>479</v>
          </cell>
        </row>
        <row r="238">
          <cell r="B238" t="str">
            <v>499</v>
          </cell>
        </row>
        <row r="239">
          <cell r="B239" t="str">
            <v>510</v>
          </cell>
        </row>
        <row r="240">
          <cell r="B240" t="str">
            <v>511</v>
          </cell>
        </row>
        <row r="241">
          <cell r="B241" t="str">
            <v>512</v>
          </cell>
        </row>
        <row r="242">
          <cell r="B242" t="str">
            <v>513</v>
          </cell>
        </row>
        <row r="243">
          <cell r="B243" t="str">
            <v>514</v>
          </cell>
        </row>
        <row r="244">
          <cell r="B244" t="str">
            <v>515</v>
          </cell>
        </row>
        <row r="245">
          <cell r="B245" t="str">
            <v>516</v>
          </cell>
        </row>
        <row r="246">
          <cell r="B246" t="str">
            <v>521</v>
          </cell>
        </row>
        <row r="247">
          <cell r="B247" t="str">
            <v>522</v>
          </cell>
        </row>
        <row r="248">
          <cell r="B248" t="str">
            <v>533</v>
          </cell>
        </row>
        <row r="249">
          <cell r="B249" t="str">
            <v>534</v>
          </cell>
        </row>
        <row r="250">
          <cell r="B250" t="str">
            <v>535</v>
          </cell>
        </row>
        <row r="251">
          <cell r="B251" t="str">
            <v>536</v>
          </cell>
        </row>
        <row r="252">
          <cell r="B252" t="str">
            <v>537</v>
          </cell>
        </row>
        <row r="253">
          <cell r="B253" t="str">
            <v>538</v>
          </cell>
        </row>
        <row r="254">
          <cell r="B254" t="str">
            <v>539</v>
          </cell>
        </row>
        <row r="255">
          <cell r="B255" t="str">
            <v>540</v>
          </cell>
        </row>
        <row r="256">
          <cell r="B256" t="str">
            <v>541</v>
          </cell>
        </row>
        <row r="257">
          <cell r="B257" t="str">
            <v>542</v>
          </cell>
        </row>
        <row r="258">
          <cell r="B258" t="str">
            <v>543</v>
          </cell>
        </row>
        <row r="259">
          <cell r="B259" t="str">
            <v>544</v>
          </cell>
        </row>
        <row r="260">
          <cell r="B260" t="str">
            <v>545</v>
          </cell>
        </row>
        <row r="261">
          <cell r="B261" t="str">
            <v>546</v>
          </cell>
        </row>
        <row r="262">
          <cell r="B262" t="str">
            <v>547</v>
          </cell>
        </row>
        <row r="263">
          <cell r="B263" t="str">
            <v>548</v>
          </cell>
        </row>
        <row r="264">
          <cell r="B264" t="str">
            <v>550</v>
          </cell>
        </row>
        <row r="265">
          <cell r="B265" t="str">
            <v>552</v>
          </cell>
        </row>
        <row r="266">
          <cell r="B266" t="str">
            <v>553</v>
          </cell>
        </row>
        <row r="267">
          <cell r="B267" t="str">
            <v>554</v>
          </cell>
        </row>
        <row r="268">
          <cell r="B268" t="str">
            <v>555</v>
          </cell>
        </row>
        <row r="269">
          <cell r="B269" t="str">
            <v>556</v>
          </cell>
        </row>
        <row r="270">
          <cell r="B270" t="str">
            <v>557</v>
          </cell>
        </row>
        <row r="271">
          <cell r="B271" t="str">
            <v>558</v>
          </cell>
        </row>
        <row r="272">
          <cell r="B272" t="str">
            <v>559</v>
          </cell>
        </row>
        <row r="273">
          <cell r="B273" t="str">
            <v>560</v>
          </cell>
        </row>
        <row r="274">
          <cell r="B274" t="str">
            <v>561</v>
          </cell>
        </row>
        <row r="275">
          <cell r="B275" t="str">
            <v>562</v>
          </cell>
        </row>
        <row r="276">
          <cell r="B276" t="str">
            <v>563</v>
          </cell>
        </row>
        <row r="277">
          <cell r="B277" t="str">
            <v>596</v>
          </cell>
        </row>
        <row r="278">
          <cell r="B278" t="str">
            <v>598</v>
          </cell>
        </row>
        <row r="279">
          <cell r="B279" t="str">
            <v>599</v>
          </cell>
        </row>
        <row r="280">
          <cell r="B280" t="str">
            <v>616</v>
          </cell>
        </row>
        <row r="281">
          <cell r="B281" t="str">
            <v>625</v>
          </cell>
        </row>
        <row r="282">
          <cell r="B282" t="str">
            <v>626</v>
          </cell>
        </row>
        <row r="283">
          <cell r="B283" t="str">
            <v>630</v>
          </cell>
        </row>
        <row r="284">
          <cell r="B284" t="str">
            <v>639</v>
          </cell>
        </row>
        <row r="285">
          <cell r="B285" t="str">
            <v>640</v>
          </cell>
        </row>
        <row r="286">
          <cell r="B286" t="str">
            <v>642</v>
          </cell>
        </row>
        <row r="287">
          <cell r="B287" t="str">
            <v>643</v>
          </cell>
        </row>
        <row r="288">
          <cell r="B288" t="str">
            <v>644</v>
          </cell>
        </row>
        <row r="289">
          <cell r="B289" t="str">
            <v>657</v>
          </cell>
        </row>
        <row r="290">
          <cell r="B290" t="str">
            <v>661</v>
          </cell>
        </row>
        <row r="291">
          <cell r="B291" t="str">
            <v>673</v>
          </cell>
        </row>
        <row r="292">
          <cell r="B292" t="str">
            <v>683</v>
          </cell>
        </row>
        <row r="293">
          <cell r="B293" t="str">
            <v>698</v>
          </cell>
        </row>
        <row r="294">
          <cell r="B294" t="str">
            <v>699</v>
          </cell>
        </row>
        <row r="295">
          <cell r="B295" t="str">
            <v>704</v>
          </cell>
        </row>
        <row r="296">
          <cell r="B296" t="str">
            <v>709</v>
          </cell>
        </row>
        <row r="297">
          <cell r="B297" t="str">
            <v>715</v>
          </cell>
        </row>
        <row r="298">
          <cell r="B298" t="str">
            <v>724</v>
          </cell>
        </row>
        <row r="299">
          <cell r="B299" t="str">
            <v>729</v>
          </cell>
        </row>
        <row r="300">
          <cell r="B300" t="str">
            <v>730</v>
          </cell>
        </row>
        <row r="301">
          <cell r="B301" t="str">
            <v>731</v>
          </cell>
        </row>
        <row r="302">
          <cell r="B302" t="str">
            <v>732</v>
          </cell>
        </row>
        <row r="303">
          <cell r="B303" t="str">
            <v>733</v>
          </cell>
        </row>
        <row r="304">
          <cell r="B304" t="str">
            <v>734</v>
          </cell>
        </row>
        <row r="305">
          <cell r="B305" t="str">
            <v>735</v>
          </cell>
        </row>
        <row r="306">
          <cell r="B306" t="str">
            <v>736</v>
          </cell>
        </row>
        <row r="307">
          <cell r="B307" t="str">
            <v>737</v>
          </cell>
        </row>
        <row r="308">
          <cell r="B308" t="str">
            <v>738</v>
          </cell>
        </row>
        <row r="309">
          <cell r="B309" t="str">
            <v>740</v>
          </cell>
        </row>
        <row r="310">
          <cell r="B310" t="str">
            <v>744</v>
          </cell>
        </row>
        <row r="311">
          <cell r="B311" t="str">
            <v>745</v>
          </cell>
        </row>
        <row r="312">
          <cell r="B312" t="str">
            <v>746</v>
          </cell>
        </row>
        <row r="313">
          <cell r="B313" t="str">
            <v>751</v>
          </cell>
        </row>
        <row r="314">
          <cell r="B314" t="str">
            <v>761</v>
          </cell>
        </row>
        <row r="315">
          <cell r="B315" t="str">
            <v>762</v>
          </cell>
        </row>
        <row r="316">
          <cell r="B316" t="str">
            <v>775</v>
          </cell>
        </row>
        <row r="317">
          <cell r="B317" t="str">
            <v>776</v>
          </cell>
        </row>
        <row r="318">
          <cell r="B318" t="str">
            <v>778</v>
          </cell>
        </row>
        <row r="319">
          <cell r="B319" t="str">
            <v>779</v>
          </cell>
        </row>
        <row r="320">
          <cell r="B320" t="str">
            <v>780</v>
          </cell>
        </row>
        <row r="321">
          <cell r="B321" t="str">
            <v>781</v>
          </cell>
        </row>
        <row r="322">
          <cell r="B322" t="str">
            <v>782</v>
          </cell>
        </row>
        <row r="323">
          <cell r="B323" t="str">
            <v>792</v>
          </cell>
        </row>
        <row r="324">
          <cell r="B324" t="str">
            <v>793</v>
          </cell>
        </row>
        <row r="325">
          <cell r="B325" t="str">
            <v>794</v>
          </cell>
        </row>
        <row r="326">
          <cell r="B326" t="str">
            <v>796</v>
          </cell>
        </row>
        <row r="327">
          <cell r="B327" t="str">
            <v>797</v>
          </cell>
        </row>
        <row r="328">
          <cell r="B328" t="str">
            <v>799</v>
          </cell>
        </row>
        <row r="329">
          <cell r="B329" t="str">
            <v>800</v>
          </cell>
        </row>
        <row r="330">
          <cell r="B330" t="str">
            <v>802</v>
          </cell>
        </row>
        <row r="331">
          <cell r="B331" t="str">
            <v>808</v>
          </cell>
        </row>
        <row r="332">
          <cell r="B332" t="str">
            <v>810</v>
          </cell>
        </row>
        <row r="333">
          <cell r="B333" t="str">
            <v>812</v>
          </cell>
        </row>
        <row r="334">
          <cell r="B334" t="str">
            <v>820</v>
          </cell>
        </row>
        <row r="335">
          <cell r="B335" t="str">
            <v>821</v>
          </cell>
        </row>
        <row r="336">
          <cell r="B336" t="str">
            <v>831</v>
          </cell>
        </row>
        <row r="337">
          <cell r="B337" t="str">
            <v>833</v>
          </cell>
        </row>
        <row r="338">
          <cell r="B338" t="str">
            <v>835</v>
          </cell>
        </row>
        <row r="339">
          <cell r="B339" t="str">
            <v>836</v>
          </cell>
        </row>
        <row r="340">
          <cell r="B340" t="str">
            <v>837</v>
          </cell>
        </row>
        <row r="341">
          <cell r="B341" t="str">
            <v>838</v>
          </cell>
        </row>
        <row r="342">
          <cell r="B342" t="str">
            <v>839</v>
          </cell>
        </row>
        <row r="343">
          <cell r="B343" t="str">
            <v>840</v>
          </cell>
        </row>
        <row r="344">
          <cell r="B344" t="str">
            <v>841</v>
          </cell>
        </row>
        <row r="345">
          <cell r="B345" t="str">
            <v>845</v>
          </cell>
        </row>
        <row r="346">
          <cell r="B346" t="str">
            <v>847</v>
          </cell>
        </row>
        <row r="347">
          <cell r="B347" t="str">
            <v>851</v>
          </cell>
        </row>
        <row r="348">
          <cell r="B348" t="str">
            <v>852</v>
          </cell>
        </row>
        <row r="349">
          <cell r="B349" t="str">
            <v>853</v>
          </cell>
        </row>
        <row r="350">
          <cell r="B350" t="str">
            <v>859</v>
          </cell>
        </row>
        <row r="351">
          <cell r="B351" t="str">
            <v>861</v>
          </cell>
        </row>
        <row r="352">
          <cell r="B352" t="str">
            <v>863</v>
          </cell>
        </row>
        <row r="353">
          <cell r="B353" t="str">
            <v>865</v>
          </cell>
        </row>
        <row r="354">
          <cell r="B354" t="str">
            <v>867</v>
          </cell>
        </row>
        <row r="355">
          <cell r="B355" t="str">
            <v>868</v>
          </cell>
        </row>
        <row r="356">
          <cell r="B356" t="str">
            <v>869</v>
          </cell>
        </row>
        <row r="357">
          <cell r="B357" t="str">
            <v>870</v>
          </cell>
        </row>
        <row r="358">
          <cell r="B358" t="str">
            <v>871</v>
          </cell>
        </row>
        <row r="359">
          <cell r="B359" t="str">
            <v>872</v>
          </cell>
        </row>
        <row r="360">
          <cell r="B360" t="str">
            <v>873</v>
          </cell>
        </row>
        <row r="361">
          <cell r="B361" t="str">
            <v>874</v>
          </cell>
        </row>
        <row r="362">
          <cell r="B362" t="str">
            <v>875</v>
          </cell>
        </row>
        <row r="363">
          <cell r="B363" t="str">
            <v>876</v>
          </cell>
        </row>
        <row r="364">
          <cell r="B364" t="str">
            <v>877</v>
          </cell>
        </row>
        <row r="365">
          <cell r="B365" t="str">
            <v>878</v>
          </cell>
        </row>
        <row r="366">
          <cell r="B366" t="str">
            <v>879</v>
          </cell>
        </row>
        <row r="367">
          <cell r="B367" t="str">
            <v>880</v>
          </cell>
        </row>
        <row r="368">
          <cell r="B368" t="str">
            <v>881</v>
          </cell>
        </row>
        <row r="369">
          <cell r="B369" t="str">
            <v>882</v>
          </cell>
        </row>
        <row r="370">
          <cell r="B370" t="str">
            <v>883</v>
          </cell>
        </row>
        <row r="371">
          <cell r="B371" t="str">
            <v>884</v>
          </cell>
        </row>
        <row r="372">
          <cell r="B372" t="str">
            <v>885</v>
          </cell>
        </row>
        <row r="373">
          <cell r="B373" t="str">
            <v>886</v>
          </cell>
        </row>
        <row r="374">
          <cell r="B374" t="str">
            <v>887</v>
          </cell>
        </row>
        <row r="375">
          <cell r="B375" t="str">
            <v>888</v>
          </cell>
        </row>
        <row r="376">
          <cell r="B376" t="str">
            <v>889</v>
          </cell>
        </row>
        <row r="377">
          <cell r="B377" t="str">
            <v>890</v>
          </cell>
        </row>
        <row r="378">
          <cell r="B378" t="str">
            <v>891</v>
          </cell>
        </row>
        <row r="379">
          <cell r="B379" t="str">
            <v>892</v>
          </cell>
        </row>
        <row r="380">
          <cell r="B380" t="str">
            <v>893</v>
          </cell>
        </row>
        <row r="381">
          <cell r="B381" t="str">
            <v>894</v>
          </cell>
        </row>
        <row r="382">
          <cell r="B382" t="str">
            <v>895</v>
          </cell>
        </row>
        <row r="383">
          <cell r="B383" t="str">
            <v>896</v>
          </cell>
        </row>
        <row r="384">
          <cell r="B384" t="str">
            <v>897</v>
          </cell>
        </row>
        <row r="385">
          <cell r="B385" t="str">
            <v>898</v>
          </cell>
        </row>
        <row r="386">
          <cell r="B386" t="str">
            <v>899</v>
          </cell>
        </row>
        <row r="387">
          <cell r="B387" t="str">
            <v>900</v>
          </cell>
        </row>
        <row r="388">
          <cell r="B388" t="str">
            <v>901</v>
          </cell>
        </row>
        <row r="389">
          <cell r="B389" t="str">
            <v>902</v>
          </cell>
        </row>
        <row r="390">
          <cell r="B390" t="str">
            <v>903</v>
          </cell>
        </row>
        <row r="391">
          <cell r="B391" t="str">
            <v>904</v>
          </cell>
        </row>
        <row r="392">
          <cell r="B392" t="str">
            <v>905</v>
          </cell>
        </row>
        <row r="393">
          <cell r="B393" t="str">
            <v>906</v>
          </cell>
        </row>
        <row r="394">
          <cell r="B394" t="str">
            <v>907</v>
          </cell>
        </row>
        <row r="395">
          <cell r="B395" t="str">
            <v>908</v>
          </cell>
        </row>
        <row r="396">
          <cell r="B396" t="str">
            <v>909</v>
          </cell>
        </row>
        <row r="397">
          <cell r="B397" t="str">
            <v>910</v>
          </cell>
        </row>
        <row r="398">
          <cell r="B398" t="str">
            <v>911</v>
          </cell>
        </row>
        <row r="399">
          <cell r="B399" t="str">
            <v>912</v>
          </cell>
        </row>
        <row r="400">
          <cell r="B400" t="str">
            <v>913</v>
          </cell>
        </row>
        <row r="401">
          <cell r="B401" t="str">
            <v>914</v>
          </cell>
        </row>
        <row r="402">
          <cell r="B402" t="str">
            <v>915</v>
          </cell>
        </row>
        <row r="403">
          <cell r="B403" t="str">
            <v>916</v>
          </cell>
        </row>
        <row r="404">
          <cell r="B404" t="str">
            <v>917</v>
          </cell>
        </row>
        <row r="405">
          <cell r="B405" t="str">
            <v>918</v>
          </cell>
        </row>
        <row r="406">
          <cell r="B406" t="str">
            <v>920</v>
          </cell>
        </row>
        <row r="407">
          <cell r="B407" t="str">
            <v>921</v>
          </cell>
        </row>
        <row r="408">
          <cell r="B408" t="str">
            <v>922</v>
          </cell>
        </row>
        <row r="409">
          <cell r="B409" t="str">
            <v>923</v>
          </cell>
        </row>
        <row r="410">
          <cell r="B410" t="str">
            <v>924</v>
          </cell>
        </row>
        <row r="411">
          <cell r="B411" t="str">
            <v>925</v>
          </cell>
        </row>
        <row r="412">
          <cell r="B412" t="str">
            <v>930</v>
          </cell>
        </row>
        <row r="413">
          <cell r="B413" t="str">
            <v>937</v>
          </cell>
        </row>
        <row r="414">
          <cell r="B414" t="str">
            <v>949</v>
          </cell>
        </row>
        <row r="415">
          <cell r="B415" t="str">
            <v>950</v>
          </cell>
        </row>
        <row r="416">
          <cell r="B416" t="str">
            <v>951</v>
          </cell>
        </row>
        <row r="417">
          <cell r="B417" t="str">
            <v>952</v>
          </cell>
        </row>
        <row r="418">
          <cell r="B418" t="str">
            <v>953</v>
          </cell>
        </row>
        <row r="419">
          <cell r="B419" t="str">
            <v>954</v>
          </cell>
        </row>
        <row r="420">
          <cell r="B420" t="str">
            <v>955</v>
          </cell>
        </row>
        <row r="421">
          <cell r="B421" t="str">
            <v>956</v>
          </cell>
        </row>
        <row r="422">
          <cell r="B422" t="str">
            <v>957</v>
          </cell>
        </row>
        <row r="423">
          <cell r="B423" t="str">
            <v>958</v>
          </cell>
        </row>
        <row r="424">
          <cell r="B424" t="str">
            <v>959</v>
          </cell>
        </row>
        <row r="425">
          <cell r="B425" t="str">
            <v>960</v>
          </cell>
        </row>
        <row r="426">
          <cell r="B426" t="str">
            <v>961</v>
          </cell>
        </row>
        <row r="427">
          <cell r="B427" t="str">
            <v>962</v>
          </cell>
        </row>
        <row r="428">
          <cell r="B428" t="str">
            <v>963</v>
          </cell>
        </row>
        <row r="429">
          <cell r="B429" t="str">
            <v>964</v>
          </cell>
        </row>
        <row r="430">
          <cell r="B430" t="str">
            <v>965</v>
          </cell>
        </row>
        <row r="431">
          <cell r="B431" t="str">
            <v>966</v>
          </cell>
        </row>
        <row r="432">
          <cell r="B432" t="str">
            <v>967</v>
          </cell>
        </row>
        <row r="433">
          <cell r="B433" t="str">
            <v>968</v>
          </cell>
        </row>
        <row r="434">
          <cell r="B434" t="str">
            <v>969</v>
          </cell>
        </row>
        <row r="435">
          <cell r="B435" t="str">
            <v>970</v>
          </cell>
        </row>
        <row r="436">
          <cell r="B436" t="str">
            <v>971</v>
          </cell>
        </row>
        <row r="437">
          <cell r="B437" t="str">
            <v>972</v>
          </cell>
        </row>
        <row r="438">
          <cell r="B438" t="str">
            <v>973</v>
          </cell>
        </row>
        <row r="439">
          <cell r="B439" t="str">
            <v>974</v>
          </cell>
        </row>
        <row r="440">
          <cell r="B440" t="str">
            <v>975</v>
          </cell>
        </row>
        <row r="441">
          <cell r="B441" t="str">
            <v>976</v>
          </cell>
        </row>
        <row r="442">
          <cell r="B442" t="str">
            <v>977</v>
          </cell>
        </row>
        <row r="443">
          <cell r="B443" t="str">
            <v>978</v>
          </cell>
        </row>
        <row r="444">
          <cell r="B444" t="str">
            <v>979</v>
          </cell>
        </row>
        <row r="445">
          <cell r="B445" t="str">
            <v>980</v>
          </cell>
        </row>
        <row r="446">
          <cell r="B446" t="str">
            <v>981</v>
          </cell>
        </row>
        <row r="447">
          <cell r="B447" t="str">
            <v>982</v>
          </cell>
        </row>
        <row r="448">
          <cell r="B448" t="str">
            <v>983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"/>
      <sheetName val="Курс валюты"/>
      <sheetName val="код окдп 2"/>
      <sheetName val="оквэд 2"/>
      <sheetName val="код океи"/>
      <sheetName val="Лист2"/>
      <sheetName val="Причина"/>
      <sheetName val="регион"/>
      <sheetName val="тип извещения"/>
    </sheetNames>
    <sheetDataSet>
      <sheetData sheetId="0"/>
      <sheetData sheetId="1"/>
      <sheetData sheetId="2"/>
      <sheetData sheetId="3"/>
      <sheetData sheetId="4">
        <row r="2">
          <cell r="B2" t="str">
            <v>003</v>
          </cell>
          <cell r="C2" t="str">
            <v>Миллиметр</v>
          </cell>
        </row>
        <row r="3">
          <cell r="B3" t="str">
            <v>004</v>
          </cell>
          <cell r="C3" t="str">
            <v>Сантиметр</v>
          </cell>
        </row>
        <row r="4">
          <cell r="B4" t="str">
            <v>005</v>
          </cell>
          <cell r="C4" t="str">
            <v>Дециметр</v>
          </cell>
        </row>
        <row r="5">
          <cell r="B5" t="str">
            <v>006</v>
          </cell>
          <cell r="C5" t="str">
            <v>Метр</v>
          </cell>
        </row>
        <row r="6">
          <cell r="B6" t="str">
            <v>017</v>
          </cell>
          <cell r="C6" t="str">
            <v>Гектометр</v>
          </cell>
        </row>
        <row r="7">
          <cell r="B7" t="str">
            <v>018</v>
          </cell>
          <cell r="C7" t="str">
            <v>Погонный метр</v>
          </cell>
        </row>
        <row r="8">
          <cell r="B8" t="str">
            <v>019</v>
          </cell>
          <cell r="C8" t="str">
            <v>Тысяча погонных метров</v>
          </cell>
        </row>
        <row r="9">
          <cell r="B9" t="str">
            <v>020</v>
          </cell>
          <cell r="C9" t="str">
            <v>Условный метр</v>
          </cell>
        </row>
        <row r="10">
          <cell r="B10" t="str">
            <v>039</v>
          </cell>
          <cell r="C10" t="str">
            <v>Дюйм (25,4 мм)</v>
          </cell>
        </row>
        <row r="11">
          <cell r="B11" t="str">
            <v>041</v>
          </cell>
          <cell r="C11" t="str">
            <v>Фут (0,3048 м)</v>
          </cell>
        </row>
        <row r="12">
          <cell r="B12" t="str">
            <v>043</v>
          </cell>
          <cell r="C12" t="str">
            <v>Ярд (0,9144 м)</v>
          </cell>
        </row>
        <row r="13">
          <cell r="B13" t="str">
            <v>045</v>
          </cell>
          <cell r="C13" t="str">
            <v>Миля (уставная) (1609,344 м)</v>
          </cell>
        </row>
        <row r="14">
          <cell r="B14" t="str">
            <v>047</v>
          </cell>
          <cell r="C14" t="str">
            <v>Морская миля (1852 м)</v>
          </cell>
        </row>
        <row r="15">
          <cell r="B15" t="str">
            <v>048</v>
          </cell>
          <cell r="C15" t="str">
            <v>Тысяча условных метров</v>
          </cell>
        </row>
        <row r="16">
          <cell r="B16" t="str">
            <v>049</v>
          </cell>
          <cell r="C16" t="str">
            <v>Километр условных труб</v>
          </cell>
        </row>
        <row r="17">
          <cell r="B17" t="str">
            <v>050</v>
          </cell>
          <cell r="C17" t="str">
            <v>Квадратный миллиметр</v>
          </cell>
        </row>
        <row r="18">
          <cell r="B18" t="str">
            <v>051</v>
          </cell>
          <cell r="C18" t="str">
            <v>Квадратный сантиметр</v>
          </cell>
        </row>
        <row r="19">
          <cell r="B19" t="str">
            <v>053</v>
          </cell>
          <cell r="C19" t="str">
            <v>Квадратный дециметр</v>
          </cell>
        </row>
        <row r="20">
          <cell r="B20" t="str">
            <v>054</v>
          </cell>
          <cell r="C20" t="str">
            <v>Тысяча квадратных дециметров</v>
          </cell>
        </row>
        <row r="21">
          <cell r="B21" t="str">
            <v>055</v>
          </cell>
          <cell r="C21" t="str">
            <v>Квадратный метр</v>
          </cell>
        </row>
        <row r="22">
          <cell r="B22" t="str">
            <v>056</v>
          </cell>
          <cell r="C22" t="str">
            <v>Миллион квадратных дециметров</v>
          </cell>
        </row>
        <row r="23">
          <cell r="B23" t="str">
            <v>057</v>
          </cell>
          <cell r="C23" t="str">
            <v>Миллион квадратных метров</v>
          </cell>
        </row>
        <row r="24">
          <cell r="B24" t="str">
            <v>058</v>
          </cell>
          <cell r="C24" t="str">
            <v>Тысяча квадратных метров</v>
          </cell>
        </row>
        <row r="25">
          <cell r="B25" t="str">
            <v>059</v>
          </cell>
          <cell r="C25" t="str">
            <v>Гектар</v>
          </cell>
        </row>
        <row r="26">
          <cell r="B26" t="str">
            <v>060</v>
          </cell>
          <cell r="C26" t="str">
            <v>Тысяча гектаров</v>
          </cell>
        </row>
        <row r="27">
          <cell r="B27" t="str">
            <v>061</v>
          </cell>
          <cell r="C27" t="str">
            <v>Квадратный километр</v>
          </cell>
        </row>
        <row r="28">
          <cell r="B28" t="str">
            <v>062</v>
          </cell>
          <cell r="C28" t="str">
            <v>Условный квадратный метр</v>
          </cell>
        </row>
        <row r="29">
          <cell r="B29" t="str">
            <v>063</v>
          </cell>
          <cell r="C29" t="str">
            <v>Тысяча условных квадратных метров</v>
          </cell>
        </row>
        <row r="30">
          <cell r="B30" t="str">
            <v>064</v>
          </cell>
          <cell r="C30" t="str">
            <v>Миллион условных квадратных метров</v>
          </cell>
        </row>
        <row r="31">
          <cell r="B31" t="str">
            <v>071</v>
          </cell>
          <cell r="C31" t="str">
            <v>Квадратный дюйм (645,16 мм?)</v>
          </cell>
        </row>
        <row r="32">
          <cell r="B32" t="str">
            <v>073</v>
          </cell>
          <cell r="C32" t="str">
            <v>Квадратный фут (0,092903 м?)</v>
          </cell>
        </row>
        <row r="33">
          <cell r="B33" t="str">
            <v>075</v>
          </cell>
          <cell r="C33" t="str">
            <v>Квадратный ярд (0,8361274 м?)</v>
          </cell>
        </row>
        <row r="34">
          <cell r="B34" t="str">
            <v>077</v>
          </cell>
          <cell r="C34" t="str">
            <v>Акр (4840 квадратных ярдов)</v>
          </cell>
        </row>
        <row r="35">
          <cell r="B35" t="str">
            <v>079</v>
          </cell>
          <cell r="C35" t="str">
            <v>Квадратная миля</v>
          </cell>
        </row>
        <row r="36">
          <cell r="B36" t="str">
            <v>081</v>
          </cell>
          <cell r="C36" t="str">
            <v>Квадратный метр общей площади</v>
          </cell>
        </row>
        <row r="37">
          <cell r="B37" t="str">
            <v>082</v>
          </cell>
          <cell r="C37" t="str">
            <v>Тысяча квадратных метров общей площади</v>
          </cell>
        </row>
        <row r="38">
          <cell r="B38" t="str">
            <v>083</v>
          </cell>
          <cell r="C38" t="str">
            <v>Миллион квадратных метров общей площади</v>
          </cell>
        </row>
        <row r="39">
          <cell r="B39" t="str">
            <v>084</v>
          </cell>
          <cell r="C39" t="str">
            <v>Квадратный метр жилой площади</v>
          </cell>
        </row>
        <row r="40">
          <cell r="B40" t="str">
            <v>085</v>
          </cell>
          <cell r="C40" t="str">
            <v>Тысяча квадратных метров жилой площади</v>
          </cell>
        </row>
        <row r="41">
          <cell r="B41" t="str">
            <v>086</v>
          </cell>
          <cell r="C41" t="str">
            <v>Миллион квадратных метров жилой площади</v>
          </cell>
        </row>
        <row r="42">
          <cell r="B42" t="str">
            <v>087</v>
          </cell>
          <cell r="C42" t="str">
            <v>Квадратный метр учебно-лабораторных зданий</v>
          </cell>
        </row>
        <row r="43">
          <cell r="B43" t="str">
            <v>088</v>
          </cell>
          <cell r="C43" t="str">
            <v>Тысяча квадратных метров учебно-лабораторных зданий</v>
          </cell>
        </row>
        <row r="44">
          <cell r="B44" t="str">
            <v>089</v>
          </cell>
          <cell r="C44" t="str">
            <v>Миллион квадратных метров в двухмиллиметровом исчислении</v>
          </cell>
        </row>
        <row r="45">
          <cell r="B45" t="str">
            <v>109</v>
          </cell>
          <cell r="C45" t="str">
            <v>Ар (100 м?)</v>
          </cell>
        </row>
        <row r="46">
          <cell r="B46" t="str">
            <v>110</v>
          </cell>
          <cell r="C46" t="str">
            <v>Кубический миллиметр</v>
          </cell>
        </row>
        <row r="47">
          <cell r="B47" t="str">
            <v>112</v>
          </cell>
          <cell r="C47" t="str">
            <v>Литр; Кубический дециметр</v>
          </cell>
        </row>
        <row r="48">
          <cell r="B48" t="str">
            <v>113</v>
          </cell>
          <cell r="C48" t="str">
            <v>Кубический метр</v>
          </cell>
        </row>
        <row r="49">
          <cell r="B49" t="str">
            <v>114</v>
          </cell>
          <cell r="C49" t="str">
            <v>Тысяча кубических метров</v>
          </cell>
        </row>
        <row r="50">
          <cell r="B50" t="str">
            <v>115</v>
          </cell>
          <cell r="C50" t="str">
            <v>Миллиард кубических метров</v>
          </cell>
        </row>
        <row r="51">
          <cell r="B51" t="str">
            <v>116</v>
          </cell>
          <cell r="C51" t="str">
            <v>Декалитр</v>
          </cell>
        </row>
        <row r="52">
          <cell r="B52" t="str">
            <v>118</v>
          </cell>
          <cell r="C52" t="str">
            <v>Децилитр</v>
          </cell>
        </row>
        <row r="53">
          <cell r="B53" t="str">
            <v>119</v>
          </cell>
          <cell r="C53" t="str">
            <v>Тысяча декалитров</v>
          </cell>
        </row>
        <row r="54">
          <cell r="B54" t="str">
            <v>120</v>
          </cell>
          <cell r="C54" t="str">
            <v>Миллион декалитров</v>
          </cell>
        </row>
        <row r="55">
          <cell r="B55" t="str">
            <v>121</v>
          </cell>
          <cell r="C55" t="str">
            <v>Плотный кубический метр</v>
          </cell>
        </row>
        <row r="56">
          <cell r="B56" t="str">
            <v>122</v>
          </cell>
          <cell r="C56" t="str">
            <v>Гектолитр</v>
          </cell>
        </row>
        <row r="57">
          <cell r="B57" t="str">
            <v>123</v>
          </cell>
          <cell r="C57" t="str">
            <v>Условный кубический метр</v>
          </cell>
        </row>
        <row r="58">
          <cell r="B58" t="str">
            <v>124</v>
          </cell>
          <cell r="C58" t="str">
            <v>Тысяча условных кубических метров</v>
          </cell>
        </row>
        <row r="59">
          <cell r="B59" t="str">
            <v>125</v>
          </cell>
          <cell r="C59" t="str">
            <v>Миллион кубических метров переработки газа</v>
          </cell>
        </row>
        <row r="60">
          <cell r="B60" t="str">
            <v>126</v>
          </cell>
          <cell r="C60" t="str">
            <v>Мегалитр</v>
          </cell>
        </row>
        <row r="61">
          <cell r="B61" t="str">
            <v>127</v>
          </cell>
          <cell r="C61" t="str">
            <v>Тысяча плотных кубических метров</v>
          </cell>
        </row>
        <row r="62">
          <cell r="B62" t="str">
            <v>128</v>
          </cell>
          <cell r="C62" t="str">
            <v>Тысяча полулитров</v>
          </cell>
        </row>
        <row r="63">
          <cell r="B63" t="str">
            <v>129</v>
          </cell>
          <cell r="C63" t="str">
            <v>Миллион полулитров</v>
          </cell>
        </row>
        <row r="64">
          <cell r="B64" t="str">
            <v>131</v>
          </cell>
          <cell r="C64" t="str">
            <v>Кубический дюйм (16387,1 мм?)</v>
          </cell>
        </row>
        <row r="65">
          <cell r="B65" t="str">
            <v>132</v>
          </cell>
          <cell r="C65" t="str">
            <v>Кубический фут (0,02831685 м?)</v>
          </cell>
        </row>
        <row r="66">
          <cell r="B66" t="str">
            <v>133</v>
          </cell>
          <cell r="C66" t="str">
            <v>Кубический ярд (0,764555 м?)</v>
          </cell>
        </row>
        <row r="67">
          <cell r="B67" t="str">
            <v>135</v>
          </cell>
          <cell r="C67" t="str">
            <v>Жидкостная унция СК (28,413 см?)</v>
          </cell>
        </row>
        <row r="68">
          <cell r="B68" t="str">
            <v>136</v>
          </cell>
          <cell r="C68" t="str">
            <v>Джилл СК (0,142065 дм?)</v>
          </cell>
        </row>
        <row r="69">
          <cell r="B69" t="str">
            <v>137</v>
          </cell>
          <cell r="C69" t="str">
            <v>Пинта СК (0,568262 дм?)</v>
          </cell>
        </row>
        <row r="70">
          <cell r="B70" t="str">
            <v>138</v>
          </cell>
          <cell r="C70" t="str">
            <v>Кварта СК (1,136523 дм?)</v>
          </cell>
        </row>
        <row r="71">
          <cell r="B71" t="str">
            <v>139</v>
          </cell>
          <cell r="C71" t="str">
            <v>Галлон СК (4,546092 дм?)</v>
          </cell>
        </row>
        <row r="72">
          <cell r="B72" t="str">
            <v>140</v>
          </cell>
          <cell r="C72" t="str">
            <v>Бушель СК (36,36874 дм?)</v>
          </cell>
        </row>
        <row r="73">
          <cell r="B73" t="str">
            <v>141</v>
          </cell>
          <cell r="C73" t="str">
            <v>Жидкостная унция США (29,5735 см?)</v>
          </cell>
        </row>
        <row r="74">
          <cell r="B74" t="str">
            <v>142</v>
          </cell>
          <cell r="C74" t="str">
            <v>Джилл США (11,8294 см?)</v>
          </cell>
        </row>
        <row r="75">
          <cell r="B75" t="str">
            <v>143</v>
          </cell>
          <cell r="C75" t="str">
            <v>Жидкостная пинта США (0,473176 дм?)</v>
          </cell>
        </row>
        <row r="76">
          <cell r="B76" t="str">
            <v>144</v>
          </cell>
          <cell r="C76" t="str">
            <v>Жидкостная кварта США (0,946553 дм?)</v>
          </cell>
        </row>
        <row r="77">
          <cell r="B77" t="str">
            <v>145</v>
          </cell>
          <cell r="C77" t="str">
            <v>Жидкостный галлон США (3,78541 дм?)</v>
          </cell>
        </row>
        <row r="78">
          <cell r="B78" t="str">
            <v>146</v>
          </cell>
          <cell r="C78" t="str">
            <v>Баррель (нефтяной) США (158,987 дм?)</v>
          </cell>
        </row>
        <row r="79">
          <cell r="B79" t="str">
            <v>147</v>
          </cell>
          <cell r="C79" t="str">
            <v>Сухая пинта США (0,55061 дм?)</v>
          </cell>
        </row>
        <row r="80">
          <cell r="B80" t="str">
            <v>148</v>
          </cell>
          <cell r="C80" t="str">
            <v>Сухая кварта США (1,101221 дм?)</v>
          </cell>
        </row>
        <row r="81">
          <cell r="B81" t="str">
            <v>149</v>
          </cell>
          <cell r="C81" t="str">
            <v>Сухой галлон США (4,404884 дм?)</v>
          </cell>
        </row>
        <row r="82">
          <cell r="B82" t="str">
            <v>150</v>
          </cell>
          <cell r="C82" t="str">
            <v>Бушель США (35,2391 дм?)</v>
          </cell>
        </row>
        <row r="83">
          <cell r="B83" t="str">
            <v>151</v>
          </cell>
          <cell r="C83" t="str">
            <v>Сухой баррель США (115,627 дм?)</v>
          </cell>
        </row>
        <row r="84">
          <cell r="B84" t="str">
            <v>152</v>
          </cell>
          <cell r="C84" t="str">
            <v>Стандарт</v>
          </cell>
        </row>
        <row r="85">
          <cell r="B85" t="str">
            <v>153</v>
          </cell>
          <cell r="C85" t="str">
            <v>Корд (3,63 м?)</v>
          </cell>
        </row>
        <row r="86">
          <cell r="B86" t="str">
            <v>154</v>
          </cell>
          <cell r="C86" t="str">
            <v>Тысячи бордфутов (2,36 м?)</v>
          </cell>
        </row>
        <row r="87">
          <cell r="B87" t="str">
            <v>159</v>
          </cell>
          <cell r="C87" t="str">
            <v>Миллион кубических метров</v>
          </cell>
        </row>
        <row r="88">
          <cell r="B88" t="str">
            <v>160</v>
          </cell>
          <cell r="C88" t="str">
            <v>Гектограмм</v>
          </cell>
        </row>
        <row r="89">
          <cell r="B89" t="str">
            <v>161</v>
          </cell>
          <cell r="C89" t="str">
            <v>Миллиграмм</v>
          </cell>
        </row>
        <row r="90">
          <cell r="B90" t="str">
            <v>162</v>
          </cell>
          <cell r="C90" t="str">
            <v>Метрический карат</v>
          </cell>
        </row>
        <row r="91">
          <cell r="B91" t="str">
            <v>163</v>
          </cell>
          <cell r="C91" t="str">
            <v>Грамм</v>
          </cell>
        </row>
        <row r="92">
          <cell r="B92" t="str">
            <v>165</v>
          </cell>
          <cell r="C92" t="str">
            <v>Тысяча каратов метрических</v>
          </cell>
        </row>
        <row r="93">
          <cell r="B93" t="str">
            <v>166</v>
          </cell>
          <cell r="C93" t="str">
            <v>Килограмм</v>
          </cell>
        </row>
        <row r="94">
          <cell r="B94" t="str">
            <v>167</v>
          </cell>
          <cell r="C94" t="str">
            <v>Миллион каратов метрических</v>
          </cell>
        </row>
        <row r="95">
          <cell r="B95" t="str">
            <v>168</v>
          </cell>
          <cell r="C95" t="str">
            <v>Тонна; Метрическая тонна (1000 кг)</v>
          </cell>
        </row>
        <row r="96">
          <cell r="B96" t="str">
            <v>169</v>
          </cell>
          <cell r="C96" t="str">
            <v>Тысяча тонн</v>
          </cell>
        </row>
        <row r="97">
          <cell r="B97" t="str">
            <v>170</v>
          </cell>
          <cell r="C97" t="str">
            <v>Килотонна</v>
          </cell>
        </row>
        <row r="98">
          <cell r="B98" t="str">
            <v>171</v>
          </cell>
          <cell r="C98" t="str">
            <v>Миллион тонн</v>
          </cell>
        </row>
        <row r="99">
          <cell r="B99" t="str">
            <v>172</v>
          </cell>
          <cell r="C99" t="str">
            <v>Тонна условного топлива</v>
          </cell>
        </row>
        <row r="100">
          <cell r="B100" t="str">
            <v>173</v>
          </cell>
          <cell r="C100" t="str">
            <v>Сантиграмм</v>
          </cell>
        </row>
        <row r="101">
          <cell r="B101" t="str">
            <v>175</v>
          </cell>
          <cell r="C101" t="str">
            <v>Тысяча тонн условного топлива</v>
          </cell>
        </row>
        <row r="102">
          <cell r="B102" t="str">
            <v>176</v>
          </cell>
          <cell r="C102" t="str">
            <v>Миллион тонн условного топлива</v>
          </cell>
        </row>
        <row r="103">
          <cell r="B103" t="str">
            <v>177</v>
          </cell>
          <cell r="C103" t="str">
            <v>Тысяча тонн единовременного хранения</v>
          </cell>
        </row>
        <row r="104">
          <cell r="B104" t="str">
            <v>178</v>
          </cell>
          <cell r="C104" t="str">
            <v>Тысяча тонн переработки</v>
          </cell>
        </row>
        <row r="105">
          <cell r="B105" t="str">
            <v>179</v>
          </cell>
          <cell r="C105" t="str">
            <v>Условная тонна</v>
          </cell>
        </row>
        <row r="106">
          <cell r="B106" t="str">
            <v>181</v>
          </cell>
          <cell r="C106" t="str">
            <v>Брутто-регистровая тонна (2,8316 м?)</v>
          </cell>
        </row>
        <row r="107">
          <cell r="B107" t="str">
            <v>182</v>
          </cell>
          <cell r="C107" t="str">
            <v>Нетто-регистровая тонна</v>
          </cell>
        </row>
        <row r="108">
          <cell r="B108" t="str">
            <v>183</v>
          </cell>
          <cell r="C108" t="str">
            <v>Обмерная (фрахтовая) тонна</v>
          </cell>
        </row>
        <row r="109">
          <cell r="B109" t="str">
            <v>184</v>
          </cell>
          <cell r="C109" t="str">
            <v>Водоизмещение</v>
          </cell>
        </row>
        <row r="110">
          <cell r="B110" t="str">
            <v>185</v>
          </cell>
          <cell r="C110" t="str">
            <v>Грузоподъемность в метрических тоннах</v>
          </cell>
        </row>
        <row r="111">
          <cell r="B111" t="str">
            <v>186</v>
          </cell>
          <cell r="C111" t="str">
            <v>Фунт СК, США (0,45359237 кг)</v>
          </cell>
        </row>
        <row r="112">
          <cell r="B112" t="str">
            <v>187</v>
          </cell>
          <cell r="C112" t="str">
            <v>Унция СК, США (28,349523 г)</v>
          </cell>
        </row>
        <row r="113">
          <cell r="B113" t="str">
            <v>188</v>
          </cell>
          <cell r="C113" t="str">
            <v>Драхма СК (1,771745 г)</v>
          </cell>
        </row>
        <row r="114">
          <cell r="B114" t="str">
            <v>189</v>
          </cell>
          <cell r="C114" t="str">
            <v>Гран СК, США (64, 798910 мг)</v>
          </cell>
        </row>
        <row r="115">
          <cell r="B115" t="str">
            <v>190</v>
          </cell>
          <cell r="C115" t="str">
            <v>Стоун СК (6,350293 кг)</v>
          </cell>
        </row>
        <row r="116">
          <cell r="B116" t="str">
            <v>191</v>
          </cell>
          <cell r="C116" t="str">
            <v>Квартер СК (12,700586 кг)</v>
          </cell>
        </row>
        <row r="117">
          <cell r="B117" t="str">
            <v>192</v>
          </cell>
          <cell r="C117" t="str">
            <v>Центал СК (45,3592 кг)</v>
          </cell>
        </row>
        <row r="118">
          <cell r="B118" t="str">
            <v>193</v>
          </cell>
          <cell r="C118" t="str">
            <v>Центнер США (45,3592 кг)</v>
          </cell>
        </row>
        <row r="119">
          <cell r="B119" t="str">
            <v>194</v>
          </cell>
          <cell r="C119" t="str">
            <v>Длинный центнер СК (50,802345 кг)</v>
          </cell>
        </row>
        <row r="120">
          <cell r="B120" t="str">
            <v>195</v>
          </cell>
          <cell r="C120" t="str">
            <v>Короткая тонна СК, США (0,90718474 т)</v>
          </cell>
        </row>
        <row r="121">
          <cell r="B121" t="str">
            <v>196</v>
          </cell>
          <cell r="C121" t="str">
            <v>Длинная тонна СК, США (1,0160469 т)</v>
          </cell>
        </row>
        <row r="122">
          <cell r="B122" t="str">
            <v>197</v>
          </cell>
          <cell r="C122" t="str">
            <v>Скрупул СК, США (1,295982 г)</v>
          </cell>
        </row>
        <row r="123">
          <cell r="B123" t="str">
            <v>198</v>
          </cell>
          <cell r="C123" t="str">
            <v>Пеннивейт СК, США (1,555174 г)</v>
          </cell>
        </row>
        <row r="124">
          <cell r="B124" t="str">
            <v>199</v>
          </cell>
          <cell r="C124" t="str">
            <v>Драхма СК (3,887935 г)</v>
          </cell>
        </row>
        <row r="125">
          <cell r="B125" t="str">
            <v>200</v>
          </cell>
          <cell r="C125" t="str">
            <v>Драхма США (3,887935 г)</v>
          </cell>
        </row>
        <row r="126">
          <cell r="B126" t="str">
            <v>202</v>
          </cell>
          <cell r="C126" t="str">
            <v>Тройский фунт США (373,242 г)</v>
          </cell>
        </row>
        <row r="127">
          <cell r="B127" t="str">
            <v>207</v>
          </cell>
          <cell r="C127" t="str">
            <v>Тысяча центнеров</v>
          </cell>
        </row>
        <row r="128">
          <cell r="B128" t="str">
            <v>212</v>
          </cell>
          <cell r="C128" t="str">
            <v>Ватт</v>
          </cell>
        </row>
        <row r="129">
          <cell r="B129" t="str">
            <v>213</v>
          </cell>
          <cell r="C129" t="str">
            <v>Эффективная мощность (245,7 ватт)</v>
          </cell>
        </row>
        <row r="130">
          <cell r="B130" t="str">
            <v>214</v>
          </cell>
          <cell r="C130" t="str">
            <v>Киловатт</v>
          </cell>
        </row>
        <row r="131">
          <cell r="B131" t="str">
            <v>222</v>
          </cell>
          <cell r="C131" t="str">
            <v>Вольт</v>
          </cell>
        </row>
        <row r="132">
          <cell r="B132" t="str">
            <v>223</v>
          </cell>
          <cell r="C132" t="str">
            <v>Киловольт</v>
          </cell>
        </row>
        <row r="133">
          <cell r="B133" t="str">
            <v>226</v>
          </cell>
          <cell r="C133" t="str">
            <v>Вольт-ампер</v>
          </cell>
        </row>
        <row r="134">
          <cell r="B134" t="str">
            <v>227</v>
          </cell>
          <cell r="C134" t="str">
            <v>Киловольт-ампер</v>
          </cell>
        </row>
        <row r="135">
          <cell r="B135" t="str">
            <v>228</v>
          </cell>
          <cell r="C135" t="str">
            <v>Мегавольт-ампер (тысяча киловольт-ампер)</v>
          </cell>
        </row>
        <row r="136">
          <cell r="B136" t="str">
            <v>230</v>
          </cell>
          <cell r="C136" t="str">
            <v>Киловар</v>
          </cell>
        </row>
        <row r="137">
          <cell r="B137" t="str">
            <v>231</v>
          </cell>
          <cell r="C137" t="str">
            <v>Метр в час</v>
          </cell>
        </row>
        <row r="138">
          <cell r="B138" t="str">
            <v>232</v>
          </cell>
          <cell r="C138" t="str">
            <v>Килокалория</v>
          </cell>
        </row>
        <row r="139">
          <cell r="B139" t="str">
            <v>233</v>
          </cell>
          <cell r="C139" t="str">
            <v>Гигакалория</v>
          </cell>
        </row>
        <row r="140">
          <cell r="B140" t="str">
            <v>234</v>
          </cell>
          <cell r="C140" t="str">
            <v>Тысяча гигакалорий</v>
          </cell>
        </row>
        <row r="141">
          <cell r="B141" t="str">
            <v>235</v>
          </cell>
          <cell r="C141" t="str">
            <v>Миллион гигакалорий</v>
          </cell>
        </row>
        <row r="142">
          <cell r="B142" t="str">
            <v>236</v>
          </cell>
          <cell r="C142" t="str">
            <v>Калория в час</v>
          </cell>
        </row>
        <row r="143">
          <cell r="B143" t="str">
            <v>237</v>
          </cell>
          <cell r="C143" t="str">
            <v>Килокалория в час</v>
          </cell>
        </row>
        <row r="144">
          <cell r="B144" t="str">
            <v>238</v>
          </cell>
          <cell r="C144" t="str">
            <v>Гигакалория в час</v>
          </cell>
        </row>
        <row r="145">
          <cell r="B145" t="str">
            <v>239</v>
          </cell>
          <cell r="C145" t="str">
            <v>Тысяча гигакалорий в час</v>
          </cell>
        </row>
        <row r="146">
          <cell r="B146" t="str">
            <v>241</v>
          </cell>
          <cell r="C146" t="str">
            <v>Миллион ампер-часов</v>
          </cell>
        </row>
        <row r="147">
          <cell r="B147" t="str">
            <v>242</v>
          </cell>
          <cell r="C147" t="str">
            <v>Миллион киловольт-ампер</v>
          </cell>
        </row>
        <row r="148">
          <cell r="B148" t="str">
            <v>243</v>
          </cell>
          <cell r="C148" t="str">
            <v>Ватт-час</v>
          </cell>
        </row>
        <row r="149">
          <cell r="B149" t="str">
            <v>245</v>
          </cell>
          <cell r="C149" t="str">
            <v>Киловатт-час</v>
          </cell>
        </row>
        <row r="150">
          <cell r="B150" t="str">
            <v>247</v>
          </cell>
          <cell r="C150" t="str">
            <v>Гигаватт-час (миллион киловатт-часов)</v>
          </cell>
        </row>
        <row r="151">
          <cell r="B151" t="str">
            <v>248</v>
          </cell>
          <cell r="C151" t="str">
            <v>Киловольт-ампер реактивный</v>
          </cell>
        </row>
        <row r="152">
          <cell r="B152" t="str">
            <v>249</v>
          </cell>
          <cell r="C152" t="str">
            <v>Миллиард киловатт-часов</v>
          </cell>
        </row>
        <row r="153">
          <cell r="B153" t="str">
            <v>250</v>
          </cell>
          <cell r="C153" t="str">
            <v>Тысяча киловольт-ампер реактивных</v>
          </cell>
        </row>
        <row r="154">
          <cell r="B154" t="str">
            <v>251</v>
          </cell>
          <cell r="C154" t="str">
            <v>Лошадиная сила</v>
          </cell>
        </row>
        <row r="155">
          <cell r="B155" t="str">
            <v>252</v>
          </cell>
          <cell r="C155" t="str">
            <v>Тысяча лошадиных сил</v>
          </cell>
        </row>
        <row r="156">
          <cell r="B156" t="str">
            <v>253</v>
          </cell>
          <cell r="C156" t="str">
            <v>Миллион лошадиных сил</v>
          </cell>
        </row>
        <row r="157">
          <cell r="B157" t="str">
            <v>254</v>
          </cell>
          <cell r="C157" t="str">
            <v>Бит</v>
          </cell>
        </row>
        <row r="158">
          <cell r="B158" t="str">
            <v>255</v>
          </cell>
          <cell r="C158" t="str">
            <v>Байт</v>
          </cell>
        </row>
        <row r="159">
          <cell r="B159" t="str">
            <v>256</v>
          </cell>
          <cell r="C159" t="str">
            <v>Килобайт</v>
          </cell>
        </row>
        <row r="160">
          <cell r="B160" t="str">
            <v>257</v>
          </cell>
          <cell r="C160" t="str">
            <v>Мегабайт</v>
          </cell>
        </row>
        <row r="161">
          <cell r="B161" t="str">
            <v>258</v>
          </cell>
          <cell r="C161" t="str">
            <v>Бод</v>
          </cell>
        </row>
        <row r="162">
          <cell r="B162" t="str">
            <v>260</v>
          </cell>
          <cell r="C162" t="str">
            <v>Ампер</v>
          </cell>
        </row>
        <row r="163">
          <cell r="B163" t="str">
            <v>263</v>
          </cell>
          <cell r="C163" t="str">
            <v>Ампер-час (3,6 кКл)</v>
          </cell>
        </row>
        <row r="164">
          <cell r="B164" t="str">
            <v>264</v>
          </cell>
          <cell r="C164" t="str">
            <v>Тысяча ампер-часов</v>
          </cell>
        </row>
        <row r="165">
          <cell r="B165" t="str">
            <v>270</v>
          </cell>
          <cell r="C165" t="str">
            <v>Кулон</v>
          </cell>
        </row>
        <row r="166">
          <cell r="B166" t="str">
            <v>271</v>
          </cell>
          <cell r="C166" t="str">
            <v>Джоуль</v>
          </cell>
        </row>
        <row r="167">
          <cell r="B167" t="str">
            <v>273</v>
          </cell>
          <cell r="C167" t="str">
            <v>Килоджоуль</v>
          </cell>
        </row>
        <row r="168">
          <cell r="B168" t="str">
            <v>274</v>
          </cell>
          <cell r="C168" t="str">
            <v>Ом</v>
          </cell>
        </row>
        <row r="169">
          <cell r="B169" t="str">
            <v>275</v>
          </cell>
          <cell r="C169" t="str">
            <v>Британская тепловая единица (1,055 кДж)</v>
          </cell>
        </row>
        <row r="170">
          <cell r="B170" t="str">
            <v>280</v>
          </cell>
          <cell r="C170" t="str">
            <v>Градус Цельсия</v>
          </cell>
        </row>
        <row r="171">
          <cell r="B171" t="str">
            <v>281</v>
          </cell>
          <cell r="C171" t="str">
            <v>Градус Фаренгейта</v>
          </cell>
        </row>
        <row r="172">
          <cell r="B172" t="str">
            <v>282</v>
          </cell>
          <cell r="C172" t="str">
            <v>Кандела</v>
          </cell>
        </row>
        <row r="173">
          <cell r="B173" t="str">
            <v>283</v>
          </cell>
          <cell r="C173" t="str">
            <v>Люкс</v>
          </cell>
        </row>
        <row r="174">
          <cell r="B174" t="str">
            <v>284</v>
          </cell>
          <cell r="C174" t="str">
            <v>Люмен</v>
          </cell>
        </row>
        <row r="175">
          <cell r="B175" t="str">
            <v>287</v>
          </cell>
          <cell r="C175" t="str">
            <v>Генри</v>
          </cell>
        </row>
        <row r="176">
          <cell r="B176" t="str">
            <v>288</v>
          </cell>
          <cell r="C176" t="str">
            <v>Кельвин</v>
          </cell>
        </row>
        <row r="177">
          <cell r="B177" t="str">
            <v>289</v>
          </cell>
          <cell r="C177" t="str">
            <v>Ньютон</v>
          </cell>
        </row>
        <row r="178">
          <cell r="B178" t="str">
            <v>290</v>
          </cell>
          <cell r="C178" t="str">
            <v>Герц</v>
          </cell>
        </row>
        <row r="179">
          <cell r="B179" t="str">
            <v>291</v>
          </cell>
          <cell r="C179" t="str">
            <v>Килогерц</v>
          </cell>
        </row>
        <row r="180">
          <cell r="B180" t="str">
            <v>292</v>
          </cell>
          <cell r="C180" t="str">
            <v>Мегагерц</v>
          </cell>
        </row>
        <row r="181">
          <cell r="B181" t="str">
            <v>294</v>
          </cell>
          <cell r="C181" t="str">
            <v>Паскаль</v>
          </cell>
        </row>
        <row r="182">
          <cell r="B182" t="str">
            <v>296</v>
          </cell>
          <cell r="C182" t="str">
            <v>Сименс</v>
          </cell>
        </row>
        <row r="183">
          <cell r="B183" t="str">
            <v>297</v>
          </cell>
          <cell r="C183" t="str">
            <v>Килопаскаль</v>
          </cell>
        </row>
        <row r="184">
          <cell r="B184" t="str">
            <v>298</v>
          </cell>
          <cell r="C184" t="str">
            <v>Мегапаскаль</v>
          </cell>
        </row>
        <row r="185">
          <cell r="B185" t="str">
            <v>300</v>
          </cell>
          <cell r="C185" t="str">
            <v>Физическая атмосфера (101325 Па)</v>
          </cell>
        </row>
        <row r="186">
          <cell r="B186" t="str">
            <v>301</v>
          </cell>
          <cell r="C186" t="str">
            <v>Техническая атмосфера (98066,5 Па)</v>
          </cell>
        </row>
        <row r="187">
          <cell r="B187" t="str">
            <v>302</v>
          </cell>
          <cell r="C187" t="str">
            <v>Гигабеккерель</v>
          </cell>
        </row>
        <row r="188">
          <cell r="B188" t="str">
            <v>304</v>
          </cell>
          <cell r="C188" t="str">
            <v>Милликюри</v>
          </cell>
        </row>
        <row r="189">
          <cell r="B189" t="str">
            <v>305</v>
          </cell>
          <cell r="C189" t="str">
            <v>Кюри</v>
          </cell>
        </row>
        <row r="190">
          <cell r="B190" t="str">
            <v>306</v>
          </cell>
          <cell r="C190" t="str">
            <v>Грамм делящихся изотопов</v>
          </cell>
        </row>
        <row r="191">
          <cell r="B191" t="str">
            <v>308</v>
          </cell>
          <cell r="C191" t="str">
            <v>Миллибар</v>
          </cell>
        </row>
        <row r="192">
          <cell r="B192" t="str">
            <v>309</v>
          </cell>
          <cell r="C192" t="str">
            <v>Бар</v>
          </cell>
        </row>
        <row r="193">
          <cell r="B193" t="str">
            <v>310</v>
          </cell>
          <cell r="C193" t="str">
            <v>Гектобар</v>
          </cell>
        </row>
        <row r="194">
          <cell r="B194" t="str">
            <v>312</v>
          </cell>
          <cell r="C194" t="str">
            <v>Килобар</v>
          </cell>
        </row>
        <row r="195">
          <cell r="B195" t="str">
            <v>313</v>
          </cell>
          <cell r="C195" t="str">
            <v>Тесла</v>
          </cell>
        </row>
        <row r="196">
          <cell r="B196" t="str">
            <v>314</v>
          </cell>
          <cell r="C196" t="str">
            <v>Фарад</v>
          </cell>
        </row>
        <row r="197">
          <cell r="B197" t="str">
            <v>316</v>
          </cell>
          <cell r="C197" t="str">
            <v>Килограмм на кубический метр</v>
          </cell>
        </row>
        <row r="198">
          <cell r="B198" t="str">
            <v>317</v>
          </cell>
          <cell r="C198" t="str">
            <v>Килограмм на квадратный сантиметр</v>
          </cell>
        </row>
        <row r="199">
          <cell r="B199" t="str">
            <v>323</v>
          </cell>
          <cell r="C199" t="str">
            <v>Беккерель</v>
          </cell>
        </row>
        <row r="200">
          <cell r="B200" t="str">
            <v>324</v>
          </cell>
          <cell r="C200" t="str">
            <v>Вебер</v>
          </cell>
        </row>
        <row r="201">
          <cell r="B201" t="str">
            <v>327</v>
          </cell>
          <cell r="C201" t="str">
            <v>Узел (миля/ч)</v>
          </cell>
        </row>
        <row r="202">
          <cell r="B202" t="str">
            <v>328</v>
          </cell>
          <cell r="C202" t="str">
            <v>Метр в секунду</v>
          </cell>
        </row>
        <row r="203">
          <cell r="B203" t="str">
            <v>330</v>
          </cell>
          <cell r="C203" t="str">
            <v>Оборот в секунду</v>
          </cell>
        </row>
        <row r="204">
          <cell r="B204" t="str">
            <v>331</v>
          </cell>
          <cell r="C204" t="str">
            <v>Оборот в минуту</v>
          </cell>
        </row>
        <row r="205">
          <cell r="B205" t="str">
            <v>333</v>
          </cell>
          <cell r="C205" t="str">
            <v>Километр в час</v>
          </cell>
        </row>
        <row r="206">
          <cell r="B206" t="str">
            <v>335</v>
          </cell>
          <cell r="C206" t="str">
            <v>Метр на секунду в квадрате</v>
          </cell>
        </row>
        <row r="207">
          <cell r="B207" t="str">
            <v>337</v>
          </cell>
          <cell r="C207" t="str">
            <v>Миллиметр водяного столба</v>
          </cell>
        </row>
        <row r="208">
          <cell r="B208" t="str">
            <v>338</v>
          </cell>
          <cell r="C208" t="str">
            <v>Миллиметр ртутного столба</v>
          </cell>
        </row>
        <row r="209">
          <cell r="B209" t="str">
            <v>339</v>
          </cell>
          <cell r="C209" t="str">
            <v>Сантиметр водяного столба</v>
          </cell>
        </row>
        <row r="210">
          <cell r="B210" t="str">
            <v>349</v>
          </cell>
          <cell r="C210" t="str">
            <v>Кулон на килограмм</v>
          </cell>
        </row>
        <row r="211">
          <cell r="B211" t="str">
            <v>352</v>
          </cell>
          <cell r="C211" t="str">
            <v>Микросекунда</v>
          </cell>
        </row>
        <row r="212">
          <cell r="B212" t="str">
            <v>353</v>
          </cell>
          <cell r="C212" t="str">
            <v>Миллисекунда</v>
          </cell>
        </row>
        <row r="213">
          <cell r="B213" t="str">
            <v>354</v>
          </cell>
          <cell r="C213" t="str">
            <v>Секунда</v>
          </cell>
        </row>
        <row r="214">
          <cell r="B214" t="str">
            <v>355</v>
          </cell>
          <cell r="C214" t="str">
            <v>Минута</v>
          </cell>
        </row>
        <row r="215">
          <cell r="B215" t="str">
            <v>356</v>
          </cell>
          <cell r="C215" t="str">
            <v>Час</v>
          </cell>
        </row>
        <row r="216">
          <cell r="B216" t="str">
            <v>360</v>
          </cell>
          <cell r="C216" t="str">
            <v>Неделя</v>
          </cell>
        </row>
        <row r="217">
          <cell r="B217" t="str">
            <v>361</v>
          </cell>
          <cell r="C217" t="str">
            <v>Декада</v>
          </cell>
        </row>
        <row r="218">
          <cell r="B218" t="str">
            <v>362</v>
          </cell>
          <cell r="C218" t="str">
            <v>Месяц</v>
          </cell>
        </row>
        <row r="219">
          <cell r="B219" t="str">
            <v>364</v>
          </cell>
          <cell r="C219" t="str">
            <v>Квартал</v>
          </cell>
        </row>
        <row r="220">
          <cell r="B220" t="str">
            <v>365</v>
          </cell>
          <cell r="C220" t="str">
            <v>Полугодие</v>
          </cell>
        </row>
        <row r="221">
          <cell r="B221" t="str">
            <v>366</v>
          </cell>
          <cell r="C221" t="str">
            <v>Год</v>
          </cell>
        </row>
        <row r="222">
          <cell r="B222" t="str">
            <v>368</v>
          </cell>
          <cell r="C222" t="str">
            <v>Десятилетие</v>
          </cell>
        </row>
        <row r="223">
          <cell r="B223" t="str">
            <v>383</v>
          </cell>
          <cell r="C223" t="str">
            <v>Рубль</v>
          </cell>
        </row>
        <row r="224">
          <cell r="B224" t="str">
            <v>384</v>
          </cell>
          <cell r="C224" t="str">
            <v>Тысяча рублей</v>
          </cell>
        </row>
        <row r="225">
          <cell r="B225" t="str">
            <v>385</v>
          </cell>
          <cell r="C225" t="str">
            <v>Миллион рублей</v>
          </cell>
        </row>
        <row r="226">
          <cell r="B226" t="str">
            <v>386</v>
          </cell>
          <cell r="C226" t="str">
            <v>Миллиард рублей</v>
          </cell>
        </row>
        <row r="227">
          <cell r="B227" t="str">
            <v>387</v>
          </cell>
          <cell r="C227" t="str">
            <v>Триллион рублей</v>
          </cell>
        </row>
        <row r="228">
          <cell r="B228" t="str">
            <v>388</v>
          </cell>
          <cell r="C228" t="str">
            <v>Квадрильон рублей</v>
          </cell>
        </row>
        <row r="229">
          <cell r="B229" t="str">
            <v>414</v>
          </cell>
          <cell r="C229" t="str">
            <v>Пассажиро-километр</v>
          </cell>
        </row>
        <row r="230">
          <cell r="B230" t="str">
            <v>421</v>
          </cell>
          <cell r="C230" t="str">
            <v>Пассажирское место (пассажирских мест)</v>
          </cell>
        </row>
        <row r="231">
          <cell r="B231" t="str">
            <v>423</v>
          </cell>
          <cell r="C231" t="str">
            <v>Тысяча пассажиро-километров</v>
          </cell>
        </row>
        <row r="232">
          <cell r="B232" t="str">
            <v>424</v>
          </cell>
          <cell r="C232" t="str">
            <v>Миллион пассажиро-километров</v>
          </cell>
        </row>
        <row r="233">
          <cell r="B233" t="str">
            <v>427</v>
          </cell>
          <cell r="C233" t="str">
            <v>Пассажиропоток</v>
          </cell>
        </row>
        <row r="234">
          <cell r="B234" t="str">
            <v>449</v>
          </cell>
          <cell r="C234" t="str">
            <v>Тонно-километр</v>
          </cell>
        </row>
        <row r="235">
          <cell r="B235" t="str">
            <v>450</v>
          </cell>
          <cell r="C235" t="str">
            <v>Тысяча тонно-километров</v>
          </cell>
        </row>
        <row r="236">
          <cell r="B236" t="str">
            <v>451</v>
          </cell>
          <cell r="C236" t="str">
            <v>Миллион тонно-километров</v>
          </cell>
        </row>
        <row r="237">
          <cell r="B237" t="str">
            <v>479</v>
          </cell>
          <cell r="C237" t="str">
            <v>Тысяча наборов</v>
          </cell>
        </row>
        <row r="238">
          <cell r="B238" t="str">
            <v>499</v>
          </cell>
          <cell r="C238" t="str">
            <v>Килограмм в секунду</v>
          </cell>
        </row>
        <row r="239">
          <cell r="B239" t="str">
            <v>510</v>
          </cell>
          <cell r="C239" t="str">
            <v>Грамм на киловатт-час</v>
          </cell>
        </row>
        <row r="240">
          <cell r="B240" t="str">
            <v>511</v>
          </cell>
          <cell r="C240" t="str">
            <v>Килограмм на гигакалорию</v>
          </cell>
        </row>
        <row r="241">
          <cell r="B241" t="str">
            <v>512</v>
          </cell>
          <cell r="C241" t="str">
            <v>Тонно-номер</v>
          </cell>
        </row>
        <row r="242">
          <cell r="B242" t="str">
            <v>513</v>
          </cell>
          <cell r="C242" t="str">
            <v>Автотонна</v>
          </cell>
        </row>
        <row r="243">
          <cell r="B243" t="str">
            <v>514</v>
          </cell>
          <cell r="C243" t="str">
            <v>Тонна тяги</v>
          </cell>
        </row>
        <row r="244">
          <cell r="B244" t="str">
            <v>515</v>
          </cell>
          <cell r="C244" t="str">
            <v>Дедвейт-тонна</v>
          </cell>
        </row>
        <row r="245">
          <cell r="B245" t="str">
            <v>516</v>
          </cell>
          <cell r="C245" t="str">
            <v>Тонно-танид</v>
          </cell>
        </row>
        <row r="246">
          <cell r="B246" t="str">
            <v>521</v>
          </cell>
          <cell r="C246" t="str">
            <v>Человек на квадратный метр</v>
          </cell>
        </row>
        <row r="247">
          <cell r="B247" t="str">
            <v>522</v>
          </cell>
          <cell r="C247" t="str">
            <v>Человек на квадратный километр</v>
          </cell>
        </row>
        <row r="248">
          <cell r="B248" t="str">
            <v>533</v>
          </cell>
          <cell r="C248" t="str">
            <v>Тонна пара в час</v>
          </cell>
        </row>
        <row r="249">
          <cell r="B249" t="str">
            <v>534</v>
          </cell>
          <cell r="C249" t="str">
            <v>Тонна в час</v>
          </cell>
        </row>
        <row r="250">
          <cell r="B250" t="str">
            <v>535</v>
          </cell>
          <cell r="C250" t="str">
            <v>Тонна в сутки</v>
          </cell>
        </row>
        <row r="251">
          <cell r="B251" t="str">
            <v>536</v>
          </cell>
          <cell r="C251" t="str">
            <v>Тонна в смену</v>
          </cell>
        </row>
        <row r="252">
          <cell r="B252" t="str">
            <v>537</v>
          </cell>
          <cell r="C252" t="str">
            <v>Тысяча тонн в сезон</v>
          </cell>
        </row>
        <row r="253">
          <cell r="B253" t="str">
            <v>538</v>
          </cell>
          <cell r="C253" t="str">
            <v>Тысяча тонн в год</v>
          </cell>
        </row>
        <row r="254">
          <cell r="B254" t="str">
            <v>539</v>
          </cell>
          <cell r="C254" t="str">
            <v>Человеко-час</v>
          </cell>
        </row>
        <row r="255">
          <cell r="B255" t="str">
            <v>540</v>
          </cell>
          <cell r="C255" t="str">
            <v>Человеко-день</v>
          </cell>
        </row>
        <row r="256">
          <cell r="B256" t="str">
            <v>541</v>
          </cell>
          <cell r="C256" t="str">
            <v>Тысяча человеко-дней</v>
          </cell>
        </row>
        <row r="257">
          <cell r="B257" t="str">
            <v>542</v>
          </cell>
          <cell r="C257" t="str">
            <v>Тысяча человеко-часов</v>
          </cell>
        </row>
        <row r="258">
          <cell r="B258" t="str">
            <v>543</v>
          </cell>
          <cell r="C258" t="str">
            <v>Тысяча условных банок в смену</v>
          </cell>
        </row>
        <row r="259">
          <cell r="B259" t="str">
            <v>544</v>
          </cell>
          <cell r="C259" t="str">
            <v>Миллион единиц в год</v>
          </cell>
        </row>
        <row r="260">
          <cell r="B260" t="str">
            <v>545</v>
          </cell>
          <cell r="C260" t="str">
            <v>Посещение в смену</v>
          </cell>
        </row>
        <row r="261">
          <cell r="B261" t="str">
            <v>546</v>
          </cell>
          <cell r="C261" t="str">
            <v>Тысяча посещений в смену</v>
          </cell>
        </row>
        <row r="262">
          <cell r="B262" t="str">
            <v>547</v>
          </cell>
          <cell r="C262" t="str">
            <v>Пара в смену</v>
          </cell>
        </row>
        <row r="263">
          <cell r="B263" t="str">
            <v>548</v>
          </cell>
          <cell r="C263" t="str">
            <v>Тысяча пар в смену</v>
          </cell>
        </row>
        <row r="264">
          <cell r="B264" t="str">
            <v>550</v>
          </cell>
          <cell r="C264" t="str">
            <v>Миллион тонн в год</v>
          </cell>
        </row>
        <row r="265">
          <cell r="B265" t="str">
            <v>552</v>
          </cell>
          <cell r="C265" t="str">
            <v>Тонна переработки в сутки</v>
          </cell>
        </row>
        <row r="266">
          <cell r="B266" t="str">
            <v>553</v>
          </cell>
          <cell r="C266" t="str">
            <v>Тысяча тонн переработки в сутки</v>
          </cell>
        </row>
        <row r="267">
          <cell r="B267" t="str">
            <v>554</v>
          </cell>
          <cell r="C267" t="str">
            <v>Центнер переработки в сутки</v>
          </cell>
        </row>
        <row r="268">
          <cell r="B268" t="str">
            <v>555</v>
          </cell>
          <cell r="C268" t="str">
            <v>Тысяча центнеров переработки в сутки</v>
          </cell>
        </row>
        <row r="269">
          <cell r="B269" t="str">
            <v>556</v>
          </cell>
          <cell r="C269" t="str">
            <v>Тысяча голов в год</v>
          </cell>
        </row>
        <row r="270">
          <cell r="B270" t="str">
            <v>557</v>
          </cell>
          <cell r="C270" t="str">
            <v>Миллион голов в год</v>
          </cell>
        </row>
        <row r="271">
          <cell r="B271" t="str">
            <v>558</v>
          </cell>
          <cell r="C271" t="str">
            <v>Тысяча птицемест</v>
          </cell>
        </row>
        <row r="272">
          <cell r="B272" t="str">
            <v>559</v>
          </cell>
          <cell r="C272" t="str">
            <v>Тысяча кур-несушек</v>
          </cell>
        </row>
        <row r="273">
          <cell r="B273" t="str">
            <v>560</v>
          </cell>
          <cell r="C273" t="str">
            <v>Минимальная заработная плата</v>
          </cell>
        </row>
        <row r="274">
          <cell r="B274" t="str">
            <v>561</v>
          </cell>
          <cell r="C274" t="str">
            <v>Тысяча тонн пара в час</v>
          </cell>
        </row>
        <row r="275">
          <cell r="B275" t="str">
            <v>562</v>
          </cell>
          <cell r="C275" t="str">
            <v>Тысяча прядильных веретен</v>
          </cell>
        </row>
        <row r="276">
          <cell r="B276" t="str">
            <v>563</v>
          </cell>
          <cell r="C276" t="str">
            <v>Тысяча прядильных мест</v>
          </cell>
        </row>
        <row r="277">
          <cell r="B277" t="str">
            <v>596</v>
          </cell>
          <cell r="C277" t="str">
            <v>Кубический метр в секунду</v>
          </cell>
        </row>
        <row r="278">
          <cell r="B278" t="str">
            <v>598</v>
          </cell>
          <cell r="C278" t="str">
            <v>Кубический метр в час</v>
          </cell>
        </row>
        <row r="279">
          <cell r="B279" t="str">
            <v>599</v>
          </cell>
          <cell r="C279" t="str">
            <v>Тысяча кубических метров в сутки</v>
          </cell>
        </row>
        <row r="280">
          <cell r="B280" t="str">
            <v>616</v>
          </cell>
          <cell r="C280" t="str">
            <v>Бобина</v>
          </cell>
        </row>
        <row r="281">
          <cell r="B281" t="str">
            <v>625</v>
          </cell>
          <cell r="C281" t="str">
            <v>Лист</v>
          </cell>
        </row>
        <row r="282">
          <cell r="B282" t="str">
            <v>626</v>
          </cell>
          <cell r="C282" t="str">
            <v>Сто листов</v>
          </cell>
        </row>
        <row r="283">
          <cell r="B283" t="str">
            <v>630</v>
          </cell>
          <cell r="C283" t="str">
            <v>Тысяча стандартных условных кирпичей</v>
          </cell>
        </row>
        <row r="284">
          <cell r="B284" t="str">
            <v>639</v>
          </cell>
          <cell r="C284" t="str">
            <v>Доза</v>
          </cell>
        </row>
        <row r="285">
          <cell r="B285" t="str">
            <v>640</v>
          </cell>
          <cell r="C285" t="str">
            <v>Тысяча доз</v>
          </cell>
        </row>
        <row r="286">
          <cell r="B286" t="str">
            <v>642</v>
          </cell>
          <cell r="C286" t="str">
            <v>Единица</v>
          </cell>
        </row>
        <row r="287">
          <cell r="B287" t="str">
            <v>643</v>
          </cell>
          <cell r="C287" t="str">
            <v>Тысяча единиц</v>
          </cell>
        </row>
        <row r="288">
          <cell r="B288" t="str">
            <v>644</v>
          </cell>
          <cell r="C288" t="str">
            <v>Миллион единиц</v>
          </cell>
        </row>
        <row r="289">
          <cell r="B289" t="str">
            <v>657</v>
          </cell>
          <cell r="C289" t="str">
            <v>Изделие</v>
          </cell>
        </row>
        <row r="290">
          <cell r="B290" t="str">
            <v>661</v>
          </cell>
          <cell r="C290" t="str">
            <v>Канал</v>
          </cell>
        </row>
        <row r="291">
          <cell r="B291" t="str">
            <v>673</v>
          </cell>
          <cell r="C291" t="str">
            <v>Тысяча комплектов</v>
          </cell>
        </row>
        <row r="292">
          <cell r="B292" t="str">
            <v>683</v>
          </cell>
          <cell r="C292" t="str">
            <v>Сто ящиков</v>
          </cell>
        </row>
        <row r="293">
          <cell r="B293" t="str">
            <v>698</v>
          </cell>
          <cell r="C293" t="str">
            <v>Место</v>
          </cell>
        </row>
        <row r="294">
          <cell r="B294" t="str">
            <v>699</v>
          </cell>
          <cell r="C294" t="str">
            <v>Тысяча мест</v>
          </cell>
        </row>
        <row r="295">
          <cell r="B295" t="str">
            <v>704</v>
          </cell>
          <cell r="C295" t="str">
            <v>Набор</v>
          </cell>
        </row>
        <row r="296">
          <cell r="B296" t="str">
            <v>709</v>
          </cell>
          <cell r="C296" t="str">
            <v>Тысяча номеров</v>
          </cell>
        </row>
        <row r="297">
          <cell r="B297" t="str">
            <v>715</v>
          </cell>
          <cell r="C297" t="str">
            <v>Пара (2 шт.)</v>
          </cell>
        </row>
        <row r="298">
          <cell r="B298" t="str">
            <v>724</v>
          </cell>
          <cell r="C298" t="str">
            <v>Тысяча гектаров порций</v>
          </cell>
        </row>
        <row r="299">
          <cell r="B299" t="str">
            <v>729</v>
          </cell>
          <cell r="C299" t="str">
            <v>Тысяча пачек</v>
          </cell>
        </row>
        <row r="300">
          <cell r="B300" t="str">
            <v>730</v>
          </cell>
          <cell r="C300" t="str">
            <v>Два десятка</v>
          </cell>
        </row>
        <row r="301">
          <cell r="B301" t="str">
            <v>731</v>
          </cell>
          <cell r="C301" t="str">
            <v>Большой гросс (12 гроссов)</v>
          </cell>
        </row>
        <row r="302">
          <cell r="B302" t="str">
            <v>732</v>
          </cell>
          <cell r="C302" t="str">
            <v>Десять пар</v>
          </cell>
        </row>
        <row r="303">
          <cell r="B303" t="str">
            <v>733</v>
          </cell>
          <cell r="C303" t="str">
            <v>Дюжина пар</v>
          </cell>
        </row>
        <row r="304">
          <cell r="B304" t="str">
            <v>734</v>
          </cell>
          <cell r="C304" t="str">
            <v>Посылка</v>
          </cell>
        </row>
        <row r="305">
          <cell r="B305" t="str">
            <v>735</v>
          </cell>
          <cell r="C305" t="str">
            <v>Часть</v>
          </cell>
        </row>
        <row r="306">
          <cell r="B306" t="str">
            <v>736</v>
          </cell>
          <cell r="C306" t="str">
            <v>Рулон</v>
          </cell>
        </row>
        <row r="307">
          <cell r="B307" t="str">
            <v>737</v>
          </cell>
          <cell r="C307" t="str">
            <v>Дюжина рулонов</v>
          </cell>
        </row>
        <row r="308">
          <cell r="B308" t="str">
            <v>738</v>
          </cell>
          <cell r="C308" t="str">
            <v>Короткий стандарт (7200 единиц)</v>
          </cell>
        </row>
        <row r="309">
          <cell r="B309" t="str">
            <v>740</v>
          </cell>
          <cell r="C309" t="str">
            <v>Дюжина штук</v>
          </cell>
        </row>
        <row r="310">
          <cell r="B310" t="str">
            <v>744</v>
          </cell>
          <cell r="C310" t="str">
            <v>Процент</v>
          </cell>
        </row>
        <row r="311">
          <cell r="B311" t="str">
            <v>745</v>
          </cell>
          <cell r="C311" t="str">
            <v>Элемент</v>
          </cell>
        </row>
        <row r="312">
          <cell r="B312" t="str">
            <v>746</v>
          </cell>
          <cell r="C312" t="str">
            <v>Промилле (0,1 процента)</v>
          </cell>
        </row>
        <row r="313">
          <cell r="B313" t="str">
            <v>751</v>
          </cell>
          <cell r="C313" t="str">
            <v>Тысяча рулонов</v>
          </cell>
        </row>
        <row r="314">
          <cell r="B314" t="str">
            <v>761</v>
          </cell>
          <cell r="C314" t="str">
            <v>Тысяча станов</v>
          </cell>
        </row>
        <row r="315">
          <cell r="B315" t="str">
            <v>762</v>
          </cell>
          <cell r="C315" t="str">
            <v>Станция</v>
          </cell>
        </row>
        <row r="316">
          <cell r="B316" t="str">
            <v>775</v>
          </cell>
          <cell r="C316" t="str">
            <v>Тысяча тюбиков</v>
          </cell>
        </row>
        <row r="317">
          <cell r="B317" t="str">
            <v>776</v>
          </cell>
          <cell r="C317" t="str">
            <v>Тысяча условных тубов</v>
          </cell>
        </row>
        <row r="318">
          <cell r="B318" t="str">
            <v>778</v>
          </cell>
          <cell r="C318" t="str">
            <v>Упаковка</v>
          </cell>
        </row>
        <row r="319">
          <cell r="B319" t="str">
            <v>779</v>
          </cell>
          <cell r="C319" t="str">
            <v>Миллион упаковок</v>
          </cell>
        </row>
        <row r="320">
          <cell r="B320" t="str">
            <v>780</v>
          </cell>
          <cell r="C320" t="str">
            <v>Дюжина упаковок</v>
          </cell>
        </row>
        <row r="321">
          <cell r="B321" t="str">
            <v>781</v>
          </cell>
          <cell r="C321" t="str">
            <v>Сто упаковок</v>
          </cell>
        </row>
        <row r="322">
          <cell r="B322" t="str">
            <v>782</v>
          </cell>
          <cell r="C322" t="str">
            <v>Тысяча упаковок</v>
          </cell>
        </row>
        <row r="323">
          <cell r="B323" t="str">
            <v>792</v>
          </cell>
          <cell r="C323" t="str">
            <v>Человек</v>
          </cell>
        </row>
        <row r="324">
          <cell r="B324" t="str">
            <v>793</v>
          </cell>
          <cell r="C324" t="str">
            <v>Тысяча человек</v>
          </cell>
        </row>
        <row r="325">
          <cell r="B325" t="str">
            <v>794</v>
          </cell>
          <cell r="C325" t="str">
            <v>Миллион человек</v>
          </cell>
        </row>
        <row r="326">
          <cell r="B326" t="str">
            <v>796</v>
          </cell>
          <cell r="C326" t="str">
            <v>Штука</v>
          </cell>
        </row>
        <row r="327">
          <cell r="B327" t="str">
            <v>797</v>
          </cell>
          <cell r="C327" t="str">
            <v>Сто штук</v>
          </cell>
        </row>
        <row r="328">
          <cell r="B328" t="str">
            <v>799</v>
          </cell>
          <cell r="C328" t="str">
            <v>Миллион штук</v>
          </cell>
        </row>
        <row r="329">
          <cell r="B329" t="str">
            <v>800</v>
          </cell>
          <cell r="C329" t="str">
            <v>Миллиард штук</v>
          </cell>
        </row>
        <row r="330">
          <cell r="B330" t="str">
            <v>802</v>
          </cell>
          <cell r="C330" t="str">
            <v>Квинтильон штук (Европа)</v>
          </cell>
        </row>
        <row r="331">
          <cell r="B331" t="str">
            <v>808</v>
          </cell>
          <cell r="C331" t="str">
            <v>Миллион экземпляров</v>
          </cell>
        </row>
        <row r="332">
          <cell r="B332" t="str">
            <v>810</v>
          </cell>
          <cell r="C332" t="str">
            <v>Ячейка</v>
          </cell>
        </row>
        <row r="333">
          <cell r="B333" t="str">
            <v>812</v>
          </cell>
          <cell r="C333" t="str">
            <v>Ящик</v>
          </cell>
        </row>
        <row r="334">
          <cell r="B334" t="str">
            <v>820</v>
          </cell>
          <cell r="C334" t="str">
            <v>Крепость спирта по массе</v>
          </cell>
        </row>
        <row r="335">
          <cell r="B335" t="str">
            <v>821</v>
          </cell>
          <cell r="C335" t="str">
            <v>Крепость спирта по объему</v>
          </cell>
        </row>
        <row r="336">
          <cell r="B336" t="str">
            <v>831</v>
          </cell>
          <cell r="C336" t="str">
            <v>Литр чистого (100%) спирта</v>
          </cell>
        </row>
        <row r="337">
          <cell r="B337" t="str">
            <v>833</v>
          </cell>
          <cell r="C337" t="str">
            <v>Гектолитр чистого (100%) спирта</v>
          </cell>
        </row>
        <row r="338">
          <cell r="B338" t="str">
            <v>835</v>
          </cell>
          <cell r="C338" t="str">
            <v>Галлон спирта установленной крепости</v>
          </cell>
        </row>
        <row r="339">
          <cell r="B339" t="str">
            <v>836</v>
          </cell>
          <cell r="C339" t="str">
            <v>Голова</v>
          </cell>
        </row>
        <row r="340">
          <cell r="B340" t="str">
            <v>837</v>
          </cell>
          <cell r="C340" t="str">
            <v>Тысяча пар</v>
          </cell>
        </row>
        <row r="341">
          <cell r="B341" t="str">
            <v>838</v>
          </cell>
          <cell r="C341" t="str">
            <v>Миллион пар</v>
          </cell>
        </row>
        <row r="342">
          <cell r="B342" t="str">
            <v>839</v>
          </cell>
          <cell r="C342" t="str">
            <v>Комплект</v>
          </cell>
        </row>
        <row r="343">
          <cell r="B343" t="str">
            <v>840</v>
          </cell>
          <cell r="C343" t="str">
            <v>Секция</v>
          </cell>
        </row>
        <row r="344">
          <cell r="B344" t="str">
            <v>841</v>
          </cell>
          <cell r="C344" t="str">
            <v>Килограмм пероксида водорода</v>
          </cell>
        </row>
        <row r="345">
          <cell r="B345" t="str">
            <v>845</v>
          </cell>
          <cell r="C345" t="str">
            <v>Килограмм 90%-го сухого вещества</v>
          </cell>
        </row>
        <row r="346">
          <cell r="B346" t="str">
            <v>847</v>
          </cell>
          <cell r="C346" t="str">
            <v>Тонна 90%-го сухого вещества</v>
          </cell>
        </row>
        <row r="347">
          <cell r="B347" t="str">
            <v>851</v>
          </cell>
          <cell r="C347" t="str">
            <v>Международная единица</v>
          </cell>
        </row>
        <row r="348">
          <cell r="B348" t="str">
            <v>852</v>
          </cell>
          <cell r="C348" t="str">
            <v>Килограмм оксида калия</v>
          </cell>
        </row>
        <row r="349">
          <cell r="B349" t="str">
            <v>853</v>
          </cell>
          <cell r="C349" t="str">
            <v>Сто международных единиц</v>
          </cell>
        </row>
        <row r="350">
          <cell r="B350" t="str">
            <v>859</v>
          </cell>
          <cell r="C350" t="str">
            <v>Килограмм гидроксида калия</v>
          </cell>
        </row>
        <row r="351">
          <cell r="B351" t="str">
            <v>861</v>
          </cell>
          <cell r="C351" t="str">
            <v>Килограмм азота</v>
          </cell>
        </row>
        <row r="352">
          <cell r="B352" t="str">
            <v>863</v>
          </cell>
          <cell r="C352" t="str">
            <v>Килограмм гидроксида натрия</v>
          </cell>
        </row>
        <row r="353">
          <cell r="B353" t="str">
            <v>865</v>
          </cell>
          <cell r="C353" t="str">
            <v>Килограмм пятиокиси фосфора</v>
          </cell>
        </row>
        <row r="354">
          <cell r="B354" t="str">
            <v>867</v>
          </cell>
          <cell r="C354" t="str">
            <v>Килограмм урана</v>
          </cell>
        </row>
        <row r="355">
          <cell r="B355" t="str">
            <v>868</v>
          </cell>
          <cell r="C355" t="str">
            <v>Бутылка</v>
          </cell>
        </row>
        <row r="356">
          <cell r="B356" t="str">
            <v>869</v>
          </cell>
          <cell r="C356" t="str">
            <v>Тысяча бутылок</v>
          </cell>
        </row>
        <row r="357">
          <cell r="B357" t="str">
            <v>870</v>
          </cell>
          <cell r="C357" t="str">
            <v>Ампула</v>
          </cell>
        </row>
        <row r="358">
          <cell r="B358" t="str">
            <v>871</v>
          </cell>
          <cell r="C358" t="str">
            <v>Тысяча ампул</v>
          </cell>
        </row>
        <row r="359">
          <cell r="B359" t="str">
            <v>872</v>
          </cell>
          <cell r="C359" t="str">
            <v>Флакон</v>
          </cell>
        </row>
        <row r="360">
          <cell r="B360" t="str">
            <v>873</v>
          </cell>
          <cell r="C360" t="str">
            <v>Тысяча флаконов</v>
          </cell>
        </row>
        <row r="361">
          <cell r="B361" t="str">
            <v>874</v>
          </cell>
          <cell r="C361" t="str">
            <v>Тысяча тубов</v>
          </cell>
        </row>
        <row r="362">
          <cell r="B362" t="str">
            <v>875</v>
          </cell>
          <cell r="C362" t="str">
            <v>Тысяча коробок</v>
          </cell>
        </row>
        <row r="363">
          <cell r="B363" t="str">
            <v>876</v>
          </cell>
          <cell r="C363" t="str">
            <v>Условная единица</v>
          </cell>
        </row>
        <row r="364">
          <cell r="B364" t="str">
            <v>877</v>
          </cell>
          <cell r="C364" t="str">
            <v>Тысяча условных единиц</v>
          </cell>
        </row>
        <row r="365">
          <cell r="B365" t="str">
            <v>878</v>
          </cell>
          <cell r="C365" t="str">
            <v>Миллион условных единиц</v>
          </cell>
        </row>
        <row r="366">
          <cell r="B366" t="str">
            <v>879</v>
          </cell>
          <cell r="C366" t="str">
            <v>Условная штука</v>
          </cell>
        </row>
        <row r="367">
          <cell r="B367" t="str">
            <v>880</v>
          </cell>
          <cell r="C367" t="str">
            <v>Тысяча условных штук</v>
          </cell>
        </row>
        <row r="368">
          <cell r="B368" t="str">
            <v>881</v>
          </cell>
          <cell r="C368" t="str">
            <v>Условная банка</v>
          </cell>
        </row>
        <row r="369">
          <cell r="B369" t="str">
            <v>882</v>
          </cell>
          <cell r="C369" t="str">
            <v>Тысяча условных банок</v>
          </cell>
        </row>
        <row r="370">
          <cell r="B370" t="str">
            <v>883</v>
          </cell>
          <cell r="C370" t="str">
            <v>Миллион условных банок</v>
          </cell>
        </row>
        <row r="371">
          <cell r="B371" t="str">
            <v>884</v>
          </cell>
          <cell r="C371" t="str">
            <v>Условный кусок</v>
          </cell>
        </row>
        <row r="372">
          <cell r="B372" t="str">
            <v>885</v>
          </cell>
          <cell r="C372" t="str">
            <v>Тысяча условных кусков</v>
          </cell>
        </row>
        <row r="373">
          <cell r="B373" t="str">
            <v>886</v>
          </cell>
          <cell r="C373" t="str">
            <v>Миллион условных кусков</v>
          </cell>
        </row>
        <row r="374">
          <cell r="B374" t="str">
            <v>887</v>
          </cell>
          <cell r="C374" t="str">
            <v>Условный ящик</v>
          </cell>
        </row>
        <row r="375">
          <cell r="B375" t="str">
            <v>888</v>
          </cell>
          <cell r="C375" t="str">
            <v>Тысяча условных ящиков</v>
          </cell>
        </row>
        <row r="376">
          <cell r="B376" t="str">
            <v>889</v>
          </cell>
          <cell r="C376" t="str">
            <v>Условная катушка</v>
          </cell>
        </row>
        <row r="377">
          <cell r="B377" t="str">
            <v>890</v>
          </cell>
          <cell r="C377" t="str">
            <v>Тысяча условных катушек</v>
          </cell>
        </row>
        <row r="378">
          <cell r="B378" t="str">
            <v>891</v>
          </cell>
          <cell r="C378" t="str">
            <v>Условная плитка</v>
          </cell>
        </row>
        <row r="379">
          <cell r="B379" t="str">
            <v>892</v>
          </cell>
          <cell r="C379" t="str">
            <v>Тысяча условных плиток</v>
          </cell>
        </row>
        <row r="380">
          <cell r="B380" t="str">
            <v>893</v>
          </cell>
          <cell r="C380" t="str">
            <v>Условный кирпич</v>
          </cell>
        </row>
        <row r="381">
          <cell r="B381" t="str">
            <v>894</v>
          </cell>
          <cell r="C381" t="str">
            <v>Тысяча условных кирпичей</v>
          </cell>
        </row>
        <row r="382">
          <cell r="B382" t="str">
            <v>895</v>
          </cell>
          <cell r="C382" t="str">
            <v>Миллион условных тубов</v>
          </cell>
        </row>
        <row r="383">
          <cell r="B383" t="str">
            <v>896</v>
          </cell>
          <cell r="C383" t="str">
            <v>Семья</v>
          </cell>
        </row>
        <row r="384">
          <cell r="B384" t="str">
            <v>897</v>
          </cell>
          <cell r="C384" t="str">
            <v>Тысяча семей</v>
          </cell>
        </row>
        <row r="385">
          <cell r="B385" t="str">
            <v>898</v>
          </cell>
          <cell r="C385" t="str">
            <v>Миллион семей</v>
          </cell>
        </row>
        <row r="386">
          <cell r="B386" t="str">
            <v>899</v>
          </cell>
          <cell r="C386" t="str">
            <v>Домохозяйство</v>
          </cell>
        </row>
        <row r="387">
          <cell r="B387" t="str">
            <v>900</v>
          </cell>
          <cell r="C387" t="str">
            <v>Тысяча домохозяйств</v>
          </cell>
        </row>
        <row r="388">
          <cell r="B388" t="str">
            <v>901</v>
          </cell>
          <cell r="C388" t="str">
            <v>Миллион домохозяйство</v>
          </cell>
        </row>
        <row r="389">
          <cell r="B389" t="str">
            <v>902</v>
          </cell>
          <cell r="C389" t="str">
            <v>Ученическое место</v>
          </cell>
        </row>
        <row r="390">
          <cell r="B390" t="str">
            <v>903</v>
          </cell>
          <cell r="C390" t="str">
            <v>Тысяча ученических мест</v>
          </cell>
        </row>
        <row r="391">
          <cell r="B391" t="str">
            <v>904</v>
          </cell>
          <cell r="C391" t="str">
            <v>Рабочее место</v>
          </cell>
        </row>
        <row r="392">
          <cell r="B392" t="str">
            <v>905</v>
          </cell>
          <cell r="C392" t="str">
            <v>Тысяча рабочих мест</v>
          </cell>
        </row>
        <row r="393">
          <cell r="B393" t="str">
            <v>906</v>
          </cell>
          <cell r="C393" t="str">
            <v>Посадочное место</v>
          </cell>
        </row>
        <row r="394">
          <cell r="B394" t="str">
            <v>907</v>
          </cell>
          <cell r="C394" t="str">
            <v>Тысяча посадочных мест</v>
          </cell>
        </row>
        <row r="395">
          <cell r="B395" t="str">
            <v>908</v>
          </cell>
          <cell r="C395" t="str">
            <v>Номер</v>
          </cell>
        </row>
        <row r="396">
          <cell r="B396" t="str">
            <v>909</v>
          </cell>
          <cell r="C396" t="str">
            <v>Квартира</v>
          </cell>
        </row>
        <row r="397">
          <cell r="B397" t="str">
            <v>910</v>
          </cell>
          <cell r="C397" t="str">
            <v>Тысяча квартир</v>
          </cell>
        </row>
        <row r="398">
          <cell r="B398" t="str">
            <v>911</v>
          </cell>
          <cell r="C398" t="str">
            <v>Койка</v>
          </cell>
        </row>
        <row r="399">
          <cell r="B399" t="str">
            <v>912</v>
          </cell>
          <cell r="C399" t="str">
            <v>Тысяча коек</v>
          </cell>
        </row>
        <row r="400">
          <cell r="B400" t="str">
            <v>913</v>
          </cell>
          <cell r="C400" t="str">
            <v>Том книжного фонда</v>
          </cell>
        </row>
        <row r="401">
          <cell r="B401" t="str">
            <v>914</v>
          </cell>
          <cell r="C401" t="str">
            <v>Тысяча томов книжного фонда</v>
          </cell>
        </row>
        <row r="402">
          <cell r="B402" t="str">
            <v>915</v>
          </cell>
          <cell r="C402" t="str">
            <v>Условный ремонт</v>
          </cell>
        </row>
        <row r="403">
          <cell r="B403" t="str">
            <v>916</v>
          </cell>
          <cell r="C403" t="str">
            <v>Условный ремонт в год</v>
          </cell>
        </row>
        <row r="404">
          <cell r="B404" t="str">
            <v>917</v>
          </cell>
          <cell r="C404" t="str">
            <v>Смена</v>
          </cell>
        </row>
        <row r="405">
          <cell r="B405" t="str">
            <v>918</v>
          </cell>
          <cell r="C405" t="str">
            <v>Лист авторский</v>
          </cell>
        </row>
        <row r="406">
          <cell r="B406" t="str">
            <v>920</v>
          </cell>
          <cell r="C406" t="str">
            <v>Лист печатный</v>
          </cell>
        </row>
        <row r="407">
          <cell r="B407" t="str">
            <v>921</v>
          </cell>
          <cell r="C407" t="str">
            <v>Лист учетно-издательский</v>
          </cell>
        </row>
        <row r="408">
          <cell r="B408" t="str">
            <v>922</v>
          </cell>
          <cell r="C408" t="str">
            <v>Знак</v>
          </cell>
        </row>
        <row r="409">
          <cell r="B409" t="str">
            <v>923</v>
          </cell>
          <cell r="C409" t="str">
            <v>Слово</v>
          </cell>
        </row>
        <row r="410">
          <cell r="B410" t="str">
            <v>924</v>
          </cell>
          <cell r="C410" t="str">
            <v>Символ</v>
          </cell>
        </row>
        <row r="411">
          <cell r="B411" t="str">
            <v>925</v>
          </cell>
          <cell r="C411" t="str">
            <v>Условная труба</v>
          </cell>
        </row>
        <row r="412">
          <cell r="B412" t="str">
            <v>930</v>
          </cell>
          <cell r="C412" t="str">
            <v>Тысяча пластин</v>
          </cell>
        </row>
        <row r="413">
          <cell r="B413" t="str">
            <v>937</v>
          </cell>
          <cell r="C413" t="str">
            <v>Миллион доз</v>
          </cell>
        </row>
        <row r="414">
          <cell r="B414" t="str">
            <v>949</v>
          </cell>
          <cell r="C414" t="str">
            <v>Миллион листов-оттисков</v>
          </cell>
        </row>
        <row r="415">
          <cell r="B415" t="str">
            <v>950</v>
          </cell>
          <cell r="C415" t="str">
            <v>Вагоно (машино)-день</v>
          </cell>
        </row>
        <row r="416">
          <cell r="B416" t="str">
            <v>951</v>
          </cell>
          <cell r="C416" t="str">
            <v>Тысяча вагоно-(машино)-часов</v>
          </cell>
        </row>
        <row r="417">
          <cell r="B417" t="str">
            <v>952</v>
          </cell>
          <cell r="C417" t="str">
            <v>Тысяча вагоно-(машино)-километров</v>
          </cell>
        </row>
        <row r="418">
          <cell r="B418" t="str">
            <v>953</v>
          </cell>
          <cell r="C418" t="str">
            <v>Тысяча место-километров</v>
          </cell>
        </row>
        <row r="419">
          <cell r="B419" t="str">
            <v>954</v>
          </cell>
          <cell r="C419" t="str">
            <v>Вагоно-сутки</v>
          </cell>
        </row>
        <row r="420">
          <cell r="B420" t="str">
            <v>955</v>
          </cell>
          <cell r="C420" t="str">
            <v>Тысяча поездо-часов</v>
          </cell>
        </row>
        <row r="421">
          <cell r="B421" t="str">
            <v>956</v>
          </cell>
          <cell r="C421" t="str">
            <v>Тысяча поездо-километров</v>
          </cell>
        </row>
        <row r="422">
          <cell r="B422" t="str">
            <v>957</v>
          </cell>
          <cell r="C422" t="str">
            <v>Тысяча тонно-миль</v>
          </cell>
        </row>
        <row r="423">
          <cell r="B423" t="str">
            <v>958</v>
          </cell>
          <cell r="C423" t="str">
            <v>Тысяча пассажиро-миль</v>
          </cell>
        </row>
        <row r="424">
          <cell r="B424" t="str">
            <v>959</v>
          </cell>
          <cell r="C424" t="str">
            <v>Автомобиле-день</v>
          </cell>
        </row>
        <row r="425">
          <cell r="B425" t="str">
            <v>960</v>
          </cell>
          <cell r="C425" t="str">
            <v>Тысяча автомобиле-тонно-дней</v>
          </cell>
        </row>
        <row r="426">
          <cell r="B426" t="str">
            <v>961</v>
          </cell>
          <cell r="C426" t="str">
            <v>Тысяча автомобиле-часов</v>
          </cell>
        </row>
        <row r="427">
          <cell r="B427" t="str">
            <v>962</v>
          </cell>
          <cell r="C427" t="str">
            <v>Тысяча автомобиле-место-дней</v>
          </cell>
        </row>
        <row r="428">
          <cell r="B428" t="str">
            <v>963</v>
          </cell>
          <cell r="C428" t="str">
            <v>Приведенный час</v>
          </cell>
        </row>
        <row r="429">
          <cell r="B429" t="str">
            <v>964</v>
          </cell>
          <cell r="C429" t="str">
            <v>Самолето-километр</v>
          </cell>
        </row>
        <row r="430">
          <cell r="B430" t="str">
            <v>965</v>
          </cell>
          <cell r="C430" t="str">
            <v>Тысяча километров</v>
          </cell>
        </row>
        <row r="431">
          <cell r="B431" t="str">
            <v>966</v>
          </cell>
          <cell r="C431" t="str">
            <v>Тысяча тоннаже-рейсов</v>
          </cell>
        </row>
        <row r="432">
          <cell r="B432" t="str">
            <v>967</v>
          </cell>
          <cell r="C432" t="str">
            <v>Миллион тонно-миль</v>
          </cell>
        </row>
        <row r="433">
          <cell r="B433" t="str">
            <v>968</v>
          </cell>
          <cell r="C433" t="str">
            <v>Миллион пассажиро-миль</v>
          </cell>
        </row>
        <row r="434">
          <cell r="B434" t="str">
            <v>969</v>
          </cell>
          <cell r="C434" t="str">
            <v>Миллион тоннаже-миль</v>
          </cell>
        </row>
        <row r="435">
          <cell r="B435" t="str">
            <v>970</v>
          </cell>
          <cell r="C435" t="str">
            <v>Миллион пассажиро-место-миль</v>
          </cell>
        </row>
        <row r="436">
          <cell r="B436" t="str">
            <v>971</v>
          </cell>
          <cell r="C436" t="str">
            <v>Кормо-день</v>
          </cell>
        </row>
        <row r="437">
          <cell r="B437" t="str">
            <v>972</v>
          </cell>
          <cell r="C437" t="str">
            <v>Центнер кормовых единиц</v>
          </cell>
        </row>
        <row r="438">
          <cell r="B438" t="str">
            <v>973</v>
          </cell>
          <cell r="C438" t="str">
            <v>Тысяча автомобиле-километров</v>
          </cell>
        </row>
        <row r="439">
          <cell r="B439" t="str">
            <v>974</v>
          </cell>
          <cell r="C439" t="str">
            <v>Тысяча тоннаже-сут</v>
          </cell>
        </row>
        <row r="440">
          <cell r="B440" t="str">
            <v>975</v>
          </cell>
          <cell r="C440" t="str">
            <v>Суго-сутки</v>
          </cell>
        </row>
        <row r="441">
          <cell r="B441" t="str">
            <v>976</v>
          </cell>
          <cell r="C441" t="str">
            <v>Штук в 20-футовом эквиваленте(ДФЗ)</v>
          </cell>
        </row>
        <row r="442">
          <cell r="B442" t="str">
            <v>977</v>
          </cell>
          <cell r="C442" t="str">
            <v>Канало-километр</v>
          </cell>
        </row>
        <row r="443">
          <cell r="B443" t="str">
            <v>978</v>
          </cell>
          <cell r="C443" t="str">
            <v>Канало-концы</v>
          </cell>
        </row>
        <row r="444">
          <cell r="B444" t="str">
            <v>979</v>
          </cell>
          <cell r="C444" t="str">
            <v>Тысяча экземпляров</v>
          </cell>
        </row>
        <row r="445">
          <cell r="B445" t="str">
            <v>980</v>
          </cell>
          <cell r="C445" t="str">
            <v>Тысяча долларов</v>
          </cell>
        </row>
        <row r="446">
          <cell r="B446" t="str">
            <v>981</v>
          </cell>
          <cell r="C446" t="str">
            <v>Тысяча тонн кормовых единиц</v>
          </cell>
        </row>
        <row r="447">
          <cell r="B447" t="str">
            <v>982</v>
          </cell>
          <cell r="C447" t="str">
            <v>Миллион тонн кормовых единиц</v>
          </cell>
        </row>
        <row r="448">
          <cell r="B448" t="str">
            <v>983</v>
          </cell>
          <cell r="C448" t="str">
            <v>Судо-сутки</v>
          </cell>
        </row>
      </sheetData>
      <sheetData sheetId="5"/>
      <sheetData sheetId="6"/>
      <sheetData sheetId="7">
        <row r="1">
          <cell r="A1">
            <v>79000000000</v>
          </cell>
          <cell r="B1" t="str">
            <v>Адыгея</v>
          </cell>
        </row>
        <row r="2">
          <cell r="A2">
            <v>80000000000</v>
          </cell>
          <cell r="B2" t="str">
            <v>Башкортостан</v>
          </cell>
        </row>
        <row r="3">
          <cell r="A3">
            <v>81000000000</v>
          </cell>
          <cell r="B3" t="str">
            <v>Бурятия</v>
          </cell>
        </row>
        <row r="4">
          <cell r="A4">
            <v>84000000000</v>
          </cell>
          <cell r="B4" t="str">
            <v>Алтай</v>
          </cell>
        </row>
        <row r="5">
          <cell r="A5">
            <v>82000000000</v>
          </cell>
          <cell r="B5" t="str">
            <v>Дагестан</v>
          </cell>
        </row>
        <row r="6">
          <cell r="A6">
            <v>26000000000</v>
          </cell>
          <cell r="B6" t="str">
            <v>Ингушетия</v>
          </cell>
        </row>
        <row r="7">
          <cell r="A7">
            <v>83000000000</v>
          </cell>
          <cell r="B7" t="str">
            <v>Кабардино-Балкарская</v>
          </cell>
        </row>
        <row r="8">
          <cell r="A8">
            <v>85000000000</v>
          </cell>
          <cell r="B8" t="str">
            <v>Калмыкия</v>
          </cell>
        </row>
        <row r="9">
          <cell r="A9">
            <v>91000000000</v>
          </cell>
          <cell r="B9" t="str">
            <v>Карачаево-Черкесская</v>
          </cell>
        </row>
        <row r="10">
          <cell r="A10">
            <v>86000000000</v>
          </cell>
          <cell r="B10" t="str">
            <v>Карелия</v>
          </cell>
        </row>
        <row r="11">
          <cell r="A11">
            <v>87000000000</v>
          </cell>
          <cell r="B11" t="str">
            <v>Коми</v>
          </cell>
        </row>
        <row r="12">
          <cell r="A12">
            <v>88000000000</v>
          </cell>
          <cell r="B12" t="str">
            <v>Марий Эл</v>
          </cell>
        </row>
        <row r="13">
          <cell r="A13">
            <v>89000000000</v>
          </cell>
          <cell r="B13" t="str">
            <v>Мордовия</v>
          </cell>
        </row>
        <row r="14">
          <cell r="A14">
            <v>98000000000</v>
          </cell>
          <cell r="B14" t="str">
            <v>Саха /Якутия/</v>
          </cell>
        </row>
        <row r="15">
          <cell r="A15">
            <v>90000000000</v>
          </cell>
          <cell r="B15" t="str">
            <v>Северная Осетия - Алания</v>
          </cell>
        </row>
        <row r="16">
          <cell r="A16">
            <v>92000000000</v>
          </cell>
          <cell r="B16" t="str">
            <v>Татарстан</v>
          </cell>
        </row>
        <row r="17">
          <cell r="A17">
            <v>93000000000</v>
          </cell>
          <cell r="B17" t="str">
            <v>Тыва</v>
          </cell>
        </row>
        <row r="18">
          <cell r="A18">
            <v>94000000000</v>
          </cell>
          <cell r="B18" t="str">
            <v>Удмуртская</v>
          </cell>
        </row>
        <row r="19">
          <cell r="A19">
            <v>95000000000</v>
          </cell>
          <cell r="B19" t="str">
            <v>Хакасия</v>
          </cell>
        </row>
        <row r="20">
          <cell r="A20">
            <v>96000000000</v>
          </cell>
          <cell r="B20" t="str">
            <v>Чеченская</v>
          </cell>
        </row>
        <row r="21">
          <cell r="A21">
            <v>97000000000</v>
          </cell>
          <cell r="B21" t="str">
            <v>Чувашская Республика -</v>
          </cell>
        </row>
        <row r="22">
          <cell r="A22" t="str">
            <v>01000000000</v>
          </cell>
          <cell r="B22" t="str">
            <v>Алтайский</v>
          </cell>
        </row>
        <row r="23">
          <cell r="A23" t="str">
            <v>03000000000</v>
          </cell>
          <cell r="B23" t="str">
            <v>Краснодарский</v>
          </cell>
        </row>
        <row r="24">
          <cell r="A24" t="str">
            <v>04000000000</v>
          </cell>
          <cell r="B24" t="str">
            <v>Красноярский</v>
          </cell>
        </row>
        <row r="25">
          <cell r="A25" t="str">
            <v>05000000000</v>
          </cell>
          <cell r="B25" t="str">
            <v>Приморский</v>
          </cell>
        </row>
        <row r="26">
          <cell r="A26" t="str">
            <v>07000000000</v>
          </cell>
          <cell r="B26" t="str">
            <v>Ставропольский</v>
          </cell>
        </row>
        <row r="27">
          <cell r="A27" t="str">
            <v>08000000000</v>
          </cell>
          <cell r="B27" t="str">
            <v>Хабаровский</v>
          </cell>
        </row>
        <row r="28">
          <cell r="A28">
            <v>10000000000</v>
          </cell>
          <cell r="B28" t="str">
            <v>Амурская</v>
          </cell>
        </row>
        <row r="29">
          <cell r="A29">
            <v>11000000000</v>
          </cell>
          <cell r="B29" t="str">
            <v>Архангельская</v>
          </cell>
        </row>
        <row r="30">
          <cell r="A30">
            <v>12000000000</v>
          </cell>
          <cell r="B30" t="str">
            <v>Астраханская</v>
          </cell>
        </row>
        <row r="31">
          <cell r="A31">
            <v>14000000000</v>
          </cell>
          <cell r="B31" t="str">
            <v>Белгородская</v>
          </cell>
        </row>
        <row r="32">
          <cell r="A32">
            <v>15000000000</v>
          </cell>
          <cell r="B32" t="str">
            <v>Брянская</v>
          </cell>
        </row>
        <row r="33">
          <cell r="A33">
            <v>17000000000</v>
          </cell>
          <cell r="B33" t="str">
            <v>Владимирская</v>
          </cell>
        </row>
        <row r="34">
          <cell r="A34">
            <v>18000000000</v>
          </cell>
          <cell r="B34" t="str">
            <v>Волгоградская</v>
          </cell>
        </row>
        <row r="35">
          <cell r="A35">
            <v>19000000000</v>
          </cell>
          <cell r="B35" t="str">
            <v>Вологодская</v>
          </cell>
        </row>
        <row r="36">
          <cell r="A36">
            <v>20000000000</v>
          </cell>
          <cell r="B36" t="str">
            <v>Воронежская</v>
          </cell>
        </row>
        <row r="37">
          <cell r="A37">
            <v>24000000000</v>
          </cell>
          <cell r="B37" t="str">
            <v>Ивановская</v>
          </cell>
        </row>
        <row r="38">
          <cell r="A38">
            <v>25000000000</v>
          </cell>
          <cell r="B38" t="str">
            <v>Иркутская</v>
          </cell>
        </row>
        <row r="39">
          <cell r="A39">
            <v>27000000000</v>
          </cell>
          <cell r="B39" t="str">
            <v>Калининградская</v>
          </cell>
        </row>
        <row r="40">
          <cell r="A40">
            <v>29000000000</v>
          </cell>
          <cell r="B40" t="str">
            <v>Калужская</v>
          </cell>
        </row>
        <row r="41">
          <cell r="A41">
            <v>30000000000</v>
          </cell>
          <cell r="B41" t="str">
            <v>Камчатский</v>
          </cell>
        </row>
        <row r="42">
          <cell r="A42">
            <v>32000000000</v>
          </cell>
          <cell r="B42" t="str">
            <v>Кемеровская</v>
          </cell>
        </row>
        <row r="43">
          <cell r="A43">
            <v>33000000000</v>
          </cell>
          <cell r="B43" t="str">
            <v>Кировская</v>
          </cell>
        </row>
        <row r="44">
          <cell r="A44">
            <v>34000000000</v>
          </cell>
          <cell r="B44" t="str">
            <v>Костромская</v>
          </cell>
        </row>
        <row r="45">
          <cell r="A45">
            <v>37000000000</v>
          </cell>
          <cell r="B45" t="str">
            <v>Курганская</v>
          </cell>
        </row>
        <row r="46">
          <cell r="A46">
            <v>38000000000</v>
          </cell>
          <cell r="B46" t="str">
            <v>Курская</v>
          </cell>
        </row>
        <row r="47">
          <cell r="A47">
            <v>41000000000</v>
          </cell>
          <cell r="B47" t="str">
            <v>Ленинградская</v>
          </cell>
        </row>
        <row r="48">
          <cell r="A48">
            <v>42000000000</v>
          </cell>
          <cell r="B48" t="str">
            <v>Липецкая</v>
          </cell>
        </row>
        <row r="49">
          <cell r="A49">
            <v>44000000000</v>
          </cell>
          <cell r="B49" t="str">
            <v>Магаданская</v>
          </cell>
        </row>
        <row r="50">
          <cell r="A50">
            <v>46000000000</v>
          </cell>
          <cell r="B50" t="str">
            <v>Московская</v>
          </cell>
        </row>
        <row r="51">
          <cell r="A51">
            <v>47000000000</v>
          </cell>
          <cell r="B51" t="str">
            <v>Мурманская</v>
          </cell>
        </row>
        <row r="52">
          <cell r="A52">
            <v>22000000000</v>
          </cell>
          <cell r="B52" t="str">
            <v>Нижегородская</v>
          </cell>
        </row>
        <row r="53">
          <cell r="A53">
            <v>49000000000</v>
          </cell>
          <cell r="B53" t="str">
            <v>Новгородская</v>
          </cell>
        </row>
        <row r="54">
          <cell r="A54">
            <v>50000000000</v>
          </cell>
          <cell r="B54" t="str">
            <v>Новосибирская</v>
          </cell>
        </row>
        <row r="55">
          <cell r="A55">
            <v>52000000000</v>
          </cell>
          <cell r="B55" t="str">
            <v>Омская</v>
          </cell>
        </row>
        <row r="56">
          <cell r="A56">
            <v>53000000000</v>
          </cell>
          <cell r="B56" t="str">
            <v>Оренбургская</v>
          </cell>
        </row>
        <row r="57">
          <cell r="A57">
            <v>54000000000</v>
          </cell>
          <cell r="B57" t="str">
            <v>Орловская</v>
          </cell>
        </row>
        <row r="58">
          <cell r="A58">
            <v>56000000000</v>
          </cell>
          <cell r="B58" t="str">
            <v>Пензенская</v>
          </cell>
        </row>
        <row r="59">
          <cell r="A59">
            <v>57000000000</v>
          </cell>
          <cell r="B59" t="str">
            <v>Пермский</v>
          </cell>
        </row>
        <row r="60">
          <cell r="A60">
            <v>58000000000</v>
          </cell>
          <cell r="B60" t="str">
            <v>Псковская</v>
          </cell>
        </row>
        <row r="61">
          <cell r="A61">
            <v>60000000000</v>
          </cell>
          <cell r="B61" t="str">
            <v>Ростовская</v>
          </cell>
        </row>
        <row r="62">
          <cell r="A62">
            <v>61000000000</v>
          </cell>
          <cell r="B62" t="str">
            <v>Рязанская</v>
          </cell>
        </row>
        <row r="63">
          <cell r="A63">
            <v>36000000000</v>
          </cell>
          <cell r="B63" t="str">
            <v>Самарская</v>
          </cell>
        </row>
        <row r="64">
          <cell r="A64">
            <v>63000000000</v>
          </cell>
          <cell r="B64" t="str">
            <v>Саратовская</v>
          </cell>
        </row>
        <row r="65">
          <cell r="A65">
            <v>64000000000</v>
          </cell>
          <cell r="B65" t="str">
            <v>Сахалинская</v>
          </cell>
        </row>
        <row r="66">
          <cell r="A66">
            <v>65000000000</v>
          </cell>
          <cell r="B66" t="str">
            <v>Свердловская</v>
          </cell>
        </row>
        <row r="67">
          <cell r="A67">
            <v>66000000000</v>
          </cell>
          <cell r="B67" t="str">
            <v>Смоленская</v>
          </cell>
        </row>
        <row r="68">
          <cell r="A68">
            <v>68000000000</v>
          </cell>
          <cell r="B68" t="str">
            <v>Тамбовская</v>
          </cell>
        </row>
        <row r="69">
          <cell r="A69">
            <v>28000000000</v>
          </cell>
          <cell r="B69" t="str">
            <v>Тверская</v>
          </cell>
        </row>
        <row r="70">
          <cell r="A70">
            <v>69000000000</v>
          </cell>
          <cell r="B70" t="str">
            <v>Томская</v>
          </cell>
        </row>
        <row r="71">
          <cell r="A71">
            <v>70000000000</v>
          </cell>
          <cell r="B71" t="str">
            <v>Тульская</v>
          </cell>
        </row>
        <row r="72">
          <cell r="A72">
            <v>71000000000</v>
          </cell>
          <cell r="B72" t="str">
            <v>Тюменская</v>
          </cell>
        </row>
        <row r="73">
          <cell r="A73">
            <v>73000000000</v>
          </cell>
          <cell r="B73" t="str">
            <v>Ульяновская</v>
          </cell>
        </row>
        <row r="74">
          <cell r="A74">
            <v>75000000000</v>
          </cell>
          <cell r="B74" t="str">
            <v>Челябинская</v>
          </cell>
        </row>
        <row r="75">
          <cell r="A75">
            <v>76000000000</v>
          </cell>
          <cell r="B75" t="str">
            <v>Забайкальский</v>
          </cell>
        </row>
        <row r="76">
          <cell r="A76">
            <v>78000000000</v>
          </cell>
          <cell r="B76" t="str">
            <v>Ярославская</v>
          </cell>
        </row>
        <row r="77">
          <cell r="A77">
            <v>45000000000</v>
          </cell>
          <cell r="B77" t="str">
            <v>Москва</v>
          </cell>
        </row>
        <row r="78">
          <cell r="A78">
            <v>40000000000</v>
          </cell>
          <cell r="B78" t="str">
            <v>Санкт-Петербург</v>
          </cell>
        </row>
        <row r="79">
          <cell r="A79">
            <v>99000000000</v>
          </cell>
          <cell r="B79" t="str">
            <v>Еврейская</v>
          </cell>
        </row>
        <row r="80">
          <cell r="A80">
            <v>11100000000</v>
          </cell>
          <cell r="B80" t="str">
            <v>Ненецкий</v>
          </cell>
        </row>
        <row r="81">
          <cell r="A81">
            <v>71100000000</v>
          </cell>
          <cell r="B81" t="str">
            <v>Ханты-Мансийский Автономный округ - Югра</v>
          </cell>
        </row>
        <row r="82">
          <cell r="A82">
            <v>77000000000</v>
          </cell>
          <cell r="B82" t="str">
            <v>Чукотский</v>
          </cell>
        </row>
        <row r="83">
          <cell r="A83">
            <v>71140000000</v>
          </cell>
          <cell r="B83" t="str">
            <v>Ямало-Ненецкий</v>
          </cell>
        </row>
        <row r="84">
          <cell r="A84">
            <v>35000000000</v>
          </cell>
          <cell r="B84" t="str">
            <v>Крым</v>
          </cell>
        </row>
        <row r="85">
          <cell r="A85">
            <v>67000000000</v>
          </cell>
          <cell r="B85" t="str">
            <v>Севастополь</v>
          </cell>
        </row>
        <row r="86">
          <cell r="A86">
            <v>55000000000</v>
          </cell>
          <cell r="B86" t="str">
            <v>Байконур</v>
          </cell>
        </row>
      </sheetData>
      <sheetData sheetId="8"/>
    </sheetDataSet>
  </externalBook>
</externalLink>
</file>

<file path=xl/tables/table1.xml><?xml version="1.0" encoding="utf-8"?>
<table xmlns="http://schemas.openxmlformats.org/spreadsheetml/2006/main" id="1" name="Таблица1" displayName="Таблица1" ref="A15:AE1589" totalsRowShown="0" headerRowDxfId="92" dataDxfId="91" tableBorderDxfId="90">
  <autoFilter ref="A15:AE1589">
    <filterColumn colId="0">
      <filters>
        <filter val="1004-2017-01151"/>
      </filters>
    </filterColumn>
  </autoFilter>
  <tableColumns count="31">
    <tableColumn id="1" name="1" dataDxfId="89"/>
    <tableColumn id="2" name="2" dataDxfId="88"/>
    <tableColumn id="3" name="3" dataDxfId="87"/>
    <tableColumn id="4" name="4" dataDxfId="86"/>
    <tableColumn id="5" name="5" dataDxfId="85"/>
    <tableColumn id="6" name="6" dataDxfId="84"/>
    <tableColumn id="7" name="7" dataDxfId="83"/>
    <tableColumn id="8" name="8" dataDxfId="82"/>
    <tableColumn id="9" name="9" dataDxfId="81"/>
    <tableColumn id="10" name="10" dataDxfId="80"/>
    <tableColumn id="11" name="11" dataDxfId="79"/>
    <tableColumn id="12" name="11.1" dataDxfId="78"/>
    <tableColumn id="13" name="11.2" dataDxfId="77"/>
    <tableColumn id="14" name="11.3" dataDxfId="76"/>
    <tableColumn id="15" name="12" dataDxfId="75"/>
    <tableColumn id="16" name="13" dataDxfId="74"/>
    <tableColumn id="17" name="14" dataDxfId="73"/>
    <tableColumn id="18" name="15" dataDxfId="72"/>
    <tableColumn id="19" name="15.1" dataDxfId="71"/>
    <tableColumn id="20" name="15.2" dataDxfId="70"/>
    <tableColumn id="21" name="15.3" dataDxfId="69"/>
    <tableColumn id="22" name="15.4" dataDxfId="68"/>
    <tableColumn id="23" name="15.5" dataDxfId="67"/>
    <tableColumn id="24" name="15.6" dataDxfId="66"/>
    <tableColumn id="25" name="15.7" dataDxfId="65"/>
    <tableColumn id="26" name="15.8" dataDxfId="64"/>
    <tableColumn id="27" name="15.9" dataDxfId="63"/>
    <tableColumn id="28" name="15.10" dataDxfId="62" dataCellStyle="Обычный 3"/>
    <tableColumn id="29" name="15.11" dataDxfId="61"/>
    <tableColumn id="30" name="15.12" dataDxfId="60"/>
    <tableColumn id="31" name="112" dataDxfId="59">
      <calculatedColumnFormula>IF(O16=0,,MONTH(O16))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Таблица5" displayName="Таблица5" ref="A15:AQ1680" totalsRowShown="0" headerRowDxfId="55" dataDxfId="54" tableBorderDxfId="53">
  <autoFilter ref="A15:AQ1680"/>
  <tableColumns count="43">
    <tableColumn id="1" name="1" dataDxfId="52">
      <calculatedColumnFormula>INDEX(Диапазон1,ROW(), COLUMN())</calculatedColumnFormula>
    </tableColumn>
    <tableColumn id="2" name="2" dataDxfId="51">
      <calculatedColumnFormula>РПЗ!$D16</calculatedColumnFormula>
    </tableColumn>
    <tableColumn id="8" name="3" dataDxfId="50">
      <calculatedColumnFormula>РПЗ!$AA16</calculatedColumnFormula>
    </tableColumn>
    <tableColumn id="7" name="4" dataDxfId="49">
      <calculatedColumnFormula>РПЗ!$AB16</calculatedColumnFormula>
    </tableColumn>
    <tableColumn id="27" name="5" dataDxfId="48"/>
    <tableColumn id="3" name="6" dataDxfId="47">
      <calculatedColumnFormula>РПЗ!Q16</calculatedColumnFormula>
    </tableColumn>
    <tableColumn id="25" name="7" dataDxfId="46">
      <calculatedColumnFormula>Таблица5[[#This Row],[6]]</calculatedColumnFormula>
    </tableColumn>
    <tableColumn id="5" name="7.1" dataDxfId="45">
      <calculatedColumnFormula>РПЗ!R16</calculatedColumnFormula>
    </tableColumn>
    <tableColumn id="4" name="8" dataDxfId="44">
      <calculatedColumnFormula>РПЗ!W16</calculatedColumnFormula>
    </tableColumn>
    <tableColumn id="41" name="8.1" dataDxfId="43">
      <calculatedColumnFormula>РПЗ!X16</calculatedColumnFormula>
    </tableColumn>
    <tableColumn id="23" name="8.2" dataDxfId="42">
      <calculatedColumnFormula>РПЗ!Z16</calculatedColumnFormula>
    </tableColumn>
    <tableColumn id="9" name="9" dataDxfId="41"/>
    <tableColumn id="10" name="10" dataDxfId="40">
      <calculatedColumnFormula>РПЗ!O16</calculatedColumnFormula>
    </tableColumn>
    <tableColumn id="11" name="11" dataDxfId="39">
      <calculatedColumnFormula>Таблица5[[#This Row],[10]]</calculatedColumnFormula>
    </tableColumn>
    <tableColumn id="22" name="12" dataDxfId="38"/>
    <tableColumn id="12" name="13" dataDxfId="37"/>
    <tableColumn id="13" name="14" dataDxfId="36"/>
    <tableColumn id="14" name="15" dataDxfId="35"/>
    <tableColumn id="15" name="16" dataDxfId="34"/>
    <tableColumn id="28" name="17" dataDxfId="33"/>
    <tableColumn id="16" name="18" dataDxfId="32">
      <calculatedColumnFormula>РПЗ!P16</calculatedColumnFormula>
    </tableColumn>
    <tableColumn id="17" name="19" dataDxfId="31"/>
    <tableColumn id="18" name="20" dataDxfId="30">
      <calculatedColumnFormula>РПЗ!L16</calculatedColumnFormula>
    </tableColumn>
    <tableColumn id="34" name="21" dataDxfId="29"/>
    <tableColumn id="35" name="22" dataDxfId="28"/>
    <tableColumn id="29" name="23" dataDxfId="27"/>
    <tableColumn id="38" name="24" dataDxfId="26"/>
    <tableColumn id="20" name="25" dataDxfId="25"/>
    <tableColumn id="21" name="26" dataDxfId="24"/>
    <tableColumn id="37" name="27" dataDxfId="23"/>
    <tableColumn id="39" name="28" dataDxfId="22"/>
    <tableColumn id="6" name="29" dataDxfId="21"/>
    <tableColumn id="36" name="30" dataDxfId="20"/>
    <tableColumn id="33" name="31" dataDxfId="19">
      <calculatedColumnFormula>IF(Таблица5[[#This Row],[30]]=0,"НД",Таблица5[[#This Row],[20]]-Таблица5[[#This Row],[30]])</calculatedColumnFormula>
    </tableColumn>
    <tableColumn id="31" name="32" dataDxfId="18" dataCellStyle="Процентный">
      <calculatedColumnFormula>IF(((1-Таблица5[[#This Row],[30]]/Таблица5[[#This Row],[20]])=1),"НД",(1-Таблица5[[#This Row],[30]]/Таблица5[[#This Row],[20]]))</calculatedColumnFormula>
    </tableColumn>
    <tableColumn id="30" name="33" dataDxfId="17"/>
    <tableColumn id="32" name="34" dataDxfId="16"/>
    <tableColumn id="26" name="35" dataDxfId="15"/>
    <tableColumn id="40" name="36" dataDxfId="14"/>
    <tableColumn id="19" name="37" dataDxfId="13"/>
    <tableColumn id="42" name="38" dataDxfId="12">
      <calculatedColumnFormula>РПЗ!AD16</calculatedColumnFormula>
    </tableColumn>
    <tableColumn id="43" name="39" dataDxfId="11">
      <calculatedColumnFormula>РПЗ!V16</calculatedColumnFormula>
    </tableColumn>
    <tableColumn id="24" name="112" dataDxfId="10">
      <calculatedColumnFormula>IF(Таблица5[[#This Row],[11]]=0,,MONTH(Таблица5[[#This Row],[11]]))</calculatedColumnFormula>
    </tableColumn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ebcust.etprf.ru/orm.web.browser/Participant/id/17912" TargetMode="External"/><Relationship Id="rId1" Type="http://schemas.openxmlformats.org/officeDocument/2006/relationships/hyperlink" Target="mailto:zakupki223fz@mail.ru" TargetMode="Externa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E1589"/>
  <sheetViews>
    <sheetView topLeftCell="J6" zoomScaleNormal="100" workbookViewId="0">
      <selection activeCell="T1166" sqref="T1166"/>
    </sheetView>
  </sheetViews>
  <sheetFormatPr defaultRowHeight="15" x14ac:dyDescent="0.25"/>
  <cols>
    <col min="1" max="1" width="18.5703125" style="641" customWidth="1"/>
    <col min="2" max="2" width="11.42578125" style="640" customWidth="1"/>
    <col min="3" max="3" width="15.28515625" style="640" customWidth="1"/>
    <col min="4" max="4" width="26" style="641" customWidth="1"/>
    <col min="5" max="5" width="27.85546875" style="641" customWidth="1"/>
    <col min="6" max="6" width="11.42578125" style="640" customWidth="1"/>
    <col min="7" max="7" width="14.5703125" style="641" customWidth="1"/>
    <col min="8" max="8" width="11.42578125" style="641" customWidth="1"/>
    <col min="9" max="9" width="18.7109375" style="640" customWidth="1"/>
    <col min="10" max="10" width="15" style="641" customWidth="1"/>
    <col min="11" max="11" width="20" style="641" customWidth="1"/>
    <col min="12" max="12" width="23.140625" style="641" customWidth="1"/>
    <col min="13" max="13" width="15.140625" style="641" customWidth="1"/>
    <col min="14" max="14" width="16" style="641" customWidth="1"/>
    <col min="15" max="15" width="22" style="641" customWidth="1"/>
    <col min="16" max="16" width="16.5703125" style="641" customWidth="1"/>
    <col min="17" max="18" width="12.42578125" style="641" customWidth="1"/>
    <col min="19" max="19" width="13.85546875" style="641" customWidth="1"/>
    <col min="20" max="20" width="42" style="640" customWidth="1"/>
    <col min="21" max="21" width="21.7109375" style="641" customWidth="1"/>
    <col min="22" max="22" width="12.42578125" style="641" customWidth="1"/>
    <col min="23" max="23" width="14.7109375" style="641" customWidth="1"/>
    <col min="24" max="24" width="14.7109375" style="640" customWidth="1"/>
    <col min="25" max="27" width="13.85546875" style="641" customWidth="1"/>
    <col min="28" max="28" width="32.7109375" style="641" bestFit="1" customWidth="1"/>
    <col min="29" max="29" width="17.7109375" style="641" customWidth="1"/>
    <col min="30" max="30" width="20.28515625" style="641" customWidth="1"/>
    <col min="31" max="31" width="9.5703125" style="641" bestFit="1" customWidth="1"/>
    <col min="32" max="16384" width="9.140625" style="641"/>
  </cols>
  <sheetData>
    <row r="1" spans="1:31" x14ac:dyDescent="0.25">
      <c r="B1" s="641"/>
      <c r="C1" s="641"/>
      <c r="F1" s="641"/>
      <c r="I1" s="641"/>
      <c r="T1" s="641"/>
      <c r="X1" s="641"/>
    </row>
    <row r="2" spans="1:31" x14ac:dyDescent="0.25">
      <c r="A2" s="643"/>
      <c r="B2" s="1063" t="s">
        <v>611</v>
      </c>
      <c r="C2" s="1063"/>
      <c r="D2" s="1063"/>
      <c r="E2" s="1063"/>
      <c r="F2" s="1063"/>
      <c r="G2" s="1063"/>
      <c r="H2" s="1063"/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643"/>
      <c r="T2" s="644"/>
      <c r="U2" s="644"/>
      <c r="V2" s="643"/>
      <c r="W2" s="643"/>
      <c r="X2" s="643"/>
      <c r="Y2" s="643"/>
      <c r="Z2" s="643"/>
      <c r="AA2" s="643"/>
      <c r="AB2" s="643"/>
      <c r="AC2" s="643"/>
      <c r="AD2" s="643"/>
    </row>
    <row r="3" spans="1:31" x14ac:dyDescent="0.25">
      <c r="A3" s="643"/>
      <c r="B3" s="1063" t="s">
        <v>2183</v>
      </c>
      <c r="C3" s="1063"/>
      <c r="D3" s="1063"/>
      <c r="E3" s="1063"/>
      <c r="F3" s="1063"/>
      <c r="G3" s="1063"/>
      <c r="H3" s="1063"/>
      <c r="I3" s="1063"/>
      <c r="J3" s="1063"/>
      <c r="K3" s="1063"/>
      <c r="L3" s="1063"/>
      <c r="M3" s="1063"/>
      <c r="N3" s="1063"/>
      <c r="O3" s="1063"/>
      <c r="P3" s="1063"/>
      <c r="Q3" s="1063"/>
      <c r="R3" s="1063"/>
      <c r="S3" s="643"/>
      <c r="T3" s="644"/>
      <c r="U3" s="644"/>
      <c r="V3" s="643"/>
      <c r="W3" s="643"/>
      <c r="X3" s="643"/>
      <c r="Y3" s="643"/>
      <c r="Z3" s="643"/>
      <c r="AA3" s="643"/>
      <c r="AB3" s="643"/>
      <c r="AC3" s="643"/>
      <c r="AD3" s="643"/>
    </row>
    <row r="4" spans="1:31" ht="25.5" x14ac:dyDescent="0.25">
      <c r="A4" s="645" t="s">
        <v>1</v>
      </c>
      <c r="B4" s="1064" t="s">
        <v>2179</v>
      </c>
      <c r="C4" s="1064"/>
      <c r="F4" s="641"/>
      <c r="I4" s="641"/>
      <c r="T4" s="641"/>
      <c r="X4" s="641"/>
    </row>
    <row r="5" spans="1:31" ht="38.25" x14ac:dyDescent="0.25">
      <c r="A5" s="645" t="s">
        <v>2</v>
      </c>
      <c r="B5" s="1064" t="s">
        <v>2180</v>
      </c>
      <c r="C5" s="1064"/>
      <c r="F5" s="641"/>
      <c r="I5" s="641"/>
      <c r="T5" s="641"/>
      <c r="X5" s="641"/>
    </row>
    <row r="6" spans="1:31" x14ac:dyDescent="0.25">
      <c r="A6" s="645" t="s">
        <v>3</v>
      </c>
      <c r="B6" s="1065" t="s">
        <v>2181</v>
      </c>
      <c r="C6" s="1065"/>
      <c r="F6" s="641"/>
      <c r="I6" s="641"/>
      <c r="T6" s="641"/>
      <c r="X6" s="641"/>
    </row>
    <row r="7" spans="1:31" ht="25.5" x14ac:dyDescent="0.25">
      <c r="A7" s="645" t="s">
        <v>4</v>
      </c>
      <c r="B7" s="1066" t="s">
        <v>2182</v>
      </c>
      <c r="C7" s="1064"/>
      <c r="F7" s="641"/>
      <c r="I7" s="641"/>
      <c r="T7" s="641"/>
      <c r="X7" s="641"/>
    </row>
    <row r="8" spans="1:31" x14ac:dyDescent="0.25">
      <c r="A8" s="645" t="s">
        <v>5</v>
      </c>
      <c r="B8" s="1064">
        <v>7728816598</v>
      </c>
      <c r="C8" s="1064"/>
      <c r="F8" s="641"/>
      <c r="I8" s="641"/>
      <c r="T8" s="641"/>
      <c r="X8" s="641"/>
    </row>
    <row r="9" spans="1:31" x14ac:dyDescent="0.25">
      <c r="A9" s="645" t="s">
        <v>6</v>
      </c>
      <c r="B9" s="1064">
        <v>772801001</v>
      </c>
      <c r="C9" s="1064"/>
      <c r="F9" s="641"/>
      <c r="I9" s="641"/>
      <c r="T9" s="641"/>
      <c r="X9" s="641"/>
    </row>
    <row r="10" spans="1:31" x14ac:dyDescent="0.25">
      <c r="A10" s="645" t="s">
        <v>7</v>
      </c>
      <c r="B10" s="1064">
        <v>4593599</v>
      </c>
      <c r="C10" s="1064"/>
      <c r="F10" s="641"/>
      <c r="I10" s="641"/>
      <c r="T10" s="641"/>
      <c r="X10" s="641"/>
    </row>
    <row r="11" spans="1:31" x14ac:dyDescent="0.25">
      <c r="B11" s="641"/>
      <c r="C11" s="641"/>
      <c r="F11" s="641"/>
      <c r="I11" s="641"/>
      <c r="T11" s="641"/>
      <c r="X11" s="641"/>
    </row>
    <row r="12" spans="1:31" ht="15.75" customHeight="1" x14ac:dyDescent="0.25">
      <c r="A12" s="1061" t="s">
        <v>213</v>
      </c>
      <c r="B12" s="1062" t="s">
        <v>613</v>
      </c>
      <c r="C12" s="1062" t="s">
        <v>614</v>
      </c>
      <c r="D12" s="1062" t="s">
        <v>8</v>
      </c>
      <c r="E12" s="1062"/>
      <c r="F12" s="1062"/>
      <c r="G12" s="1062"/>
      <c r="H12" s="1062"/>
      <c r="I12" s="1062"/>
      <c r="J12" s="1062"/>
      <c r="K12" s="1062"/>
      <c r="L12" s="1062"/>
      <c r="M12" s="1062"/>
      <c r="N12" s="1062"/>
      <c r="O12" s="1062"/>
      <c r="P12" s="1062"/>
      <c r="Q12" s="1062" t="s">
        <v>9</v>
      </c>
      <c r="R12" s="1062" t="s">
        <v>10</v>
      </c>
      <c r="S12" s="1061" t="s">
        <v>11</v>
      </c>
      <c r="T12" s="1061" t="s">
        <v>262</v>
      </c>
      <c r="U12" s="1061" t="s">
        <v>156</v>
      </c>
      <c r="V12" s="1061" t="s">
        <v>12</v>
      </c>
      <c r="W12" s="1061" t="s">
        <v>109</v>
      </c>
      <c r="X12" s="1061"/>
      <c r="Y12" s="1061"/>
      <c r="Z12" s="1061"/>
      <c r="AA12" s="1061" t="s">
        <v>14</v>
      </c>
      <c r="AB12" s="1061" t="s">
        <v>204</v>
      </c>
      <c r="AC12" s="1061" t="s">
        <v>212</v>
      </c>
      <c r="AD12" s="1061" t="s">
        <v>1270</v>
      </c>
      <c r="AE12" s="1060" t="s">
        <v>982</v>
      </c>
    </row>
    <row r="13" spans="1:31" ht="33" customHeight="1" x14ac:dyDescent="0.25">
      <c r="A13" s="1061"/>
      <c r="B13" s="1062"/>
      <c r="C13" s="1062"/>
      <c r="D13" s="1062" t="s">
        <v>15</v>
      </c>
      <c r="E13" s="1062" t="s">
        <v>16</v>
      </c>
      <c r="F13" s="1062" t="s">
        <v>17</v>
      </c>
      <c r="G13" s="1062"/>
      <c r="H13" s="1062" t="s">
        <v>18</v>
      </c>
      <c r="I13" s="1062" t="s">
        <v>19</v>
      </c>
      <c r="J13" s="1062"/>
      <c r="K13" s="1062" t="s">
        <v>32</v>
      </c>
      <c r="L13" s="1061" t="s">
        <v>294</v>
      </c>
      <c r="M13" s="1061" t="s">
        <v>20</v>
      </c>
      <c r="N13" s="1061" t="s">
        <v>293</v>
      </c>
      <c r="O13" s="1062" t="s">
        <v>21</v>
      </c>
      <c r="P13" s="1062"/>
      <c r="Q13" s="1062"/>
      <c r="R13" s="1062"/>
      <c r="S13" s="1061"/>
      <c r="T13" s="1061"/>
      <c r="U13" s="1061"/>
      <c r="V13" s="1061"/>
      <c r="W13" s="1061"/>
      <c r="X13" s="1061"/>
      <c r="Y13" s="1061"/>
      <c r="Z13" s="1061"/>
      <c r="AA13" s="1061"/>
      <c r="AB13" s="1061"/>
      <c r="AC13" s="1061"/>
      <c r="AD13" s="1061"/>
      <c r="AE13" s="1060"/>
    </row>
    <row r="14" spans="1:31" ht="63.75" x14ac:dyDescent="0.25">
      <c r="A14" s="1061"/>
      <c r="B14" s="1062"/>
      <c r="C14" s="1062"/>
      <c r="D14" s="1062"/>
      <c r="E14" s="1062"/>
      <c r="F14" s="646" t="s">
        <v>159</v>
      </c>
      <c r="G14" s="646" t="s">
        <v>22</v>
      </c>
      <c r="H14" s="1062"/>
      <c r="I14" s="646" t="s">
        <v>23</v>
      </c>
      <c r="J14" s="646" t="s">
        <v>22</v>
      </c>
      <c r="K14" s="1062"/>
      <c r="L14" s="1061"/>
      <c r="M14" s="1061"/>
      <c r="N14" s="1061"/>
      <c r="O14" s="646" t="s">
        <v>63</v>
      </c>
      <c r="P14" s="646" t="s">
        <v>24</v>
      </c>
      <c r="Q14" s="1062"/>
      <c r="R14" s="646" t="s">
        <v>25</v>
      </c>
      <c r="S14" s="1061"/>
      <c r="T14" s="647" t="s">
        <v>211</v>
      </c>
      <c r="U14" s="647" t="s">
        <v>228</v>
      </c>
      <c r="V14" s="1061"/>
      <c r="W14" s="647" t="s">
        <v>13</v>
      </c>
      <c r="X14" s="647" t="s">
        <v>207</v>
      </c>
      <c r="Y14" s="647" t="s">
        <v>206</v>
      </c>
      <c r="Z14" s="647" t="s">
        <v>26</v>
      </c>
      <c r="AA14" s="1061"/>
      <c r="AB14" s="1061"/>
      <c r="AC14" s="1061"/>
      <c r="AD14" s="647" t="s">
        <v>25</v>
      </c>
      <c r="AE14" s="1060"/>
    </row>
    <row r="15" spans="1:31" x14ac:dyDescent="0.25">
      <c r="A15" s="648" t="s">
        <v>119</v>
      </c>
      <c r="B15" s="649" t="s">
        <v>120</v>
      </c>
      <c r="C15" s="649" t="s">
        <v>121</v>
      </c>
      <c r="D15" s="649" t="s">
        <v>122</v>
      </c>
      <c r="E15" s="649" t="s">
        <v>123</v>
      </c>
      <c r="F15" s="649" t="s">
        <v>124</v>
      </c>
      <c r="G15" s="649" t="s">
        <v>125</v>
      </c>
      <c r="H15" s="649" t="s">
        <v>126</v>
      </c>
      <c r="I15" s="649" t="s">
        <v>127</v>
      </c>
      <c r="J15" s="649" t="s">
        <v>128</v>
      </c>
      <c r="K15" s="649" t="s">
        <v>129</v>
      </c>
      <c r="L15" s="648" t="s">
        <v>27</v>
      </c>
      <c r="M15" s="648" t="s">
        <v>28</v>
      </c>
      <c r="N15" s="648" t="s">
        <v>165</v>
      </c>
      <c r="O15" s="649" t="s">
        <v>130</v>
      </c>
      <c r="P15" s="649" t="s">
        <v>131</v>
      </c>
      <c r="Q15" s="649" t="s">
        <v>132</v>
      </c>
      <c r="R15" s="649" t="s">
        <v>133</v>
      </c>
      <c r="S15" s="648" t="s">
        <v>141</v>
      </c>
      <c r="T15" s="648" t="s">
        <v>295</v>
      </c>
      <c r="U15" s="648" t="s">
        <v>142</v>
      </c>
      <c r="V15" s="650" t="s">
        <v>143</v>
      </c>
      <c r="W15" s="648" t="s">
        <v>296</v>
      </c>
      <c r="X15" s="648" t="s">
        <v>297</v>
      </c>
      <c r="Y15" s="648" t="s">
        <v>298</v>
      </c>
      <c r="Z15" s="648" t="s">
        <v>144</v>
      </c>
      <c r="AA15" s="648" t="s">
        <v>145</v>
      </c>
      <c r="AB15" s="648" t="s">
        <v>146</v>
      </c>
      <c r="AC15" s="648" t="s">
        <v>157</v>
      </c>
      <c r="AD15" s="648" t="s">
        <v>1269</v>
      </c>
      <c r="AE15" s="651" t="s">
        <v>973</v>
      </c>
    </row>
    <row r="16" spans="1:31" ht="105" hidden="1" x14ac:dyDescent="0.25">
      <c r="A16" s="608" t="s">
        <v>3372</v>
      </c>
      <c r="B16" s="609" t="s">
        <v>1450</v>
      </c>
      <c r="C16" s="609" t="s">
        <v>1451</v>
      </c>
      <c r="D16" s="609" t="s">
        <v>4804</v>
      </c>
      <c r="E16" s="609" t="s">
        <v>1452</v>
      </c>
      <c r="F16" s="609">
        <v>796</v>
      </c>
      <c r="G16" s="609" t="s">
        <v>1453</v>
      </c>
      <c r="H16" s="609">
        <v>1</v>
      </c>
      <c r="I16" s="609">
        <v>45000000000</v>
      </c>
      <c r="J16" s="609" t="s">
        <v>1454</v>
      </c>
      <c r="K16" s="608" t="s">
        <v>4805</v>
      </c>
      <c r="L16" s="796">
        <v>2000000</v>
      </c>
      <c r="M16" s="609" t="s">
        <v>2184</v>
      </c>
      <c r="N16" s="610">
        <v>2000000</v>
      </c>
      <c r="O16" s="611">
        <v>42736</v>
      </c>
      <c r="P16" s="611">
        <v>43070</v>
      </c>
      <c r="Q16" s="609" t="s">
        <v>108</v>
      </c>
      <c r="R16" s="609" t="s">
        <v>1456</v>
      </c>
      <c r="S16" s="609" t="s">
        <v>1457</v>
      </c>
      <c r="T16" s="609"/>
      <c r="U16" s="609"/>
      <c r="V16" s="609"/>
      <c r="W16" s="609"/>
      <c r="X16" s="609"/>
      <c r="Y16" s="609"/>
      <c r="Z16" s="609"/>
      <c r="AA16" s="609" t="s">
        <v>1458</v>
      </c>
      <c r="AB16" s="642" t="s">
        <v>263</v>
      </c>
      <c r="AC16" s="652"/>
      <c r="AD16" s="652" t="s">
        <v>113</v>
      </c>
      <c r="AE16" s="653">
        <f>IF(O16=0,,MONTH(O16))</f>
        <v>1</v>
      </c>
    </row>
    <row r="17" spans="1:31" ht="105" hidden="1" x14ac:dyDescent="0.25">
      <c r="A17" s="608" t="s">
        <v>3373</v>
      </c>
      <c r="B17" s="609" t="s">
        <v>1450</v>
      </c>
      <c r="C17" s="609" t="s">
        <v>1451</v>
      </c>
      <c r="D17" s="609" t="s">
        <v>4803</v>
      </c>
      <c r="E17" s="609" t="s">
        <v>1459</v>
      </c>
      <c r="F17" s="609">
        <v>796</v>
      </c>
      <c r="G17" s="609" t="s">
        <v>1453</v>
      </c>
      <c r="H17" s="609">
        <v>1</v>
      </c>
      <c r="I17" s="609">
        <v>45000000000</v>
      </c>
      <c r="J17" s="609" t="s">
        <v>1454</v>
      </c>
      <c r="K17" s="608" t="s">
        <v>1479</v>
      </c>
      <c r="L17" s="796">
        <v>1500000</v>
      </c>
      <c r="M17" s="609" t="s">
        <v>2184</v>
      </c>
      <c r="N17" s="610">
        <v>1500000</v>
      </c>
      <c r="O17" s="612">
        <v>42826</v>
      </c>
      <c r="P17" s="612">
        <v>43100</v>
      </c>
      <c r="Q17" s="609" t="s">
        <v>108</v>
      </c>
      <c r="R17" s="609" t="s">
        <v>112</v>
      </c>
      <c r="S17" s="609" t="s">
        <v>1457</v>
      </c>
      <c r="T17" s="609"/>
      <c r="U17" s="609"/>
      <c r="V17" s="609"/>
      <c r="W17" s="609"/>
      <c r="X17" s="609"/>
      <c r="Y17" s="609"/>
      <c r="Z17" s="609"/>
      <c r="AA17" s="609" t="s">
        <v>1458</v>
      </c>
      <c r="AB17" s="642" t="s">
        <v>263</v>
      </c>
      <c r="AC17" s="652"/>
      <c r="AD17" s="652" t="s">
        <v>113</v>
      </c>
      <c r="AE17" s="653">
        <f>IF(O17=0,,MONTH(O17))</f>
        <v>4</v>
      </c>
    </row>
    <row r="18" spans="1:31" ht="105" hidden="1" x14ac:dyDescent="0.25">
      <c r="A18" s="608" t="s">
        <v>3374</v>
      </c>
      <c r="B18" s="609" t="s">
        <v>1450</v>
      </c>
      <c r="C18" s="609" t="s">
        <v>1460</v>
      </c>
      <c r="D18" s="608" t="s">
        <v>4802</v>
      </c>
      <c r="E18" s="609" t="s">
        <v>1461</v>
      </c>
      <c r="F18" s="609">
        <v>796</v>
      </c>
      <c r="G18" s="609" t="s">
        <v>1453</v>
      </c>
      <c r="H18" s="609">
        <v>1</v>
      </c>
      <c r="I18" s="609">
        <v>45000000000</v>
      </c>
      <c r="J18" s="609" t="s">
        <v>1454</v>
      </c>
      <c r="K18" s="608" t="s">
        <v>1479</v>
      </c>
      <c r="L18" s="796">
        <v>1500000</v>
      </c>
      <c r="M18" s="609" t="s">
        <v>2184</v>
      </c>
      <c r="N18" s="610">
        <v>1500000</v>
      </c>
      <c r="O18" s="612">
        <v>42917</v>
      </c>
      <c r="P18" s="612">
        <v>43100</v>
      </c>
      <c r="Q18" s="609" t="s">
        <v>108</v>
      </c>
      <c r="R18" s="609" t="s">
        <v>112</v>
      </c>
      <c r="S18" s="609" t="s">
        <v>1457</v>
      </c>
      <c r="T18" s="609"/>
      <c r="U18" s="609"/>
      <c r="V18" s="609"/>
      <c r="W18" s="609"/>
      <c r="X18" s="609"/>
      <c r="Y18" s="609"/>
      <c r="Z18" s="609"/>
      <c r="AA18" s="609" t="s">
        <v>1458</v>
      </c>
      <c r="AB18" s="642" t="s">
        <v>263</v>
      </c>
      <c r="AC18" s="652"/>
      <c r="AD18" s="652" t="s">
        <v>113</v>
      </c>
      <c r="AE18" s="653">
        <f t="shared" ref="AE18:AE51" si="0">IF(O18=0,,MONTH(O18))</f>
        <v>7</v>
      </c>
    </row>
    <row r="19" spans="1:31" ht="105" hidden="1" x14ac:dyDescent="0.25">
      <c r="A19" s="608" t="s">
        <v>3375</v>
      </c>
      <c r="B19" s="609" t="s">
        <v>1450</v>
      </c>
      <c r="C19" s="609" t="s">
        <v>1451</v>
      </c>
      <c r="D19" s="608" t="s">
        <v>4801</v>
      </c>
      <c r="E19" s="609" t="s">
        <v>1452</v>
      </c>
      <c r="F19" s="609">
        <v>796</v>
      </c>
      <c r="G19" s="609" t="s">
        <v>1453</v>
      </c>
      <c r="H19" s="609">
        <v>1</v>
      </c>
      <c r="I19" s="609">
        <v>45000000000</v>
      </c>
      <c r="J19" s="609" t="s">
        <v>1454</v>
      </c>
      <c r="K19" s="608" t="s">
        <v>6631</v>
      </c>
      <c r="L19" s="979">
        <v>2310000</v>
      </c>
      <c r="M19" s="609" t="s">
        <v>2184</v>
      </c>
      <c r="N19" s="610">
        <v>2310000</v>
      </c>
      <c r="O19" s="612">
        <v>42970</v>
      </c>
      <c r="P19" s="612">
        <v>43100</v>
      </c>
      <c r="Q19" s="609" t="s">
        <v>108</v>
      </c>
      <c r="R19" s="609" t="s">
        <v>112</v>
      </c>
      <c r="S19" s="609" t="s">
        <v>1457</v>
      </c>
      <c r="T19" s="609"/>
      <c r="U19" s="609"/>
      <c r="V19" s="609"/>
      <c r="W19" s="609"/>
      <c r="X19" s="609"/>
      <c r="Y19" s="609"/>
      <c r="Z19" s="609"/>
      <c r="AA19" s="609" t="s">
        <v>1458</v>
      </c>
      <c r="AB19" s="642" t="s">
        <v>263</v>
      </c>
      <c r="AC19" s="652"/>
      <c r="AD19" s="652" t="s">
        <v>113</v>
      </c>
      <c r="AE19" s="653">
        <f t="shared" si="0"/>
        <v>8</v>
      </c>
    </row>
    <row r="20" spans="1:31" ht="105" hidden="1" x14ac:dyDescent="0.25">
      <c r="A20" s="608" t="s">
        <v>3376</v>
      </c>
      <c r="B20" s="613" t="s">
        <v>1462</v>
      </c>
      <c r="C20" s="614" t="s">
        <v>1463</v>
      </c>
      <c r="D20" s="608" t="s">
        <v>4800</v>
      </c>
      <c r="E20" s="609" t="s">
        <v>1464</v>
      </c>
      <c r="F20" s="609">
        <v>796</v>
      </c>
      <c r="G20" s="609" t="s">
        <v>1453</v>
      </c>
      <c r="H20" s="609">
        <v>290</v>
      </c>
      <c r="I20" s="609">
        <v>45000000000</v>
      </c>
      <c r="J20" s="609" t="s">
        <v>1454</v>
      </c>
      <c r="K20" s="799" t="s">
        <v>4806</v>
      </c>
      <c r="L20" s="785">
        <v>1275000</v>
      </c>
      <c r="M20" s="609" t="s">
        <v>2184</v>
      </c>
      <c r="N20" s="616">
        <v>1275000</v>
      </c>
      <c r="O20" s="612">
        <v>42736</v>
      </c>
      <c r="P20" s="612">
        <v>43100</v>
      </c>
      <c r="Q20" s="609" t="s">
        <v>108</v>
      </c>
      <c r="R20" s="609" t="s">
        <v>112</v>
      </c>
      <c r="S20" s="609" t="s">
        <v>1457</v>
      </c>
      <c r="T20" s="609"/>
      <c r="U20" s="609"/>
      <c r="V20" s="609"/>
      <c r="W20" s="609"/>
      <c r="X20" s="609"/>
      <c r="Y20" s="609"/>
      <c r="Z20" s="609"/>
      <c r="AA20" s="609" t="s">
        <v>1458</v>
      </c>
      <c r="AB20" s="642" t="s">
        <v>263</v>
      </c>
      <c r="AC20" s="652"/>
      <c r="AD20" s="652" t="s">
        <v>113</v>
      </c>
      <c r="AE20" s="653">
        <f t="shared" si="0"/>
        <v>1</v>
      </c>
    </row>
    <row r="21" spans="1:31" ht="105" hidden="1" x14ac:dyDescent="0.25">
      <c r="A21" s="608" t="s">
        <v>3377</v>
      </c>
      <c r="B21" s="613" t="s">
        <v>1465</v>
      </c>
      <c r="C21" s="614" t="s">
        <v>1466</v>
      </c>
      <c r="D21" s="608" t="s">
        <v>4799</v>
      </c>
      <c r="E21" s="617" t="s">
        <v>1467</v>
      </c>
      <c r="F21" s="609" t="s">
        <v>1455</v>
      </c>
      <c r="G21" s="609" t="s">
        <v>1455</v>
      </c>
      <c r="H21" s="609">
        <v>18</v>
      </c>
      <c r="I21" s="609">
        <v>45000000000</v>
      </c>
      <c r="J21" s="609" t="s">
        <v>1454</v>
      </c>
      <c r="K21" s="799" t="s">
        <v>8169</v>
      </c>
      <c r="L21" s="785">
        <v>206500</v>
      </c>
      <c r="M21" s="609" t="s">
        <v>2184</v>
      </c>
      <c r="N21" s="616">
        <v>206500</v>
      </c>
      <c r="O21" s="612">
        <v>43009</v>
      </c>
      <c r="P21" s="612">
        <v>43070</v>
      </c>
      <c r="Q21" s="609" t="s">
        <v>108</v>
      </c>
      <c r="R21" s="609" t="s">
        <v>112</v>
      </c>
      <c r="S21" s="609" t="s">
        <v>1457</v>
      </c>
      <c r="T21" s="609"/>
      <c r="U21" s="609"/>
      <c r="V21" s="609" t="s">
        <v>54</v>
      </c>
      <c r="W21" s="609"/>
      <c r="X21" s="609"/>
      <c r="Y21" s="609"/>
      <c r="Z21" s="609"/>
      <c r="AA21" s="609" t="s">
        <v>1458</v>
      </c>
      <c r="AB21" s="642" t="s">
        <v>617</v>
      </c>
      <c r="AC21" s="652"/>
      <c r="AD21" s="652" t="s">
        <v>113</v>
      </c>
      <c r="AE21" s="653">
        <f t="shared" si="0"/>
        <v>10</v>
      </c>
    </row>
    <row r="22" spans="1:31" ht="105" hidden="1" x14ac:dyDescent="0.25">
      <c r="A22" s="608" t="s">
        <v>3378</v>
      </c>
      <c r="B22" s="613" t="s">
        <v>1468</v>
      </c>
      <c r="C22" s="614" t="s">
        <v>1469</v>
      </c>
      <c r="D22" s="608" t="s">
        <v>4797</v>
      </c>
      <c r="E22" s="617" t="s">
        <v>1470</v>
      </c>
      <c r="F22" s="609" t="s">
        <v>1455</v>
      </c>
      <c r="G22" s="609" t="s">
        <v>1455</v>
      </c>
      <c r="H22" s="609">
        <v>3</v>
      </c>
      <c r="I22" s="609">
        <v>45000000000</v>
      </c>
      <c r="J22" s="609" t="s">
        <v>1454</v>
      </c>
      <c r="K22" s="608" t="s">
        <v>1519</v>
      </c>
      <c r="L22" s="785">
        <v>150000</v>
      </c>
      <c r="M22" s="609" t="s">
        <v>2184</v>
      </c>
      <c r="N22" s="616">
        <v>150000</v>
      </c>
      <c r="O22" s="612">
        <v>42736</v>
      </c>
      <c r="P22" s="612">
        <v>43070</v>
      </c>
      <c r="Q22" s="609" t="s">
        <v>108</v>
      </c>
      <c r="R22" s="609" t="s">
        <v>112</v>
      </c>
      <c r="S22" s="609" t="s">
        <v>1457</v>
      </c>
      <c r="T22" s="609"/>
      <c r="U22" s="609"/>
      <c r="V22" s="609"/>
      <c r="W22" s="609"/>
      <c r="X22" s="609"/>
      <c r="Y22" s="609"/>
      <c r="Z22" s="609"/>
      <c r="AA22" s="609" t="s">
        <v>1458</v>
      </c>
      <c r="AB22" s="642" t="s">
        <v>263</v>
      </c>
      <c r="AC22" s="652"/>
      <c r="AD22" s="652" t="s">
        <v>113</v>
      </c>
      <c r="AE22" s="653">
        <f t="shared" si="0"/>
        <v>1</v>
      </c>
    </row>
    <row r="23" spans="1:31" ht="105" hidden="1" x14ac:dyDescent="0.25">
      <c r="A23" s="608" t="s">
        <v>3379</v>
      </c>
      <c r="B23" s="614" t="s">
        <v>1471</v>
      </c>
      <c r="C23" s="614" t="s">
        <v>1472</v>
      </c>
      <c r="D23" s="608" t="s">
        <v>4798</v>
      </c>
      <c r="E23" s="617" t="s">
        <v>1473</v>
      </c>
      <c r="F23" s="609" t="s">
        <v>1455</v>
      </c>
      <c r="G23" s="609" t="s">
        <v>1455</v>
      </c>
      <c r="H23" s="609">
        <v>4</v>
      </c>
      <c r="I23" s="609">
        <v>45000000000</v>
      </c>
      <c r="J23" s="609" t="s">
        <v>1454</v>
      </c>
      <c r="K23" s="616" t="s">
        <v>1474</v>
      </c>
      <c r="L23" s="785">
        <v>130000</v>
      </c>
      <c r="M23" s="609" t="s">
        <v>2184</v>
      </c>
      <c r="N23" s="616">
        <v>130000</v>
      </c>
      <c r="O23" s="612">
        <v>42736</v>
      </c>
      <c r="P23" s="612">
        <v>43070</v>
      </c>
      <c r="Q23" s="609" t="s">
        <v>108</v>
      </c>
      <c r="R23" s="609" t="s">
        <v>112</v>
      </c>
      <c r="S23" s="609" t="s">
        <v>1457</v>
      </c>
      <c r="T23" s="609"/>
      <c r="U23" s="609"/>
      <c r="V23" s="609"/>
      <c r="W23" s="609"/>
      <c r="X23" s="609"/>
      <c r="Y23" s="609"/>
      <c r="Z23" s="609"/>
      <c r="AA23" s="609" t="s">
        <v>1458</v>
      </c>
      <c r="AB23" s="642" t="s">
        <v>263</v>
      </c>
      <c r="AC23" s="652"/>
      <c r="AD23" s="652" t="s">
        <v>113</v>
      </c>
      <c r="AE23" s="653">
        <f t="shared" si="0"/>
        <v>1</v>
      </c>
    </row>
    <row r="24" spans="1:31" ht="105" hidden="1" x14ac:dyDescent="0.25">
      <c r="A24" s="608" t="s">
        <v>3380</v>
      </c>
      <c r="B24" s="614" t="s">
        <v>1475</v>
      </c>
      <c r="C24" s="614" t="s">
        <v>1476</v>
      </c>
      <c r="D24" s="608" t="s">
        <v>4796</v>
      </c>
      <c r="E24" s="617" t="s">
        <v>1477</v>
      </c>
      <c r="F24" s="609">
        <v>112</v>
      </c>
      <c r="G24" s="609" t="s">
        <v>1478</v>
      </c>
      <c r="H24" s="609">
        <v>35000</v>
      </c>
      <c r="I24" s="609">
        <v>45000000000</v>
      </c>
      <c r="J24" s="609" t="s">
        <v>1454</v>
      </c>
      <c r="K24" s="616" t="s">
        <v>1479</v>
      </c>
      <c r="L24" s="785">
        <v>1500000</v>
      </c>
      <c r="M24" s="838" t="s">
        <v>4817</v>
      </c>
      <c r="N24" s="616">
        <v>1500000</v>
      </c>
      <c r="O24" s="612">
        <v>42736</v>
      </c>
      <c r="P24" s="612">
        <v>43070</v>
      </c>
      <c r="Q24" s="609" t="s">
        <v>108</v>
      </c>
      <c r="R24" s="609" t="s">
        <v>112</v>
      </c>
      <c r="S24" s="609" t="s">
        <v>1457</v>
      </c>
      <c r="T24" s="609"/>
      <c r="U24" s="609"/>
      <c r="V24" s="609"/>
      <c r="W24" s="609"/>
      <c r="X24" s="609"/>
      <c r="Y24" s="609"/>
      <c r="Z24" s="609"/>
      <c r="AA24" s="609" t="s">
        <v>1458</v>
      </c>
      <c r="AB24" s="642" t="s">
        <v>263</v>
      </c>
      <c r="AC24" s="652"/>
      <c r="AD24" s="652" t="s">
        <v>113</v>
      </c>
      <c r="AE24" s="653">
        <f t="shared" si="0"/>
        <v>1</v>
      </c>
    </row>
    <row r="25" spans="1:31" ht="105" hidden="1" x14ac:dyDescent="0.25">
      <c r="A25" s="608" t="s">
        <v>3381</v>
      </c>
      <c r="B25" s="614" t="s">
        <v>1480</v>
      </c>
      <c r="C25" s="614" t="s">
        <v>1481</v>
      </c>
      <c r="D25" s="608" t="s">
        <v>4795</v>
      </c>
      <c r="E25" s="617" t="s">
        <v>1482</v>
      </c>
      <c r="F25" s="609" t="s">
        <v>1455</v>
      </c>
      <c r="G25" s="609" t="s">
        <v>1455</v>
      </c>
      <c r="H25" s="609">
        <v>1</v>
      </c>
      <c r="I25" s="609">
        <v>45000000000</v>
      </c>
      <c r="J25" s="609" t="s">
        <v>1454</v>
      </c>
      <c r="K25" s="616" t="s">
        <v>1483</v>
      </c>
      <c r="L25" s="785">
        <v>125000</v>
      </c>
      <c r="M25" s="609" t="s">
        <v>2184</v>
      </c>
      <c r="N25" s="616">
        <v>125000</v>
      </c>
      <c r="O25" s="612">
        <v>43040</v>
      </c>
      <c r="P25" s="612">
        <v>43070</v>
      </c>
      <c r="Q25" s="609" t="s">
        <v>108</v>
      </c>
      <c r="R25" s="609" t="s">
        <v>112</v>
      </c>
      <c r="S25" s="609" t="s">
        <v>1457</v>
      </c>
      <c r="T25" s="609"/>
      <c r="U25" s="609"/>
      <c r="V25" s="609"/>
      <c r="W25" s="609"/>
      <c r="X25" s="609"/>
      <c r="Y25" s="609"/>
      <c r="Z25" s="609"/>
      <c r="AA25" s="609" t="s">
        <v>1458</v>
      </c>
      <c r="AB25" s="642" t="s">
        <v>263</v>
      </c>
      <c r="AC25" s="652"/>
      <c r="AD25" s="652" t="s">
        <v>113</v>
      </c>
      <c r="AE25" s="653">
        <f t="shared" si="0"/>
        <v>11</v>
      </c>
    </row>
    <row r="26" spans="1:31" ht="105" hidden="1" x14ac:dyDescent="0.25">
      <c r="A26" s="608" t="s">
        <v>3382</v>
      </c>
      <c r="B26" s="614" t="s">
        <v>1484</v>
      </c>
      <c r="C26" s="614" t="s">
        <v>1484</v>
      </c>
      <c r="D26" s="608" t="s">
        <v>4794</v>
      </c>
      <c r="E26" s="617" t="s">
        <v>1485</v>
      </c>
      <c r="F26" s="609" t="s">
        <v>1455</v>
      </c>
      <c r="G26" s="609" t="s">
        <v>1455</v>
      </c>
      <c r="H26" s="609">
        <v>1</v>
      </c>
      <c r="I26" s="609">
        <v>45000000000</v>
      </c>
      <c r="J26" s="609" t="s">
        <v>1454</v>
      </c>
      <c r="K26" s="616" t="s">
        <v>6091</v>
      </c>
      <c r="L26" s="916">
        <v>1187100</v>
      </c>
      <c r="M26" s="838" t="s">
        <v>4816</v>
      </c>
      <c r="N26" s="616">
        <v>1187100</v>
      </c>
      <c r="O26" s="612">
        <v>42826</v>
      </c>
      <c r="P26" s="612">
        <v>42826</v>
      </c>
      <c r="Q26" s="609" t="s">
        <v>108</v>
      </c>
      <c r="R26" s="609" t="s">
        <v>112</v>
      </c>
      <c r="S26" s="609" t="s">
        <v>1457</v>
      </c>
      <c r="T26" s="609"/>
      <c r="U26" s="609"/>
      <c r="V26" s="609"/>
      <c r="W26" s="609"/>
      <c r="X26" s="609"/>
      <c r="Y26" s="609"/>
      <c r="Z26" s="609"/>
      <c r="AA26" s="609" t="s">
        <v>1458</v>
      </c>
      <c r="AB26" s="642" t="s">
        <v>263</v>
      </c>
      <c r="AC26" s="652"/>
      <c r="AD26" s="652" t="s">
        <v>113</v>
      </c>
      <c r="AE26" s="653">
        <f t="shared" si="0"/>
        <v>4</v>
      </c>
    </row>
    <row r="27" spans="1:31" ht="105" hidden="1" x14ac:dyDescent="0.25">
      <c r="A27" s="608" t="s">
        <v>3383</v>
      </c>
      <c r="B27" s="614" t="s">
        <v>1487</v>
      </c>
      <c r="C27" s="614" t="s">
        <v>1488</v>
      </c>
      <c r="D27" s="608" t="s">
        <v>4793</v>
      </c>
      <c r="E27" s="617" t="s">
        <v>1485</v>
      </c>
      <c r="F27" s="609" t="s">
        <v>1455</v>
      </c>
      <c r="G27" s="609" t="s">
        <v>1455</v>
      </c>
      <c r="H27" s="609">
        <v>1</v>
      </c>
      <c r="I27" s="609">
        <v>45000000000</v>
      </c>
      <c r="J27" s="609" t="s">
        <v>1454</v>
      </c>
      <c r="K27" s="616" t="s">
        <v>2820</v>
      </c>
      <c r="L27" s="785">
        <v>413000</v>
      </c>
      <c r="M27" s="838" t="s">
        <v>4816</v>
      </c>
      <c r="N27" s="616">
        <v>413000</v>
      </c>
      <c r="O27" s="612">
        <v>42736</v>
      </c>
      <c r="P27" s="612">
        <v>43070</v>
      </c>
      <c r="Q27" s="609" t="s">
        <v>108</v>
      </c>
      <c r="R27" s="609" t="s">
        <v>112</v>
      </c>
      <c r="S27" s="609" t="s">
        <v>1457</v>
      </c>
      <c r="T27" s="609"/>
      <c r="U27" s="609"/>
      <c r="V27" s="609"/>
      <c r="W27" s="609"/>
      <c r="X27" s="700"/>
      <c r="Y27" s="639"/>
      <c r="Z27" s="639"/>
      <c r="AA27" s="609" t="s">
        <v>1458</v>
      </c>
      <c r="AB27" s="642" t="s">
        <v>263</v>
      </c>
      <c r="AC27" s="652"/>
      <c r="AD27" s="652" t="s">
        <v>113</v>
      </c>
      <c r="AE27" s="653">
        <f t="shared" si="0"/>
        <v>1</v>
      </c>
    </row>
    <row r="28" spans="1:31" ht="105" hidden="1" x14ac:dyDescent="0.25">
      <c r="A28" s="608" t="s">
        <v>3384</v>
      </c>
      <c r="B28" s="614" t="s">
        <v>1490</v>
      </c>
      <c r="C28" s="614" t="s">
        <v>1491</v>
      </c>
      <c r="D28" s="608" t="s">
        <v>4792</v>
      </c>
      <c r="E28" s="617" t="s">
        <v>1492</v>
      </c>
      <c r="F28" s="609" t="s">
        <v>1455</v>
      </c>
      <c r="G28" s="609" t="s">
        <v>1455</v>
      </c>
      <c r="H28" s="609">
        <v>70</v>
      </c>
      <c r="I28" s="609">
        <v>45000000000</v>
      </c>
      <c r="J28" s="609" t="s">
        <v>1454</v>
      </c>
      <c r="K28" s="616" t="s">
        <v>6117</v>
      </c>
      <c r="L28" s="805">
        <v>438758.09</v>
      </c>
      <c r="M28" s="609" t="s">
        <v>2184</v>
      </c>
      <c r="N28" s="616">
        <v>438758.09</v>
      </c>
      <c r="O28" s="612">
        <v>42887</v>
      </c>
      <c r="P28" s="612">
        <v>43070</v>
      </c>
      <c r="Q28" s="609" t="s">
        <v>108</v>
      </c>
      <c r="R28" s="609" t="s">
        <v>112</v>
      </c>
      <c r="S28" s="609" t="s">
        <v>1457</v>
      </c>
      <c r="T28" s="609"/>
      <c r="U28" s="609"/>
      <c r="V28" s="609"/>
      <c r="W28" s="609"/>
      <c r="X28" s="609"/>
      <c r="Y28" s="609"/>
      <c r="Z28" s="609"/>
      <c r="AA28" s="609" t="s">
        <v>1458</v>
      </c>
      <c r="AB28" s="642" t="s">
        <v>263</v>
      </c>
      <c r="AC28" s="652"/>
      <c r="AD28" s="652" t="s">
        <v>113</v>
      </c>
      <c r="AE28" s="653">
        <f t="shared" si="0"/>
        <v>6</v>
      </c>
    </row>
    <row r="29" spans="1:31" ht="105" hidden="1" x14ac:dyDescent="0.25">
      <c r="A29" s="608" t="s">
        <v>3385</v>
      </c>
      <c r="B29" s="614" t="s">
        <v>1490</v>
      </c>
      <c r="C29" s="614" t="s">
        <v>1491</v>
      </c>
      <c r="D29" s="608" t="s">
        <v>4791</v>
      </c>
      <c r="E29" s="617" t="s">
        <v>1492</v>
      </c>
      <c r="F29" s="609" t="s">
        <v>1455</v>
      </c>
      <c r="G29" s="609" t="s">
        <v>1455</v>
      </c>
      <c r="H29" s="609">
        <v>70</v>
      </c>
      <c r="I29" s="609">
        <v>45000000000</v>
      </c>
      <c r="J29" s="609" t="s">
        <v>1454</v>
      </c>
      <c r="K29" s="616" t="s">
        <v>8148</v>
      </c>
      <c r="L29" s="785">
        <v>513456.31</v>
      </c>
      <c r="M29" s="609" t="s">
        <v>2184</v>
      </c>
      <c r="N29" s="616">
        <v>513456.31</v>
      </c>
      <c r="O29" s="612">
        <v>43040</v>
      </c>
      <c r="P29" s="612">
        <v>43252</v>
      </c>
      <c r="Q29" s="609" t="s">
        <v>108</v>
      </c>
      <c r="R29" s="609" t="s">
        <v>112</v>
      </c>
      <c r="S29" s="609" t="s">
        <v>1457</v>
      </c>
      <c r="T29" s="609"/>
      <c r="U29" s="609"/>
      <c r="V29" s="609"/>
      <c r="W29" s="609"/>
      <c r="X29" s="609"/>
      <c r="Y29" s="609"/>
      <c r="Z29" s="609"/>
      <c r="AA29" s="609" t="s">
        <v>1458</v>
      </c>
      <c r="AB29" s="642" t="s">
        <v>263</v>
      </c>
      <c r="AC29" s="652"/>
      <c r="AD29" s="652" t="s">
        <v>113</v>
      </c>
      <c r="AE29" s="653">
        <f t="shared" si="0"/>
        <v>11</v>
      </c>
    </row>
    <row r="30" spans="1:31" ht="105" hidden="1" x14ac:dyDescent="0.25">
      <c r="A30" s="608" t="s">
        <v>3386</v>
      </c>
      <c r="B30" s="614" t="s">
        <v>1493</v>
      </c>
      <c r="C30" s="614" t="s">
        <v>1494</v>
      </c>
      <c r="D30" s="608" t="s">
        <v>4790</v>
      </c>
      <c r="E30" s="617" t="s">
        <v>1495</v>
      </c>
      <c r="F30" s="609">
        <v>245</v>
      </c>
      <c r="G30" s="609" t="s">
        <v>1496</v>
      </c>
      <c r="H30" s="609">
        <v>1</v>
      </c>
      <c r="I30" s="609">
        <v>45000000000</v>
      </c>
      <c r="J30" s="609" t="s">
        <v>1454</v>
      </c>
      <c r="K30" s="616" t="s">
        <v>5970</v>
      </c>
      <c r="L30" s="785">
        <v>4014131.21</v>
      </c>
      <c r="M30" s="609" t="s">
        <v>2184</v>
      </c>
      <c r="N30" s="616">
        <v>4014131.21</v>
      </c>
      <c r="O30" s="612">
        <v>42887</v>
      </c>
      <c r="P30" s="612">
        <v>42917</v>
      </c>
      <c r="Q30" s="609" t="s">
        <v>110</v>
      </c>
      <c r="R30" s="609" t="s">
        <v>113</v>
      </c>
      <c r="S30" s="609" t="s">
        <v>1455</v>
      </c>
      <c r="T30" s="609"/>
      <c r="U30" s="609"/>
      <c r="V30" s="609"/>
      <c r="W30" s="599" t="s">
        <v>66</v>
      </c>
      <c r="X30" s="599">
        <v>7736520080</v>
      </c>
      <c r="Y30" s="599" t="s">
        <v>1498</v>
      </c>
      <c r="Z30" s="616">
        <v>4014131.21</v>
      </c>
      <c r="AA30" s="609" t="s">
        <v>1458</v>
      </c>
      <c r="AB30" s="642" t="s">
        <v>263</v>
      </c>
      <c r="AC30" s="652"/>
      <c r="AD30" s="652" t="s">
        <v>113</v>
      </c>
      <c r="AE30" s="653">
        <f t="shared" si="0"/>
        <v>6</v>
      </c>
    </row>
    <row r="31" spans="1:31" ht="105" hidden="1" x14ac:dyDescent="0.25">
      <c r="A31" s="608" t="s">
        <v>3387</v>
      </c>
      <c r="B31" s="614" t="s">
        <v>1493</v>
      </c>
      <c r="C31" s="614" t="s">
        <v>1494</v>
      </c>
      <c r="D31" s="608" t="s">
        <v>4789</v>
      </c>
      <c r="E31" s="617" t="s">
        <v>1495</v>
      </c>
      <c r="F31" s="609">
        <v>245</v>
      </c>
      <c r="G31" s="609" t="s">
        <v>1496</v>
      </c>
      <c r="H31" s="609">
        <v>1</v>
      </c>
      <c r="I31" s="609">
        <v>45000000000</v>
      </c>
      <c r="J31" s="609" t="s">
        <v>1454</v>
      </c>
      <c r="K31" s="616" t="s">
        <v>1499</v>
      </c>
      <c r="L31" s="785">
        <v>1500000</v>
      </c>
      <c r="M31" s="609" t="s">
        <v>2184</v>
      </c>
      <c r="N31" s="616">
        <v>1500000</v>
      </c>
      <c r="O31" s="612">
        <v>42736</v>
      </c>
      <c r="P31" s="612">
        <v>42767</v>
      </c>
      <c r="Q31" s="609" t="s">
        <v>110</v>
      </c>
      <c r="R31" s="609" t="s">
        <v>113</v>
      </c>
      <c r="S31" s="609" t="s">
        <v>1455</v>
      </c>
      <c r="T31" s="609"/>
      <c r="U31" s="609"/>
      <c r="V31" s="609"/>
      <c r="W31" s="599" t="s">
        <v>66</v>
      </c>
      <c r="X31" s="599">
        <v>7736520080</v>
      </c>
      <c r="Y31" s="599" t="s">
        <v>1498</v>
      </c>
      <c r="Z31" s="616">
        <v>1500000</v>
      </c>
      <c r="AA31" s="609" t="s">
        <v>1458</v>
      </c>
      <c r="AB31" s="642" t="s">
        <v>263</v>
      </c>
      <c r="AC31" s="652"/>
      <c r="AD31" s="652" t="s">
        <v>113</v>
      </c>
      <c r="AE31" s="653">
        <f t="shared" si="0"/>
        <v>1</v>
      </c>
    </row>
    <row r="32" spans="1:31" ht="105" hidden="1" x14ac:dyDescent="0.25">
      <c r="A32" s="608" t="s">
        <v>3388</v>
      </c>
      <c r="B32" s="614" t="s">
        <v>1493</v>
      </c>
      <c r="C32" s="614" t="s">
        <v>1494</v>
      </c>
      <c r="D32" s="608" t="s">
        <v>4788</v>
      </c>
      <c r="E32" s="617" t="s">
        <v>1495</v>
      </c>
      <c r="F32" s="609">
        <v>245</v>
      </c>
      <c r="G32" s="609" t="s">
        <v>1496</v>
      </c>
      <c r="H32" s="609">
        <v>1</v>
      </c>
      <c r="I32" s="609">
        <v>45000000000</v>
      </c>
      <c r="J32" s="609" t="s">
        <v>1454</v>
      </c>
      <c r="K32" s="616" t="s">
        <v>1497</v>
      </c>
      <c r="L32" s="785">
        <v>3500000</v>
      </c>
      <c r="M32" s="609" t="s">
        <v>2184</v>
      </c>
      <c r="N32" s="616">
        <v>3500000</v>
      </c>
      <c r="O32" s="612">
        <v>42767</v>
      </c>
      <c r="P32" s="612">
        <v>42795</v>
      </c>
      <c r="Q32" s="609" t="s">
        <v>110</v>
      </c>
      <c r="R32" s="609" t="s">
        <v>113</v>
      </c>
      <c r="S32" s="609" t="s">
        <v>1455</v>
      </c>
      <c r="T32" s="609"/>
      <c r="U32" s="609"/>
      <c r="V32" s="609"/>
      <c r="W32" s="599" t="s">
        <v>66</v>
      </c>
      <c r="X32" s="599">
        <v>7736520080</v>
      </c>
      <c r="Y32" s="599" t="s">
        <v>1498</v>
      </c>
      <c r="Z32" s="616">
        <v>3500000</v>
      </c>
      <c r="AA32" s="609" t="s">
        <v>1458</v>
      </c>
      <c r="AB32" s="642" t="s">
        <v>263</v>
      </c>
      <c r="AC32" s="652"/>
      <c r="AD32" s="652" t="s">
        <v>113</v>
      </c>
      <c r="AE32" s="653">
        <f t="shared" si="0"/>
        <v>2</v>
      </c>
    </row>
    <row r="33" spans="1:31" ht="105" hidden="1" x14ac:dyDescent="0.25">
      <c r="A33" s="608" t="s">
        <v>3389</v>
      </c>
      <c r="B33" s="614" t="s">
        <v>1493</v>
      </c>
      <c r="C33" s="614" t="s">
        <v>1494</v>
      </c>
      <c r="D33" s="608" t="s">
        <v>4787</v>
      </c>
      <c r="E33" s="617" t="s">
        <v>1495</v>
      </c>
      <c r="F33" s="609">
        <v>245</v>
      </c>
      <c r="G33" s="609" t="s">
        <v>1496</v>
      </c>
      <c r="H33" s="609">
        <v>1</v>
      </c>
      <c r="I33" s="609">
        <v>45000000000</v>
      </c>
      <c r="J33" s="609" t="s">
        <v>1454</v>
      </c>
      <c r="K33" s="616" t="s">
        <v>5961</v>
      </c>
      <c r="L33" s="785">
        <v>1538612.87</v>
      </c>
      <c r="M33" s="609" t="s">
        <v>2184</v>
      </c>
      <c r="N33" s="616">
        <v>1538612.87</v>
      </c>
      <c r="O33" s="612">
        <v>42887</v>
      </c>
      <c r="P33" s="612">
        <v>42917</v>
      </c>
      <c r="Q33" s="609" t="s">
        <v>110</v>
      </c>
      <c r="R33" s="609" t="s">
        <v>113</v>
      </c>
      <c r="S33" s="609" t="s">
        <v>1455</v>
      </c>
      <c r="T33" s="609"/>
      <c r="U33" s="609"/>
      <c r="V33" s="609"/>
      <c r="W33" s="599" t="s">
        <v>66</v>
      </c>
      <c r="X33" s="599">
        <v>7736520080</v>
      </c>
      <c r="Y33" s="599" t="s">
        <v>1498</v>
      </c>
      <c r="Z33" s="616">
        <v>1538612.87</v>
      </c>
      <c r="AA33" s="609" t="s">
        <v>1458</v>
      </c>
      <c r="AB33" s="642" t="s">
        <v>263</v>
      </c>
      <c r="AC33" s="652"/>
      <c r="AD33" s="652" t="s">
        <v>113</v>
      </c>
      <c r="AE33" s="653">
        <f t="shared" si="0"/>
        <v>6</v>
      </c>
    </row>
    <row r="34" spans="1:31" ht="105" hidden="1" x14ac:dyDescent="0.25">
      <c r="A34" s="608" t="s">
        <v>3390</v>
      </c>
      <c r="B34" s="614" t="s">
        <v>1493</v>
      </c>
      <c r="C34" s="614" t="s">
        <v>1494</v>
      </c>
      <c r="D34" s="608" t="s">
        <v>4786</v>
      </c>
      <c r="E34" s="617" t="s">
        <v>1495</v>
      </c>
      <c r="F34" s="609">
        <v>245</v>
      </c>
      <c r="G34" s="609" t="s">
        <v>1496</v>
      </c>
      <c r="H34" s="609">
        <v>1</v>
      </c>
      <c r="I34" s="609">
        <v>45000000000</v>
      </c>
      <c r="J34" s="609" t="s">
        <v>1454</v>
      </c>
      <c r="K34" s="616" t="s">
        <v>5972</v>
      </c>
      <c r="L34" s="785">
        <v>3629609.82</v>
      </c>
      <c r="M34" s="609" t="s">
        <v>2184</v>
      </c>
      <c r="N34" s="616">
        <v>3629609.82</v>
      </c>
      <c r="O34" s="612">
        <v>42887</v>
      </c>
      <c r="P34" s="612">
        <v>42917</v>
      </c>
      <c r="Q34" s="609" t="s">
        <v>110</v>
      </c>
      <c r="R34" s="609" t="s">
        <v>113</v>
      </c>
      <c r="S34" s="609" t="s">
        <v>1455</v>
      </c>
      <c r="T34" s="609"/>
      <c r="U34" s="609"/>
      <c r="V34" s="609"/>
      <c r="W34" s="599" t="s">
        <v>66</v>
      </c>
      <c r="X34" s="599">
        <v>7736520080</v>
      </c>
      <c r="Y34" s="599" t="s">
        <v>1498</v>
      </c>
      <c r="Z34" s="616">
        <v>3500000</v>
      </c>
      <c r="AA34" s="609" t="s">
        <v>1458</v>
      </c>
      <c r="AB34" s="642" t="s">
        <v>263</v>
      </c>
      <c r="AC34" s="652"/>
      <c r="AD34" s="652" t="s">
        <v>113</v>
      </c>
      <c r="AE34" s="653">
        <f t="shared" si="0"/>
        <v>6</v>
      </c>
    </row>
    <row r="35" spans="1:31" ht="105" hidden="1" x14ac:dyDescent="0.25">
      <c r="A35" s="608" t="s">
        <v>3391</v>
      </c>
      <c r="B35" s="614" t="s">
        <v>1493</v>
      </c>
      <c r="C35" s="614" t="s">
        <v>1494</v>
      </c>
      <c r="D35" s="608" t="s">
        <v>4785</v>
      </c>
      <c r="E35" s="617" t="s">
        <v>1495</v>
      </c>
      <c r="F35" s="609">
        <v>245</v>
      </c>
      <c r="G35" s="609" t="s">
        <v>1496</v>
      </c>
      <c r="H35" s="609">
        <v>1</v>
      </c>
      <c r="I35" s="609">
        <v>45000000000</v>
      </c>
      <c r="J35" s="609" t="s">
        <v>1454</v>
      </c>
      <c r="K35" s="616" t="s">
        <v>6077</v>
      </c>
      <c r="L35" s="785">
        <v>1564290.22</v>
      </c>
      <c r="M35" s="609" t="s">
        <v>2184</v>
      </c>
      <c r="N35" s="616">
        <v>1564290.22</v>
      </c>
      <c r="O35" s="612">
        <v>42887</v>
      </c>
      <c r="P35" s="612">
        <v>42917</v>
      </c>
      <c r="Q35" s="609" t="s">
        <v>110</v>
      </c>
      <c r="R35" s="609" t="s">
        <v>113</v>
      </c>
      <c r="S35" s="609" t="s">
        <v>1455</v>
      </c>
      <c r="T35" s="609"/>
      <c r="U35" s="609"/>
      <c r="V35" s="609"/>
      <c r="W35" s="599" t="s">
        <v>66</v>
      </c>
      <c r="X35" s="599">
        <v>7736520080</v>
      </c>
      <c r="Y35" s="599" t="s">
        <v>1498</v>
      </c>
      <c r="Z35" s="616">
        <v>1564290.22</v>
      </c>
      <c r="AA35" s="609" t="s">
        <v>1458</v>
      </c>
      <c r="AB35" s="642" t="s">
        <v>263</v>
      </c>
      <c r="AC35" s="652"/>
      <c r="AD35" s="652" t="s">
        <v>113</v>
      </c>
      <c r="AE35" s="653">
        <f t="shared" si="0"/>
        <v>6</v>
      </c>
    </row>
    <row r="36" spans="1:31" ht="105" hidden="1" x14ac:dyDescent="0.25">
      <c r="A36" s="608" t="s">
        <v>3392</v>
      </c>
      <c r="B36" s="614" t="s">
        <v>1493</v>
      </c>
      <c r="C36" s="614" t="s">
        <v>1494</v>
      </c>
      <c r="D36" s="608" t="s">
        <v>4784</v>
      </c>
      <c r="E36" s="617" t="s">
        <v>1495</v>
      </c>
      <c r="F36" s="609">
        <v>245</v>
      </c>
      <c r="G36" s="609" t="s">
        <v>1496</v>
      </c>
      <c r="H36" s="609">
        <v>1</v>
      </c>
      <c r="I36" s="609">
        <v>45000000000</v>
      </c>
      <c r="J36" s="609" t="s">
        <v>1454</v>
      </c>
      <c r="K36" s="616" t="s">
        <v>6075</v>
      </c>
      <c r="L36" s="785">
        <v>3887439.87</v>
      </c>
      <c r="M36" s="609" t="s">
        <v>2184</v>
      </c>
      <c r="N36" s="616">
        <v>3887439.87</v>
      </c>
      <c r="O36" s="612">
        <v>42887</v>
      </c>
      <c r="P36" s="612">
        <v>42917</v>
      </c>
      <c r="Q36" s="609" t="s">
        <v>110</v>
      </c>
      <c r="R36" s="609" t="s">
        <v>113</v>
      </c>
      <c r="S36" s="609" t="s">
        <v>1455</v>
      </c>
      <c r="T36" s="609"/>
      <c r="U36" s="609"/>
      <c r="V36" s="609"/>
      <c r="W36" s="599" t="s">
        <v>66</v>
      </c>
      <c r="X36" s="599">
        <v>7736520080</v>
      </c>
      <c r="Y36" s="599" t="s">
        <v>1498</v>
      </c>
      <c r="Z36" s="616">
        <v>3887439.87</v>
      </c>
      <c r="AA36" s="609" t="s">
        <v>1458</v>
      </c>
      <c r="AB36" s="642" t="s">
        <v>263</v>
      </c>
      <c r="AC36" s="652"/>
      <c r="AD36" s="652" t="s">
        <v>113</v>
      </c>
      <c r="AE36" s="653">
        <f t="shared" si="0"/>
        <v>6</v>
      </c>
    </row>
    <row r="37" spans="1:31" ht="105" hidden="1" x14ac:dyDescent="0.25">
      <c r="A37" s="608" t="s">
        <v>3393</v>
      </c>
      <c r="B37" s="614" t="s">
        <v>1493</v>
      </c>
      <c r="C37" s="614" t="s">
        <v>1494</v>
      </c>
      <c r="D37" s="608" t="s">
        <v>4783</v>
      </c>
      <c r="E37" s="617" t="s">
        <v>1495</v>
      </c>
      <c r="F37" s="609">
        <v>245</v>
      </c>
      <c r="G37" s="609" t="s">
        <v>1496</v>
      </c>
      <c r="H37" s="609">
        <v>1</v>
      </c>
      <c r="I37" s="609">
        <v>45000000000</v>
      </c>
      <c r="J37" s="609" t="s">
        <v>1454</v>
      </c>
      <c r="K37" s="616" t="s">
        <v>6463</v>
      </c>
      <c r="L37" s="785">
        <v>1173430.06</v>
      </c>
      <c r="M37" s="609" t="s">
        <v>997</v>
      </c>
      <c r="N37" s="967">
        <v>1173430.06</v>
      </c>
      <c r="O37" s="612">
        <v>42887</v>
      </c>
      <c r="P37" s="612">
        <v>42917</v>
      </c>
      <c r="Q37" s="609" t="s">
        <v>110</v>
      </c>
      <c r="R37" s="609" t="s">
        <v>113</v>
      </c>
      <c r="S37" s="609" t="s">
        <v>1455</v>
      </c>
      <c r="T37" s="609"/>
      <c r="U37" s="609"/>
      <c r="V37" s="609"/>
      <c r="W37" s="599" t="s">
        <v>66</v>
      </c>
      <c r="X37" s="599">
        <v>7736520080</v>
      </c>
      <c r="Y37" s="599" t="s">
        <v>1498</v>
      </c>
      <c r="Z37" s="616">
        <v>1173430.06</v>
      </c>
      <c r="AA37" s="609" t="s">
        <v>1458</v>
      </c>
      <c r="AB37" s="642" t="s">
        <v>263</v>
      </c>
      <c r="AC37" s="652"/>
      <c r="AD37" s="652" t="s">
        <v>113</v>
      </c>
      <c r="AE37" s="653">
        <f t="shared" si="0"/>
        <v>6</v>
      </c>
    </row>
    <row r="38" spans="1:31" ht="105" hidden="1" x14ac:dyDescent="0.25">
      <c r="A38" s="608" t="s">
        <v>3394</v>
      </c>
      <c r="B38" s="614" t="s">
        <v>1493</v>
      </c>
      <c r="C38" s="614" t="s">
        <v>1494</v>
      </c>
      <c r="D38" s="608" t="s">
        <v>4782</v>
      </c>
      <c r="E38" s="617" t="s">
        <v>1495</v>
      </c>
      <c r="F38" s="609">
        <v>245</v>
      </c>
      <c r="G38" s="609" t="s">
        <v>1496</v>
      </c>
      <c r="H38" s="609">
        <v>1</v>
      </c>
      <c r="I38" s="609">
        <v>45000000000</v>
      </c>
      <c r="J38" s="609" t="s">
        <v>1454</v>
      </c>
      <c r="K38" s="616" t="s">
        <v>6458</v>
      </c>
      <c r="L38" s="785">
        <v>3636024.79</v>
      </c>
      <c r="M38" s="609" t="s">
        <v>2184</v>
      </c>
      <c r="N38" s="967">
        <v>3636024.79</v>
      </c>
      <c r="O38" s="612">
        <v>42887</v>
      </c>
      <c r="P38" s="612">
        <v>42917</v>
      </c>
      <c r="Q38" s="609" t="s">
        <v>110</v>
      </c>
      <c r="R38" s="609" t="s">
        <v>113</v>
      </c>
      <c r="S38" s="609" t="s">
        <v>1455</v>
      </c>
      <c r="T38" s="609"/>
      <c r="U38" s="609"/>
      <c r="V38" s="609"/>
      <c r="W38" s="599" t="s">
        <v>66</v>
      </c>
      <c r="X38" s="599">
        <v>7736520080</v>
      </c>
      <c r="Y38" s="599" t="s">
        <v>1498</v>
      </c>
      <c r="Z38" s="967">
        <v>3636024.79</v>
      </c>
      <c r="AA38" s="609" t="s">
        <v>1458</v>
      </c>
      <c r="AB38" s="642" t="s">
        <v>263</v>
      </c>
      <c r="AC38" s="652"/>
      <c r="AD38" s="652" t="s">
        <v>113</v>
      </c>
      <c r="AE38" s="653">
        <f t="shared" si="0"/>
        <v>6</v>
      </c>
    </row>
    <row r="39" spans="1:31" ht="105" hidden="1" x14ac:dyDescent="0.25">
      <c r="A39" s="608" t="s">
        <v>3395</v>
      </c>
      <c r="B39" s="614" t="s">
        <v>1493</v>
      </c>
      <c r="C39" s="614" t="s">
        <v>1494</v>
      </c>
      <c r="D39" s="608" t="s">
        <v>4781</v>
      </c>
      <c r="E39" s="617" t="s">
        <v>1495</v>
      </c>
      <c r="F39" s="609">
        <v>245</v>
      </c>
      <c r="G39" s="609" t="s">
        <v>1496</v>
      </c>
      <c r="H39" s="609">
        <v>1</v>
      </c>
      <c r="I39" s="609">
        <v>45000000000</v>
      </c>
      <c r="J39" s="609" t="s">
        <v>1454</v>
      </c>
      <c r="K39" s="616" t="s">
        <v>1500</v>
      </c>
      <c r="L39" s="785">
        <v>1335000</v>
      </c>
      <c r="M39" s="609" t="s">
        <v>2184</v>
      </c>
      <c r="N39" s="616">
        <v>1335000</v>
      </c>
      <c r="O39" s="612">
        <v>42856</v>
      </c>
      <c r="P39" s="612">
        <v>42887</v>
      </c>
      <c r="Q39" s="609" t="s">
        <v>110</v>
      </c>
      <c r="R39" s="609" t="s">
        <v>113</v>
      </c>
      <c r="S39" s="609" t="s">
        <v>1455</v>
      </c>
      <c r="T39" s="609"/>
      <c r="U39" s="609"/>
      <c r="V39" s="609"/>
      <c r="W39" s="599" t="s">
        <v>66</v>
      </c>
      <c r="X39" s="599">
        <v>7736520080</v>
      </c>
      <c r="Y39" s="599" t="s">
        <v>1498</v>
      </c>
      <c r="Z39" s="616">
        <v>1335000</v>
      </c>
      <c r="AA39" s="609" t="s">
        <v>1458</v>
      </c>
      <c r="AB39" s="642" t="s">
        <v>263</v>
      </c>
      <c r="AC39" s="652"/>
      <c r="AD39" s="652" t="s">
        <v>113</v>
      </c>
      <c r="AE39" s="653">
        <f t="shared" si="0"/>
        <v>5</v>
      </c>
    </row>
    <row r="40" spans="1:31" ht="105" hidden="1" x14ac:dyDescent="0.25">
      <c r="A40" s="608" t="s">
        <v>3396</v>
      </c>
      <c r="B40" s="614" t="s">
        <v>1493</v>
      </c>
      <c r="C40" s="614" t="s">
        <v>1494</v>
      </c>
      <c r="D40" s="608" t="s">
        <v>4780</v>
      </c>
      <c r="E40" s="617" t="s">
        <v>1495</v>
      </c>
      <c r="F40" s="609">
        <v>245</v>
      </c>
      <c r="G40" s="609" t="s">
        <v>1496</v>
      </c>
      <c r="H40" s="609">
        <v>1</v>
      </c>
      <c r="I40" s="609">
        <v>45000000000</v>
      </c>
      <c r="J40" s="609" t="s">
        <v>1454</v>
      </c>
      <c r="K40" s="616" t="s">
        <v>1501</v>
      </c>
      <c r="L40" s="785">
        <v>3430000</v>
      </c>
      <c r="M40" s="609" t="s">
        <v>2184</v>
      </c>
      <c r="N40" s="616">
        <v>3430000</v>
      </c>
      <c r="O40" s="612">
        <v>42887</v>
      </c>
      <c r="P40" s="612">
        <v>42917</v>
      </c>
      <c r="Q40" s="609" t="s">
        <v>110</v>
      </c>
      <c r="R40" s="609" t="s">
        <v>113</v>
      </c>
      <c r="S40" s="609" t="s">
        <v>1455</v>
      </c>
      <c r="T40" s="609"/>
      <c r="U40" s="609"/>
      <c r="V40" s="609"/>
      <c r="W40" s="599" t="s">
        <v>66</v>
      </c>
      <c r="X40" s="599">
        <v>7736520080</v>
      </c>
      <c r="Y40" s="599" t="s">
        <v>1498</v>
      </c>
      <c r="Z40" s="616">
        <v>3430000</v>
      </c>
      <c r="AA40" s="609" t="s">
        <v>1458</v>
      </c>
      <c r="AB40" s="642" t="s">
        <v>263</v>
      </c>
      <c r="AC40" s="652"/>
      <c r="AD40" s="652" t="s">
        <v>113</v>
      </c>
      <c r="AE40" s="653">
        <f t="shared" si="0"/>
        <v>6</v>
      </c>
    </row>
    <row r="41" spans="1:31" ht="105" hidden="1" x14ac:dyDescent="0.25">
      <c r="A41" s="608" t="s">
        <v>3397</v>
      </c>
      <c r="B41" s="614" t="s">
        <v>1493</v>
      </c>
      <c r="C41" s="614" t="s">
        <v>1494</v>
      </c>
      <c r="D41" s="608" t="s">
        <v>4779</v>
      </c>
      <c r="E41" s="617" t="s">
        <v>1495</v>
      </c>
      <c r="F41" s="609">
        <v>245</v>
      </c>
      <c r="G41" s="609" t="s">
        <v>1496</v>
      </c>
      <c r="H41" s="609">
        <v>1</v>
      </c>
      <c r="I41" s="609">
        <v>45000000000</v>
      </c>
      <c r="J41" s="609" t="s">
        <v>1454</v>
      </c>
      <c r="K41" s="616" t="s">
        <v>1502</v>
      </c>
      <c r="L41" s="785">
        <v>1470000</v>
      </c>
      <c r="M41" s="609" t="s">
        <v>2184</v>
      </c>
      <c r="N41" s="616">
        <v>1470000</v>
      </c>
      <c r="O41" s="612">
        <v>42887</v>
      </c>
      <c r="P41" s="612">
        <v>42917</v>
      </c>
      <c r="Q41" s="609" t="s">
        <v>110</v>
      </c>
      <c r="R41" s="609" t="s">
        <v>113</v>
      </c>
      <c r="S41" s="609" t="s">
        <v>1455</v>
      </c>
      <c r="T41" s="609"/>
      <c r="U41" s="609"/>
      <c r="V41" s="609"/>
      <c r="W41" s="599" t="s">
        <v>66</v>
      </c>
      <c r="X41" s="599">
        <v>7736520080</v>
      </c>
      <c r="Y41" s="599" t="s">
        <v>1498</v>
      </c>
      <c r="Z41" s="616">
        <v>1470000</v>
      </c>
      <c r="AA41" s="609" t="s">
        <v>1458</v>
      </c>
      <c r="AB41" s="642" t="s">
        <v>263</v>
      </c>
      <c r="AC41" s="652"/>
      <c r="AD41" s="652" t="s">
        <v>113</v>
      </c>
      <c r="AE41" s="653">
        <f t="shared" si="0"/>
        <v>6</v>
      </c>
    </row>
    <row r="42" spans="1:31" ht="105" hidden="1" x14ac:dyDescent="0.25">
      <c r="A42" s="608" t="s">
        <v>3398</v>
      </c>
      <c r="B42" s="614" t="s">
        <v>1493</v>
      </c>
      <c r="C42" s="614" t="s">
        <v>1494</v>
      </c>
      <c r="D42" s="608" t="s">
        <v>4778</v>
      </c>
      <c r="E42" s="617" t="s">
        <v>1495</v>
      </c>
      <c r="F42" s="609">
        <v>245</v>
      </c>
      <c r="G42" s="609" t="s">
        <v>1496</v>
      </c>
      <c r="H42" s="609">
        <v>1</v>
      </c>
      <c r="I42" s="609">
        <v>45000000000</v>
      </c>
      <c r="J42" s="609" t="s">
        <v>1454</v>
      </c>
      <c r="K42" s="967" t="s">
        <v>8296</v>
      </c>
      <c r="L42" s="805">
        <v>3542162.63</v>
      </c>
      <c r="M42" s="609" t="s">
        <v>997</v>
      </c>
      <c r="N42" s="624">
        <v>3542162.63</v>
      </c>
      <c r="O42" s="612">
        <v>43009</v>
      </c>
      <c r="P42" s="612">
        <v>43009</v>
      </c>
      <c r="Q42" s="609" t="s">
        <v>110</v>
      </c>
      <c r="R42" s="609" t="s">
        <v>113</v>
      </c>
      <c r="S42" s="609" t="s">
        <v>1455</v>
      </c>
      <c r="T42" s="609"/>
      <c r="U42" s="609"/>
      <c r="V42" s="609"/>
      <c r="W42" s="599" t="s">
        <v>66</v>
      </c>
      <c r="X42" s="599">
        <v>7736520080</v>
      </c>
      <c r="Y42" s="599" t="s">
        <v>1498</v>
      </c>
      <c r="Z42" s="616">
        <v>3542162.63</v>
      </c>
      <c r="AA42" s="609" t="s">
        <v>1458</v>
      </c>
      <c r="AB42" s="642" t="s">
        <v>263</v>
      </c>
      <c r="AC42" s="652"/>
      <c r="AD42" s="652" t="s">
        <v>113</v>
      </c>
      <c r="AE42" s="653">
        <f t="shared" si="0"/>
        <v>10</v>
      </c>
    </row>
    <row r="43" spans="1:31" ht="105" hidden="1" x14ac:dyDescent="0.25">
      <c r="A43" s="608" t="s">
        <v>3399</v>
      </c>
      <c r="B43" s="614" t="s">
        <v>1493</v>
      </c>
      <c r="C43" s="614" t="s">
        <v>1494</v>
      </c>
      <c r="D43" s="608" t="s">
        <v>4777</v>
      </c>
      <c r="E43" s="617" t="s">
        <v>1495</v>
      </c>
      <c r="F43" s="609">
        <v>245</v>
      </c>
      <c r="G43" s="609" t="s">
        <v>1496</v>
      </c>
      <c r="H43" s="609">
        <v>1</v>
      </c>
      <c r="I43" s="609">
        <v>45000000000</v>
      </c>
      <c r="J43" s="609" t="s">
        <v>1454</v>
      </c>
      <c r="K43" s="616" t="s">
        <v>6453</v>
      </c>
      <c r="L43" s="785">
        <v>1188206.98</v>
      </c>
      <c r="M43" s="609" t="s">
        <v>997</v>
      </c>
      <c r="N43" s="967">
        <v>1188206.98</v>
      </c>
      <c r="O43" s="612">
        <v>42917</v>
      </c>
      <c r="P43" s="612">
        <v>42948</v>
      </c>
      <c r="Q43" s="609" t="s">
        <v>110</v>
      </c>
      <c r="R43" s="609" t="s">
        <v>113</v>
      </c>
      <c r="S43" s="609" t="s">
        <v>1455</v>
      </c>
      <c r="T43" s="609"/>
      <c r="U43" s="609"/>
      <c r="V43" s="609"/>
      <c r="W43" s="599" t="s">
        <v>66</v>
      </c>
      <c r="X43" s="599">
        <v>7736520080</v>
      </c>
      <c r="Y43" s="599" t="s">
        <v>1498</v>
      </c>
      <c r="Z43" s="616">
        <v>1188206.98</v>
      </c>
      <c r="AA43" s="609" t="s">
        <v>1458</v>
      </c>
      <c r="AB43" s="642" t="s">
        <v>263</v>
      </c>
      <c r="AC43" s="652"/>
      <c r="AD43" s="652" t="s">
        <v>113</v>
      </c>
      <c r="AE43" s="653">
        <f t="shared" si="0"/>
        <v>7</v>
      </c>
    </row>
    <row r="44" spans="1:31" ht="105" hidden="1" x14ac:dyDescent="0.25">
      <c r="A44" s="608" t="s">
        <v>3400</v>
      </c>
      <c r="B44" s="614" t="s">
        <v>1493</v>
      </c>
      <c r="C44" s="614" t="s">
        <v>1494</v>
      </c>
      <c r="D44" s="608" t="s">
        <v>4776</v>
      </c>
      <c r="E44" s="617" t="s">
        <v>1495</v>
      </c>
      <c r="F44" s="609">
        <v>245</v>
      </c>
      <c r="G44" s="609" t="s">
        <v>1496</v>
      </c>
      <c r="H44" s="609">
        <v>1</v>
      </c>
      <c r="I44" s="609">
        <v>45000000000</v>
      </c>
      <c r="J44" s="609" t="s">
        <v>1454</v>
      </c>
      <c r="K44" s="616" t="s">
        <v>7278</v>
      </c>
      <c r="L44" s="785">
        <v>3286497.51</v>
      </c>
      <c r="M44" s="609" t="s">
        <v>2184</v>
      </c>
      <c r="N44" s="616">
        <v>3286497.51</v>
      </c>
      <c r="O44" s="612">
        <v>43040</v>
      </c>
      <c r="P44" s="612">
        <v>43040</v>
      </c>
      <c r="Q44" s="609" t="s">
        <v>110</v>
      </c>
      <c r="R44" s="609" t="s">
        <v>113</v>
      </c>
      <c r="S44" s="609" t="s">
        <v>1455</v>
      </c>
      <c r="T44" s="609"/>
      <c r="U44" s="609"/>
      <c r="V44" s="609"/>
      <c r="W44" s="599" t="s">
        <v>66</v>
      </c>
      <c r="X44" s="599">
        <v>7736520080</v>
      </c>
      <c r="Y44" s="599" t="s">
        <v>1498</v>
      </c>
      <c r="Z44" s="616">
        <v>3286497.51</v>
      </c>
      <c r="AA44" s="609" t="s">
        <v>1458</v>
      </c>
      <c r="AB44" s="642" t="s">
        <v>263</v>
      </c>
      <c r="AC44" s="652"/>
      <c r="AD44" s="652" t="s">
        <v>113</v>
      </c>
      <c r="AE44" s="653">
        <f t="shared" si="0"/>
        <v>11</v>
      </c>
    </row>
    <row r="45" spans="1:31" ht="105" hidden="1" x14ac:dyDescent="0.25">
      <c r="A45" s="608" t="s">
        <v>3401</v>
      </c>
      <c r="B45" s="614" t="s">
        <v>1493</v>
      </c>
      <c r="C45" s="614" t="s">
        <v>1494</v>
      </c>
      <c r="D45" s="608" t="s">
        <v>4775</v>
      </c>
      <c r="E45" s="617" t="s">
        <v>1495</v>
      </c>
      <c r="F45" s="609">
        <v>245</v>
      </c>
      <c r="G45" s="609" t="s">
        <v>1496</v>
      </c>
      <c r="H45" s="609">
        <v>1</v>
      </c>
      <c r="I45" s="609">
        <v>45000000000</v>
      </c>
      <c r="J45" s="609" t="s">
        <v>1454</v>
      </c>
      <c r="K45" s="616" t="s">
        <v>7279</v>
      </c>
      <c r="L45" s="785">
        <v>1691681.93</v>
      </c>
      <c r="M45" s="609" t="s">
        <v>2184</v>
      </c>
      <c r="N45" s="616">
        <v>1691681.93</v>
      </c>
      <c r="O45" s="612">
        <v>42948</v>
      </c>
      <c r="P45" s="612">
        <v>42979</v>
      </c>
      <c r="Q45" s="609" t="s">
        <v>110</v>
      </c>
      <c r="R45" s="609" t="s">
        <v>113</v>
      </c>
      <c r="S45" s="609" t="s">
        <v>1455</v>
      </c>
      <c r="T45" s="609"/>
      <c r="U45" s="609"/>
      <c r="V45" s="609"/>
      <c r="W45" s="599" t="s">
        <v>66</v>
      </c>
      <c r="X45" s="599">
        <v>7736520080</v>
      </c>
      <c r="Y45" s="599" t="s">
        <v>1498</v>
      </c>
      <c r="Z45" s="616">
        <v>1691681.93</v>
      </c>
      <c r="AA45" s="609" t="s">
        <v>1458</v>
      </c>
      <c r="AB45" s="642" t="s">
        <v>263</v>
      </c>
      <c r="AC45" s="652"/>
      <c r="AD45" s="652" t="s">
        <v>113</v>
      </c>
      <c r="AE45" s="653">
        <f t="shared" si="0"/>
        <v>8</v>
      </c>
    </row>
    <row r="46" spans="1:31" ht="105" hidden="1" x14ac:dyDescent="0.25">
      <c r="A46" s="608" t="s">
        <v>3402</v>
      </c>
      <c r="B46" s="614" t="s">
        <v>1493</v>
      </c>
      <c r="C46" s="614" t="s">
        <v>1494</v>
      </c>
      <c r="D46" s="608" t="s">
        <v>4774</v>
      </c>
      <c r="E46" s="617" t="s">
        <v>1495</v>
      </c>
      <c r="F46" s="609">
        <v>245</v>
      </c>
      <c r="G46" s="609" t="s">
        <v>1496</v>
      </c>
      <c r="H46" s="609">
        <v>1</v>
      </c>
      <c r="I46" s="609">
        <v>45000000000</v>
      </c>
      <c r="J46" s="609" t="s">
        <v>1454</v>
      </c>
      <c r="K46" s="616" t="s">
        <v>7276</v>
      </c>
      <c r="L46" s="785">
        <v>3445633.95</v>
      </c>
      <c r="M46" s="609" t="s">
        <v>2184</v>
      </c>
      <c r="N46" s="616">
        <v>3445633.95</v>
      </c>
      <c r="O46" s="612">
        <v>43040</v>
      </c>
      <c r="P46" s="612">
        <v>43040</v>
      </c>
      <c r="Q46" s="609" t="s">
        <v>110</v>
      </c>
      <c r="R46" s="609" t="s">
        <v>113</v>
      </c>
      <c r="S46" s="609" t="s">
        <v>1455</v>
      </c>
      <c r="T46" s="609"/>
      <c r="U46" s="609"/>
      <c r="V46" s="609"/>
      <c r="W46" s="599" t="s">
        <v>66</v>
      </c>
      <c r="X46" s="599">
        <v>7736520080</v>
      </c>
      <c r="Y46" s="599" t="s">
        <v>1498</v>
      </c>
      <c r="Z46" s="616">
        <v>3445633.95</v>
      </c>
      <c r="AA46" s="609" t="s">
        <v>1458</v>
      </c>
      <c r="AB46" s="642" t="s">
        <v>263</v>
      </c>
      <c r="AC46" s="652"/>
      <c r="AD46" s="652" t="s">
        <v>113</v>
      </c>
      <c r="AE46" s="653">
        <f t="shared" si="0"/>
        <v>11</v>
      </c>
    </row>
    <row r="47" spans="1:31" ht="105" hidden="1" x14ac:dyDescent="0.25">
      <c r="A47" s="608" t="s">
        <v>3403</v>
      </c>
      <c r="B47" s="614" t="s">
        <v>1493</v>
      </c>
      <c r="C47" s="614" t="s">
        <v>1494</v>
      </c>
      <c r="D47" s="608" t="s">
        <v>4773</v>
      </c>
      <c r="E47" s="617" t="s">
        <v>1495</v>
      </c>
      <c r="F47" s="609">
        <v>245</v>
      </c>
      <c r="G47" s="609" t="s">
        <v>1496</v>
      </c>
      <c r="H47" s="609">
        <v>1</v>
      </c>
      <c r="I47" s="609">
        <v>45000000000</v>
      </c>
      <c r="J47" s="609" t="s">
        <v>1454</v>
      </c>
      <c r="K47" s="616" t="s">
        <v>7272</v>
      </c>
      <c r="L47" s="785">
        <v>1243039.03</v>
      </c>
      <c r="M47" s="609" t="s">
        <v>2184</v>
      </c>
      <c r="N47" s="616">
        <v>1243039.03</v>
      </c>
      <c r="O47" s="612">
        <v>43040</v>
      </c>
      <c r="P47" s="612">
        <v>43040</v>
      </c>
      <c r="Q47" s="609" t="s">
        <v>110</v>
      </c>
      <c r="R47" s="609" t="s">
        <v>113</v>
      </c>
      <c r="S47" s="609" t="s">
        <v>1455</v>
      </c>
      <c r="T47" s="609"/>
      <c r="U47" s="609"/>
      <c r="V47" s="609"/>
      <c r="W47" s="599" t="s">
        <v>66</v>
      </c>
      <c r="X47" s="599">
        <v>7736520080</v>
      </c>
      <c r="Y47" s="599" t="s">
        <v>1498</v>
      </c>
      <c r="Z47" s="616">
        <v>1243039.03</v>
      </c>
      <c r="AA47" s="609" t="s">
        <v>1458</v>
      </c>
      <c r="AB47" s="642" t="s">
        <v>263</v>
      </c>
      <c r="AC47" s="652"/>
      <c r="AD47" s="652" t="s">
        <v>113</v>
      </c>
      <c r="AE47" s="653">
        <f t="shared" si="0"/>
        <v>11</v>
      </c>
    </row>
    <row r="48" spans="1:31" ht="105" hidden="1" x14ac:dyDescent="0.25">
      <c r="A48" s="608" t="s">
        <v>3404</v>
      </c>
      <c r="B48" s="614" t="s">
        <v>1493</v>
      </c>
      <c r="C48" s="614" t="s">
        <v>1494</v>
      </c>
      <c r="D48" s="608" t="s">
        <v>4772</v>
      </c>
      <c r="E48" s="617" t="s">
        <v>1495</v>
      </c>
      <c r="F48" s="609">
        <v>245</v>
      </c>
      <c r="G48" s="609" t="s">
        <v>1496</v>
      </c>
      <c r="H48" s="609">
        <v>1</v>
      </c>
      <c r="I48" s="609">
        <v>45000000000</v>
      </c>
      <c r="J48" s="609" t="s">
        <v>1454</v>
      </c>
      <c r="K48" s="616" t="s">
        <v>1503</v>
      </c>
      <c r="L48" s="785">
        <v>3710000</v>
      </c>
      <c r="M48" s="609" t="s">
        <v>2184</v>
      </c>
      <c r="N48" s="616">
        <v>3710000</v>
      </c>
      <c r="O48" s="612">
        <v>43009</v>
      </c>
      <c r="P48" s="612">
        <v>43040</v>
      </c>
      <c r="Q48" s="609" t="s">
        <v>110</v>
      </c>
      <c r="R48" s="609" t="s">
        <v>113</v>
      </c>
      <c r="S48" s="609" t="s">
        <v>1455</v>
      </c>
      <c r="T48" s="609"/>
      <c r="U48" s="609"/>
      <c r="V48" s="609"/>
      <c r="W48" s="599" t="s">
        <v>66</v>
      </c>
      <c r="X48" s="599">
        <v>7736520080</v>
      </c>
      <c r="Y48" s="599" t="s">
        <v>1498</v>
      </c>
      <c r="Z48" s="616">
        <v>3710000</v>
      </c>
      <c r="AA48" s="609" t="s">
        <v>1458</v>
      </c>
      <c r="AB48" s="642" t="s">
        <v>263</v>
      </c>
      <c r="AC48" s="652"/>
      <c r="AD48" s="652" t="s">
        <v>113</v>
      </c>
      <c r="AE48" s="653">
        <f t="shared" si="0"/>
        <v>10</v>
      </c>
    </row>
    <row r="49" spans="1:31" ht="105" hidden="1" x14ac:dyDescent="0.25">
      <c r="A49" s="608" t="s">
        <v>3405</v>
      </c>
      <c r="B49" s="614" t="s">
        <v>1493</v>
      </c>
      <c r="C49" s="614" t="s">
        <v>1494</v>
      </c>
      <c r="D49" s="608" t="s">
        <v>4771</v>
      </c>
      <c r="E49" s="617" t="s">
        <v>1495</v>
      </c>
      <c r="F49" s="609">
        <v>245</v>
      </c>
      <c r="G49" s="609" t="s">
        <v>1496</v>
      </c>
      <c r="H49" s="609">
        <v>1</v>
      </c>
      <c r="I49" s="609">
        <v>45000000000</v>
      </c>
      <c r="J49" s="609" t="s">
        <v>1454</v>
      </c>
      <c r="K49" s="616" t="s">
        <v>1504</v>
      </c>
      <c r="L49" s="785">
        <v>1590000</v>
      </c>
      <c r="M49" s="609" t="s">
        <v>2184</v>
      </c>
      <c r="N49" s="616">
        <v>1590000</v>
      </c>
      <c r="O49" s="612">
        <v>43009</v>
      </c>
      <c r="P49" s="612">
        <v>43040</v>
      </c>
      <c r="Q49" s="609" t="s">
        <v>110</v>
      </c>
      <c r="R49" s="609" t="s">
        <v>113</v>
      </c>
      <c r="S49" s="609" t="s">
        <v>1455</v>
      </c>
      <c r="T49" s="609"/>
      <c r="U49" s="609"/>
      <c r="V49" s="609"/>
      <c r="W49" s="599" t="s">
        <v>66</v>
      </c>
      <c r="X49" s="599">
        <v>7736520080</v>
      </c>
      <c r="Y49" s="599" t="s">
        <v>1498</v>
      </c>
      <c r="Z49" s="616">
        <v>1590000</v>
      </c>
      <c r="AA49" s="609" t="s">
        <v>1458</v>
      </c>
      <c r="AB49" s="642" t="s">
        <v>263</v>
      </c>
      <c r="AC49" s="652"/>
      <c r="AD49" s="652" t="s">
        <v>113</v>
      </c>
      <c r="AE49" s="653">
        <f t="shared" si="0"/>
        <v>10</v>
      </c>
    </row>
    <row r="50" spans="1:31" ht="105" hidden="1" x14ac:dyDescent="0.25">
      <c r="A50" s="608" t="s">
        <v>3406</v>
      </c>
      <c r="B50" s="614" t="s">
        <v>1493</v>
      </c>
      <c r="C50" s="614" t="s">
        <v>1494</v>
      </c>
      <c r="D50" s="608" t="s">
        <v>4770</v>
      </c>
      <c r="E50" s="617" t="s">
        <v>1495</v>
      </c>
      <c r="F50" s="609">
        <v>245</v>
      </c>
      <c r="G50" s="609" t="s">
        <v>1496</v>
      </c>
      <c r="H50" s="609">
        <v>1</v>
      </c>
      <c r="I50" s="609">
        <v>45000000000</v>
      </c>
      <c r="J50" s="609" t="s">
        <v>1454</v>
      </c>
      <c r="K50" s="616" t="s">
        <v>1505</v>
      </c>
      <c r="L50" s="785">
        <v>3990000</v>
      </c>
      <c r="M50" s="609" t="s">
        <v>2184</v>
      </c>
      <c r="N50" s="616">
        <v>3990000</v>
      </c>
      <c r="O50" s="612">
        <v>43040</v>
      </c>
      <c r="P50" s="612">
        <v>43070</v>
      </c>
      <c r="Q50" s="609" t="s">
        <v>110</v>
      </c>
      <c r="R50" s="609" t="s">
        <v>113</v>
      </c>
      <c r="S50" s="609" t="s">
        <v>1455</v>
      </c>
      <c r="T50" s="609"/>
      <c r="U50" s="609"/>
      <c r="V50" s="609"/>
      <c r="W50" s="599" t="s">
        <v>66</v>
      </c>
      <c r="X50" s="599">
        <v>7736520080</v>
      </c>
      <c r="Y50" s="599" t="s">
        <v>1498</v>
      </c>
      <c r="Z50" s="616">
        <v>3990000</v>
      </c>
      <c r="AA50" s="609" t="s">
        <v>1458</v>
      </c>
      <c r="AB50" s="642" t="s">
        <v>263</v>
      </c>
      <c r="AC50" s="652"/>
      <c r="AD50" s="652" t="s">
        <v>113</v>
      </c>
      <c r="AE50" s="653">
        <f t="shared" si="0"/>
        <v>11</v>
      </c>
    </row>
    <row r="51" spans="1:31" ht="105" hidden="1" x14ac:dyDescent="0.25">
      <c r="A51" s="608" t="s">
        <v>3407</v>
      </c>
      <c r="B51" s="614" t="s">
        <v>1493</v>
      </c>
      <c r="C51" s="614" t="s">
        <v>1494</v>
      </c>
      <c r="D51" s="608" t="s">
        <v>4769</v>
      </c>
      <c r="E51" s="617" t="s">
        <v>1495</v>
      </c>
      <c r="F51" s="609">
        <v>245</v>
      </c>
      <c r="G51" s="609" t="s">
        <v>1496</v>
      </c>
      <c r="H51" s="609">
        <v>1</v>
      </c>
      <c r="I51" s="609">
        <v>45000000000</v>
      </c>
      <c r="J51" s="609" t="s">
        <v>1454</v>
      </c>
      <c r="K51" s="616" t="s">
        <v>1506</v>
      </c>
      <c r="L51" s="785">
        <v>1710000</v>
      </c>
      <c r="M51" s="609" t="s">
        <v>2184</v>
      </c>
      <c r="N51" s="616">
        <v>1710000</v>
      </c>
      <c r="O51" s="612">
        <v>43040</v>
      </c>
      <c r="P51" s="612">
        <v>43070</v>
      </c>
      <c r="Q51" s="609" t="s">
        <v>110</v>
      </c>
      <c r="R51" s="609" t="s">
        <v>113</v>
      </c>
      <c r="S51" s="609" t="s">
        <v>1455</v>
      </c>
      <c r="T51" s="609"/>
      <c r="U51" s="609"/>
      <c r="V51" s="609"/>
      <c r="W51" s="599" t="s">
        <v>66</v>
      </c>
      <c r="X51" s="599">
        <v>7736520080</v>
      </c>
      <c r="Y51" s="599" t="s">
        <v>1498</v>
      </c>
      <c r="Z51" s="616">
        <v>1710000</v>
      </c>
      <c r="AA51" s="609" t="s">
        <v>1458</v>
      </c>
      <c r="AB51" s="642" t="s">
        <v>263</v>
      </c>
      <c r="AC51" s="652"/>
      <c r="AD51" s="652" t="s">
        <v>113</v>
      </c>
      <c r="AE51" s="653">
        <f t="shared" si="0"/>
        <v>11</v>
      </c>
    </row>
    <row r="52" spans="1:31" ht="105" hidden="1" x14ac:dyDescent="0.25">
      <c r="A52" s="608" t="s">
        <v>3408</v>
      </c>
      <c r="B52" s="614" t="s">
        <v>1493</v>
      </c>
      <c r="C52" s="614" t="s">
        <v>1494</v>
      </c>
      <c r="D52" s="608" t="s">
        <v>4768</v>
      </c>
      <c r="E52" s="617" t="s">
        <v>1495</v>
      </c>
      <c r="F52" s="609">
        <v>245</v>
      </c>
      <c r="G52" s="609" t="s">
        <v>1496</v>
      </c>
      <c r="H52" s="609">
        <v>1</v>
      </c>
      <c r="I52" s="609">
        <v>45000000000</v>
      </c>
      <c r="J52" s="609" t="s">
        <v>1454</v>
      </c>
      <c r="K52" s="616" t="s">
        <v>7270</v>
      </c>
      <c r="L52" s="785">
        <v>3484087.62</v>
      </c>
      <c r="M52" s="609" t="s">
        <v>2184</v>
      </c>
      <c r="N52" s="616">
        <v>3484087.62</v>
      </c>
      <c r="O52" s="612">
        <v>43040</v>
      </c>
      <c r="P52" s="612">
        <v>43040</v>
      </c>
      <c r="Q52" s="609" t="s">
        <v>110</v>
      </c>
      <c r="R52" s="609" t="s">
        <v>113</v>
      </c>
      <c r="S52" s="609" t="s">
        <v>1455</v>
      </c>
      <c r="T52" s="609"/>
      <c r="U52" s="609"/>
      <c r="V52" s="609"/>
      <c r="W52" s="599" t="s">
        <v>66</v>
      </c>
      <c r="X52" s="599">
        <v>7736520080</v>
      </c>
      <c r="Y52" s="599" t="s">
        <v>1498</v>
      </c>
      <c r="Z52" s="616">
        <v>3484087.62</v>
      </c>
      <c r="AA52" s="609" t="s">
        <v>1458</v>
      </c>
      <c r="AB52" s="642" t="s">
        <v>263</v>
      </c>
      <c r="AC52" s="652"/>
      <c r="AD52" s="652" t="s">
        <v>113</v>
      </c>
      <c r="AE52" s="653">
        <f t="shared" ref="AE52:AE115" si="1">IF(O52=0,,MONTH(O52))</f>
        <v>11</v>
      </c>
    </row>
    <row r="53" spans="1:31" ht="105" hidden="1" x14ac:dyDescent="0.25">
      <c r="A53" s="608" t="s">
        <v>3409</v>
      </c>
      <c r="B53" s="614" t="s">
        <v>1493</v>
      </c>
      <c r="C53" s="614" t="s">
        <v>1494</v>
      </c>
      <c r="D53" s="608" t="s">
        <v>4767</v>
      </c>
      <c r="E53" s="617" t="s">
        <v>1495</v>
      </c>
      <c r="F53" s="609">
        <v>245</v>
      </c>
      <c r="G53" s="609" t="s">
        <v>1496</v>
      </c>
      <c r="H53" s="609">
        <v>1</v>
      </c>
      <c r="I53" s="609">
        <v>45000000000</v>
      </c>
      <c r="J53" s="609" t="s">
        <v>1454</v>
      </c>
      <c r="K53" s="616" t="s">
        <v>8054</v>
      </c>
      <c r="L53" s="785">
        <v>3279367</v>
      </c>
      <c r="M53" s="609" t="s">
        <v>2184</v>
      </c>
      <c r="N53" s="616">
        <v>3279367</v>
      </c>
      <c r="O53" s="612">
        <v>43040</v>
      </c>
      <c r="P53" s="612">
        <v>43101</v>
      </c>
      <c r="Q53" s="609" t="s">
        <v>110</v>
      </c>
      <c r="R53" s="609" t="s">
        <v>113</v>
      </c>
      <c r="S53" s="609" t="s">
        <v>1455</v>
      </c>
      <c r="T53" s="609"/>
      <c r="U53" s="609"/>
      <c r="V53" s="609"/>
      <c r="W53" s="599" t="s">
        <v>66</v>
      </c>
      <c r="X53" s="599">
        <v>7736520080</v>
      </c>
      <c r="Y53" s="599" t="s">
        <v>1498</v>
      </c>
      <c r="Z53" s="616">
        <v>3279367</v>
      </c>
      <c r="AA53" s="609" t="s">
        <v>1458</v>
      </c>
      <c r="AB53" s="642" t="s">
        <v>263</v>
      </c>
      <c r="AC53" s="652"/>
      <c r="AD53" s="652" t="s">
        <v>113</v>
      </c>
      <c r="AE53" s="653">
        <f t="shared" si="1"/>
        <v>11</v>
      </c>
    </row>
    <row r="54" spans="1:31" ht="105" hidden="1" x14ac:dyDescent="0.25">
      <c r="A54" s="608" t="s">
        <v>3410</v>
      </c>
      <c r="B54" s="614" t="s">
        <v>1507</v>
      </c>
      <c r="C54" s="614" t="s">
        <v>1507</v>
      </c>
      <c r="D54" s="608" t="s">
        <v>4766</v>
      </c>
      <c r="E54" s="617" t="s">
        <v>1495</v>
      </c>
      <c r="F54" s="609">
        <v>113</v>
      </c>
      <c r="G54" s="609" t="s">
        <v>1508</v>
      </c>
      <c r="H54" s="609">
        <v>1</v>
      </c>
      <c r="I54" s="609">
        <v>45000000000</v>
      </c>
      <c r="J54" s="609" t="s">
        <v>1454</v>
      </c>
      <c r="K54" s="616" t="s">
        <v>5934</v>
      </c>
      <c r="L54" s="805">
        <v>219015.85</v>
      </c>
      <c r="M54" s="609" t="s">
        <v>2184</v>
      </c>
      <c r="N54" s="616">
        <v>219015.85</v>
      </c>
      <c r="O54" s="612">
        <v>42887</v>
      </c>
      <c r="P54" s="612">
        <v>42917</v>
      </c>
      <c r="Q54" s="609" t="s">
        <v>110</v>
      </c>
      <c r="R54" s="609" t="s">
        <v>113</v>
      </c>
      <c r="S54" s="609" t="s">
        <v>1455</v>
      </c>
      <c r="T54" s="609"/>
      <c r="U54" s="609"/>
      <c r="V54" s="609"/>
      <c r="W54" s="599" t="s">
        <v>65</v>
      </c>
      <c r="X54" s="599">
        <v>7701984274</v>
      </c>
      <c r="Y54" s="599" t="s">
        <v>1509</v>
      </c>
      <c r="Z54" s="616">
        <v>295000</v>
      </c>
      <c r="AA54" s="609" t="s">
        <v>1458</v>
      </c>
      <c r="AB54" s="642" t="s">
        <v>263</v>
      </c>
      <c r="AC54" s="652"/>
      <c r="AD54" s="652" t="s">
        <v>113</v>
      </c>
      <c r="AE54" s="653">
        <f t="shared" si="1"/>
        <v>6</v>
      </c>
    </row>
    <row r="55" spans="1:31" ht="105" hidden="1" x14ac:dyDescent="0.25">
      <c r="A55" s="608" t="s">
        <v>3411</v>
      </c>
      <c r="B55" s="614" t="s">
        <v>1507</v>
      </c>
      <c r="C55" s="614" t="s">
        <v>1507</v>
      </c>
      <c r="D55" s="608" t="s">
        <v>4765</v>
      </c>
      <c r="E55" s="617" t="s">
        <v>1495</v>
      </c>
      <c r="F55" s="609">
        <v>113</v>
      </c>
      <c r="G55" s="609" t="s">
        <v>1508</v>
      </c>
      <c r="H55" s="609">
        <v>1</v>
      </c>
      <c r="I55" s="609">
        <v>45000000000</v>
      </c>
      <c r="J55" s="609" t="s">
        <v>1454</v>
      </c>
      <c r="K55" s="616" t="s">
        <v>1510</v>
      </c>
      <c r="L55" s="785">
        <v>207500.75</v>
      </c>
      <c r="M55" s="609" t="s">
        <v>2184</v>
      </c>
      <c r="N55" s="616">
        <v>207500.75</v>
      </c>
      <c r="O55" s="612">
        <v>42887</v>
      </c>
      <c r="P55" s="612">
        <v>42917</v>
      </c>
      <c r="Q55" s="609" t="s">
        <v>110</v>
      </c>
      <c r="R55" s="609" t="s">
        <v>113</v>
      </c>
      <c r="S55" s="609" t="s">
        <v>1455</v>
      </c>
      <c r="T55" s="609"/>
      <c r="U55" s="609"/>
      <c r="V55" s="609"/>
      <c r="W55" s="599" t="s">
        <v>65</v>
      </c>
      <c r="X55" s="599">
        <v>7701984274</v>
      </c>
      <c r="Y55" s="599" t="s">
        <v>1509</v>
      </c>
      <c r="Z55" s="616">
        <v>207500.75</v>
      </c>
      <c r="AA55" s="609" t="s">
        <v>1458</v>
      </c>
      <c r="AB55" s="642" t="s">
        <v>263</v>
      </c>
      <c r="AC55" s="652"/>
      <c r="AD55" s="652" t="s">
        <v>113</v>
      </c>
      <c r="AE55" s="653">
        <f t="shared" si="1"/>
        <v>6</v>
      </c>
    </row>
    <row r="56" spans="1:31" ht="105" hidden="1" x14ac:dyDescent="0.25">
      <c r="A56" s="608" t="s">
        <v>3412</v>
      </c>
      <c r="B56" s="614" t="s">
        <v>1507</v>
      </c>
      <c r="C56" s="614" t="s">
        <v>1507</v>
      </c>
      <c r="D56" s="608" t="s">
        <v>4764</v>
      </c>
      <c r="E56" s="617" t="s">
        <v>1495</v>
      </c>
      <c r="F56" s="609">
        <v>113</v>
      </c>
      <c r="G56" s="609" t="s">
        <v>1508</v>
      </c>
      <c r="H56" s="609">
        <v>1</v>
      </c>
      <c r="I56" s="609">
        <v>45000000000</v>
      </c>
      <c r="J56" s="609" t="s">
        <v>1454</v>
      </c>
      <c r="K56" s="616" t="s">
        <v>6071</v>
      </c>
      <c r="L56" s="785">
        <v>258029.66</v>
      </c>
      <c r="M56" s="609" t="s">
        <v>2184</v>
      </c>
      <c r="N56" s="616">
        <v>258029.66</v>
      </c>
      <c r="O56" s="612">
        <v>42887</v>
      </c>
      <c r="P56" s="612">
        <v>42917</v>
      </c>
      <c r="Q56" s="609" t="s">
        <v>110</v>
      </c>
      <c r="R56" s="609" t="s">
        <v>113</v>
      </c>
      <c r="S56" s="609" t="s">
        <v>1455</v>
      </c>
      <c r="T56" s="609"/>
      <c r="U56" s="609"/>
      <c r="V56" s="609"/>
      <c r="W56" s="599" t="s">
        <v>65</v>
      </c>
      <c r="X56" s="599">
        <v>7701984274</v>
      </c>
      <c r="Y56" s="599" t="s">
        <v>1509</v>
      </c>
      <c r="Z56" s="616">
        <v>258029.66</v>
      </c>
      <c r="AA56" s="609" t="s">
        <v>1458</v>
      </c>
      <c r="AB56" s="642" t="s">
        <v>263</v>
      </c>
      <c r="AC56" s="652"/>
      <c r="AD56" s="652" t="s">
        <v>113</v>
      </c>
      <c r="AE56" s="653">
        <f t="shared" si="1"/>
        <v>6</v>
      </c>
    </row>
    <row r="57" spans="1:31" ht="105" hidden="1" x14ac:dyDescent="0.25">
      <c r="A57" s="608" t="s">
        <v>3413</v>
      </c>
      <c r="B57" s="614" t="s">
        <v>1507</v>
      </c>
      <c r="C57" s="614" t="s">
        <v>1507</v>
      </c>
      <c r="D57" s="608" t="s">
        <v>4763</v>
      </c>
      <c r="E57" s="617" t="s">
        <v>1495</v>
      </c>
      <c r="F57" s="609">
        <v>113</v>
      </c>
      <c r="G57" s="609" t="s">
        <v>1508</v>
      </c>
      <c r="H57" s="609">
        <v>1</v>
      </c>
      <c r="I57" s="609">
        <v>45000000000</v>
      </c>
      <c r="J57" s="609" t="s">
        <v>1454</v>
      </c>
      <c r="K57" s="616" t="s">
        <v>6460</v>
      </c>
      <c r="L57" s="785">
        <v>238379.53</v>
      </c>
      <c r="M57" s="609" t="s">
        <v>997</v>
      </c>
      <c r="N57" s="967">
        <v>238379.53</v>
      </c>
      <c r="O57" s="612">
        <v>42887</v>
      </c>
      <c r="P57" s="612">
        <v>42917</v>
      </c>
      <c r="Q57" s="609" t="s">
        <v>110</v>
      </c>
      <c r="R57" s="609" t="s">
        <v>113</v>
      </c>
      <c r="S57" s="609" t="s">
        <v>1455</v>
      </c>
      <c r="T57" s="609"/>
      <c r="U57" s="609"/>
      <c r="V57" s="609"/>
      <c r="W57" s="599" t="s">
        <v>65</v>
      </c>
      <c r="X57" s="599">
        <v>7701984274</v>
      </c>
      <c r="Y57" s="599" t="s">
        <v>1509</v>
      </c>
      <c r="Z57" s="967">
        <v>238379.53</v>
      </c>
      <c r="AA57" s="609" t="s">
        <v>1458</v>
      </c>
      <c r="AB57" s="642" t="s">
        <v>263</v>
      </c>
      <c r="AC57" s="652"/>
      <c r="AD57" s="652" t="s">
        <v>113</v>
      </c>
      <c r="AE57" s="653">
        <f t="shared" si="1"/>
        <v>6</v>
      </c>
    </row>
    <row r="58" spans="1:31" ht="105" hidden="1" x14ac:dyDescent="0.25">
      <c r="A58" s="608" t="s">
        <v>3414</v>
      </c>
      <c r="B58" s="614" t="s">
        <v>1507</v>
      </c>
      <c r="C58" s="614" t="s">
        <v>1507</v>
      </c>
      <c r="D58" s="608" t="s">
        <v>4762</v>
      </c>
      <c r="E58" s="617" t="s">
        <v>1495</v>
      </c>
      <c r="F58" s="609">
        <v>113</v>
      </c>
      <c r="G58" s="609" t="s">
        <v>1508</v>
      </c>
      <c r="H58" s="609">
        <v>1</v>
      </c>
      <c r="I58" s="609">
        <v>45000000000</v>
      </c>
      <c r="J58" s="609" t="s">
        <v>1454</v>
      </c>
      <c r="K58" s="616" t="s">
        <v>6455</v>
      </c>
      <c r="L58" s="785">
        <v>230760.1</v>
      </c>
      <c r="M58" s="609" t="s">
        <v>997</v>
      </c>
      <c r="N58" s="967">
        <v>230760.1</v>
      </c>
      <c r="O58" s="612">
        <v>42917</v>
      </c>
      <c r="P58" s="612">
        <v>42917</v>
      </c>
      <c r="Q58" s="609" t="s">
        <v>110</v>
      </c>
      <c r="R58" s="609" t="s">
        <v>113</v>
      </c>
      <c r="S58" s="609" t="s">
        <v>1455</v>
      </c>
      <c r="T58" s="609"/>
      <c r="U58" s="609"/>
      <c r="V58" s="609"/>
      <c r="W58" s="599" t="s">
        <v>65</v>
      </c>
      <c r="X58" s="599">
        <v>7701984274</v>
      </c>
      <c r="Y58" s="599" t="s">
        <v>1509</v>
      </c>
      <c r="Z58" s="616">
        <v>310000</v>
      </c>
      <c r="AA58" s="609" t="s">
        <v>1458</v>
      </c>
      <c r="AB58" s="642" t="s">
        <v>263</v>
      </c>
      <c r="AC58" s="652"/>
      <c r="AD58" s="652" t="s">
        <v>113</v>
      </c>
      <c r="AE58" s="653">
        <f t="shared" si="1"/>
        <v>7</v>
      </c>
    </row>
    <row r="59" spans="1:31" ht="105" hidden="1" x14ac:dyDescent="0.25">
      <c r="A59" s="608" t="s">
        <v>3415</v>
      </c>
      <c r="B59" s="614" t="s">
        <v>1507</v>
      </c>
      <c r="C59" s="614" t="s">
        <v>1507</v>
      </c>
      <c r="D59" s="608" t="s">
        <v>4761</v>
      </c>
      <c r="E59" s="617" t="s">
        <v>1495</v>
      </c>
      <c r="F59" s="609">
        <v>113</v>
      </c>
      <c r="G59" s="609" t="s">
        <v>1508</v>
      </c>
      <c r="H59" s="609">
        <v>1</v>
      </c>
      <c r="I59" s="609">
        <v>45000000000</v>
      </c>
      <c r="J59" s="609" t="s">
        <v>1454</v>
      </c>
      <c r="K59" s="616" t="s">
        <v>1513</v>
      </c>
      <c r="L59" s="785">
        <v>300000</v>
      </c>
      <c r="M59" s="609" t="s">
        <v>2184</v>
      </c>
      <c r="N59" s="616">
        <v>300000</v>
      </c>
      <c r="O59" s="612">
        <v>42887</v>
      </c>
      <c r="P59" s="612">
        <v>42917</v>
      </c>
      <c r="Q59" s="609" t="s">
        <v>110</v>
      </c>
      <c r="R59" s="609" t="s">
        <v>113</v>
      </c>
      <c r="S59" s="609" t="s">
        <v>1455</v>
      </c>
      <c r="T59" s="609"/>
      <c r="U59" s="609"/>
      <c r="V59" s="609"/>
      <c r="W59" s="599" t="s">
        <v>65</v>
      </c>
      <c r="X59" s="599">
        <v>7701984274</v>
      </c>
      <c r="Y59" s="599" t="s">
        <v>1509</v>
      </c>
      <c r="Z59" s="616">
        <v>300000</v>
      </c>
      <c r="AA59" s="609" t="s">
        <v>1458</v>
      </c>
      <c r="AB59" s="642" t="s">
        <v>263</v>
      </c>
      <c r="AC59" s="652"/>
      <c r="AD59" s="652" t="s">
        <v>113</v>
      </c>
      <c r="AE59" s="653">
        <f t="shared" si="1"/>
        <v>6</v>
      </c>
    </row>
    <row r="60" spans="1:31" ht="105" hidden="1" x14ac:dyDescent="0.25">
      <c r="A60" s="608" t="s">
        <v>3416</v>
      </c>
      <c r="B60" s="614" t="s">
        <v>1507</v>
      </c>
      <c r="C60" s="614" t="s">
        <v>1507</v>
      </c>
      <c r="D60" s="608" t="s">
        <v>4760</v>
      </c>
      <c r="E60" s="617" t="s">
        <v>1495</v>
      </c>
      <c r="F60" s="609">
        <v>113</v>
      </c>
      <c r="G60" s="609" t="s">
        <v>1508</v>
      </c>
      <c r="H60" s="609">
        <v>1</v>
      </c>
      <c r="I60" s="609">
        <v>45000000000</v>
      </c>
      <c r="J60" s="609" t="s">
        <v>1454</v>
      </c>
      <c r="K60" s="616" t="s">
        <v>1512</v>
      </c>
      <c r="L60" s="785">
        <v>310000</v>
      </c>
      <c r="M60" s="609" t="s">
        <v>2184</v>
      </c>
      <c r="N60" s="616">
        <v>310000</v>
      </c>
      <c r="O60" s="612">
        <v>42917</v>
      </c>
      <c r="P60" s="612">
        <v>42948</v>
      </c>
      <c r="Q60" s="609" t="s">
        <v>110</v>
      </c>
      <c r="R60" s="609" t="s">
        <v>113</v>
      </c>
      <c r="S60" s="609" t="s">
        <v>1455</v>
      </c>
      <c r="T60" s="609"/>
      <c r="U60" s="609"/>
      <c r="V60" s="609"/>
      <c r="W60" s="599" t="s">
        <v>65</v>
      </c>
      <c r="X60" s="599">
        <v>7701984274</v>
      </c>
      <c r="Y60" s="599" t="s">
        <v>1509</v>
      </c>
      <c r="Z60" s="616">
        <v>310000</v>
      </c>
      <c r="AA60" s="609" t="s">
        <v>1458</v>
      </c>
      <c r="AB60" s="642" t="s">
        <v>263</v>
      </c>
      <c r="AC60" s="652"/>
      <c r="AD60" s="652" t="s">
        <v>113</v>
      </c>
      <c r="AE60" s="653">
        <f t="shared" si="1"/>
        <v>7</v>
      </c>
    </row>
    <row r="61" spans="1:31" ht="105" hidden="1" x14ac:dyDescent="0.25">
      <c r="A61" s="608" t="s">
        <v>3417</v>
      </c>
      <c r="B61" s="614" t="s">
        <v>1507</v>
      </c>
      <c r="C61" s="614" t="s">
        <v>1507</v>
      </c>
      <c r="D61" s="608" t="s">
        <v>4759</v>
      </c>
      <c r="E61" s="617" t="s">
        <v>1495</v>
      </c>
      <c r="F61" s="609">
        <v>113</v>
      </c>
      <c r="G61" s="609" t="s">
        <v>1508</v>
      </c>
      <c r="H61" s="609">
        <v>5097</v>
      </c>
      <c r="I61" s="609">
        <v>45000000000</v>
      </c>
      <c r="J61" s="609" t="s">
        <v>1454</v>
      </c>
      <c r="K61" s="967" t="s">
        <v>6421</v>
      </c>
      <c r="L61" s="785">
        <v>292002.03000000003</v>
      </c>
      <c r="M61" s="609" t="s">
        <v>2184</v>
      </c>
      <c r="N61" s="616">
        <v>292002.03000000003</v>
      </c>
      <c r="O61" s="612">
        <v>42948</v>
      </c>
      <c r="P61" s="612">
        <v>42979</v>
      </c>
      <c r="Q61" s="609" t="s">
        <v>110</v>
      </c>
      <c r="R61" s="609" t="s">
        <v>113</v>
      </c>
      <c r="S61" s="609" t="s">
        <v>1455</v>
      </c>
      <c r="T61" s="609"/>
      <c r="U61" s="609"/>
      <c r="V61" s="609"/>
      <c r="W61" s="599" t="s">
        <v>66</v>
      </c>
      <c r="X61" s="599">
        <v>7701984274</v>
      </c>
      <c r="Y61" s="599" t="s">
        <v>1509</v>
      </c>
      <c r="Z61" s="616">
        <v>292002.03000000003</v>
      </c>
      <c r="AA61" s="609" t="s">
        <v>1458</v>
      </c>
      <c r="AB61" s="642" t="s">
        <v>263</v>
      </c>
      <c r="AC61" s="652"/>
      <c r="AD61" s="652" t="s">
        <v>113</v>
      </c>
      <c r="AE61" s="653">
        <f t="shared" si="1"/>
        <v>8</v>
      </c>
    </row>
    <row r="62" spans="1:31" ht="105" hidden="1" x14ac:dyDescent="0.25">
      <c r="A62" s="608" t="s">
        <v>3418</v>
      </c>
      <c r="B62" s="614" t="s">
        <v>1507</v>
      </c>
      <c r="C62" s="614" t="s">
        <v>1507</v>
      </c>
      <c r="D62" s="608" t="s">
        <v>4758</v>
      </c>
      <c r="E62" s="617" t="s">
        <v>1495</v>
      </c>
      <c r="F62" s="609">
        <v>113</v>
      </c>
      <c r="G62" s="609" t="s">
        <v>1508</v>
      </c>
      <c r="H62" s="609">
        <v>1</v>
      </c>
      <c r="I62" s="609">
        <v>45000000000</v>
      </c>
      <c r="J62" s="609" t="s">
        <v>1454</v>
      </c>
      <c r="K62" s="616" t="s">
        <v>7274</v>
      </c>
      <c r="L62" s="785">
        <v>267689.69</v>
      </c>
      <c r="M62" s="609" t="s">
        <v>2184</v>
      </c>
      <c r="N62" s="616">
        <v>267689.69</v>
      </c>
      <c r="O62" s="612">
        <v>43040</v>
      </c>
      <c r="P62" s="612">
        <v>43040</v>
      </c>
      <c r="Q62" s="609" t="s">
        <v>110</v>
      </c>
      <c r="R62" s="609" t="s">
        <v>113</v>
      </c>
      <c r="S62" s="609" t="s">
        <v>1455</v>
      </c>
      <c r="T62" s="609"/>
      <c r="U62" s="609"/>
      <c r="V62" s="609"/>
      <c r="W62" s="599" t="s">
        <v>65</v>
      </c>
      <c r="X62" s="599">
        <v>7701984274</v>
      </c>
      <c r="Y62" s="599" t="s">
        <v>1509</v>
      </c>
      <c r="Z62" s="616">
        <v>267689.69</v>
      </c>
      <c r="AA62" s="609" t="s">
        <v>1458</v>
      </c>
      <c r="AB62" s="642" t="s">
        <v>263</v>
      </c>
      <c r="AC62" s="652"/>
      <c r="AD62" s="652" t="s">
        <v>113</v>
      </c>
      <c r="AE62" s="653">
        <f t="shared" si="1"/>
        <v>11</v>
      </c>
    </row>
    <row r="63" spans="1:31" ht="105" hidden="1" x14ac:dyDescent="0.25">
      <c r="A63" s="608" t="s">
        <v>3419</v>
      </c>
      <c r="B63" s="614" t="s">
        <v>1507</v>
      </c>
      <c r="C63" s="614" t="s">
        <v>1507</v>
      </c>
      <c r="D63" s="608" t="s">
        <v>4757</v>
      </c>
      <c r="E63" s="617" t="s">
        <v>1495</v>
      </c>
      <c r="F63" s="609">
        <v>113</v>
      </c>
      <c r="G63" s="609" t="s">
        <v>1508</v>
      </c>
      <c r="H63" s="609">
        <v>1</v>
      </c>
      <c r="I63" s="609">
        <v>45000000000</v>
      </c>
      <c r="J63" s="609" t="s">
        <v>1454</v>
      </c>
      <c r="K63" s="616" t="s">
        <v>1513</v>
      </c>
      <c r="L63" s="785">
        <v>300000</v>
      </c>
      <c r="M63" s="609" t="s">
        <v>2184</v>
      </c>
      <c r="N63" s="616">
        <v>300000</v>
      </c>
      <c r="O63" s="612">
        <v>43009</v>
      </c>
      <c r="P63" s="612">
        <v>43040</v>
      </c>
      <c r="Q63" s="609" t="s">
        <v>110</v>
      </c>
      <c r="R63" s="609" t="s">
        <v>113</v>
      </c>
      <c r="S63" s="609" t="s">
        <v>1455</v>
      </c>
      <c r="T63" s="609"/>
      <c r="U63" s="609"/>
      <c r="V63" s="609"/>
      <c r="W63" s="599" t="s">
        <v>65</v>
      </c>
      <c r="X63" s="599">
        <v>7701984274</v>
      </c>
      <c r="Y63" s="599" t="s">
        <v>1509</v>
      </c>
      <c r="Z63" s="616">
        <v>300000</v>
      </c>
      <c r="AA63" s="609" t="s">
        <v>1458</v>
      </c>
      <c r="AB63" s="642" t="s">
        <v>263</v>
      </c>
      <c r="AC63" s="652"/>
      <c r="AD63" s="652" t="s">
        <v>113</v>
      </c>
      <c r="AE63" s="653">
        <f t="shared" si="1"/>
        <v>10</v>
      </c>
    </row>
    <row r="64" spans="1:31" ht="105" hidden="1" x14ac:dyDescent="0.25">
      <c r="A64" s="608" t="s">
        <v>3420</v>
      </c>
      <c r="B64" s="614" t="s">
        <v>1507</v>
      </c>
      <c r="C64" s="614" t="s">
        <v>1507</v>
      </c>
      <c r="D64" s="608" t="s">
        <v>4756</v>
      </c>
      <c r="E64" s="617" t="s">
        <v>1495</v>
      </c>
      <c r="F64" s="609">
        <v>113</v>
      </c>
      <c r="G64" s="609" t="s">
        <v>1508</v>
      </c>
      <c r="H64" s="609">
        <v>1</v>
      </c>
      <c r="I64" s="609">
        <v>45000000000</v>
      </c>
      <c r="J64" s="609" t="s">
        <v>1454</v>
      </c>
      <c r="K64" s="616" t="s">
        <v>7275</v>
      </c>
      <c r="L64" s="785">
        <v>260063.89</v>
      </c>
      <c r="M64" s="609" t="s">
        <v>2184</v>
      </c>
      <c r="N64" s="616">
        <v>260063.89</v>
      </c>
      <c r="O64" s="612">
        <v>43040</v>
      </c>
      <c r="P64" s="612">
        <v>43070</v>
      </c>
      <c r="Q64" s="609" t="s">
        <v>110</v>
      </c>
      <c r="R64" s="609" t="s">
        <v>113</v>
      </c>
      <c r="S64" s="609" t="s">
        <v>1455</v>
      </c>
      <c r="T64" s="609"/>
      <c r="U64" s="609"/>
      <c r="V64" s="609"/>
      <c r="W64" s="599" t="s">
        <v>65</v>
      </c>
      <c r="X64" s="599">
        <v>7701984274</v>
      </c>
      <c r="Y64" s="599" t="s">
        <v>1509</v>
      </c>
      <c r="Z64" s="616">
        <v>260063.89</v>
      </c>
      <c r="AA64" s="609" t="s">
        <v>1458</v>
      </c>
      <c r="AB64" s="642" t="s">
        <v>263</v>
      </c>
      <c r="AC64" s="652"/>
      <c r="AD64" s="652" t="s">
        <v>113</v>
      </c>
      <c r="AE64" s="653">
        <f t="shared" si="1"/>
        <v>11</v>
      </c>
    </row>
    <row r="65" spans="1:31" ht="105" hidden="1" x14ac:dyDescent="0.25">
      <c r="A65" s="608" t="s">
        <v>3421</v>
      </c>
      <c r="B65" s="614" t="s">
        <v>1507</v>
      </c>
      <c r="C65" s="614" t="s">
        <v>1507</v>
      </c>
      <c r="D65" s="608" t="s">
        <v>4755</v>
      </c>
      <c r="E65" s="617" t="s">
        <v>1495</v>
      </c>
      <c r="F65" s="609">
        <v>113</v>
      </c>
      <c r="G65" s="609" t="s">
        <v>1508</v>
      </c>
      <c r="H65" s="609">
        <v>1</v>
      </c>
      <c r="I65" s="609">
        <v>45000000000</v>
      </c>
      <c r="J65" s="609" t="s">
        <v>1454</v>
      </c>
      <c r="K65" s="616" t="s">
        <v>7716</v>
      </c>
      <c r="L65" s="785">
        <v>555577.44999999995</v>
      </c>
      <c r="M65" s="609" t="s">
        <v>2184</v>
      </c>
      <c r="N65" s="616">
        <v>555577.44999999995</v>
      </c>
      <c r="O65" s="612">
        <v>43040</v>
      </c>
      <c r="P65" s="612">
        <v>43070</v>
      </c>
      <c r="Q65" s="609" t="s">
        <v>110</v>
      </c>
      <c r="R65" s="609" t="s">
        <v>113</v>
      </c>
      <c r="S65" s="609" t="s">
        <v>1455</v>
      </c>
      <c r="T65" s="609"/>
      <c r="U65" s="609"/>
      <c r="V65" s="609"/>
      <c r="W65" s="599" t="s">
        <v>65</v>
      </c>
      <c r="X65" s="599">
        <v>7701984274</v>
      </c>
      <c r="Y65" s="599" t="s">
        <v>1509</v>
      </c>
      <c r="Z65" s="616">
        <v>555577.44999999995</v>
      </c>
      <c r="AA65" s="609" t="s">
        <v>1458</v>
      </c>
      <c r="AB65" s="642" t="s">
        <v>263</v>
      </c>
      <c r="AC65" s="652"/>
      <c r="AD65" s="652" t="s">
        <v>113</v>
      </c>
      <c r="AE65" s="653">
        <f t="shared" si="1"/>
        <v>11</v>
      </c>
    </row>
    <row r="66" spans="1:31" ht="105" hidden="1" x14ac:dyDescent="0.25">
      <c r="A66" s="608" t="s">
        <v>3422</v>
      </c>
      <c r="B66" s="614" t="s">
        <v>1517</v>
      </c>
      <c r="C66" s="614" t="s">
        <v>1517</v>
      </c>
      <c r="D66" s="608" t="s">
        <v>4754</v>
      </c>
      <c r="E66" s="617" t="s">
        <v>1518</v>
      </c>
      <c r="F66" s="609">
        <v>796</v>
      </c>
      <c r="G66" s="609" t="s">
        <v>1453</v>
      </c>
      <c r="H66" s="609">
        <v>30</v>
      </c>
      <c r="I66" s="609">
        <v>45000000000</v>
      </c>
      <c r="J66" s="609" t="s">
        <v>1454</v>
      </c>
      <c r="K66" s="616" t="s">
        <v>1519</v>
      </c>
      <c r="L66" s="785">
        <v>150000</v>
      </c>
      <c r="M66" s="609" t="s">
        <v>2184</v>
      </c>
      <c r="N66" s="616">
        <v>150000</v>
      </c>
      <c r="O66" s="612">
        <v>42767</v>
      </c>
      <c r="P66" s="612">
        <v>42795</v>
      </c>
      <c r="Q66" s="609" t="s">
        <v>108</v>
      </c>
      <c r="R66" s="609" t="s">
        <v>1456</v>
      </c>
      <c r="S66" s="609" t="s">
        <v>1457</v>
      </c>
      <c r="T66" s="609"/>
      <c r="U66" s="609"/>
      <c r="V66" s="609"/>
      <c r="W66" s="609"/>
      <c r="X66" s="609"/>
      <c r="Y66" s="609"/>
      <c r="Z66" s="609"/>
      <c r="AA66" s="609" t="s">
        <v>1458</v>
      </c>
      <c r="AB66" s="642" t="s">
        <v>263</v>
      </c>
      <c r="AC66" s="652"/>
      <c r="AD66" s="652" t="s">
        <v>113</v>
      </c>
      <c r="AE66" s="653">
        <f t="shared" si="1"/>
        <v>2</v>
      </c>
    </row>
    <row r="67" spans="1:31" ht="105" hidden="1" x14ac:dyDescent="0.25">
      <c r="A67" s="608" t="s">
        <v>3423</v>
      </c>
      <c r="B67" s="614" t="s">
        <v>152</v>
      </c>
      <c r="C67" s="614" t="s">
        <v>152</v>
      </c>
      <c r="D67" s="608" t="s">
        <v>4753</v>
      </c>
      <c r="E67" s="617" t="s">
        <v>1518</v>
      </c>
      <c r="F67" s="609">
        <v>796</v>
      </c>
      <c r="G67" s="609" t="s">
        <v>1453</v>
      </c>
      <c r="H67" s="618">
        <v>870</v>
      </c>
      <c r="I67" s="609">
        <v>45000000000</v>
      </c>
      <c r="J67" s="609" t="s">
        <v>1454</v>
      </c>
      <c r="K67" s="616" t="s">
        <v>1520</v>
      </c>
      <c r="L67" s="785">
        <v>2352000</v>
      </c>
      <c r="M67" s="609" t="s">
        <v>2184</v>
      </c>
      <c r="N67" s="616">
        <v>2352000</v>
      </c>
      <c r="O67" s="612">
        <v>42736</v>
      </c>
      <c r="P67" s="612">
        <v>42795</v>
      </c>
      <c r="Q67" s="609" t="s">
        <v>108</v>
      </c>
      <c r="R67" s="609" t="s">
        <v>1456</v>
      </c>
      <c r="S67" s="609" t="s">
        <v>1457</v>
      </c>
      <c r="T67" s="609"/>
      <c r="U67" s="609"/>
      <c r="V67" s="609"/>
      <c r="W67" s="609"/>
      <c r="X67" s="609"/>
      <c r="Y67" s="609"/>
      <c r="Z67" s="609"/>
      <c r="AA67" s="609" t="s">
        <v>1458</v>
      </c>
      <c r="AB67" s="642" t="s">
        <v>263</v>
      </c>
      <c r="AC67" s="652"/>
      <c r="AD67" s="652" t="s">
        <v>113</v>
      </c>
      <c r="AE67" s="653">
        <f t="shared" si="1"/>
        <v>1</v>
      </c>
    </row>
    <row r="68" spans="1:31" ht="105" hidden="1" x14ac:dyDescent="0.25">
      <c r="A68" s="608" t="s">
        <v>3424</v>
      </c>
      <c r="B68" s="614" t="s">
        <v>152</v>
      </c>
      <c r="C68" s="614" t="s">
        <v>152</v>
      </c>
      <c r="D68" s="608" t="s">
        <v>4752</v>
      </c>
      <c r="E68" s="617" t="s">
        <v>1518</v>
      </c>
      <c r="F68" s="609">
        <v>796</v>
      </c>
      <c r="G68" s="609" t="s">
        <v>1453</v>
      </c>
      <c r="H68" s="618">
        <v>800</v>
      </c>
      <c r="I68" s="609">
        <v>45000000000</v>
      </c>
      <c r="J68" s="609" t="s">
        <v>1454</v>
      </c>
      <c r="K68" s="616" t="s">
        <v>1521</v>
      </c>
      <c r="L68" s="785">
        <v>2014000</v>
      </c>
      <c r="M68" s="609" t="s">
        <v>2184</v>
      </c>
      <c r="N68" s="616">
        <v>2014000</v>
      </c>
      <c r="O68" s="612">
        <v>42826</v>
      </c>
      <c r="P68" s="612">
        <v>42887</v>
      </c>
      <c r="Q68" s="609" t="s">
        <v>108</v>
      </c>
      <c r="R68" s="609" t="s">
        <v>1456</v>
      </c>
      <c r="S68" s="609" t="s">
        <v>1457</v>
      </c>
      <c r="T68" s="609"/>
      <c r="U68" s="609"/>
      <c r="V68" s="609"/>
      <c r="W68" s="609"/>
      <c r="X68" s="609"/>
      <c r="Y68" s="609"/>
      <c r="Z68" s="609"/>
      <c r="AA68" s="609" t="s">
        <v>1458</v>
      </c>
      <c r="AB68" s="642" t="s">
        <v>263</v>
      </c>
      <c r="AC68" s="652"/>
      <c r="AD68" s="652" t="s">
        <v>113</v>
      </c>
      <c r="AE68" s="653">
        <f t="shared" si="1"/>
        <v>4</v>
      </c>
    </row>
    <row r="69" spans="1:31" ht="105" hidden="1" x14ac:dyDescent="0.25">
      <c r="A69" s="608" t="s">
        <v>3425</v>
      </c>
      <c r="B69" s="614" t="s">
        <v>152</v>
      </c>
      <c r="C69" s="614" t="s">
        <v>152</v>
      </c>
      <c r="D69" s="608" t="s">
        <v>4751</v>
      </c>
      <c r="E69" s="617" t="s">
        <v>1518</v>
      </c>
      <c r="F69" s="609">
        <v>796</v>
      </c>
      <c r="G69" s="609" t="s">
        <v>1453</v>
      </c>
      <c r="H69" s="618">
        <v>780</v>
      </c>
      <c r="I69" s="609">
        <v>45000000000</v>
      </c>
      <c r="J69" s="609" t="s">
        <v>1454</v>
      </c>
      <c r="K69" s="616" t="s">
        <v>1522</v>
      </c>
      <c r="L69" s="785">
        <v>1684000</v>
      </c>
      <c r="M69" s="609" t="s">
        <v>2184</v>
      </c>
      <c r="N69" s="616">
        <v>1684000</v>
      </c>
      <c r="O69" s="612">
        <v>42917</v>
      </c>
      <c r="P69" s="612">
        <v>42979</v>
      </c>
      <c r="Q69" s="609" t="s">
        <v>108</v>
      </c>
      <c r="R69" s="609" t="s">
        <v>1456</v>
      </c>
      <c r="S69" s="609" t="s">
        <v>1457</v>
      </c>
      <c r="T69" s="609"/>
      <c r="U69" s="609"/>
      <c r="V69" s="609"/>
      <c r="W69" s="609"/>
      <c r="X69" s="609"/>
      <c r="Y69" s="609"/>
      <c r="Z69" s="609"/>
      <c r="AA69" s="609" t="s">
        <v>1458</v>
      </c>
      <c r="AB69" s="642" t="s">
        <v>263</v>
      </c>
      <c r="AC69" s="652"/>
      <c r="AD69" s="652" t="s">
        <v>113</v>
      </c>
      <c r="AE69" s="653">
        <f t="shared" si="1"/>
        <v>7</v>
      </c>
    </row>
    <row r="70" spans="1:31" ht="105" hidden="1" x14ac:dyDescent="0.25">
      <c r="A70" s="608" t="s">
        <v>3426</v>
      </c>
      <c r="B70" s="614" t="s">
        <v>152</v>
      </c>
      <c r="C70" s="614" t="s">
        <v>152</v>
      </c>
      <c r="D70" s="608" t="s">
        <v>4750</v>
      </c>
      <c r="E70" s="617" t="s">
        <v>1518</v>
      </c>
      <c r="F70" s="609">
        <v>796</v>
      </c>
      <c r="G70" s="609" t="s">
        <v>1453</v>
      </c>
      <c r="H70" s="618">
        <v>780</v>
      </c>
      <c r="I70" s="609">
        <v>45000000000</v>
      </c>
      <c r="J70" s="609" t="s">
        <v>1454</v>
      </c>
      <c r="K70" s="616" t="s">
        <v>1523</v>
      </c>
      <c r="L70" s="785">
        <v>1624000</v>
      </c>
      <c r="M70" s="609" t="s">
        <v>2184</v>
      </c>
      <c r="N70" s="616">
        <v>1624000</v>
      </c>
      <c r="O70" s="612">
        <v>43009</v>
      </c>
      <c r="P70" s="612">
        <v>43070</v>
      </c>
      <c r="Q70" s="609" t="s">
        <v>108</v>
      </c>
      <c r="R70" s="609" t="s">
        <v>1456</v>
      </c>
      <c r="S70" s="609" t="s">
        <v>1457</v>
      </c>
      <c r="T70" s="609"/>
      <c r="U70" s="609"/>
      <c r="V70" s="609"/>
      <c r="W70" s="609"/>
      <c r="X70" s="609"/>
      <c r="Y70" s="609"/>
      <c r="Z70" s="609"/>
      <c r="AA70" s="609" t="s">
        <v>1458</v>
      </c>
      <c r="AB70" s="642" t="s">
        <v>263</v>
      </c>
      <c r="AC70" s="652"/>
      <c r="AD70" s="652" t="s">
        <v>113</v>
      </c>
      <c r="AE70" s="653">
        <f t="shared" si="1"/>
        <v>10</v>
      </c>
    </row>
    <row r="71" spans="1:31" ht="105" hidden="1" x14ac:dyDescent="0.25">
      <c r="A71" s="608" t="s">
        <v>3427</v>
      </c>
      <c r="B71" s="614" t="s">
        <v>152</v>
      </c>
      <c r="C71" s="614" t="s">
        <v>152</v>
      </c>
      <c r="D71" s="608" t="s">
        <v>4749</v>
      </c>
      <c r="E71" s="617" t="s">
        <v>1518</v>
      </c>
      <c r="F71" s="609">
        <v>796</v>
      </c>
      <c r="G71" s="609" t="s">
        <v>1453</v>
      </c>
      <c r="H71" s="618">
        <v>250</v>
      </c>
      <c r="I71" s="609">
        <v>45000000000</v>
      </c>
      <c r="J71" s="609" t="s">
        <v>1454</v>
      </c>
      <c r="K71" s="616" t="s">
        <v>1524</v>
      </c>
      <c r="L71" s="785">
        <v>450000</v>
      </c>
      <c r="M71" s="609" t="s">
        <v>2184</v>
      </c>
      <c r="N71" s="616">
        <v>450000</v>
      </c>
      <c r="O71" s="612">
        <v>42736</v>
      </c>
      <c r="P71" s="612">
        <v>42795</v>
      </c>
      <c r="Q71" s="609" t="s">
        <v>108</v>
      </c>
      <c r="R71" s="609" t="s">
        <v>1456</v>
      </c>
      <c r="S71" s="609" t="s">
        <v>1457</v>
      </c>
      <c r="T71" s="609"/>
      <c r="U71" s="609"/>
      <c r="V71" s="609"/>
      <c r="W71" s="609"/>
      <c r="X71" s="609"/>
      <c r="Y71" s="609"/>
      <c r="Z71" s="609"/>
      <c r="AA71" s="609" t="s">
        <v>1458</v>
      </c>
      <c r="AB71" s="642" t="s">
        <v>263</v>
      </c>
      <c r="AC71" s="652"/>
      <c r="AD71" s="652" t="s">
        <v>113</v>
      </c>
      <c r="AE71" s="653">
        <f t="shared" si="1"/>
        <v>1</v>
      </c>
    </row>
    <row r="72" spans="1:31" ht="105" hidden="1" x14ac:dyDescent="0.25">
      <c r="A72" s="608" t="s">
        <v>3428</v>
      </c>
      <c r="B72" s="614" t="s">
        <v>152</v>
      </c>
      <c r="C72" s="614" t="s">
        <v>152</v>
      </c>
      <c r="D72" s="608" t="s">
        <v>4748</v>
      </c>
      <c r="E72" s="617" t="s">
        <v>1518</v>
      </c>
      <c r="F72" s="609">
        <v>796</v>
      </c>
      <c r="G72" s="609" t="s">
        <v>1453</v>
      </c>
      <c r="H72" s="618">
        <v>350</v>
      </c>
      <c r="I72" s="609">
        <v>45000000000</v>
      </c>
      <c r="J72" s="609" t="s">
        <v>1454</v>
      </c>
      <c r="K72" s="616" t="s">
        <v>1525</v>
      </c>
      <c r="L72" s="785">
        <v>750000</v>
      </c>
      <c r="M72" s="609" t="s">
        <v>2184</v>
      </c>
      <c r="N72" s="616">
        <v>750000</v>
      </c>
      <c r="O72" s="612">
        <v>42826</v>
      </c>
      <c r="P72" s="612">
        <v>42887</v>
      </c>
      <c r="Q72" s="609" t="s">
        <v>108</v>
      </c>
      <c r="R72" s="609" t="s">
        <v>1456</v>
      </c>
      <c r="S72" s="609" t="s">
        <v>1457</v>
      </c>
      <c r="T72" s="609"/>
      <c r="U72" s="609"/>
      <c r="V72" s="609"/>
      <c r="W72" s="609"/>
      <c r="X72" s="609"/>
      <c r="Y72" s="609"/>
      <c r="Z72" s="609"/>
      <c r="AA72" s="609" t="s">
        <v>1458</v>
      </c>
      <c r="AB72" s="642" t="s">
        <v>263</v>
      </c>
      <c r="AC72" s="652"/>
      <c r="AD72" s="652" t="s">
        <v>113</v>
      </c>
      <c r="AE72" s="653">
        <f t="shared" si="1"/>
        <v>4</v>
      </c>
    </row>
    <row r="73" spans="1:31" ht="105" hidden="1" x14ac:dyDescent="0.25">
      <c r="A73" s="608" t="s">
        <v>3429</v>
      </c>
      <c r="B73" s="614" t="s">
        <v>152</v>
      </c>
      <c r="C73" s="614" t="s">
        <v>152</v>
      </c>
      <c r="D73" s="608" t="s">
        <v>4747</v>
      </c>
      <c r="E73" s="617" t="s">
        <v>1518</v>
      </c>
      <c r="F73" s="609">
        <v>796</v>
      </c>
      <c r="G73" s="609" t="s">
        <v>1453</v>
      </c>
      <c r="H73" s="618">
        <v>350</v>
      </c>
      <c r="I73" s="609">
        <v>45000000000</v>
      </c>
      <c r="J73" s="609" t="s">
        <v>1454</v>
      </c>
      <c r="K73" s="616" t="s">
        <v>1525</v>
      </c>
      <c r="L73" s="785">
        <v>750000</v>
      </c>
      <c r="M73" s="609" t="s">
        <v>2184</v>
      </c>
      <c r="N73" s="616">
        <v>750000</v>
      </c>
      <c r="O73" s="612">
        <v>42917</v>
      </c>
      <c r="P73" s="612">
        <v>42979</v>
      </c>
      <c r="Q73" s="609" t="s">
        <v>108</v>
      </c>
      <c r="R73" s="609" t="s">
        <v>1456</v>
      </c>
      <c r="S73" s="609" t="s">
        <v>1457</v>
      </c>
      <c r="T73" s="609"/>
      <c r="U73" s="609"/>
      <c r="V73" s="609"/>
      <c r="W73" s="609"/>
      <c r="X73" s="609"/>
      <c r="Y73" s="609"/>
      <c r="Z73" s="609"/>
      <c r="AA73" s="609" t="s">
        <v>1458</v>
      </c>
      <c r="AB73" s="642" t="s">
        <v>263</v>
      </c>
      <c r="AC73" s="652"/>
      <c r="AD73" s="652" t="s">
        <v>113</v>
      </c>
      <c r="AE73" s="653">
        <f t="shared" si="1"/>
        <v>7</v>
      </c>
    </row>
    <row r="74" spans="1:31" ht="105" hidden="1" x14ac:dyDescent="0.25">
      <c r="A74" s="608" t="s">
        <v>3430</v>
      </c>
      <c r="B74" s="614" t="s">
        <v>1526</v>
      </c>
      <c r="C74" s="614" t="s">
        <v>1527</v>
      </c>
      <c r="D74" s="608" t="s">
        <v>4746</v>
      </c>
      <c r="E74" s="617" t="s">
        <v>1518</v>
      </c>
      <c r="F74" s="614" t="s">
        <v>1528</v>
      </c>
      <c r="G74" s="609" t="s">
        <v>1453</v>
      </c>
      <c r="H74" s="618">
        <v>13</v>
      </c>
      <c r="I74" s="609">
        <v>45000000000</v>
      </c>
      <c r="J74" s="609" t="s">
        <v>1454</v>
      </c>
      <c r="K74" s="616" t="s">
        <v>1529</v>
      </c>
      <c r="L74" s="785">
        <v>600000</v>
      </c>
      <c r="M74" s="609" t="s">
        <v>2184</v>
      </c>
      <c r="N74" s="616">
        <v>600000</v>
      </c>
      <c r="O74" s="612">
        <v>42826</v>
      </c>
      <c r="P74" s="612">
        <v>42887</v>
      </c>
      <c r="Q74" s="609" t="s">
        <v>108</v>
      </c>
      <c r="R74" s="609" t="s">
        <v>1456</v>
      </c>
      <c r="S74" s="609" t="s">
        <v>1457</v>
      </c>
      <c r="T74" s="609"/>
      <c r="U74" s="609"/>
      <c r="V74" s="609"/>
      <c r="W74" s="609"/>
      <c r="X74" s="609"/>
      <c r="Y74" s="609"/>
      <c r="Z74" s="609"/>
      <c r="AA74" s="609" t="s">
        <v>1458</v>
      </c>
      <c r="AB74" s="642" t="s">
        <v>263</v>
      </c>
      <c r="AC74" s="652"/>
      <c r="AD74" s="652" t="s">
        <v>113</v>
      </c>
      <c r="AE74" s="653">
        <f t="shared" si="1"/>
        <v>4</v>
      </c>
    </row>
    <row r="75" spans="1:31" ht="105" hidden="1" x14ac:dyDescent="0.25">
      <c r="A75" s="608" t="s">
        <v>3431</v>
      </c>
      <c r="B75" s="614" t="s">
        <v>1526</v>
      </c>
      <c r="C75" s="614" t="s">
        <v>1527</v>
      </c>
      <c r="D75" s="608" t="s">
        <v>4745</v>
      </c>
      <c r="E75" s="617" t="s">
        <v>1518</v>
      </c>
      <c r="F75" s="614" t="s">
        <v>1528</v>
      </c>
      <c r="G75" s="609" t="s">
        <v>1453</v>
      </c>
      <c r="H75" s="618">
        <v>13</v>
      </c>
      <c r="I75" s="609">
        <v>45000000000</v>
      </c>
      <c r="J75" s="609" t="s">
        <v>1454</v>
      </c>
      <c r="K75" s="616" t="s">
        <v>1530</v>
      </c>
      <c r="L75" s="785">
        <v>800000</v>
      </c>
      <c r="M75" s="609" t="s">
        <v>2184</v>
      </c>
      <c r="N75" s="616">
        <v>800000</v>
      </c>
      <c r="O75" s="612">
        <v>42917</v>
      </c>
      <c r="P75" s="612">
        <v>42979</v>
      </c>
      <c r="Q75" s="609" t="s">
        <v>108</v>
      </c>
      <c r="R75" s="609" t="s">
        <v>1456</v>
      </c>
      <c r="S75" s="609" t="s">
        <v>1457</v>
      </c>
      <c r="T75" s="609"/>
      <c r="U75" s="609"/>
      <c r="V75" s="609"/>
      <c r="W75" s="609"/>
      <c r="X75" s="609"/>
      <c r="Y75" s="609"/>
      <c r="Z75" s="609"/>
      <c r="AA75" s="609" t="s">
        <v>1458</v>
      </c>
      <c r="AB75" s="642" t="s">
        <v>263</v>
      </c>
      <c r="AC75" s="652"/>
      <c r="AD75" s="652" t="s">
        <v>113</v>
      </c>
      <c r="AE75" s="653">
        <f t="shared" si="1"/>
        <v>7</v>
      </c>
    </row>
    <row r="76" spans="1:31" ht="105" hidden="1" x14ac:dyDescent="0.25">
      <c r="A76" s="608" t="s">
        <v>3432</v>
      </c>
      <c r="B76" s="614" t="s">
        <v>1526</v>
      </c>
      <c r="C76" s="614" t="s">
        <v>1527</v>
      </c>
      <c r="D76" s="608" t="s">
        <v>4744</v>
      </c>
      <c r="E76" s="617" t="s">
        <v>1518</v>
      </c>
      <c r="F76" s="614" t="s">
        <v>1528</v>
      </c>
      <c r="G76" s="609" t="s">
        <v>1453</v>
      </c>
      <c r="H76" s="618">
        <v>10</v>
      </c>
      <c r="I76" s="609">
        <v>45000000000</v>
      </c>
      <c r="J76" s="609" t="s">
        <v>1454</v>
      </c>
      <c r="K76" s="616" t="s">
        <v>1489</v>
      </c>
      <c r="L76" s="785">
        <v>400000</v>
      </c>
      <c r="M76" s="609" t="s">
        <v>2184</v>
      </c>
      <c r="N76" s="616">
        <v>400000</v>
      </c>
      <c r="O76" s="612">
        <v>42736</v>
      </c>
      <c r="P76" s="612">
        <v>42795</v>
      </c>
      <c r="Q76" s="609" t="s">
        <v>108</v>
      </c>
      <c r="R76" s="609" t="s">
        <v>1456</v>
      </c>
      <c r="S76" s="609" t="s">
        <v>1457</v>
      </c>
      <c r="T76" s="609"/>
      <c r="U76" s="609"/>
      <c r="V76" s="609"/>
      <c r="W76" s="609"/>
      <c r="X76" s="609"/>
      <c r="Y76" s="609"/>
      <c r="Z76" s="609"/>
      <c r="AA76" s="609" t="s">
        <v>1458</v>
      </c>
      <c r="AB76" s="642" t="s">
        <v>263</v>
      </c>
      <c r="AC76" s="652"/>
      <c r="AD76" s="652" t="s">
        <v>113</v>
      </c>
      <c r="AE76" s="653">
        <f t="shared" si="1"/>
        <v>1</v>
      </c>
    </row>
    <row r="77" spans="1:31" ht="105" hidden="1" x14ac:dyDescent="0.25">
      <c r="A77" s="608" t="s">
        <v>3433</v>
      </c>
      <c r="B77" s="614" t="s">
        <v>1531</v>
      </c>
      <c r="C77" s="614" t="s">
        <v>1532</v>
      </c>
      <c r="D77" s="608" t="s">
        <v>4743</v>
      </c>
      <c r="E77" s="617" t="s">
        <v>1518</v>
      </c>
      <c r="F77" s="614" t="s">
        <v>1528</v>
      </c>
      <c r="G77" s="609" t="s">
        <v>1453</v>
      </c>
      <c r="H77" s="618">
        <v>2</v>
      </c>
      <c r="I77" s="609">
        <v>45000000000</v>
      </c>
      <c r="J77" s="609" t="s">
        <v>1454</v>
      </c>
      <c r="K77" s="616" t="s">
        <v>1533</v>
      </c>
      <c r="L77" s="785">
        <v>630000</v>
      </c>
      <c r="M77" s="609" t="s">
        <v>2184</v>
      </c>
      <c r="N77" s="616">
        <v>630000</v>
      </c>
      <c r="O77" s="612">
        <v>42736</v>
      </c>
      <c r="P77" s="612">
        <v>42795</v>
      </c>
      <c r="Q77" s="609" t="s">
        <v>108</v>
      </c>
      <c r="R77" s="609" t="s">
        <v>1456</v>
      </c>
      <c r="S77" s="609" t="s">
        <v>1457</v>
      </c>
      <c r="T77" s="609"/>
      <c r="U77" s="609"/>
      <c r="V77" s="609"/>
      <c r="W77" s="609"/>
      <c r="X77" s="609"/>
      <c r="Y77" s="609"/>
      <c r="Z77" s="609"/>
      <c r="AA77" s="609" t="s">
        <v>1458</v>
      </c>
      <c r="AB77" s="642" t="s">
        <v>263</v>
      </c>
      <c r="AC77" s="652"/>
      <c r="AD77" s="652" t="s">
        <v>113</v>
      </c>
      <c r="AE77" s="653">
        <f t="shared" si="1"/>
        <v>1</v>
      </c>
    </row>
    <row r="78" spans="1:31" ht="105" hidden="1" x14ac:dyDescent="0.25">
      <c r="A78" s="608" t="s">
        <v>3434</v>
      </c>
      <c r="B78" s="614" t="s">
        <v>1531</v>
      </c>
      <c r="C78" s="614" t="s">
        <v>1532</v>
      </c>
      <c r="D78" s="608" t="s">
        <v>4742</v>
      </c>
      <c r="E78" s="617" t="s">
        <v>1518</v>
      </c>
      <c r="F78" s="614" t="s">
        <v>1528</v>
      </c>
      <c r="G78" s="609" t="s">
        <v>1453</v>
      </c>
      <c r="H78" s="618">
        <v>2</v>
      </c>
      <c r="I78" s="609">
        <v>45000000000</v>
      </c>
      <c r="J78" s="609" t="s">
        <v>1454</v>
      </c>
      <c r="K78" s="616" t="s">
        <v>1533</v>
      </c>
      <c r="L78" s="785">
        <v>630000</v>
      </c>
      <c r="M78" s="609" t="s">
        <v>2184</v>
      </c>
      <c r="N78" s="616">
        <v>630000</v>
      </c>
      <c r="O78" s="612">
        <v>42826</v>
      </c>
      <c r="P78" s="612">
        <v>42887</v>
      </c>
      <c r="Q78" s="609" t="s">
        <v>108</v>
      </c>
      <c r="R78" s="609" t="s">
        <v>1456</v>
      </c>
      <c r="S78" s="609" t="s">
        <v>1457</v>
      </c>
      <c r="T78" s="609"/>
      <c r="U78" s="609"/>
      <c r="V78" s="609"/>
      <c r="W78" s="609"/>
      <c r="X78" s="609"/>
      <c r="Y78" s="609"/>
      <c r="Z78" s="609"/>
      <c r="AA78" s="609" t="s">
        <v>1458</v>
      </c>
      <c r="AB78" s="642" t="s">
        <v>263</v>
      </c>
      <c r="AC78" s="652"/>
      <c r="AD78" s="652" t="s">
        <v>113</v>
      </c>
      <c r="AE78" s="653">
        <f t="shared" si="1"/>
        <v>4</v>
      </c>
    </row>
    <row r="79" spans="1:31" ht="105" hidden="1" x14ac:dyDescent="0.25">
      <c r="A79" s="608" t="s">
        <v>3435</v>
      </c>
      <c r="B79" s="614" t="s">
        <v>1534</v>
      </c>
      <c r="C79" s="614" t="s">
        <v>1535</v>
      </c>
      <c r="D79" s="608" t="s">
        <v>4741</v>
      </c>
      <c r="E79" s="617" t="s">
        <v>1518</v>
      </c>
      <c r="F79" s="614" t="s">
        <v>1528</v>
      </c>
      <c r="G79" s="609" t="s">
        <v>1453</v>
      </c>
      <c r="H79" s="618">
        <v>1</v>
      </c>
      <c r="I79" s="609">
        <v>45000000000</v>
      </c>
      <c r="J79" s="609" t="s">
        <v>1454</v>
      </c>
      <c r="K79" s="616" t="s">
        <v>1536</v>
      </c>
      <c r="L79" s="785">
        <v>825000</v>
      </c>
      <c r="M79" s="609" t="s">
        <v>2184</v>
      </c>
      <c r="N79" s="616">
        <v>825000</v>
      </c>
      <c r="O79" s="612">
        <v>42917</v>
      </c>
      <c r="P79" s="612">
        <v>42979</v>
      </c>
      <c r="Q79" s="609" t="s">
        <v>108</v>
      </c>
      <c r="R79" s="609" t="s">
        <v>1456</v>
      </c>
      <c r="S79" s="609" t="s">
        <v>1457</v>
      </c>
      <c r="T79" s="609"/>
      <c r="U79" s="609"/>
      <c r="V79" s="609"/>
      <c r="W79" s="609"/>
      <c r="X79" s="609"/>
      <c r="Y79" s="609"/>
      <c r="Z79" s="609"/>
      <c r="AA79" s="609" t="s">
        <v>1458</v>
      </c>
      <c r="AB79" s="642" t="s">
        <v>263</v>
      </c>
      <c r="AC79" s="652"/>
      <c r="AD79" s="652" t="s">
        <v>113</v>
      </c>
      <c r="AE79" s="653">
        <f t="shared" si="1"/>
        <v>7</v>
      </c>
    </row>
    <row r="80" spans="1:31" ht="105" hidden="1" x14ac:dyDescent="0.25">
      <c r="A80" s="608" t="s">
        <v>3436</v>
      </c>
      <c r="B80" s="614" t="s">
        <v>1537</v>
      </c>
      <c r="C80" s="614" t="s">
        <v>1538</v>
      </c>
      <c r="D80" s="608" t="s">
        <v>4740</v>
      </c>
      <c r="E80" s="617" t="s">
        <v>1518</v>
      </c>
      <c r="F80" s="614" t="s">
        <v>1528</v>
      </c>
      <c r="G80" s="609" t="s">
        <v>1453</v>
      </c>
      <c r="H80" s="618">
        <v>40</v>
      </c>
      <c r="I80" s="609">
        <v>45000000000</v>
      </c>
      <c r="J80" s="609" t="s">
        <v>1454</v>
      </c>
      <c r="K80" s="616" t="s">
        <v>1539</v>
      </c>
      <c r="L80" s="785">
        <v>116000</v>
      </c>
      <c r="M80" s="609" t="s">
        <v>2184</v>
      </c>
      <c r="N80" s="616">
        <v>116000</v>
      </c>
      <c r="O80" s="612">
        <v>42736</v>
      </c>
      <c r="P80" s="612">
        <v>42795</v>
      </c>
      <c r="Q80" s="609" t="s">
        <v>108</v>
      </c>
      <c r="R80" s="609" t="s">
        <v>1456</v>
      </c>
      <c r="S80" s="609" t="s">
        <v>1457</v>
      </c>
      <c r="T80" s="609"/>
      <c r="U80" s="609"/>
      <c r="V80" s="609"/>
      <c r="W80" s="609"/>
      <c r="X80" s="609"/>
      <c r="Y80" s="609"/>
      <c r="Z80" s="609"/>
      <c r="AA80" s="609" t="s">
        <v>1458</v>
      </c>
      <c r="AB80" s="642" t="s">
        <v>263</v>
      </c>
      <c r="AC80" s="652"/>
      <c r="AD80" s="652" t="s">
        <v>113</v>
      </c>
      <c r="AE80" s="653">
        <f t="shared" si="1"/>
        <v>1</v>
      </c>
    </row>
    <row r="81" spans="1:31" ht="105" hidden="1" x14ac:dyDescent="0.25">
      <c r="A81" s="608" t="s">
        <v>3437</v>
      </c>
      <c r="B81" s="614" t="s">
        <v>1537</v>
      </c>
      <c r="C81" s="614" t="s">
        <v>1538</v>
      </c>
      <c r="D81" s="608" t="s">
        <v>4739</v>
      </c>
      <c r="E81" s="617" t="s">
        <v>1518</v>
      </c>
      <c r="F81" s="614" t="s">
        <v>1528</v>
      </c>
      <c r="G81" s="609" t="s">
        <v>1453</v>
      </c>
      <c r="H81" s="618">
        <v>40</v>
      </c>
      <c r="I81" s="609">
        <v>45000000000</v>
      </c>
      <c r="J81" s="609" t="s">
        <v>1454</v>
      </c>
      <c r="K81" s="616" t="s">
        <v>1539</v>
      </c>
      <c r="L81" s="785">
        <v>116000</v>
      </c>
      <c r="M81" s="609" t="s">
        <v>2184</v>
      </c>
      <c r="N81" s="616">
        <v>116000</v>
      </c>
      <c r="O81" s="612">
        <v>42826</v>
      </c>
      <c r="P81" s="612">
        <v>42887</v>
      </c>
      <c r="Q81" s="609" t="s">
        <v>108</v>
      </c>
      <c r="R81" s="609" t="s">
        <v>1456</v>
      </c>
      <c r="S81" s="609" t="s">
        <v>1457</v>
      </c>
      <c r="T81" s="609"/>
      <c r="U81" s="609"/>
      <c r="V81" s="609"/>
      <c r="W81" s="609"/>
      <c r="X81" s="609"/>
      <c r="Y81" s="609"/>
      <c r="Z81" s="609"/>
      <c r="AA81" s="609" t="s">
        <v>1458</v>
      </c>
      <c r="AB81" s="642" t="s">
        <v>263</v>
      </c>
      <c r="AC81" s="652"/>
      <c r="AD81" s="652" t="s">
        <v>113</v>
      </c>
      <c r="AE81" s="653">
        <f t="shared" si="1"/>
        <v>4</v>
      </c>
    </row>
    <row r="82" spans="1:31" ht="105" hidden="1" x14ac:dyDescent="0.25">
      <c r="A82" s="608" t="s">
        <v>3438</v>
      </c>
      <c r="B82" s="614" t="s">
        <v>1537</v>
      </c>
      <c r="C82" s="614" t="s">
        <v>1538</v>
      </c>
      <c r="D82" s="608" t="s">
        <v>4738</v>
      </c>
      <c r="E82" s="617" t="s">
        <v>1518</v>
      </c>
      <c r="F82" s="614" t="s">
        <v>1528</v>
      </c>
      <c r="G82" s="609" t="s">
        <v>1453</v>
      </c>
      <c r="H82" s="618">
        <v>40</v>
      </c>
      <c r="I82" s="609">
        <v>45000000000</v>
      </c>
      <c r="J82" s="609" t="s">
        <v>1454</v>
      </c>
      <c r="K82" s="616" t="s">
        <v>1539</v>
      </c>
      <c r="L82" s="785">
        <v>116000</v>
      </c>
      <c r="M82" s="609" t="s">
        <v>2184</v>
      </c>
      <c r="N82" s="616">
        <v>116000</v>
      </c>
      <c r="O82" s="612">
        <v>42917</v>
      </c>
      <c r="P82" s="612">
        <v>42979</v>
      </c>
      <c r="Q82" s="609" t="s">
        <v>108</v>
      </c>
      <c r="R82" s="609" t="s">
        <v>1456</v>
      </c>
      <c r="S82" s="609" t="s">
        <v>1457</v>
      </c>
      <c r="T82" s="609"/>
      <c r="U82" s="609"/>
      <c r="V82" s="609"/>
      <c r="W82" s="609"/>
      <c r="X82" s="609"/>
      <c r="Y82" s="609"/>
      <c r="Z82" s="609"/>
      <c r="AA82" s="609" t="s">
        <v>1458</v>
      </c>
      <c r="AB82" s="642" t="s">
        <v>263</v>
      </c>
      <c r="AC82" s="652"/>
      <c r="AD82" s="652" t="s">
        <v>113</v>
      </c>
      <c r="AE82" s="653">
        <f t="shared" si="1"/>
        <v>7</v>
      </c>
    </row>
    <row r="83" spans="1:31" ht="105" hidden="1" x14ac:dyDescent="0.25">
      <c r="A83" s="608" t="s">
        <v>3439</v>
      </c>
      <c r="B83" s="614" t="s">
        <v>1537</v>
      </c>
      <c r="C83" s="614" t="s">
        <v>1538</v>
      </c>
      <c r="D83" s="608" t="s">
        <v>4737</v>
      </c>
      <c r="E83" s="617" t="s">
        <v>1518</v>
      </c>
      <c r="F83" s="614" t="s">
        <v>1528</v>
      </c>
      <c r="G83" s="609" t="s">
        <v>1453</v>
      </c>
      <c r="H83" s="618">
        <v>40</v>
      </c>
      <c r="I83" s="609">
        <v>45000000000</v>
      </c>
      <c r="J83" s="609" t="s">
        <v>1454</v>
      </c>
      <c r="K83" s="616" t="s">
        <v>1539</v>
      </c>
      <c r="L83" s="785">
        <v>116000</v>
      </c>
      <c r="M83" s="609" t="s">
        <v>2184</v>
      </c>
      <c r="N83" s="616">
        <v>116000</v>
      </c>
      <c r="O83" s="612">
        <v>43009</v>
      </c>
      <c r="P83" s="612">
        <v>43070</v>
      </c>
      <c r="Q83" s="609" t="s">
        <v>108</v>
      </c>
      <c r="R83" s="609" t="s">
        <v>1456</v>
      </c>
      <c r="S83" s="609" t="s">
        <v>1457</v>
      </c>
      <c r="T83" s="609"/>
      <c r="U83" s="609"/>
      <c r="V83" s="609"/>
      <c r="W83" s="609"/>
      <c r="X83" s="609"/>
      <c r="Y83" s="609"/>
      <c r="Z83" s="609"/>
      <c r="AA83" s="609" t="s">
        <v>1458</v>
      </c>
      <c r="AB83" s="642" t="s">
        <v>263</v>
      </c>
      <c r="AC83" s="652"/>
      <c r="AD83" s="652" t="s">
        <v>113</v>
      </c>
      <c r="AE83" s="653">
        <f t="shared" si="1"/>
        <v>10</v>
      </c>
    </row>
    <row r="84" spans="1:31" ht="105" hidden="1" x14ac:dyDescent="0.25">
      <c r="A84" s="608" t="s">
        <v>3440</v>
      </c>
      <c r="B84" s="614" t="s">
        <v>1534</v>
      </c>
      <c r="C84" s="614" t="s">
        <v>1535</v>
      </c>
      <c r="D84" s="608" t="s">
        <v>4736</v>
      </c>
      <c r="E84" s="617" t="s">
        <v>1518</v>
      </c>
      <c r="F84" s="614" t="s">
        <v>1528</v>
      </c>
      <c r="G84" s="609" t="s">
        <v>1453</v>
      </c>
      <c r="H84" s="618">
        <v>2</v>
      </c>
      <c r="I84" s="609">
        <v>45000000000</v>
      </c>
      <c r="J84" s="609" t="s">
        <v>1454</v>
      </c>
      <c r="K84" s="616" t="s">
        <v>1486</v>
      </c>
      <c r="L84" s="785">
        <v>1000000</v>
      </c>
      <c r="M84" s="609" t="s">
        <v>2184</v>
      </c>
      <c r="N84" s="616">
        <v>1000000</v>
      </c>
      <c r="O84" s="612">
        <v>42917</v>
      </c>
      <c r="P84" s="612">
        <v>42979</v>
      </c>
      <c r="Q84" s="609" t="s">
        <v>108</v>
      </c>
      <c r="R84" s="609" t="s">
        <v>1456</v>
      </c>
      <c r="S84" s="609" t="s">
        <v>1457</v>
      </c>
      <c r="T84" s="609"/>
      <c r="U84" s="609"/>
      <c r="V84" s="609"/>
      <c r="W84" s="609"/>
      <c r="X84" s="609"/>
      <c r="Y84" s="609"/>
      <c r="Z84" s="609"/>
      <c r="AA84" s="609" t="s">
        <v>1458</v>
      </c>
      <c r="AB84" s="642" t="s">
        <v>263</v>
      </c>
      <c r="AC84" s="652"/>
      <c r="AD84" s="652" t="s">
        <v>113</v>
      </c>
      <c r="AE84" s="653">
        <f t="shared" si="1"/>
        <v>7</v>
      </c>
    </row>
    <row r="85" spans="1:31" ht="105" hidden="1" x14ac:dyDescent="0.25">
      <c r="A85" s="608" t="s">
        <v>3441</v>
      </c>
      <c r="B85" s="614" t="s">
        <v>1534</v>
      </c>
      <c r="C85" s="614" t="s">
        <v>1535</v>
      </c>
      <c r="D85" s="608" t="s">
        <v>4735</v>
      </c>
      <c r="E85" s="617" t="s">
        <v>1518</v>
      </c>
      <c r="F85" s="614" t="s">
        <v>1528</v>
      </c>
      <c r="G85" s="609" t="s">
        <v>1453</v>
      </c>
      <c r="H85" s="618">
        <v>2</v>
      </c>
      <c r="I85" s="609">
        <v>45000000000</v>
      </c>
      <c r="J85" s="609" t="s">
        <v>1454</v>
      </c>
      <c r="K85" s="616" t="s">
        <v>1486</v>
      </c>
      <c r="L85" s="785">
        <v>1000000</v>
      </c>
      <c r="M85" s="609" t="s">
        <v>2184</v>
      </c>
      <c r="N85" s="616">
        <v>1000000</v>
      </c>
      <c r="O85" s="612">
        <v>43009</v>
      </c>
      <c r="P85" s="612">
        <v>43070</v>
      </c>
      <c r="Q85" s="609" t="s">
        <v>108</v>
      </c>
      <c r="R85" s="609" t="s">
        <v>1456</v>
      </c>
      <c r="S85" s="609" t="s">
        <v>1457</v>
      </c>
      <c r="T85" s="609"/>
      <c r="U85" s="609"/>
      <c r="V85" s="609"/>
      <c r="W85" s="609"/>
      <c r="X85" s="609"/>
      <c r="Y85" s="609"/>
      <c r="Z85" s="609"/>
      <c r="AA85" s="609" t="s">
        <v>1458</v>
      </c>
      <c r="AB85" s="642" t="s">
        <v>263</v>
      </c>
      <c r="AC85" s="652"/>
      <c r="AD85" s="652" t="s">
        <v>113</v>
      </c>
      <c r="AE85" s="653">
        <f t="shared" si="1"/>
        <v>10</v>
      </c>
    </row>
    <row r="86" spans="1:31" ht="105" hidden="1" x14ac:dyDescent="0.25">
      <c r="A86" s="608" t="s">
        <v>3442</v>
      </c>
      <c r="B86" s="613" t="s">
        <v>1540</v>
      </c>
      <c r="C86" s="614" t="s">
        <v>1541</v>
      </c>
      <c r="D86" s="608" t="s">
        <v>4734</v>
      </c>
      <c r="E86" s="619" t="s">
        <v>1542</v>
      </c>
      <c r="F86" s="614" t="s">
        <v>1528</v>
      </c>
      <c r="G86" s="609" t="s">
        <v>1453</v>
      </c>
      <c r="H86" s="618">
        <v>2000</v>
      </c>
      <c r="I86" s="609">
        <v>45000000000</v>
      </c>
      <c r="J86" s="609" t="s">
        <v>1454</v>
      </c>
      <c r="K86" s="616" t="s">
        <v>1543</v>
      </c>
      <c r="L86" s="785">
        <v>4800000</v>
      </c>
      <c r="M86" s="609" t="s">
        <v>2184</v>
      </c>
      <c r="N86" s="616">
        <v>4800000</v>
      </c>
      <c r="O86" s="612">
        <v>42795</v>
      </c>
      <c r="P86" s="612">
        <v>42887</v>
      </c>
      <c r="Q86" s="609" t="s">
        <v>100</v>
      </c>
      <c r="R86" s="609" t="s">
        <v>1456</v>
      </c>
      <c r="S86" s="609" t="s">
        <v>1457</v>
      </c>
      <c r="T86" s="609"/>
      <c r="U86" s="609"/>
      <c r="V86" s="609"/>
      <c r="W86" s="609"/>
      <c r="X86" s="609"/>
      <c r="Y86" s="609"/>
      <c r="Z86" s="609"/>
      <c r="AA86" s="609" t="s">
        <v>1458</v>
      </c>
      <c r="AB86" s="642" t="s">
        <v>263</v>
      </c>
      <c r="AC86" s="652"/>
      <c r="AD86" s="652" t="s">
        <v>113</v>
      </c>
      <c r="AE86" s="653">
        <f t="shared" si="1"/>
        <v>3</v>
      </c>
    </row>
    <row r="87" spans="1:31" ht="105" hidden="1" x14ac:dyDescent="0.25">
      <c r="A87" s="608" t="s">
        <v>3443</v>
      </c>
      <c r="B87" s="613" t="s">
        <v>1540</v>
      </c>
      <c r="C87" s="614" t="s">
        <v>1541</v>
      </c>
      <c r="D87" s="608" t="s">
        <v>4733</v>
      </c>
      <c r="E87" s="619" t="s">
        <v>1542</v>
      </c>
      <c r="F87" s="614" t="s">
        <v>1528</v>
      </c>
      <c r="G87" s="609" t="s">
        <v>1453</v>
      </c>
      <c r="H87" s="618">
        <v>500</v>
      </c>
      <c r="I87" s="609">
        <v>45000000000</v>
      </c>
      <c r="J87" s="609" t="s">
        <v>1454</v>
      </c>
      <c r="K87" s="616" t="s">
        <v>1544</v>
      </c>
      <c r="L87" s="785">
        <v>1400000</v>
      </c>
      <c r="M87" s="609" t="s">
        <v>2184</v>
      </c>
      <c r="N87" s="616">
        <v>1400000</v>
      </c>
      <c r="O87" s="612">
        <v>42795</v>
      </c>
      <c r="P87" s="612">
        <v>42887</v>
      </c>
      <c r="Q87" s="609" t="s">
        <v>100</v>
      </c>
      <c r="R87" s="609" t="s">
        <v>1456</v>
      </c>
      <c r="S87" s="609" t="s">
        <v>1457</v>
      </c>
      <c r="T87" s="609"/>
      <c r="U87" s="609"/>
      <c r="V87" s="609"/>
      <c r="W87" s="609"/>
      <c r="X87" s="609"/>
      <c r="Y87" s="609"/>
      <c r="Z87" s="609"/>
      <c r="AA87" s="609" t="s">
        <v>1458</v>
      </c>
      <c r="AB87" s="642" t="s">
        <v>263</v>
      </c>
      <c r="AC87" s="652"/>
      <c r="AD87" s="652" t="s">
        <v>113</v>
      </c>
      <c r="AE87" s="653">
        <f t="shared" si="1"/>
        <v>3</v>
      </c>
    </row>
    <row r="88" spans="1:31" ht="105" hidden="1" x14ac:dyDescent="0.25">
      <c r="A88" s="608" t="s">
        <v>3444</v>
      </c>
      <c r="B88" s="614" t="s">
        <v>1540</v>
      </c>
      <c r="C88" s="614" t="s">
        <v>1545</v>
      </c>
      <c r="D88" s="608" t="s">
        <v>4732</v>
      </c>
      <c r="E88" s="619" t="s">
        <v>1546</v>
      </c>
      <c r="F88" s="614" t="s">
        <v>1528</v>
      </c>
      <c r="G88" s="609" t="s">
        <v>1453</v>
      </c>
      <c r="H88" s="618">
        <v>150</v>
      </c>
      <c r="I88" s="609">
        <v>45000000000</v>
      </c>
      <c r="J88" s="609" t="s">
        <v>1454</v>
      </c>
      <c r="K88" s="616" t="s">
        <v>1547</v>
      </c>
      <c r="L88" s="785">
        <v>1850000</v>
      </c>
      <c r="M88" s="609" t="s">
        <v>2184</v>
      </c>
      <c r="N88" s="616">
        <v>1850000</v>
      </c>
      <c r="O88" s="612">
        <v>42826</v>
      </c>
      <c r="P88" s="612">
        <v>42856</v>
      </c>
      <c r="Q88" s="609" t="s">
        <v>100</v>
      </c>
      <c r="R88" s="609" t="s">
        <v>1456</v>
      </c>
      <c r="S88" s="609" t="s">
        <v>1457</v>
      </c>
      <c r="T88" s="609"/>
      <c r="U88" s="609"/>
      <c r="V88" s="609"/>
      <c r="W88" s="609"/>
      <c r="X88" s="609"/>
      <c r="Y88" s="609"/>
      <c r="Z88" s="609"/>
      <c r="AA88" s="609" t="s">
        <v>1458</v>
      </c>
      <c r="AB88" s="642" t="s">
        <v>263</v>
      </c>
      <c r="AC88" s="652"/>
      <c r="AD88" s="652" t="s">
        <v>113</v>
      </c>
      <c r="AE88" s="653">
        <f t="shared" si="1"/>
        <v>4</v>
      </c>
    </row>
    <row r="89" spans="1:31" ht="105" hidden="1" x14ac:dyDescent="0.25">
      <c r="A89" s="608" t="s">
        <v>3445</v>
      </c>
      <c r="B89" s="614" t="s">
        <v>1548</v>
      </c>
      <c r="C89" s="614" t="s">
        <v>1541</v>
      </c>
      <c r="D89" s="608" t="s">
        <v>4731</v>
      </c>
      <c r="E89" s="619" t="s">
        <v>1549</v>
      </c>
      <c r="F89" s="614" t="s">
        <v>1528</v>
      </c>
      <c r="G89" s="609" t="s">
        <v>1453</v>
      </c>
      <c r="H89" s="618">
        <v>20</v>
      </c>
      <c r="I89" s="609">
        <v>45000000000</v>
      </c>
      <c r="J89" s="609" t="s">
        <v>1454</v>
      </c>
      <c r="K89" s="616" t="s">
        <v>1550</v>
      </c>
      <c r="L89" s="785">
        <v>200000</v>
      </c>
      <c r="M89" s="609" t="s">
        <v>2184</v>
      </c>
      <c r="N89" s="616">
        <v>200000</v>
      </c>
      <c r="O89" s="612">
        <v>42826</v>
      </c>
      <c r="P89" s="612">
        <v>42917</v>
      </c>
      <c r="Q89" s="609" t="s">
        <v>100</v>
      </c>
      <c r="R89" s="609" t="s">
        <v>1456</v>
      </c>
      <c r="S89" s="609" t="s">
        <v>1457</v>
      </c>
      <c r="T89" s="609"/>
      <c r="U89" s="609"/>
      <c r="V89" s="609"/>
      <c r="W89" s="609"/>
      <c r="X89" s="609"/>
      <c r="Y89" s="609"/>
      <c r="Z89" s="609"/>
      <c r="AA89" s="609" t="s">
        <v>1458</v>
      </c>
      <c r="AB89" s="642" t="s">
        <v>263</v>
      </c>
      <c r="AC89" s="652"/>
      <c r="AD89" s="652" t="s">
        <v>113</v>
      </c>
      <c r="AE89" s="653">
        <f t="shared" si="1"/>
        <v>4</v>
      </c>
    </row>
    <row r="90" spans="1:31" ht="105" hidden="1" x14ac:dyDescent="0.25">
      <c r="A90" s="608" t="s">
        <v>3446</v>
      </c>
      <c r="B90" s="614" t="s">
        <v>1548</v>
      </c>
      <c r="C90" s="614" t="s">
        <v>1541</v>
      </c>
      <c r="D90" s="608" t="s">
        <v>4730</v>
      </c>
      <c r="E90" s="619" t="s">
        <v>1551</v>
      </c>
      <c r="F90" s="614" t="s">
        <v>1528</v>
      </c>
      <c r="G90" s="609" t="s">
        <v>1453</v>
      </c>
      <c r="H90" s="618">
        <v>90</v>
      </c>
      <c r="I90" s="609">
        <v>45000000000</v>
      </c>
      <c r="J90" s="609" t="s">
        <v>1454</v>
      </c>
      <c r="K90" s="616" t="s">
        <v>1552</v>
      </c>
      <c r="L90" s="785">
        <v>100000</v>
      </c>
      <c r="M90" s="609" t="s">
        <v>2184</v>
      </c>
      <c r="N90" s="616">
        <v>100000</v>
      </c>
      <c r="O90" s="612">
        <v>42856</v>
      </c>
      <c r="P90" s="612">
        <v>42887</v>
      </c>
      <c r="Q90" s="609" t="s">
        <v>100</v>
      </c>
      <c r="R90" s="609" t="s">
        <v>1456</v>
      </c>
      <c r="S90" s="609" t="s">
        <v>1457</v>
      </c>
      <c r="T90" s="609"/>
      <c r="U90" s="609"/>
      <c r="V90" s="609"/>
      <c r="W90" s="609"/>
      <c r="X90" s="609"/>
      <c r="Y90" s="609"/>
      <c r="Z90" s="609"/>
      <c r="AA90" s="609" t="s">
        <v>1458</v>
      </c>
      <c r="AB90" s="642" t="s">
        <v>263</v>
      </c>
      <c r="AC90" s="652"/>
      <c r="AD90" s="652" t="s">
        <v>113</v>
      </c>
      <c r="AE90" s="653">
        <f t="shared" si="1"/>
        <v>5</v>
      </c>
    </row>
    <row r="91" spans="1:31" ht="105" hidden="1" x14ac:dyDescent="0.25">
      <c r="A91" s="608" t="s">
        <v>3447</v>
      </c>
      <c r="B91" s="614" t="s">
        <v>1548</v>
      </c>
      <c r="C91" s="614" t="s">
        <v>1541</v>
      </c>
      <c r="D91" s="608" t="s">
        <v>4729</v>
      </c>
      <c r="E91" s="619" t="s">
        <v>1553</v>
      </c>
      <c r="F91" s="614" t="s">
        <v>1528</v>
      </c>
      <c r="G91" s="609" t="s">
        <v>1453</v>
      </c>
      <c r="H91" s="618">
        <v>10</v>
      </c>
      <c r="I91" s="609">
        <v>45000000000</v>
      </c>
      <c r="J91" s="609" t="s">
        <v>1454</v>
      </c>
      <c r="K91" s="616" t="s">
        <v>1519</v>
      </c>
      <c r="L91" s="785">
        <v>150000</v>
      </c>
      <c r="M91" s="609" t="s">
        <v>2184</v>
      </c>
      <c r="N91" s="616">
        <v>150000</v>
      </c>
      <c r="O91" s="612">
        <v>42767</v>
      </c>
      <c r="P91" s="612">
        <v>42795</v>
      </c>
      <c r="Q91" s="609" t="s">
        <v>100</v>
      </c>
      <c r="R91" s="609" t="s">
        <v>1456</v>
      </c>
      <c r="S91" s="609" t="s">
        <v>1457</v>
      </c>
      <c r="T91" s="609"/>
      <c r="U91" s="609"/>
      <c r="V91" s="609"/>
      <c r="W91" s="609"/>
      <c r="X91" s="609"/>
      <c r="Y91" s="609"/>
      <c r="Z91" s="609"/>
      <c r="AA91" s="609" t="s">
        <v>1458</v>
      </c>
      <c r="AB91" s="642" t="s">
        <v>263</v>
      </c>
      <c r="AC91" s="652"/>
      <c r="AD91" s="652" t="s">
        <v>113</v>
      </c>
      <c r="AE91" s="653">
        <f t="shared" si="1"/>
        <v>2</v>
      </c>
    </row>
    <row r="92" spans="1:31" ht="105" hidden="1" x14ac:dyDescent="0.25">
      <c r="A92" s="608" t="s">
        <v>3448</v>
      </c>
      <c r="B92" s="614" t="s">
        <v>1548</v>
      </c>
      <c r="C92" s="614" t="s">
        <v>1541</v>
      </c>
      <c r="D92" s="608" t="s">
        <v>4728</v>
      </c>
      <c r="E92" s="619" t="s">
        <v>1554</v>
      </c>
      <c r="F92" s="614" t="s">
        <v>1528</v>
      </c>
      <c r="G92" s="609" t="s">
        <v>1453</v>
      </c>
      <c r="H92" s="618">
        <v>100</v>
      </c>
      <c r="I92" s="609">
        <v>45000000000</v>
      </c>
      <c r="J92" s="609" t="s">
        <v>1454</v>
      </c>
      <c r="K92" s="616" t="s">
        <v>1550</v>
      </c>
      <c r="L92" s="785">
        <v>200000</v>
      </c>
      <c r="M92" s="609" t="s">
        <v>2184</v>
      </c>
      <c r="N92" s="616">
        <v>200000</v>
      </c>
      <c r="O92" s="612">
        <v>42856</v>
      </c>
      <c r="P92" s="612">
        <v>42887</v>
      </c>
      <c r="Q92" s="609" t="s">
        <v>100</v>
      </c>
      <c r="R92" s="609" t="s">
        <v>1456</v>
      </c>
      <c r="S92" s="609" t="s">
        <v>1457</v>
      </c>
      <c r="T92" s="609"/>
      <c r="U92" s="609"/>
      <c r="V92" s="609"/>
      <c r="W92" s="609"/>
      <c r="X92" s="609"/>
      <c r="Y92" s="609"/>
      <c r="Z92" s="609"/>
      <c r="AA92" s="609" t="s">
        <v>1458</v>
      </c>
      <c r="AB92" s="642" t="s">
        <v>263</v>
      </c>
      <c r="AC92" s="652"/>
      <c r="AD92" s="652" t="s">
        <v>113</v>
      </c>
      <c r="AE92" s="653">
        <f t="shared" si="1"/>
        <v>5</v>
      </c>
    </row>
    <row r="93" spans="1:31" ht="105" hidden="1" x14ac:dyDescent="0.25">
      <c r="A93" s="608" t="s">
        <v>3449</v>
      </c>
      <c r="B93" s="614" t="s">
        <v>1548</v>
      </c>
      <c r="C93" s="614" t="s">
        <v>1541</v>
      </c>
      <c r="D93" s="608" t="s">
        <v>4727</v>
      </c>
      <c r="E93" s="619" t="s">
        <v>1555</v>
      </c>
      <c r="F93" s="620" t="s">
        <v>1528</v>
      </c>
      <c r="G93" s="609" t="s">
        <v>1453</v>
      </c>
      <c r="H93" s="618">
        <v>2800</v>
      </c>
      <c r="I93" s="609">
        <v>45000000000</v>
      </c>
      <c r="J93" s="609" t="s">
        <v>1454</v>
      </c>
      <c r="K93" s="616" t="s">
        <v>5131</v>
      </c>
      <c r="L93" s="785">
        <v>1418000</v>
      </c>
      <c r="M93" s="609" t="s">
        <v>2184</v>
      </c>
      <c r="N93" s="616">
        <v>1418000</v>
      </c>
      <c r="O93" s="612">
        <v>42856</v>
      </c>
      <c r="P93" s="612">
        <v>42887</v>
      </c>
      <c r="Q93" s="609" t="s">
        <v>110</v>
      </c>
      <c r="R93" s="609" t="s">
        <v>113</v>
      </c>
      <c r="S93" s="609" t="s">
        <v>1455</v>
      </c>
      <c r="T93" s="609"/>
      <c r="U93" s="609"/>
      <c r="V93" s="609"/>
      <c r="W93" s="677" t="s">
        <v>73</v>
      </c>
      <c r="X93" s="609">
        <v>7729746311</v>
      </c>
      <c r="Y93" s="609" t="s">
        <v>5132</v>
      </c>
      <c r="Z93" s="839">
        <v>1418000</v>
      </c>
      <c r="AA93" s="609" t="s">
        <v>1458</v>
      </c>
      <c r="AB93" s="642" t="s">
        <v>263</v>
      </c>
      <c r="AC93" s="652"/>
      <c r="AD93" s="652" t="s">
        <v>113</v>
      </c>
      <c r="AE93" s="653">
        <f t="shared" si="1"/>
        <v>5</v>
      </c>
    </row>
    <row r="94" spans="1:31" ht="105" hidden="1" x14ac:dyDescent="0.25">
      <c r="A94" s="608" t="s">
        <v>3450</v>
      </c>
      <c r="B94" s="614" t="s">
        <v>1540</v>
      </c>
      <c r="C94" s="599" t="s">
        <v>1556</v>
      </c>
      <c r="D94" s="608" t="s">
        <v>4726</v>
      </c>
      <c r="E94" s="619" t="s">
        <v>1557</v>
      </c>
      <c r="F94" s="620" t="s">
        <v>1528</v>
      </c>
      <c r="G94" s="609" t="s">
        <v>1453</v>
      </c>
      <c r="H94" s="618">
        <v>200</v>
      </c>
      <c r="I94" s="609">
        <v>45000000000</v>
      </c>
      <c r="J94" s="609" t="s">
        <v>1454</v>
      </c>
      <c r="K94" s="616" t="s">
        <v>1558</v>
      </c>
      <c r="L94" s="785">
        <v>170000</v>
      </c>
      <c r="M94" s="609" t="s">
        <v>2184</v>
      </c>
      <c r="N94" s="616">
        <v>170000</v>
      </c>
      <c r="O94" s="612">
        <v>42826</v>
      </c>
      <c r="P94" s="612">
        <v>42856</v>
      </c>
      <c r="Q94" s="609" t="s">
        <v>100</v>
      </c>
      <c r="R94" s="609" t="s">
        <v>1456</v>
      </c>
      <c r="S94" s="609" t="s">
        <v>1457</v>
      </c>
      <c r="T94" s="609"/>
      <c r="U94" s="609"/>
      <c r="V94" s="609"/>
      <c r="W94" s="609"/>
      <c r="X94" s="609"/>
      <c r="Y94" s="609"/>
      <c r="Z94" s="609"/>
      <c r="AA94" s="609" t="s">
        <v>1458</v>
      </c>
      <c r="AB94" s="642" t="s">
        <v>263</v>
      </c>
      <c r="AC94" s="652"/>
      <c r="AD94" s="652" t="s">
        <v>113</v>
      </c>
      <c r="AE94" s="653">
        <f t="shared" si="1"/>
        <v>4</v>
      </c>
    </row>
    <row r="95" spans="1:31" ht="105" hidden="1" x14ac:dyDescent="0.25">
      <c r="A95" s="608" t="s">
        <v>3451</v>
      </c>
      <c r="B95" s="614" t="s">
        <v>1548</v>
      </c>
      <c r="C95" s="614" t="s">
        <v>1541</v>
      </c>
      <c r="D95" s="608" t="s">
        <v>4725</v>
      </c>
      <c r="E95" s="619" t="s">
        <v>1559</v>
      </c>
      <c r="F95" s="614" t="s">
        <v>1528</v>
      </c>
      <c r="G95" s="609" t="s">
        <v>1453</v>
      </c>
      <c r="H95" s="618">
        <v>150</v>
      </c>
      <c r="I95" s="609">
        <v>45000000000</v>
      </c>
      <c r="J95" s="609" t="s">
        <v>1454</v>
      </c>
      <c r="K95" s="616" t="s">
        <v>1519</v>
      </c>
      <c r="L95" s="785">
        <v>150000</v>
      </c>
      <c r="M95" s="609" t="s">
        <v>2184</v>
      </c>
      <c r="N95" s="616">
        <v>150000</v>
      </c>
      <c r="O95" s="612">
        <v>42795</v>
      </c>
      <c r="P95" s="612">
        <v>42826</v>
      </c>
      <c r="Q95" s="609" t="s">
        <v>100</v>
      </c>
      <c r="R95" s="609" t="s">
        <v>1456</v>
      </c>
      <c r="S95" s="609" t="s">
        <v>1457</v>
      </c>
      <c r="T95" s="609"/>
      <c r="U95" s="609"/>
      <c r="V95" s="609"/>
      <c r="W95" s="609"/>
      <c r="X95" s="609"/>
      <c r="Y95" s="609"/>
      <c r="Z95" s="609"/>
      <c r="AA95" s="609" t="s">
        <v>1458</v>
      </c>
      <c r="AB95" s="642" t="s">
        <v>263</v>
      </c>
      <c r="AC95" s="652"/>
      <c r="AD95" s="652" t="s">
        <v>113</v>
      </c>
      <c r="AE95" s="653">
        <f t="shared" si="1"/>
        <v>3</v>
      </c>
    </row>
    <row r="96" spans="1:31" ht="105" hidden="1" x14ac:dyDescent="0.25">
      <c r="A96" s="608" t="s">
        <v>3452</v>
      </c>
      <c r="B96" s="614" t="s">
        <v>1548</v>
      </c>
      <c r="C96" s="614" t="s">
        <v>1541</v>
      </c>
      <c r="D96" s="608" t="s">
        <v>4724</v>
      </c>
      <c r="E96" s="619" t="s">
        <v>1560</v>
      </c>
      <c r="F96" s="614" t="s">
        <v>1528</v>
      </c>
      <c r="G96" s="609" t="s">
        <v>1453</v>
      </c>
      <c r="H96" s="618">
        <v>2</v>
      </c>
      <c r="I96" s="609">
        <v>45000000000</v>
      </c>
      <c r="J96" s="609" t="s">
        <v>1454</v>
      </c>
      <c r="K96" s="616" t="s">
        <v>1561</v>
      </c>
      <c r="L96" s="785">
        <v>500000</v>
      </c>
      <c r="M96" s="609" t="s">
        <v>2184</v>
      </c>
      <c r="N96" s="616">
        <v>500000</v>
      </c>
      <c r="O96" s="612">
        <v>42917</v>
      </c>
      <c r="P96" s="612">
        <v>42979</v>
      </c>
      <c r="Q96" s="609" t="s">
        <v>100</v>
      </c>
      <c r="R96" s="609" t="s">
        <v>1456</v>
      </c>
      <c r="S96" s="609" t="s">
        <v>1457</v>
      </c>
      <c r="T96" s="609"/>
      <c r="U96" s="609"/>
      <c r="V96" s="609"/>
      <c r="W96" s="609"/>
      <c r="X96" s="609"/>
      <c r="Y96" s="609"/>
      <c r="Z96" s="609"/>
      <c r="AA96" s="609" t="s">
        <v>1458</v>
      </c>
      <c r="AB96" s="642" t="s">
        <v>263</v>
      </c>
      <c r="AC96" s="652"/>
      <c r="AD96" s="652" t="s">
        <v>113</v>
      </c>
      <c r="AE96" s="653">
        <f t="shared" si="1"/>
        <v>7</v>
      </c>
    </row>
    <row r="97" spans="1:31" ht="105" hidden="1" x14ac:dyDescent="0.25">
      <c r="A97" s="608" t="s">
        <v>3453</v>
      </c>
      <c r="B97" s="614" t="s">
        <v>1548</v>
      </c>
      <c r="C97" s="599" t="s">
        <v>1541</v>
      </c>
      <c r="D97" s="608" t="s">
        <v>4723</v>
      </c>
      <c r="E97" s="619" t="s">
        <v>1562</v>
      </c>
      <c r="F97" s="614" t="s">
        <v>1528</v>
      </c>
      <c r="G97" s="609" t="s">
        <v>1453</v>
      </c>
      <c r="H97" s="618">
        <v>50</v>
      </c>
      <c r="I97" s="609">
        <v>45000000000</v>
      </c>
      <c r="J97" s="609" t="s">
        <v>1454</v>
      </c>
      <c r="K97" s="616" t="s">
        <v>1563</v>
      </c>
      <c r="L97" s="785">
        <v>120000</v>
      </c>
      <c r="M97" s="609" t="s">
        <v>2184</v>
      </c>
      <c r="N97" s="616">
        <v>120000</v>
      </c>
      <c r="O97" s="612">
        <v>42917</v>
      </c>
      <c r="P97" s="612">
        <v>42979</v>
      </c>
      <c r="Q97" s="609" t="s">
        <v>100</v>
      </c>
      <c r="R97" s="609" t="s">
        <v>1456</v>
      </c>
      <c r="S97" s="609" t="s">
        <v>1457</v>
      </c>
      <c r="T97" s="609"/>
      <c r="U97" s="609"/>
      <c r="V97" s="609"/>
      <c r="W97" s="609"/>
      <c r="X97" s="609"/>
      <c r="Y97" s="609"/>
      <c r="Z97" s="609"/>
      <c r="AA97" s="609" t="s">
        <v>1458</v>
      </c>
      <c r="AB97" s="642" t="s">
        <v>263</v>
      </c>
      <c r="AC97" s="652"/>
      <c r="AD97" s="652" t="s">
        <v>113</v>
      </c>
      <c r="AE97" s="653">
        <f t="shared" si="1"/>
        <v>7</v>
      </c>
    </row>
    <row r="98" spans="1:31" ht="105" hidden="1" x14ac:dyDescent="0.25">
      <c r="A98" s="608" t="s">
        <v>3454</v>
      </c>
      <c r="B98" s="614" t="s">
        <v>1564</v>
      </c>
      <c r="C98" s="614" t="s">
        <v>1565</v>
      </c>
      <c r="D98" s="608" t="s">
        <v>4722</v>
      </c>
      <c r="E98" s="619" t="s">
        <v>1566</v>
      </c>
      <c r="F98" s="614" t="s">
        <v>1528</v>
      </c>
      <c r="G98" s="609" t="s">
        <v>1453</v>
      </c>
      <c r="H98" s="618">
        <v>300</v>
      </c>
      <c r="I98" s="609">
        <v>45000000000</v>
      </c>
      <c r="J98" s="609" t="s">
        <v>1454</v>
      </c>
      <c r="K98" s="616" t="s">
        <v>6449</v>
      </c>
      <c r="L98" s="785">
        <v>107993.60000000001</v>
      </c>
      <c r="M98" s="609" t="s">
        <v>2184</v>
      </c>
      <c r="N98" s="967">
        <v>107993.60000000001</v>
      </c>
      <c r="O98" s="612">
        <v>42917</v>
      </c>
      <c r="P98" s="612">
        <v>42917</v>
      </c>
      <c r="Q98" s="609" t="s">
        <v>110</v>
      </c>
      <c r="R98" s="609" t="s">
        <v>113</v>
      </c>
      <c r="S98" s="609" t="s">
        <v>1455</v>
      </c>
      <c r="T98" s="609"/>
      <c r="U98" s="609"/>
      <c r="V98" s="609"/>
      <c r="W98" s="609" t="s">
        <v>73</v>
      </c>
      <c r="X98" s="609">
        <v>7722529893</v>
      </c>
      <c r="Y98" s="609"/>
      <c r="Z98" s="609"/>
      <c r="AA98" s="609" t="s">
        <v>1458</v>
      </c>
      <c r="AB98" s="642" t="s">
        <v>263</v>
      </c>
      <c r="AC98" s="652"/>
      <c r="AD98" s="652" t="s">
        <v>113</v>
      </c>
      <c r="AE98" s="653">
        <f t="shared" si="1"/>
        <v>7</v>
      </c>
    </row>
    <row r="99" spans="1:31" ht="105" hidden="1" x14ac:dyDescent="0.25">
      <c r="A99" s="608" t="s">
        <v>3455</v>
      </c>
      <c r="B99" s="614" t="s">
        <v>1567</v>
      </c>
      <c r="C99" s="614" t="s">
        <v>1568</v>
      </c>
      <c r="D99" s="608" t="s">
        <v>4721</v>
      </c>
      <c r="E99" s="609" t="s">
        <v>1569</v>
      </c>
      <c r="F99" s="614" t="s">
        <v>1528</v>
      </c>
      <c r="G99" s="609" t="s">
        <v>1453</v>
      </c>
      <c r="H99" s="618">
        <v>1</v>
      </c>
      <c r="I99" s="609">
        <v>45000000000</v>
      </c>
      <c r="J99" s="609" t="s">
        <v>1454</v>
      </c>
      <c r="K99" s="616" t="s">
        <v>6109</v>
      </c>
      <c r="L99" s="916">
        <v>12205889</v>
      </c>
      <c r="M99" s="609" t="s">
        <v>2184</v>
      </c>
      <c r="N99" s="616">
        <v>12205889</v>
      </c>
      <c r="O99" s="612">
        <v>42856</v>
      </c>
      <c r="P99" s="612">
        <v>42948</v>
      </c>
      <c r="Q99" s="609" t="s">
        <v>100</v>
      </c>
      <c r="R99" s="609" t="s">
        <v>1456</v>
      </c>
      <c r="S99" s="609" t="s">
        <v>1457</v>
      </c>
      <c r="T99" s="609"/>
      <c r="U99" s="609"/>
      <c r="V99" s="609"/>
      <c r="W99" s="609"/>
      <c r="X99" s="609"/>
      <c r="Y99" s="609"/>
      <c r="Z99" s="609"/>
      <c r="AA99" s="609" t="s">
        <v>1458</v>
      </c>
      <c r="AB99" s="642" t="s">
        <v>263</v>
      </c>
      <c r="AC99" s="652"/>
      <c r="AD99" s="652" t="s">
        <v>113</v>
      </c>
      <c r="AE99" s="653">
        <f t="shared" si="1"/>
        <v>5</v>
      </c>
    </row>
    <row r="100" spans="1:31" ht="105" hidden="1" x14ac:dyDescent="0.25">
      <c r="A100" s="608" t="s">
        <v>3456</v>
      </c>
      <c r="B100" s="614" t="s">
        <v>1571</v>
      </c>
      <c r="C100" s="621" t="s">
        <v>1572</v>
      </c>
      <c r="D100" s="608" t="s">
        <v>4720</v>
      </c>
      <c r="E100" s="619" t="s">
        <v>1569</v>
      </c>
      <c r="F100" s="614" t="s">
        <v>1528</v>
      </c>
      <c r="G100" s="609" t="s">
        <v>1453</v>
      </c>
      <c r="H100" s="618">
        <v>1</v>
      </c>
      <c r="I100" s="609">
        <v>45000000000</v>
      </c>
      <c r="J100" s="609" t="s">
        <v>1454</v>
      </c>
      <c r="K100" s="616" t="s">
        <v>1573</v>
      </c>
      <c r="L100" s="785">
        <v>1150000</v>
      </c>
      <c r="M100" s="609" t="s">
        <v>2184</v>
      </c>
      <c r="N100" s="616">
        <v>1150000</v>
      </c>
      <c r="O100" s="612">
        <v>42767</v>
      </c>
      <c r="P100" s="612">
        <v>42948</v>
      </c>
      <c r="Q100" s="609" t="s">
        <v>100</v>
      </c>
      <c r="R100" s="609" t="s">
        <v>1456</v>
      </c>
      <c r="S100" s="609" t="s">
        <v>1457</v>
      </c>
      <c r="T100" s="609"/>
      <c r="U100" s="609"/>
      <c r="V100" s="609"/>
      <c r="W100" s="609"/>
      <c r="X100" s="609"/>
      <c r="Y100" s="609"/>
      <c r="Z100" s="609"/>
      <c r="AA100" s="609" t="s">
        <v>1458</v>
      </c>
      <c r="AB100" s="642" t="s">
        <v>263</v>
      </c>
      <c r="AC100" s="652"/>
      <c r="AD100" s="652" t="s">
        <v>113</v>
      </c>
      <c r="AE100" s="653">
        <f t="shared" si="1"/>
        <v>2</v>
      </c>
    </row>
    <row r="101" spans="1:31" ht="105" hidden="1" x14ac:dyDescent="0.25">
      <c r="A101" s="608" t="s">
        <v>3457</v>
      </c>
      <c r="B101" s="614" t="s">
        <v>1567</v>
      </c>
      <c r="C101" s="614" t="s">
        <v>1568</v>
      </c>
      <c r="D101" s="608" t="s">
        <v>4719</v>
      </c>
      <c r="E101" s="619" t="s">
        <v>1569</v>
      </c>
      <c r="F101" s="614" t="s">
        <v>1528</v>
      </c>
      <c r="G101" s="609" t="s">
        <v>1453</v>
      </c>
      <c r="H101" s="618">
        <v>1</v>
      </c>
      <c r="I101" s="609">
        <v>45000000000</v>
      </c>
      <c r="J101" s="609" t="s">
        <v>1454</v>
      </c>
      <c r="K101" s="616" t="s">
        <v>1574</v>
      </c>
      <c r="L101" s="785">
        <v>1650000</v>
      </c>
      <c r="M101" s="609" t="s">
        <v>2184</v>
      </c>
      <c r="N101" s="616">
        <v>1650000</v>
      </c>
      <c r="O101" s="612">
        <v>42767</v>
      </c>
      <c r="P101" s="612">
        <v>42948</v>
      </c>
      <c r="Q101" s="609" t="s">
        <v>100</v>
      </c>
      <c r="R101" s="609" t="s">
        <v>1456</v>
      </c>
      <c r="S101" s="609" t="s">
        <v>1457</v>
      </c>
      <c r="T101" s="609"/>
      <c r="U101" s="609"/>
      <c r="V101" s="609"/>
      <c r="W101" s="609"/>
      <c r="X101" s="609"/>
      <c r="Y101" s="609"/>
      <c r="Z101" s="609"/>
      <c r="AA101" s="609" t="s">
        <v>1458</v>
      </c>
      <c r="AB101" s="642" t="s">
        <v>263</v>
      </c>
      <c r="AC101" s="652"/>
      <c r="AD101" s="652" t="s">
        <v>113</v>
      </c>
      <c r="AE101" s="653">
        <f t="shared" si="1"/>
        <v>2</v>
      </c>
    </row>
    <row r="102" spans="1:31" ht="105" hidden="1" x14ac:dyDescent="0.25">
      <c r="A102" s="608" t="s">
        <v>3458</v>
      </c>
      <c r="B102" s="614" t="s">
        <v>233</v>
      </c>
      <c r="C102" s="614" t="s">
        <v>1481</v>
      </c>
      <c r="D102" s="608" t="s">
        <v>4718</v>
      </c>
      <c r="E102" s="619" t="s">
        <v>1575</v>
      </c>
      <c r="F102" s="614" t="s">
        <v>1528</v>
      </c>
      <c r="G102" s="609" t="s">
        <v>1453</v>
      </c>
      <c r="H102" s="618">
        <v>1</v>
      </c>
      <c r="I102" s="609">
        <v>45000000000</v>
      </c>
      <c r="J102" s="609" t="s">
        <v>1454</v>
      </c>
      <c r="K102" s="616" t="s">
        <v>1563</v>
      </c>
      <c r="L102" s="785">
        <v>120000</v>
      </c>
      <c r="M102" s="609" t="s">
        <v>2184</v>
      </c>
      <c r="N102" s="616">
        <v>120000</v>
      </c>
      <c r="O102" s="612">
        <v>42795</v>
      </c>
      <c r="P102" s="612">
        <v>43160</v>
      </c>
      <c r="Q102" s="609" t="s">
        <v>108</v>
      </c>
      <c r="R102" s="609" t="s">
        <v>1456</v>
      </c>
      <c r="S102" s="609" t="s">
        <v>1457</v>
      </c>
      <c r="T102" s="609"/>
      <c r="U102" s="609"/>
      <c r="V102" s="609"/>
      <c r="W102" s="609"/>
      <c r="X102" s="609"/>
      <c r="Y102" s="609"/>
      <c r="Z102" s="609"/>
      <c r="AA102" s="609" t="s">
        <v>1458</v>
      </c>
      <c r="AB102" s="642" t="s">
        <v>263</v>
      </c>
      <c r="AC102" s="652"/>
      <c r="AD102" s="652" t="s">
        <v>113</v>
      </c>
      <c r="AE102" s="653">
        <f t="shared" si="1"/>
        <v>3</v>
      </c>
    </row>
    <row r="103" spans="1:31" ht="105" hidden="1" x14ac:dyDescent="0.25">
      <c r="A103" s="608" t="s">
        <v>3459</v>
      </c>
      <c r="B103" s="614" t="s">
        <v>1576</v>
      </c>
      <c r="C103" s="614" t="s">
        <v>1577</v>
      </c>
      <c r="D103" s="619" t="s">
        <v>4717</v>
      </c>
      <c r="E103" s="619" t="s">
        <v>1578</v>
      </c>
      <c r="F103" s="614" t="s">
        <v>1528</v>
      </c>
      <c r="G103" s="609" t="s">
        <v>1453</v>
      </c>
      <c r="H103" s="622">
        <v>16250</v>
      </c>
      <c r="I103" s="609">
        <v>45000000000</v>
      </c>
      <c r="J103" s="609" t="s">
        <v>1454</v>
      </c>
      <c r="K103" s="616" t="s">
        <v>1579</v>
      </c>
      <c r="L103" s="785">
        <v>3802500</v>
      </c>
      <c r="M103" s="609" t="s">
        <v>4827</v>
      </c>
      <c r="N103" s="616">
        <v>3802500</v>
      </c>
      <c r="O103" s="612">
        <v>42736</v>
      </c>
      <c r="P103" s="612">
        <v>42736</v>
      </c>
      <c r="Q103" s="609" t="s">
        <v>110</v>
      </c>
      <c r="R103" s="609" t="s">
        <v>113</v>
      </c>
      <c r="S103" s="609" t="s">
        <v>1455</v>
      </c>
      <c r="T103" s="609"/>
      <c r="U103" s="609"/>
      <c r="V103" s="609"/>
      <c r="W103" s="609" t="s">
        <v>73</v>
      </c>
      <c r="X103" s="609">
        <v>7729746311</v>
      </c>
      <c r="Y103" s="609" t="s">
        <v>3305</v>
      </c>
      <c r="Z103" s="839">
        <v>3802500</v>
      </c>
      <c r="AA103" s="609" t="s">
        <v>1458</v>
      </c>
      <c r="AB103" s="642" t="s">
        <v>263</v>
      </c>
      <c r="AC103" s="652"/>
      <c r="AD103" s="652" t="s">
        <v>113</v>
      </c>
      <c r="AE103" s="653">
        <f t="shared" si="1"/>
        <v>1</v>
      </c>
    </row>
    <row r="104" spans="1:31" ht="105" hidden="1" x14ac:dyDescent="0.25">
      <c r="A104" s="608" t="s">
        <v>3460</v>
      </c>
      <c r="B104" s="613" t="s">
        <v>1580</v>
      </c>
      <c r="C104" s="614" t="s">
        <v>1581</v>
      </c>
      <c r="D104" s="619" t="s">
        <v>4716</v>
      </c>
      <c r="E104" s="617" t="s">
        <v>1582</v>
      </c>
      <c r="F104" s="614" t="s">
        <v>1528</v>
      </c>
      <c r="G104" s="609" t="s">
        <v>1453</v>
      </c>
      <c r="H104" s="618">
        <v>1</v>
      </c>
      <c r="I104" s="609">
        <v>45000000000</v>
      </c>
      <c r="J104" s="609" t="s">
        <v>1454</v>
      </c>
      <c r="K104" s="616" t="s">
        <v>1583</v>
      </c>
      <c r="L104" s="785">
        <v>8845000</v>
      </c>
      <c r="M104" s="609" t="s">
        <v>2184</v>
      </c>
      <c r="N104" s="616">
        <v>8845000</v>
      </c>
      <c r="O104" s="612">
        <v>42767</v>
      </c>
      <c r="P104" s="612">
        <v>43040</v>
      </c>
      <c r="Q104" s="609" t="s">
        <v>100</v>
      </c>
      <c r="R104" s="609" t="s">
        <v>1456</v>
      </c>
      <c r="S104" s="609" t="s">
        <v>1457</v>
      </c>
      <c r="T104" s="609"/>
      <c r="U104" s="609"/>
      <c r="V104" s="609"/>
      <c r="W104" s="609"/>
      <c r="X104" s="609"/>
      <c r="Y104" s="609"/>
      <c r="Z104" s="609"/>
      <c r="AA104" s="609" t="s">
        <v>1458</v>
      </c>
      <c r="AB104" s="642" t="s">
        <v>263</v>
      </c>
      <c r="AC104" s="652"/>
      <c r="AD104" s="652" t="s">
        <v>113</v>
      </c>
      <c r="AE104" s="653">
        <f t="shared" si="1"/>
        <v>2</v>
      </c>
    </row>
    <row r="105" spans="1:31" ht="105" hidden="1" x14ac:dyDescent="0.25">
      <c r="A105" s="608" t="s">
        <v>3461</v>
      </c>
      <c r="B105" s="613" t="s">
        <v>1580</v>
      </c>
      <c r="C105" s="614" t="s">
        <v>1581</v>
      </c>
      <c r="D105" s="619" t="s">
        <v>4715</v>
      </c>
      <c r="E105" s="617" t="str">
        <f>E104</f>
        <v>согласно закупочной документации Заказчика</v>
      </c>
      <c r="F105" s="614" t="s">
        <v>1528</v>
      </c>
      <c r="G105" s="609" t="s">
        <v>1453</v>
      </c>
      <c r="H105" s="618">
        <v>1</v>
      </c>
      <c r="I105" s="609">
        <v>45000000000</v>
      </c>
      <c r="J105" s="609" t="s">
        <v>1454</v>
      </c>
      <c r="K105" s="616" t="s">
        <v>1584</v>
      </c>
      <c r="L105" s="785">
        <v>13200000</v>
      </c>
      <c r="M105" s="609" t="s">
        <v>2184</v>
      </c>
      <c r="N105" s="616">
        <v>13200000</v>
      </c>
      <c r="O105" s="612">
        <v>42795</v>
      </c>
      <c r="P105" s="612">
        <v>43070</v>
      </c>
      <c r="Q105" s="609" t="s">
        <v>100</v>
      </c>
      <c r="R105" s="609" t="s">
        <v>1456</v>
      </c>
      <c r="S105" s="609" t="s">
        <v>1457</v>
      </c>
      <c r="T105" s="609"/>
      <c r="U105" s="609"/>
      <c r="V105" s="609"/>
      <c r="W105" s="609"/>
      <c r="X105" s="609"/>
      <c r="Y105" s="609"/>
      <c r="Z105" s="609"/>
      <c r="AA105" s="609" t="s">
        <v>1458</v>
      </c>
      <c r="AB105" s="642" t="s">
        <v>263</v>
      </c>
      <c r="AC105" s="652"/>
      <c r="AD105" s="652" t="s">
        <v>113</v>
      </c>
      <c r="AE105" s="653">
        <f t="shared" si="1"/>
        <v>3</v>
      </c>
    </row>
    <row r="106" spans="1:31" ht="165" hidden="1" x14ac:dyDescent="0.25">
      <c r="A106" s="608" t="s">
        <v>3462</v>
      </c>
      <c r="B106" s="614" t="s">
        <v>1585</v>
      </c>
      <c r="C106" s="614" t="s">
        <v>1585</v>
      </c>
      <c r="D106" s="619" t="s">
        <v>4714</v>
      </c>
      <c r="E106" s="617" t="s">
        <v>1586</v>
      </c>
      <c r="F106" s="614" t="s">
        <v>1587</v>
      </c>
      <c r="G106" s="609" t="s">
        <v>1588</v>
      </c>
      <c r="H106" s="618">
        <v>585</v>
      </c>
      <c r="I106" s="609">
        <v>45000000000</v>
      </c>
      <c r="J106" s="609" t="s">
        <v>1454</v>
      </c>
      <c r="K106" s="616" t="s">
        <v>1589</v>
      </c>
      <c r="L106" s="785">
        <v>3742685.52</v>
      </c>
      <c r="M106" s="609" t="s">
        <v>2184</v>
      </c>
      <c r="N106" s="616">
        <v>3742685.52</v>
      </c>
      <c r="O106" s="612">
        <v>43040</v>
      </c>
      <c r="P106" s="612">
        <v>43101</v>
      </c>
      <c r="Q106" s="609" t="s">
        <v>108</v>
      </c>
      <c r="R106" s="609" t="s">
        <v>1456</v>
      </c>
      <c r="S106" s="609" t="s">
        <v>1457</v>
      </c>
      <c r="T106" s="609"/>
      <c r="U106" s="609"/>
      <c r="V106" s="609"/>
      <c r="W106" s="609"/>
      <c r="X106" s="609"/>
      <c r="Y106" s="609"/>
      <c r="Z106" s="609"/>
      <c r="AA106" s="609" t="s">
        <v>1458</v>
      </c>
      <c r="AB106" s="642" t="s">
        <v>263</v>
      </c>
      <c r="AC106" s="652"/>
      <c r="AD106" s="652" t="s">
        <v>113</v>
      </c>
      <c r="AE106" s="653">
        <f t="shared" si="1"/>
        <v>11</v>
      </c>
    </row>
    <row r="107" spans="1:31" ht="165" hidden="1" x14ac:dyDescent="0.25">
      <c r="A107" s="608" t="s">
        <v>3463</v>
      </c>
      <c r="B107" s="614" t="s">
        <v>1590</v>
      </c>
      <c r="C107" s="614" t="s">
        <v>1590</v>
      </c>
      <c r="D107" s="619" t="s">
        <v>4713</v>
      </c>
      <c r="E107" s="617" t="s">
        <v>1591</v>
      </c>
      <c r="F107" s="614" t="s">
        <v>1587</v>
      </c>
      <c r="G107" s="609" t="s">
        <v>1588</v>
      </c>
      <c r="H107" s="618">
        <v>4</v>
      </c>
      <c r="I107" s="609">
        <v>45000000000</v>
      </c>
      <c r="J107" s="609" t="s">
        <v>1454</v>
      </c>
      <c r="K107" s="616" t="s">
        <v>1592</v>
      </c>
      <c r="L107" s="785">
        <v>1190000</v>
      </c>
      <c r="M107" s="609" t="s">
        <v>2184</v>
      </c>
      <c r="N107" s="616">
        <v>1190000</v>
      </c>
      <c r="O107" s="612">
        <v>43040</v>
      </c>
      <c r="P107" s="612">
        <v>43101</v>
      </c>
      <c r="Q107" s="609" t="s">
        <v>108</v>
      </c>
      <c r="R107" s="609" t="s">
        <v>1456</v>
      </c>
      <c r="S107" s="609" t="s">
        <v>1457</v>
      </c>
      <c r="T107" s="609"/>
      <c r="U107" s="609"/>
      <c r="V107" s="609"/>
      <c r="W107" s="609"/>
      <c r="X107" s="609"/>
      <c r="Y107" s="609"/>
      <c r="Z107" s="609"/>
      <c r="AA107" s="609" t="s">
        <v>1458</v>
      </c>
      <c r="AB107" s="642" t="s">
        <v>263</v>
      </c>
      <c r="AC107" s="652"/>
      <c r="AD107" s="652" t="s">
        <v>113</v>
      </c>
      <c r="AE107" s="653">
        <f t="shared" si="1"/>
        <v>11</v>
      </c>
    </row>
    <row r="108" spans="1:31" ht="105" hidden="1" x14ac:dyDescent="0.25">
      <c r="A108" s="608" t="s">
        <v>3464</v>
      </c>
      <c r="B108" s="614" t="s">
        <v>1593</v>
      </c>
      <c r="C108" s="614" t="s">
        <v>1594</v>
      </c>
      <c r="D108" s="619" t="s">
        <v>4712</v>
      </c>
      <c r="E108" s="617" t="s">
        <v>1595</v>
      </c>
      <c r="F108" s="614" t="s">
        <v>1587</v>
      </c>
      <c r="G108" s="609" t="s">
        <v>1588</v>
      </c>
      <c r="H108" s="618">
        <v>6</v>
      </c>
      <c r="I108" s="609">
        <v>45000000000</v>
      </c>
      <c r="J108" s="609" t="s">
        <v>1454</v>
      </c>
      <c r="K108" s="616" t="s">
        <v>1519</v>
      </c>
      <c r="L108" s="785">
        <v>150000</v>
      </c>
      <c r="M108" s="609" t="s">
        <v>2184</v>
      </c>
      <c r="N108" s="616">
        <v>150000</v>
      </c>
      <c r="O108" s="612">
        <v>42767</v>
      </c>
      <c r="P108" s="612">
        <v>42826</v>
      </c>
      <c r="Q108" s="609" t="s">
        <v>108</v>
      </c>
      <c r="R108" s="609" t="s">
        <v>1456</v>
      </c>
      <c r="S108" s="609" t="s">
        <v>1457</v>
      </c>
      <c r="T108" s="609"/>
      <c r="U108" s="609"/>
      <c r="V108" s="609"/>
      <c r="W108" s="609"/>
      <c r="X108" s="609"/>
      <c r="Y108" s="609"/>
      <c r="Z108" s="609"/>
      <c r="AA108" s="609" t="s">
        <v>1458</v>
      </c>
      <c r="AB108" s="642" t="s">
        <v>263</v>
      </c>
      <c r="AC108" s="652"/>
      <c r="AD108" s="652" t="s">
        <v>113</v>
      </c>
      <c r="AE108" s="653">
        <f t="shared" si="1"/>
        <v>2</v>
      </c>
    </row>
    <row r="109" spans="1:31" ht="105" hidden="1" x14ac:dyDescent="0.25">
      <c r="A109" s="608" t="s">
        <v>3465</v>
      </c>
      <c r="B109" s="614" t="s">
        <v>1593</v>
      </c>
      <c r="C109" s="614" t="s">
        <v>1594</v>
      </c>
      <c r="D109" s="619" t="s">
        <v>4711</v>
      </c>
      <c r="E109" s="617" t="s">
        <v>1595</v>
      </c>
      <c r="F109" s="614" t="s">
        <v>1528</v>
      </c>
      <c r="G109" s="609" t="s">
        <v>1453</v>
      </c>
      <c r="H109" s="618">
        <v>4</v>
      </c>
      <c r="I109" s="609">
        <v>45000000000</v>
      </c>
      <c r="J109" s="609" t="s">
        <v>1454</v>
      </c>
      <c r="K109" s="616" t="s">
        <v>1519</v>
      </c>
      <c r="L109" s="785">
        <v>150000</v>
      </c>
      <c r="M109" s="609" t="s">
        <v>2184</v>
      </c>
      <c r="N109" s="616">
        <v>150000</v>
      </c>
      <c r="O109" s="612">
        <v>42856</v>
      </c>
      <c r="P109" s="612">
        <v>42917</v>
      </c>
      <c r="Q109" s="609" t="s">
        <v>108</v>
      </c>
      <c r="R109" s="609" t="s">
        <v>1456</v>
      </c>
      <c r="S109" s="609" t="s">
        <v>1457</v>
      </c>
      <c r="T109" s="609"/>
      <c r="U109" s="609"/>
      <c r="V109" s="609"/>
      <c r="W109" s="609"/>
      <c r="X109" s="609"/>
      <c r="Y109" s="609"/>
      <c r="Z109" s="609"/>
      <c r="AA109" s="609" t="s">
        <v>1458</v>
      </c>
      <c r="AB109" s="642" t="s">
        <v>263</v>
      </c>
      <c r="AC109" s="652"/>
      <c r="AD109" s="652" t="s">
        <v>113</v>
      </c>
      <c r="AE109" s="653">
        <f t="shared" si="1"/>
        <v>5</v>
      </c>
    </row>
    <row r="110" spans="1:31" ht="105" hidden="1" x14ac:dyDescent="0.25">
      <c r="A110" s="608" t="s">
        <v>3466</v>
      </c>
      <c r="B110" s="614" t="s">
        <v>1593</v>
      </c>
      <c r="C110" s="614" t="s">
        <v>1594</v>
      </c>
      <c r="D110" s="619" t="s">
        <v>4710</v>
      </c>
      <c r="E110" s="617" t="s">
        <v>1595</v>
      </c>
      <c r="F110" s="620" t="s">
        <v>1528</v>
      </c>
      <c r="G110" s="609" t="s">
        <v>1453</v>
      </c>
      <c r="H110" s="618">
        <v>4</v>
      </c>
      <c r="I110" s="609">
        <v>45000000000</v>
      </c>
      <c r="J110" s="609" t="s">
        <v>1454</v>
      </c>
      <c r="K110" s="616" t="s">
        <v>1519</v>
      </c>
      <c r="L110" s="785">
        <v>150000</v>
      </c>
      <c r="M110" s="609" t="s">
        <v>2184</v>
      </c>
      <c r="N110" s="616">
        <v>150000</v>
      </c>
      <c r="O110" s="612">
        <v>42948</v>
      </c>
      <c r="P110" s="612">
        <v>43009</v>
      </c>
      <c r="Q110" s="609" t="s">
        <v>108</v>
      </c>
      <c r="R110" s="609" t="s">
        <v>1456</v>
      </c>
      <c r="S110" s="609" t="s">
        <v>1457</v>
      </c>
      <c r="T110" s="609"/>
      <c r="U110" s="609"/>
      <c r="V110" s="609"/>
      <c r="W110" s="609"/>
      <c r="X110" s="609"/>
      <c r="Y110" s="609"/>
      <c r="Z110" s="609"/>
      <c r="AA110" s="609" t="s">
        <v>1458</v>
      </c>
      <c r="AB110" s="642" t="s">
        <v>263</v>
      </c>
      <c r="AC110" s="652"/>
      <c r="AD110" s="652" t="s">
        <v>113</v>
      </c>
      <c r="AE110" s="653">
        <f t="shared" si="1"/>
        <v>8</v>
      </c>
    </row>
    <row r="111" spans="1:31" ht="105" hidden="1" x14ac:dyDescent="0.25">
      <c r="A111" s="608" t="s">
        <v>3467</v>
      </c>
      <c r="B111" s="614" t="s">
        <v>1593</v>
      </c>
      <c r="C111" s="614" t="s">
        <v>1594</v>
      </c>
      <c r="D111" s="619" t="s">
        <v>4709</v>
      </c>
      <c r="E111" s="617" t="s">
        <v>1595</v>
      </c>
      <c r="F111" s="614" t="s">
        <v>1528</v>
      </c>
      <c r="G111" s="609" t="s">
        <v>1453</v>
      </c>
      <c r="H111" s="618">
        <v>4</v>
      </c>
      <c r="I111" s="609">
        <v>45000000000</v>
      </c>
      <c r="J111" s="609" t="s">
        <v>1454</v>
      </c>
      <c r="K111" s="616" t="s">
        <v>1519</v>
      </c>
      <c r="L111" s="785">
        <v>150000</v>
      </c>
      <c r="M111" s="609" t="s">
        <v>2184</v>
      </c>
      <c r="N111" s="616">
        <v>150000</v>
      </c>
      <c r="O111" s="612">
        <v>43040</v>
      </c>
      <c r="P111" s="612">
        <v>43070</v>
      </c>
      <c r="Q111" s="609" t="s">
        <v>108</v>
      </c>
      <c r="R111" s="609" t="s">
        <v>1456</v>
      </c>
      <c r="S111" s="609" t="s">
        <v>1457</v>
      </c>
      <c r="T111" s="609"/>
      <c r="U111" s="609"/>
      <c r="V111" s="609"/>
      <c r="W111" s="609"/>
      <c r="X111" s="609"/>
      <c r="Y111" s="609"/>
      <c r="Z111" s="609"/>
      <c r="AA111" s="609" t="s">
        <v>1458</v>
      </c>
      <c r="AB111" s="642" t="s">
        <v>263</v>
      </c>
      <c r="AC111" s="652"/>
      <c r="AD111" s="652" t="s">
        <v>113</v>
      </c>
      <c r="AE111" s="653">
        <f t="shared" si="1"/>
        <v>11</v>
      </c>
    </row>
    <row r="112" spans="1:31" ht="120" hidden="1" x14ac:dyDescent="0.25">
      <c r="A112" s="608" t="s">
        <v>3468</v>
      </c>
      <c r="B112" s="614" t="s">
        <v>1596</v>
      </c>
      <c r="C112" s="614" t="s">
        <v>1597</v>
      </c>
      <c r="D112" s="619" t="s">
        <v>4708</v>
      </c>
      <c r="E112" s="617" t="s">
        <v>1598</v>
      </c>
      <c r="F112" s="614" t="s">
        <v>1528</v>
      </c>
      <c r="G112" s="609" t="s">
        <v>1453</v>
      </c>
      <c r="H112" s="618">
        <v>100</v>
      </c>
      <c r="I112" s="609">
        <v>45000000000</v>
      </c>
      <c r="J112" s="609" t="s">
        <v>1454</v>
      </c>
      <c r="K112" s="616" t="s">
        <v>1513</v>
      </c>
      <c r="L112" s="785">
        <v>300000</v>
      </c>
      <c r="M112" s="609" t="s">
        <v>2184</v>
      </c>
      <c r="N112" s="616">
        <v>300000</v>
      </c>
      <c r="O112" s="612">
        <v>42917</v>
      </c>
      <c r="P112" s="612">
        <v>42979</v>
      </c>
      <c r="Q112" s="609" t="s">
        <v>108</v>
      </c>
      <c r="R112" s="609" t="s">
        <v>1456</v>
      </c>
      <c r="S112" s="609" t="s">
        <v>1457</v>
      </c>
      <c r="T112" s="609"/>
      <c r="U112" s="609"/>
      <c r="V112" s="609"/>
      <c r="W112" s="609"/>
      <c r="X112" s="609"/>
      <c r="Y112" s="609"/>
      <c r="Z112" s="609"/>
      <c r="AA112" s="609" t="s">
        <v>1458</v>
      </c>
      <c r="AB112" s="642" t="s">
        <v>263</v>
      </c>
      <c r="AC112" s="652"/>
      <c r="AD112" s="652" t="s">
        <v>113</v>
      </c>
      <c r="AE112" s="653">
        <f t="shared" si="1"/>
        <v>7</v>
      </c>
    </row>
    <row r="113" spans="1:31" ht="195" hidden="1" x14ac:dyDescent="0.25">
      <c r="A113" s="608" t="s">
        <v>3469</v>
      </c>
      <c r="B113" s="614" t="s">
        <v>1599</v>
      </c>
      <c r="C113" s="614" t="s">
        <v>1600</v>
      </c>
      <c r="D113" s="619" t="s">
        <v>4707</v>
      </c>
      <c r="E113" s="617" t="s">
        <v>1601</v>
      </c>
      <c r="F113" s="614" t="s">
        <v>1528</v>
      </c>
      <c r="G113" s="609" t="s">
        <v>1453</v>
      </c>
      <c r="H113" s="618">
        <v>160</v>
      </c>
      <c r="I113" s="609">
        <v>45000000000</v>
      </c>
      <c r="J113" s="609" t="s">
        <v>1454</v>
      </c>
      <c r="K113" s="616" t="s">
        <v>1552</v>
      </c>
      <c r="L113" s="785">
        <v>100000</v>
      </c>
      <c r="M113" s="609" t="s">
        <v>2184</v>
      </c>
      <c r="N113" s="616">
        <v>100000</v>
      </c>
      <c r="O113" s="612">
        <v>42767</v>
      </c>
      <c r="P113" s="612">
        <v>42826</v>
      </c>
      <c r="Q113" s="609" t="s">
        <v>108</v>
      </c>
      <c r="R113" s="609" t="s">
        <v>1456</v>
      </c>
      <c r="S113" s="609" t="s">
        <v>1457</v>
      </c>
      <c r="T113" s="609"/>
      <c r="U113" s="609"/>
      <c r="V113" s="609"/>
      <c r="W113" s="609"/>
      <c r="X113" s="609"/>
      <c r="Y113" s="609"/>
      <c r="Z113" s="609"/>
      <c r="AA113" s="609" t="s">
        <v>1458</v>
      </c>
      <c r="AB113" s="642" t="s">
        <v>263</v>
      </c>
      <c r="AC113" s="652"/>
      <c r="AD113" s="652" t="s">
        <v>113</v>
      </c>
      <c r="AE113" s="653">
        <f t="shared" si="1"/>
        <v>2</v>
      </c>
    </row>
    <row r="114" spans="1:31" ht="120" hidden="1" x14ac:dyDescent="0.25">
      <c r="A114" s="608" t="s">
        <v>3470</v>
      </c>
      <c r="B114" s="614" t="s">
        <v>1599</v>
      </c>
      <c r="C114" s="614" t="s">
        <v>1600</v>
      </c>
      <c r="D114" s="619" t="s">
        <v>4706</v>
      </c>
      <c r="E114" s="617" t="s">
        <v>1601</v>
      </c>
      <c r="F114" s="614" t="s">
        <v>1528</v>
      </c>
      <c r="G114" s="609" t="s">
        <v>1453</v>
      </c>
      <c r="H114" s="618">
        <v>120</v>
      </c>
      <c r="I114" s="609">
        <v>45000000000</v>
      </c>
      <c r="J114" s="609" t="s">
        <v>1454</v>
      </c>
      <c r="K114" s="616" t="s">
        <v>1552</v>
      </c>
      <c r="L114" s="785">
        <v>100000</v>
      </c>
      <c r="M114" s="609" t="s">
        <v>2184</v>
      </c>
      <c r="N114" s="616">
        <v>100000</v>
      </c>
      <c r="O114" s="612">
        <v>42856</v>
      </c>
      <c r="P114" s="612">
        <v>42917</v>
      </c>
      <c r="Q114" s="609" t="s">
        <v>108</v>
      </c>
      <c r="R114" s="609" t="s">
        <v>1456</v>
      </c>
      <c r="S114" s="609" t="s">
        <v>1457</v>
      </c>
      <c r="T114" s="609"/>
      <c r="U114" s="609"/>
      <c r="V114" s="609"/>
      <c r="W114" s="609"/>
      <c r="X114" s="609"/>
      <c r="Y114" s="609"/>
      <c r="Z114" s="609"/>
      <c r="AA114" s="609" t="s">
        <v>1458</v>
      </c>
      <c r="AB114" s="642" t="s">
        <v>263</v>
      </c>
      <c r="AC114" s="652"/>
      <c r="AD114" s="652" t="s">
        <v>113</v>
      </c>
      <c r="AE114" s="653">
        <f t="shared" si="1"/>
        <v>5</v>
      </c>
    </row>
    <row r="115" spans="1:31" ht="120" hidden="1" x14ac:dyDescent="0.25">
      <c r="A115" s="608" t="s">
        <v>3471</v>
      </c>
      <c r="B115" s="614" t="s">
        <v>1599</v>
      </c>
      <c r="C115" s="614" t="s">
        <v>1600</v>
      </c>
      <c r="D115" s="619" t="s">
        <v>4705</v>
      </c>
      <c r="E115" s="617" t="s">
        <v>1601</v>
      </c>
      <c r="F115" s="614" t="s">
        <v>1528</v>
      </c>
      <c r="G115" s="609" t="s">
        <v>1453</v>
      </c>
      <c r="H115" s="618">
        <v>140</v>
      </c>
      <c r="I115" s="609">
        <v>45000000000</v>
      </c>
      <c r="J115" s="609" t="s">
        <v>1454</v>
      </c>
      <c r="K115" s="616" t="s">
        <v>1552</v>
      </c>
      <c r="L115" s="785">
        <v>100000</v>
      </c>
      <c r="M115" s="609" t="s">
        <v>2184</v>
      </c>
      <c r="N115" s="616">
        <v>100000</v>
      </c>
      <c r="O115" s="612">
        <v>42917</v>
      </c>
      <c r="P115" s="612">
        <v>42979</v>
      </c>
      <c r="Q115" s="609" t="s">
        <v>108</v>
      </c>
      <c r="R115" s="609" t="s">
        <v>1456</v>
      </c>
      <c r="S115" s="609" t="s">
        <v>1457</v>
      </c>
      <c r="T115" s="609"/>
      <c r="U115" s="609"/>
      <c r="V115" s="609"/>
      <c r="W115" s="609"/>
      <c r="X115" s="609"/>
      <c r="Y115" s="609"/>
      <c r="Z115" s="609"/>
      <c r="AA115" s="609" t="s">
        <v>1458</v>
      </c>
      <c r="AB115" s="642" t="s">
        <v>263</v>
      </c>
      <c r="AC115" s="652"/>
      <c r="AD115" s="652" t="s">
        <v>113</v>
      </c>
      <c r="AE115" s="653">
        <f t="shared" si="1"/>
        <v>7</v>
      </c>
    </row>
    <row r="116" spans="1:31" ht="150" hidden="1" x14ac:dyDescent="0.25">
      <c r="A116" s="608" t="s">
        <v>3472</v>
      </c>
      <c r="B116" s="614" t="s">
        <v>1599</v>
      </c>
      <c r="C116" s="614" t="s">
        <v>1600</v>
      </c>
      <c r="D116" s="619" t="s">
        <v>4704</v>
      </c>
      <c r="E116" s="617" t="s">
        <v>1601</v>
      </c>
      <c r="F116" s="614" t="s">
        <v>1528</v>
      </c>
      <c r="G116" s="609" t="s">
        <v>1453</v>
      </c>
      <c r="H116" s="618">
        <v>130</v>
      </c>
      <c r="I116" s="609">
        <v>45000000000</v>
      </c>
      <c r="J116" s="609" t="s">
        <v>1454</v>
      </c>
      <c r="K116" s="616" t="s">
        <v>1552</v>
      </c>
      <c r="L116" s="785">
        <v>100000</v>
      </c>
      <c r="M116" s="609" t="s">
        <v>2184</v>
      </c>
      <c r="N116" s="616">
        <v>100000</v>
      </c>
      <c r="O116" s="612">
        <v>43040</v>
      </c>
      <c r="P116" s="612">
        <v>43070</v>
      </c>
      <c r="Q116" s="609" t="s">
        <v>108</v>
      </c>
      <c r="R116" s="609" t="s">
        <v>1456</v>
      </c>
      <c r="S116" s="609" t="s">
        <v>1457</v>
      </c>
      <c r="T116" s="609"/>
      <c r="U116" s="609"/>
      <c r="V116" s="609"/>
      <c r="W116" s="609"/>
      <c r="X116" s="609"/>
      <c r="Y116" s="609"/>
      <c r="Z116" s="609"/>
      <c r="AA116" s="609" t="s">
        <v>1458</v>
      </c>
      <c r="AB116" s="642" t="s">
        <v>263</v>
      </c>
      <c r="AC116" s="652"/>
      <c r="AD116" s="652" t="s">
        <v>113</v>
      </c>
      <c r="AE116" s="653">
        <f t="shared" ref="AE116:AE179" si="2">IF(O116=0,,MONTH(O116))</f>
        <v>11</v>
      </c>
    </row>
    <row r="117" spans="1:31" ht="105" hidden="1" x14ac:dyDescent="0.25">
      <c r="A117" s="608" t="s">
        <v>3473</v>
      </c>
      <c r="B117" s="614" t="s">
        <v>1602</v>
      </c>
      <c r="C117" s="614" t="s">
        <v>1603</v>
      </c>
      <c r="D117" s="619" t="s">
        <v>4703</v>
      </c>
      <c r="E117" s="617" t="s">
        <v>1604</v>
      </c>
      <c r="F117" s="614" t="s">
        <v>1528</v>
      </c>
      <c r="G117" s="609" t="s">
        <v>1453</v>
      </c>
      <c r="H117" s="618">
        <v>45</v>
      </c>
      <c r="I117" s="609">
        <v>45000000000</v>
      </c>
      <c r="J117" s="609" t="s">
        <v>1454</v>
      </c>
      <c r="K117" s="616" t="s">
        <v>1552</v>
      </c>
      <c r="L117" s="785">
        <v>100000</v>
      </c>
      <c r="M117" s="609" t="s">
        <v>2184</v>
      </c>
      <c r="N117" s="616">
        <v>100000</v>
      </c>
      <c r="O117" s="612">
        <v>42767</v>
      </c>
      <c r="P117" s="612">
        <v>42826</v>
      </c>
      <c r="Q117" s="609" t="s">
        <v>108</v>
      </c>
      <c r="R117" s="609" t="s">
        <v>1456</v>
      </c>
      <c r="S117" s="609" t="s">
        <v>1457</v>
      </c>
      <c r="T117" s="609"/>
      <c r="U117" s="609"/>
      <c r="V117" s="609"/>
      <c r="W117" s="609"/>
      <c r="X117" s="609"/>
      <c r="Y117" s="609"/>
      <c r="Z117" s="609"/>
      <c r="AA117" s="609" t="s">
        <v>1458</v>
      </c>
      <c r="AB117" s="642" t="s">
        <v>263</v>
      </c>
      <c r="AC117" s="652"/>
      <c r="AD117" s="652" t="s">
        <v>113</v>
      </c>
      <c r="AE117" s="653">
        <f t="shared" si="2"/>
        <v>2</v>
      </c>
    </row>
    <row r="118" spans="1:31" ht="105" hidden="1" x14ac:dyDescent="0.25">
      <c r="A118" s="608" t="s">
        <v>3474</v>
      </c>
      <c r="B118" s="614" t="s">
        <v>1602</v>
      </c>
      <c r="C118" s="614" t="s">
        <v>1603</v>
      </c>
      <c r="D118" s="619" t="s">
        <v>4702</v>
      </c>
      <c r="E118" s="617" t="s">
        <v>1604</v>
      </c>
      <c r="F118" s="614" t="s">
        <v>1528</v>
      </c>
      <c r="G118" s="609" t="s">
        <v>1453</v>
      </c>
      <c r="H118" s="618">
        <v>45</v>
      </c>
      <c r="I118" s="609">
        <v>45000000000</v>
      </c>
      <c r="J118" s="609" t="s">
        <v>1454</v>
      </c>
      <c r="K118" s="616" t="s">
        <v>1605</v>
      </c>
      <c r="L118" s="785">
        <v>100000</v>
      </c>
      <c r="M118" s="609" t="s">
        <v>2184</v>
      </c>
      <c r="N118" s="616">
        <v>100000</v>
      </c>
      <c r="O118" s="612">
        <v>42856</v>
      </c>
      <c r="P118" s="612">
        <v>42917</v>
      </c>
      <c r="Q118" s="609" t="s">
        <v>108</v>
      </c>
      <c r="R118" s="609" t="s">
        <v>1456</v>
      </c>
      <c r="S118" s="609" t="s">
        <v>1457</v>
      </c>
      <c r="T118" s="609"/>
      <c r="U118" s="609"/>
      <c r="V118" s="609"/>
      <c r="W118" s="609"/>
      <c r="X118" s="609"/>
      <c r="Y118" s="609"/>
      <c r="Z118" s="609"/>
      <c r="AA118" s="609" t="s">
        <v>1458</v>
      </c>
      <c r="AB118" s="642" t="s">
        <v>263</v>
      </c>
      <c r="AC118" s="652"/>
      <c r="AD118" s="652" t="s">
        <v>113</v>
      </c>
      <c r="AE118" s="653">
        <f t="shared" si="2"/>
        <v>5</v>
      </c>
    </row>
    <row r="119" spans="1:31" ht="105" hidden="1" x14ac:dyDescent="0.25">
      <c r="A119" s="608" t="s">
        <v>3475</v>
      </c>
      <c r="B119" s="614" t="s">
        <v>1602</v>
      </c>
      <c r="C119" s="614" t="s">
        <v>1603</v>
      </c>
      <c r="D119" s="619" t="s">
        <v>4701</v>
      </c>
      <c r="E119" s="617" t="s">
        <v>1604</v>
      </c>
      <c r="F119" s="614" t="s">
        <v>1528</v>
      </c>
      <c r="G119" s="609" t="s">
        <v>1453</v>
      </c>
      <c r="H119" s="618">
        <v>50</v>
      </c>
      <c r="I119" s="609">
        <v>45000000000</v>
      </c>
      <c r="J119" s="609" t="s">
        <v>1454</v>
      </c>
      <c r="K119" s="616" t="s">
        <v>1552</v>
      </c>
      <c r="L119" s="785">
        <v>100000</v>
      </c>
      <c r="M119" s="609" t="s">
        <v>2184</v>
      </c>
      <c r="N119" s="616">
        <v>100000</v>
      </c>
      <c r="O119" s="612">
        <v>42917</v>
      </c>
      <c r="P119" s="612">
        <v>42979</v>
      </c>
      <c r="Q119" s="609" t="s">
        <v>108</v>
      </c>
      <c r="R119" s="609" t="s">
        <v>1456</v>
      </c>
      <c r="S119" s="609" t="s">
        <v>1457</v>
      </c>
      <c r="T119" s="609"/>
      <c r="U119" s="609"/>
      <c r="V119" s="609"/>
      <c r="W119" s="609"/>
      <c r="X119" s="609"/>
      <c r="Y119" s="609"/>
      <c r="Z119" s="609"/>
      <c r="AA119" s="609" t="s">
        <v>1458</v>
      </c>
      <c r="AB119" s="642" t="s">
        <v>263</v>
      </c>
      <c r="AC119" s="652"/>
      <c r="AD119" s="652" t="s">
        <v>113</v>
      </c>
      <c r="AE119" s="653">
        <f t="shared" si="2"/>
        <v>7</v>
      </c>
    </row>
    <row r="120" spans="1:31" ht="105" hidden="1" x14ac:dyDescent="0.25">
      <c r="A120" s="608" t="s">
        <v>3476</v>
      </c>
      <c r="B120" s="614" t="s">
        <v>1602</v>
      </c>
      <c r="C120" s="614" t="s">
        <v>1603</v>
      </c>
      <c r="D120" s="619" t="s">
        <v>4700</v>
      </c>
      <c r="E120" s="617" t="s">
        <v>1604</v>
      </c>
      <c r="F120" s="614" t="s">
        <v>1528</v>
      </c>
      <c r="G120" s="609" t="s">
        <v>1453</v>
      </c>
      <c r="H120" s="618">
        <v>50</v>
      </c>
      <c r="I120" s="609">
        <v>45000000000</v>
      </c>
      <c r="J120" s="609" t="s">
        <v>1454</v>
      </c>
      <c r="K120" s="616" t="s">
        <v>1605</v>
      </c>
      <c r="L120" s="785">
        <v>100000</v>
      </c>
      <c r="M120" s="609" t="s">
        <v>2184</v>
      </c>
      <c r="N120" s="616">
        <v>100000</v>
      </c>
      <c r="O120" s="612">
        <v>43040</v>
      </c>
      <c r="P120" s="612">
        <v>43070</v>
      </c>
      <c r="Q120" s="609" t="s">
        <v>108</v>
      </c>
      <c r="R120" s="609" t="s">
        <v>1456</v>
      </c>
      <c r="S120" s="609" t="s">
        <v>1457</v>
      </c>
      <c r="T120" s="609"/>
      <c r="U120" s="609"/>
      <c r="V120" s="609"/>
      <c r="W120" s="609"/>
      <c r="X120" s="609"/>
      <c r="Y120" s="609"/>
      <c r="Z120" s="609"/>
      <c r="AA120" s="609" t="s">
        <v>1458</v>
      </c>
      <c r="AB120" s="642" t="s">
        <v>263</v>
      </c>
      <c r="AC120" s="652"/>
      <c r="AD120" s="652" t="s">
        <v>113</v>
      </c>
      <c r="AE120" s="653">
        <f t="shared" si="2"/>
        <v>11</v>
      </c>
    </row>
    <row r="121" spans="1:31" ht="105" hidden="1" x14ac:dyDescent="0.25">
      <c r="A121" s="608" t="s">
        <v>3477</v>
      </c>
      <c r="B121" s="613" t="s">
        <v>1606</v>
      </c>
      <c r="C121" s="614" t="s">
        <v>1607</v>
      </c>
      <c r="D121" s="619" t="s">
        <v>4699</v>
      </c>
      <c r="E121" s="617" t="s">
        <v>1608</v>
      </c>
      <c r="F121" s="614" t="s">
        <v>1528</v>
      </c>
      <c r="G121" s="609" t="s">
        <v>1453</v>
      </c>
      <c r="H121" s="618">
        <v>700</v>
      </c>
      <c r="I121" s="609">
        <v>45000000000</v>
      </c>
      <c r="J121" s="609" t="s">
        <v>1454</v>
      </c>
      <c r="K121" s="616" t="s">
        <v>1609</v>
      </c>
      <c r="L121" s="785">
        <v>2200000</v>
      </c>
      <c r="M121" s="609" t="s">
        <v>2184</v>
      </c>
      <c r="N121" s="616">
        <v>2200000</v>
      </c>
      <c r="O121" s="612">
        <v>42917</v>
      </c>
      <c r="P121" s="612">
        <v>42948</v>
      </c>
      <c r="Q121" s="609" t="s">
        <v>108</v>
      </c>
      <c r="R121" s="609" t="s">
        <v>1456</v>
      </c>
      <c r="S121" s="609" t="s">
        <v>1457</v>
      </c>
      <c r="T121" s="609"/>
      <c r="U121" s="609"/>
      <c r="V121" s="609"/>
      <c r="W121" s="609"/>
      <c r="X121" s="609"/>
      <c r="Y121" s="609"/>
      <c r="Z121" s="609"/>
      <c r="AA121" s="609" t="s">
        <v>1458</v>
      </c>
      <c r="AB121" s="642" t="s">
        <v>263</v>
      </c>
      <c r="AC121" s="652"/>
      <c r="AD121" s="652" t="s">
        <v>113</v>
      </c>
      <c r="AE121" s="653">
        <f t="shared" si="2"/>
        <v>7</v>
      </c>
    </row>
    <row r="122" spans="1:31" ht="105" hidden="1" x14ac:dyDescent="0.25">
      <c r="A122" s="608" t="s">
        <v>3478</v>
      </c>
      <c r="B122" s="613" t="s">
        <v>1610</v>
      </c>
      <c r="C122" s="614" t="s">
        <v>1611</v>
      </c>
      <c r="D122" s="619" t="s">
        <v>4698</v>
      </c>
      <c r="E122" s="617" t="s">
        <v>1612</v>
      </c>
      <c r="F122" s="614" t="s">
        <v>1528</v>
      </c>
      <c r="G122" s="609" t="s">
        <v>1453</v>
      </c>
      <c r="H122" s="618">
        <v>1</v>
      </c>
      <c r="I122" s="609">
        <v>45000000000</v>
      </c>
      <c r="J122" s="609" t="s">
        <v>1454</v>
      </c>
      <c r="K122" s="616" t="s">
        <v>1613</v>
      </c>
      <c r="L122" s="785">
        <v>900000</v>
      </c>
      <c r="M122" s="609" t="s">
        <v>2184</v>
      </c>
      <c r="N122" s="616">
        <v>900000</v>
      </c>
      <c r="O122" s="612">
        <v>42887</v>
      </c>
      <c r="P122" s="612">
        <v>43070</v>
      </c>
      <c r="Q122" s="609" t="s">
        <v>108</v>
      </c>
      <c r="R122" s="609" t="s">
        <v>1456</v>
      </c>
      <c r="S122" s="609" t="s">
        <v>1457</v>
      </c>
      <c r="T122" s="609"/>
      <c r="U122" s="609"/>
      <c r="V122" s="609"/>
      <c r="W122" s="609"/>
      <c r="X122" s="609"/>
      <c r="Y122" s="609"/>
      <c r="Z122" s="609"/>
      <c r="AA122" s="609" t="s">
        <v>1458</v>
      </c>
      <c r="AB122" s="642" t="s">
        <v>263</v>
      </c>
      <c r="AC122" s="652"/>
      <c r="AD122" s="652" t="s">
        <v>113</v>
      </c>
      <c r="AE122" s="653">
        <f t="shared" si="2"/>
        <v>6</v>
      </c>
    </row>
    <row r="123" spans="1:31" ht="105" hidden="1" x14ac:dyDescent="0.25">
      <c r="A123" s="608" t="s">
        <v>3479</v>
      </c>
      <c r="B123" s="613" t="s">
        <v>1610</v>
      </c>
      <c r="C123" s="614" t="s">
        <v>1614</v>
      </c>
      <c r="D123" s="619" t="s">
        <v>4697</v>
      </c>
      <c r="E123" s="617" t="s">
        <v>1615</v>
      </c>
      <c r="F123" s="614" t="s">
        <v>1528</v>
      </c>
      <c r="G123" s="609" t="s">
        <v>1453</v>
      </c>
      <c r="H123" s="618">
        <v>2</v>
      </c>
      <c r="I123" s="609">
        <v>45000000000</v>
      </c>
      <c r="J123" s="609" t="s">
        <v>1454</v>
      </c>
      <c r="K123" s="616" t="s">
        <v>1616</v>
      </c>
      <c r="L123" s="785">
        <v>200000</v>
      </c>
      <c r="M123" s="609" t="s">
        <v>2184</v>
      </c>
      <c r="N123" s="616">
        <v>200000</v>
      </c>
      <c r="O123" s="612" t="s">
        <v>1617</v>
      </c>
      <c r="P123" s="612">
        <v>43040</v>
      </c>
      <c r="Q123" s="609" t="s">
        <v>108</v>
      </c>
      <c r="R123" s="609" t="s">
        <v>1456</v>
      </c>
      <c r="S123" s="609" t="s">
        <v>1457</v>
      </c>
      <c r="T123" s="609"/>
      <c r="U123" s="609"/>
      <c r="V123" s="609"/>
      <c r="W123" s="609"/>
      <c r="X123" s="609"/>
      <c r="Y123" s="609"/>
      <c r="Z123" s="609"/>
      <c r="AA123" s="609" t="s">
        <v>1458</v>
      </c>
      <c r="AB123" s="642" t="s">
        <v>263</v>
      </c>
      <c r="AC123" s="652"/>
      <c r="AD123" s="652" t="s">
        <v>113</v>
      </c>
      <c r="AE123" s="653">
        <f t="shared" si="2"/>
        <v>9</v>
      </c>
    </row>
    <row r="124" spans="1:31" ht="105" hidden="1" x14ac:dyDescent="0.25">
      <c r="A124" s="608" t="s">
        <v>3480</v>
      </c>
      <c r="B124" s="614" t="s">
        <v>1618</v>
      </c>
      <c r="C124" s="614" t="s">
        <v>1619</v>
      </c>
      <c r="D124" s="619" t="s">
        <v>4696</v>
      </c>
      <c r="E124" s="617" t="s">
        <v>1620</v>
      </c>
      <c r="F124" s="614" t="s">
        <v>1528</v>
      </c>
      <c r="G124" s="609" t="s">
        <v>1453</v>
      </c>
      <c r="H124" s="618">
        <v>130</v>
      </c>
      <c r="I124" s="609">
        <v>45000000000</v>
      </c>
      <c r="J124" s="609" t="s">
        <v>1454</v>
      </c>
      <c r="K124" s="616" t="s">
        <v>6808</v>
      </c>
      <c r="L124" s="785">
        <v>359465.13</v>
      </c>
      <c r="M124" s="609" t="s">
        <v>2184</v>
      </c>
      <c r="N124" s="616">
        <v>359465.13</v>
      </c>
      <c r="O124" s="612">
        <v>42917</v>
      </c>
      <c r="P124" s="612">
        <v>43070</v>
      </c>
      <c r="Q124" s="609" t="s">
        <v>108</v>
      </c>
      <c r="R124" s="609" t="s">
        <v>1456</v>
      </c>
      <c r="S124" s="609" t="s">
        <v>1457</v>
      </c>
      <c r="T124" s="609"/>
      <c r="U124" s="609"/>
      <c r="V124" s="609"/>
      <c r="W124" s="609"/>
      <c r="X124" s="609"/>
      <c r="Y124" s="609"/>
      <c r="Z124" s="609"/>
      <c r="AA124" s="609" t="s">
        <v>1458</v>
      </c>
      <c r="AB124" s="642" t="s">
        <v>263</v>
      </c>
      <c r="AC124" s="652"/>
      <c r="AD124" s="652" t="s">
        <v>113</v>
      </c>
      <c r="AE124" s="653">
        <f t="shared" si="2"/>
        <v>7</v>
      </c>
    </row>
    <row r="125" spans="1:31" ht="105" hidden="1" x14ac:dyDescent="0.25">
      <c r="A125" s="608" t="s">
        <v>3481</v>
      </c>
      <c r="B125" s="614" t="s">
        <v>1622</v>
      </c>
      <c r="C125" s="614" t="s">
        <v>1623</v>
      </c>
      <c r="D125" s="619" t="s">
        <v>4695</v>
      </c>
      <c r="E125" s="617" t="s">
        <v>1620</v>
      </c>
      <c r="F125" s="614" t="s">
        <v>1528</v>
      </c>
      <c r="G125" s="609" t="s">
        <v>1453</v>
      </c>
      <c r="H125" s="618">
        <v>53020</v>
      </c>
      <c r="I125" s="609">
        <v>45000000000</v>
      </c>
      <c r="J125" s="609" t="s">
        <v>1454</v>
      </c>
      <c r="K125" s="616" t="s">
        <v>4811</v>
      </c>
      <c r="L125" s="805">
        <v>2482163.37</v>
      </c>
      <c r="M125" s="838" t="s">
        <v>4838</v>
      </c>
      <c r="N125" s="616">
        <v>2482163.37</v>
      </c>
      <c r="O125" s="612">
        <v>42767</v>
      </c>
      <c r="P125" s="612">
        <v>43070</v>
      </c>
      <c r="Q125" s="609" t="s">
        <v>108</v>
      </c>
      <c r="R125" s="609" t="s">
        <v>1456</v>
      </c>
      <c r="S125" s="609" t="s">
        <v>1457</v>
      </c>
      <c r="T125" s="609"/>
      <c r="U125" s="609"/>
      <c r="V125" s="609"/>
      <c r="W125" s="609"/>
      <c r="X125" s="609"/>
      <c r="Y125" s="609"/>
      <c r="Z125" s="609"/>
      <c r="AA125" s="609" t="s">
        <v>1458</v>
      </c>
      <c r="AB125" s="642" t="s">
        <v>263</v>
      </c>
      <c r="AC125" s="652"/>
      <c r="AD125" s="652" t="s">
        <v>113</v>
      </c>
      <c r="AE125" s="653">
        <f t="shared" si="2"/>
        <v>2</v>
      </c>
    </row>
    <row r="126" spans="1:31" ht="105" hidden="1" x14ac:dyDescent="0.25">
      <c r="A126" s="608" t="s">
        <v>3482</v>
      </c>
      <c r="B126" s="614" t="s">
        <v>1624</v>
      </c>
      <c r="C126" s="614" t="s">
        <v>1625</v>
      </c>
      <c r="D126" s="619" t="s">
        <v>4694</v>
      </c>
      <c r="E126" s="617" t="s">
        <v>1626</v>
      </c>
      <c r="F126" s="614" t="s">
        <v>1528</v>
      </c>
      <c r="G126" s="609" t="s">
        <v>1453</v>
      </c>
      <c r="H126" s="618">
        <v>15000</v>
      </c>
      <c r="I126" s="609">
        <v>45000000000</v>
      </c>
      <c r="J126" s="609" t="s">
        <v>1454</v>
      </c>
      <c r="K126" s="616" t="s">
        <v>1627</v>
      </c>
      <c r="L126" s="785">
        <v>750000</v>
      </c>
      <c r="M126" s="609" t="s">
        <v>2184</v>
      </c>
      <c r="N126" s="616">
        <v>750000</v>
      </c>
      <c r="O126" s="612">
        <v>42767</v>
      </c>
      <c r="P126" s="612">
        <v>43070</v>
      </c>
      <c r="Q126" s="609" t="s">
        <v>108</v>
      </c>
      <c r="R126" s="609" t="s">
        <v>1456</v>
      </c>
      <c r="S126" s="609" t="s">
        <v>1457</v>
      </c>
      <c r="T126" s="609"/>
      <c r="U126" s="609"/>
      <c r="V126" s="609"/>
      <c r="W126" s="609"/>
      <c r="X126" s="609"/>
      <c r="Y126" s="609"/>
      <c r="Z126" s="609"/>
      <c r="AA126" s="609" t="s">
        <v>1458</v>
      </c>
      <c r="AB126" s="642" t="s">
        <v>263</v>
      </c>
      <c r="AC126" s="652"/>
      <c r="AD126" s="652" t="s">
        <v>113</v>
      </c>
      <c r="AE126" s="653">
        <f t="shared" si="2"/>
        <v>2</v>
      </c>
    </row>
    <row r="127" spans="1:31" ht="105" hidden="1" x14ac:dyDescent="0.25">
      <c r="A127" s="608" t="s">
        <v>3483</v>
      </c>
      <c r="B127" s="614" t="s">
        <v>1622</v>
      </c>
      <c r="C127" s="614" t="s">
        <v>1623</v>
      </c>
      <c r="D127" s="619" t="s">
        <v>4693</v>
      </c>
      <c r="E127" s="617" t="s">
        <v>1626</v>
      </c>
      <c r="F127" s="614" t="s">
        <v>1528</v>
      </c>
      <c r="G127" s="609" t="s">
        <v>1453</v>
      </c>
      <c r="H127" s="618">
        <v>250</v>
      </c>
      <c r="I127" s="609">
        <v>45000000000</v>
      </c>
      <c r="J127" s="609" t="s">
        <v>1454</v>
      </c>
      <c r="K127" s="616" t="s">
        <v>1616</v>
      </c>
      <c r="L127" s="785">
        <v>200000</v>
      </c>
      <c r="M127" s="609" t="s">
        <v>2184</v>
      </c>
      <c r="N127" s="616">
        <v>200000</v>
      </c>
      <c r="O127" s="612">
        <v>42948</v>
      </c>
      <c r="P127" s="612">
        <v>43070</v>
      </c>
      <c r="Q127" s="609" t="s">
        <v>108</v>
      </c>
      <c r="R127" s="609" t="s">
        <v>1456</v>
      </c>
      <c r="S127" s="609" t="s">
        <v>1457</v>
      </c>
      <c r="T127" s="609"/>
      <c r="U127" s="609"/>
      <c r="V127" s="609"/>
      <c r="W127" s="609"/>
      <c r="X127" s="609"/>
      <c r="Y127" s="609"/>
      <c r="Z127" s="609"/>
      <c r="AA127" s="609" t="s">
        <v>1458</v>
      </c>
      <c r="AB127" s="642" t="s">
        <v>263</v>
      </c>
      <c r="AC127" s="652"/>
      <c r="AD127" s="652" t="s">
        <v>113</v>
      </c>
      <c r="AE127" s="653">
        <f t="shared" si="2"/>
        <v>8</v>
      </c>
    </row>
    <row r="128" spans="1:31" ht="105" hidden="1" x14ac:dyDescent="0.25">
      <c r="A128" s="608" t="s">
        <v>3484</v>
      </c>
      <c r="B128" s="614" t="s">
        <v>1618</v>
      </c>
      <c r="C128" s="614" t="s">
        <v>1619</v>
      </c>
      <c r="D128" s="619" t="s">
        <v>4692</v>
      </c>
      <c r="E128" s="617" t="s">
        <v>1626</v>
      </c>
      <c r="F128" s="614" t="s">
        <v>1528</v>
      </c>
      <c r="G128" s="609" t="s">
        <v>1453</v>
      </c>
      <c r="H128" s="618">
        <v>1700</v>
      </c>
      <c r="I128" s="609">
        <v>45000000000</v>
      </c>
      <c r="J128" s="609" t="s">
        <v>1454</v>
      </c>
      <c r="K128" s="616" t="s">
        <v>3340</v>
      </c>
      <c r="L128" s="785">
        <v>2146143.79</v>
      </c>
      <c r="M128" s="838" t="s">
        <v>4838</v>
      </c>
      <c r="N128" s="616">
        <v>2146143.79</v>
      </c>
      <c r="O128" s="612">
        <v>42767</v>
      </c>
      <c r="P128" s="612">
        <v>43070</v>
      </c>
      <c r="Q128" s="609" t="s">
        <v>108</v>
      </c>
      <c r="R128" s="609" t="s">
        <v>1456</v>
      </c>
      <c r="S128" s="609" t="s">
        <v>1457</v>
      </c>
      <c r="T128" s="609"/>
      <c r="U128" s="609"/>
      <c r="V128" s="609"/>
      <c r="W128" s="609"/>
      <c r="X128" s="609"/>
      <c r="Y128" s="609"/>
      <c r="Z128" s="609"/>
      <c r="AA128" s="609" t="s">
        <v>1458</v>
      </c>
      <c r="AB128" s="642" t="s">
        <v>263</v>
      </c>
      <c r="AC128" s="652"/>
      <c r="AD128" s="652" t="s">
        <v>113</v>
      </c>
      <c r="AE128" s="653">
        <f t="shared" si="2"/>
        <v>2</v>
      </c>
    </row>
    <row r="129" spans="1:31" ht="105" hidden="1" x14ac:dyDescent="0.25">
      <c r="A129" s="608" t="s">
        <v>3485</v>
      </c>
      <c r="B129" s="614" t="s">
        <v>1629</v>
      </c>
      <c r="C129" s="614" t="s">
        <v>1630</v>
      </c>
      <c r="D129" s="619" t="s">
        <v>4691</v>
      </c>
      <c r="E129" s="617" t="s">
        <v>1631</v>
      </c>
      <c r="F129" s="614" t="s">
        <v>1528</v>
      </c>
      <c r="G129" s="609" t="s">
        <v>1453</v>
      </c>
      <c r="H129" s="618">
        <v>50</v>
      </c>
      <c r="I129" s="609">
        <v>45000000000</v>
      </c>
      <c r="J129" s="609" t="s">
        <v>1454</v>
      </c>
      <c r="K129" s="616" t="s">
        <v>1605</v>
      </c>
      <c r="L129" s="785">
        <v>100000</v>
      </c>
      <c r="M129" s="609" t="s">
        <v>2184</v>
      </c>
      <c r="N129" s="616">
        <v>100000</v>
      </c>
      <c r="O129" s="612">
        <v>42767</v>
      </c>
      <c r="P129" s="612">
        <v>43070</v>
      </c>
      <c r="Q129" s="609" t="s">
        <v>108</v>
      </c>
      <c r="R129" s="609" t="s">
        <v>1456</v>
      </c>
      <c r="S129" s="609" t="s">
        <v>1457</v>
      </c>
      <c r="T129" s="609"/>
      <c r="U129" s="609"/>
      <c r="V129" s="609"/>
      <c r="W129" s="609"/>
      <c r="X129" s="609"/>
      <c r="Y129" s="609"/>
      <c r="Z129" s="609"/>
      <c r="AA129" s="609" t="s">
        <v>1458</v>
      </c>
      <c r="AB129" s="642" t="s">
        <v>263</v>
      </c>
      <c r="AC129" s="652"/>
      <c r="AD129" s="652" t="s">
        <v>113</v>
      </c>
      <c r="AE129" s="653">
        <f t="shared" si="2"/>
        <v>2</v>
      </c>
    </row>
    <row r="130" spans="1:31" ht="105" hidden="1" x14ac:dyDescent="0.25">
      <c r="A130" s="608" t="s">
        <v>3486</v>
      </c>
      <c r="B130" s="614" t="s">
        <v>1531</v>
      </c>
      <c r="C130" s="614" t="s">
        <v>1632</v>
      </c>
      <c r="D130" s="619" t="s">
        <v>4690</v>
      </c>
      <c r="E130" s="617" t="s">
        <v>1633</v>
      </c>
      <c r="F130" s="614" t="s">
        <v>1528</v>
      </c>
      <c r="G130" s="609" t="s">
        <v>1453</v>
      </c>
      <c r="H130" s="618">
        <v>90000</v>
      </c>
      <c r="I130" s="609">
        <v>45000000000</v>
      </c>
      <c r="J130" s="609" t="s">
        <v>1454</v>
      </c>
      <c r="K130" s="616" t="s">
        <v>1634</v>
      </c>
      <c r="L130" s="785">
        <v>2500000</v>
      </c>
      <c r="M130" s="609" t="s">
        <v>2184</v>
      </c>
      <c r="N130" s="616">
        <v>2500000</v>
      </c>
      <c r="O130" s="612">
        <v>42795</v>
      </c>
      <c r="P130" s="612">
        <v>43070</v>
      </c>
      <c r="Q130" s="609" t="s">
        <v>108</v>
      </c>
      <c r="R130" s="609" t="s">
        <v>1456</v>
      </c>
      <c r="S130" s="609" t="s">
        <v>1457</v>
      </c>
      <c r="T130" s="609"/>
      <c r="U130" s="609"/>
      <c r="V130" s="609"/>
      <c r="W130" s="609"/>
      <c r="X130" s="609"/>
      <c r="Y130" s="609"/>
      <c r="Z130" s="609"/>
      <c r="AA130" s="609" t="s">
        <v>1458</v>
      </c>
      <c r="AB130" s="642" t="s">
        <v>263</v>
      </c>
      <c r="AC130" s="652"/>
      <c r="AD130" s="652" t="s">
        <v>113</v>
      </c>
      <c r="AE130" s="653">
        <f t="shared" si="2"/>
        <v>3</v>
      </c>
    </row>
    <row r="131" spans="1:31" ht="105" hidden="1" x14ac:dyDescent="0.25">
      <c r="A131" s="608" t="s">
        <v>3487</v>
      </c>
      <c r="B131" s="614" t="s">
        <v>1635</v>
      </c>
      <c r="C131" s="614" t="s">
        <v>1636</v>
      </c>
      <c r="D131" s="619" t="s">
        <v>4689</v>
      </c>
      <c r="E131" s="617" t="s">
        <v>1633</v>
      </c>
      <c r="F131" s="614" t="s">
        <v>1587</v>
      </c>
      <c r="G131" s="609" t="s">
        <v>1588</v>
      </c>
      <c r="H131" s="618">
        <v>300</v>
      </c>
      <c r="I131" s="609">
        <v>45000000000</v>
      </c>
      <c r="J131" s="609" t="s">
        <v>1454</v>
      </c>
      <c r="K131" s="616" t="s">
        <v>1637</v>
      </c>
      <c r="L131" s="785">
        <v>1000000</v>
      </c>
      <c r="M131" s="609" t="s">
        <v>2184</v>
      </c>
      <c r="N131" s="616">
        <v>1000000</v>
      </c>
      <c r="O131" s="612">
        <v>42826</v>
      </c>
      <c r="P131" s="612">
        <v>43070</v>
      </c>
      <c r="Q131" s="609" t="s">
        <v>108</v>
      </c>
      <c r="R131" s="609" t="s">
        <v>1456</v>
      </c>
      <c r="S131" s="609" t="s">
        <v>1457</v>
      </c>
      <c r="T131" s="609"/>
      <c r="U131" s="609"/>
      <c r="V131" s="609"/>
      <c r="W131" s="609"/>
      <c r="X131" s="609"/>
      <c r="Y131" s="609"/>
      <c r="Z131" s="609"/>
      <c r="AA131" s="609" t="s">
        <v>1458</v>
      </c>
      <c r="AB131" s="642" t="s">
        <v>263</v>
      </c>
      <c r="AC131" s="652"/>
      <c r="AD131" s="652" t="s">
        <v>113</v>
      </c>
      <c r="AE131" s="653">
        <f t="shared" si="2"/>
        <v>4</v>
      </c>
    </row>
    <row r="132" spans="1:31" ht="105" hidden="1" x14ac:dyDescent="0.25">
      <c r="A132" s="608" t="s">
        <v>3488</v>
      </c>
      <c r="B132" s="614" t="s">
        <v>1635</v>
      </c>
      <c r="C132" s="614" t="s">
        <v>1636</v>
      </c>
      <c r="D132" s="619" t="s">
        <v>4688</v>
      </c>
      <c r="E132" s="617" t="s">
        <v>1633</v>
      </c>
      <c r="F132" s="614" t="s">
        <v>1528</v>
      </c>
      <c r="G132" s="609" t="s">
        <v>1453</v>
      </c>
      <c r="H132" s="618">
        <v>30</v>
      </c>
      <c r="I132" s="609">
        <v>45000000000</v>
      </c>
      <c r="J132" s="609" t="s">
        <v>1454</v>
      </c>
      <c r="K132" s="616" t="s">
        <v>1616</v>
      </c>
      <c r="L132" s="785">
        <v>200000</v>
      </c>
      <c r="M132" s="609" t="s">
        <v>2184</v>
      </c>
      <c r="N132" s="616">
        <v>200000</v>
      </c>
      <c r="O132" s="612">
        <v>42826</v>
      </c>
      <c r="P132" s="612">
        <v>43070</v>
      </c>
      <c r="Q132" s="609" t="s">
        <v>108</v>
      </c>
      <c r="R132" s="609" t="s">
        <v>1456</v>
      </c>
      <c r="S132" s="609" t="s">
        <v>1457</v>
      </c>
      <c r="T132" s="609"/>
      <c r="U132" s="609"/>
      <c r="V132" s="609"/>
      <c r="W132" s="609"/>
      <c r="X132" s="609"/>
      <c r="Y132" s="609"/>
      <c r="Z132" s="609"/>
      <c r="AA132" s="609" t="s">
        <v>1458</v>
      </c>
      <c r="AB132" s="642" t="s">
        <v>263</v>
      </c>
      <c r="AC132" s="652"/>
      <c r="AD132" s="652" t="s">
        <v>113</v>
      </c>
      <c r="AE132" s="653">
        <f t="shared" si="2"/>
        <v>4</v>
      </c>
    </row>
    <row r="133" spans="1:31" ht="105" hidden="1" x14ac:dyDescent="0.25">
      <c r="A133" s="608" t="s">
        <v>3489</v>
      </c>
      <c r="B133" s="614" t="s">
        <v>1635</v>
      </c>
      <c r="C133" s="614" t="s">
        <v>1638</v>
      </c>
      <c r="D133" s="619" t="s">
        <v>4687</v>
      </c>
      <c r="E133" s="617" t="s">
        <v>1633</v>
      </c>
      <c r="F133" s="614" t="s">
        <v>1528</v>
      </c>
      <c r="G133" s="609" t="s">
        <v>1453</v>
      </c>
      <c r="H133" s="618">
        <v>50</v>
      </c>
      <c r="I133" s="609">
        <v>45000000000</v>
      </c>
      <c r="J133" s="609" t="s">
        <v>1454</v>
      </c>
      <c r="K133" s="616" t="s">
        <v>1621</v>
      </c>
      <c r="L133" s="785">
        <v>500000</v>
      </c>
      <c r="M133" s="609" t="s">
        <v>2184</v>
      </c>
      <c r="N133" s="616">
        <v>500000</v>
      </c>
      <c r="O133" s="612">
        <v>42826</v>
      </c>
      <c r="P133" s="612">
        <v>43070</v>
      </c>
      <c r="Q133" s="609" t="s">
        <v>108</v>
      </c>
      <c r="R133" s="609" t="s">
        <v>1456</v>
      </c>
      <c r="S133" s="609" t="s">
        <v>1457</v>
      </c>
      <c r="T133" s="609"/>
      <c r="U133" s="609"/>
      <c r="V133" s="609"/>
      <c r="W133" s="609"/>
      <c r="X133" s="609"/>
      <c r="Y133" s="609"/>
      <c r="Z133" s="609"/>
      <c r="AA133" s="609" t="s">
        <v>1458</v>
      </c>
      <c r="AB133" s="642" t="s">
        <v>263</v>
      </c>
      <c r="AC133" s="652"/>
      <c r="AD133" s="652" t="s">
        <v>113</v>
      </c>
      <c r="AE133" s="653">
        <f t="shared" si="2"/>
        <v>4</v>
      </c>
    </row>
    <row r="134" spans="1:31" ht="105" hidden="1" x14ac:dyDescent="0.25">
      <c r="A134" s="608" t="s">
        <v>3490</v>
      </c>
      <c r="B134" s="614" t="s">
        <v>1639</v>
      </c>
      <c r="C134" s="614" t="s">
        <v>1638</v>
      </c>
      <c r="D134" s="619" t="s">
        <v>4686</v>
      </c>
      <c r="E134" s="617" t="s">
        <v>1633</v>
      </c>
      <c r="F134" s="614" t="s">
        <v>1640</v>
      </c>
      <c r="G134" s="609" t="s">
        <v>1641</v>
      </c>
      <c r="H134" s="618">
        <v>40</v>
      </c>
      <c r="I134" s="609">
        <v>45000000000</v>
      </c>
      <c r="J134" s="609" t="s">
        <v>1454</v>
      </c>
      <c r="K134" s="616" t="s">
        <v>1616</v>
      </c>
      <c r="L134" s="785">
        <v>200000</v>
      </c>
      <c r="M134" s="609" t="s">
        <v>2184</v>
      </c>
      <c r="N134" s="616">
        <v>200000</v>
      </c>
      <c r="O134" s="612">
        <v>42856</v>
      </c>
      <c r="P134" s="612">
        <v>43070</v>
      </c>
      <c r="Q134" s="609" t="s">
        <v>108</v>
      </c>
      <c r="R134" s="609" t="s">
        <v>1456</v>
      </c>
      <c r="S134" s="609" t="s">
        <v>1457</v>
      </c>
      <c r="T134" s="609"/>
      <c r="U134" s="609"/>
      <c r="V134" s="609"/>
      <c r="W134" s="609"/>
      <c r="X134" s="609"/>
      <c r="Y134" s="609"/>
      <c r="Z134" s="609"/>
      <c r="AA134" s="609" t="s">
        <v>1458</v>
      </c>
      <c r="AB134" s="642" t="s">
        <v>263</v>
      </c>
      <c r="AC134" s="652"/>
      <c r="AD134" s="652" t="s">
        <v>113</v>
      </c>
      <c r="AE134" s="653">
        <f t="shared" si="2"/>
        <v>5</v>
      </c>
    </row>
    <row r="135" spans="1:31" ht="105" hidden="1" x14ac:dyDescent="0.25">
      <c r="A135" s="608" t="s">
        <v>3491</v>
      </c>
      <c r="B135" s="614" t="s">
        <v>1642</v>
      </c>
      <c r="C135" s="614" t="s">
        <v>1643</v>
      </c>
      <c r="D135" s="619" t="s">
        <v>4685</v>
      </c>
      <c r="E135" s="617" t="s">
        <v>1633</v>
      </c>
      <c r="F135" s="614" t="s">
        <v>1587</v>
      </c>
      <c r="G135" s="609" t="s">
        <v>1588</v>
      </c>
      <c r="H135" s="618">
        <v>9</v>
      </c>
      <c r="I135" s="609">
        <v>45000000000</v>
      </c>
      <c r="J135" s="609" t="s">
        <v>1454</v>
      </c>
      <c r="K135" s="616" t="s">
        <v>1644</v>
      </c>
      <c r="L135" s="785">
        <v>800000</v>
      </c>
      <c r="M135" s="609" t="s">
        <v>2184</v>
      </c>
      <c r="N135" s="616">
        <v>800000</v>
      </c>
      <c r="O135" s="612">
        <v>42767</v>
      </c>
      <c r="P135" s="612">
        <v>43070</v>
      </c>
      <c r="Q135" s="609" t="s">
        <v>108</v>
      </c>
      <c r="R135" s="609" t="s">
        <v>1456</v>
      </c>
      <c r="S135" s="609" t="s">
        <v>1457</v>
      </c>
      <c r="T135" s="609"/>
      <c r="U135" s="609"/>
      <c r="V135" s="609"/>
      <c r="W135" s="609"/>
      <c r="X135" s="609"/>
      <c r="Y135" s="609"/>
      <c r="Z135" s="609"/>
      <c r="AA135" s="609" t="s">
        <v>1458</v>
      </c>
      <c r="AB135" s="642" t="s">
        <v>263</v>
      </c>
      <c r="AC135" s="652"/>
      <c r="AD135" s="652" t="s">
        <v>113</v>
      </c>
      <c r="AE135" s="653">
        <f t="shared" si="2"/>
        <v>2</v>
      </c>
    </row>
    <row r="136" spans="1:31" ht="105" hidden="1" x14ac:dyDescent="0.25">
      <c r="A136" s="608" t="s">
        <v>3492</v>
      </c>
      <c r="B136" s="614" t="s">
        <v>1642</v>
      </c>
      <c r="C136" s="614" t="s">
        <v>1643</v>
      </c>
      <c r="D136" s="619" t="s">
        <v>4684</v>
      </c>
      <c r="E136" s="617" t="s">
        <v>1633</v>
      </c>
      <c r="F136" s="614" t="s">
        <v>1645</v>
      </c>
      <c r="G136" s="609" t="s">
        <v>1646</v>
      </c>
      <c r="H136" s="618">
        <v>2</v>
      </c>
      <c r="I136" s="609">
        <v>45000000000</v>
      </c>
      <c r="J136" s="609" t="s">
        <v>1454</v>
      </c>
      <c r="K136" s="616" t="s">
        <v>1647</v>
      </c>
      <c r="L136" s="785">
        <v>400000</v>
      </c>
      <c r="M136" s="609" t="s">
        <v>2184</v>
      </c>
      <c r="N136" s="616">
        <v>400000</v>
      </c>
      <c r="O136" s="612">
        <v>42795</v>
      </c>
      <c r="P136" s="612">
        <v>43070</v>
      </c>
      <c r="Q136" s="609" t="s">
        <v>108</v>
      </c>
      <c r="R136" s="609" t="s">
        <v>1456</v>
      </c>
      <c r="S136" s="609" t="s">
        <v>1457</v>
      </c>
      <c r="T136" s="609"/>
      <c r="U136" s="609"/>
      <c r="V136" s="609"/>
      <c r="W136" s="609"/>
      <c r="X136" s="609"/>
      <c r="Y136" s="609"/>
      <c r="Z136" s="609"/>
      <c r="AA136" s="609" t="s">
        <v>1458</v>
      </c>
      <c r="AB136" s="642" t="s">
        <v>263</v>
      </c>
      <c r="AC136" s="652"/>
      <c r="AD136" s="652" t="s">
        <v>113</v>
      </c>
      <c r="AE136" s="653">
        <f t="shared" si="2"/>
        <v>3</v>
      </c>
    </row>
    <row r="137" spans="1:31" ht="105" hidden="1" x14ac:dyDescent="0.25">
      <c r="A137" s="608" t="s">
        <v>3493</v>
      </c>
      <c r="B137" s="614" t="s">
        <v>1642</v>
      </c>
      <c r="C137" s="614" t="s">
        <v>1643</v>
      </c>
      <c r="D137" s="619" t="s">
        <v>4683</v>
      </c>
      <c r="E137" s="617" t="s">
        <v>1633</v>
      </c>
      <c r="F137" s="614" t="s">
        <v>1640</v>
      </c>
      <c r="G137" s="609" t="s">
        <v>1641</v>
      </c>
      <c r="H137" s="618">
        <v>1</v>
      </c>
      <c r="I137" s="609">
        <v>45000000000</v>
      </c>
      <c r="J137" s="609" t="s">
        <v>1454</v>
      </c>
      <c r="K137" s="616" t="s">
        <v>1616</v>
      </c>
      <c r="L137" s="785">
        <v>200000</v>
      </c>
      <c r="M137" s="609" t="s">
        <v>2184</v>
      </c>
      <c r="N137" s="616">
        <v>200000</v>
      </c>
      <c r="O137" s="612">
        <v>42826</v>
      </c>
      <c r="P137" s="612">
        <v>43070</v>
      </c>
      <c r="Q137" s="609" t="s">
        <v>108</v>
      </c>
      <c r="R137" s="609" t="s">
        <v>1456</v>
      </c>
      <c r="S137" s="609" t="s">
        <v>1457</v>
      </c>
      <c r="T137" s="609"/>
      <c r="U137" s="609"/>
      <c r="V137" s="609"/>
      <c r="W137" s="609"/>
      <c r="X137" s="609"/>
      <c r="Y137" s="609"/>
      <c r="Z137" s="609"/>
      <c r="AA137" s="609" t="s">
        <v>1458</v>
      </c>
      <c r="AB137" s="642" t="s">
        <v>263</v>
      </c>
      <c r="AC137" s="652"/>
      <c r="AD137" s="652" t="s">
        <v>113</v>
      </c>
      <c r="AE137" s="653">
        <f t="shared" si="2"/>
        <v>4</v>
      </c>
    </row>
    <row r="138" spans="1:31" ht="105" hidden="1" x14ac:dyDescent="0.25">
      <c r="A138" s="608" t="s">
        <v>3494</v>
      </c>
      <c r="B138" s="614" t="s">
        <v>1642</v>
      </c>
      <c r="C138" s="614" t="s">
        <v>1643</v>
      </c>
      <c r="D138" s="619" t="s">
        <v>4682</v>
      </c>
      <c r="E138" s="617" t="s">
        <v>1633</v>
      </c>
      <c r="F138" s="614" t="s">
        <v>1645</v>
      </c>
      <c r="G138" s="609" t="s">
        <v>1646</v>
      </c>
      <c r="H138" s="618">
        <v>50</v>
      </c>
      <c r="I138" s="609">
        <v>45000000000</v>
      </c>
      <c r="J138" s="609" t="s">
        <v>1454</v>
      </c>
      <c r="K138" s="616" t="s">
        <v>1621</v>
      </c>
      <c r="L138" s="785">
        <v>500000</v>
      </c>
      <c r="M138" s="609" t="s">
        <v>2184</v>
      </c>
      <c r="N138" s="616">
        <v>500000</v>
      </c>
      <c r="O138" s="612">
        <v>42826</v>
      </c>
      <c r="P138" s="612">
        <v>43070</v>
      </c>
      <c r="Q138" s="609" t="s">
        <v>108</v>
      </c>
      <c r="R138" s="609" t="s">
        <v>1456</v>
      </c>
      <c r="S138" s="609" t="s">
        <v>1457</v>
      </c>
      <c r="T138" s="609"/>
      <c r="U138" s="609"/>
      <c r="V138" s="609"/>
      <c r="W138" s="609"/>
      <c r="X138" s="609"/>
      <c r="Y138" s="609"/>
      <c r="Z138" s="609"/>
      <c r="AA138" s="609" t="s">
        <v>1458</v>
      </c>
      <c r="AB138" s="642" t="s">
        <v>263</v>
      </c>
      <c r="AC138" s="652"/>
      <c r="AD138" s="652" t="s">
        <v>113</v>
      </c>
      <c r="AE138" s="653">
        <f t="shared" si="2"/>
        <v>4</v>
      </c>
    </row>
    <row r="139" spans="1:31" ht="105" hidden="1" x14ac:dyDescent="0.25">
      <c r="A139" s="608" t="s">
        <v>3495</v>
      </c>
      <c r="B139" s="614" t="s">
        <v>1642</v>
      </c>
      <c r="C139" s="614" t="s">
        <v>1643</v>
      </c>
      <c r="D139" s="619" t="s">
        <v>4681</v>
      </c>
      <c r="E139" s="617" t="s">
        <v>1633</v>
      </c>
      <c r="F139" s="614" t="s">
        <v>1645</v>
      </c>
      <c r="G139" s="609" t="s">
        <v>1646</v>
      </c>
      <c r="H139" s="618">
        <v>1500</v>
      </c>
      <c r="I139" s="609">
        <v>45000000000</v>
      </c>
      <c r="J139" s="609" t="s">
        <v>1454</v>
      </c>
      <c r="K139" s="616" t="s">
        <v>1605</v>
      </c>
      <c r="L139" s="785">
        <v>100000</v>
      </c>
      <c r="M139" s="609" t="s">
        <v>2184</v>
      </c>
      <c r="N139" s="616">
        <v>100000</v>
      </c>
      <c r="O139" s="612">
        <v>42767</v>
      </c>
      <c r="P139" s="612">
        <v>43070</v>
      </c>
      <c r="Q139" s="609" t="s">
        <v>108</v>
      </c>
      <c r="R139" s="609" t="s">
        <v>1456</v>
      </c>
      <c r="S139" s="609" t="s">
        <v>1457</v>
      </c>
      <c r="T139" s="609"/>
      <c r="U139" s="609"/>
      <c r="V139" s="609"/>
      <c r="W139" s="609"/>
      <c r="X139" s="609"/>
      <c r="Y139" s="609"/>
      <c r="Z139" s="609"/>
      <c r="AA139" s="609" t="s">
        <v>1458</v>
      </c>
      <c r="AB139" s="642" t="s">
        <v>263</v>
      </c>
      <c r="AC139" s="652"/>
      <c r="AD139" s="652" t="s">
        <v>113</v>
      </c>
      <c r="AE139" s="653">
        <f t="shared" si="2"/>
        <v>2</v>
      </c>
    </row>
    <row r="140" spans="1:31" ht="105" hidden="1" x14ac:dyDescent="0.25">
      <c r="A140" s="608" t="s">
        <v>3496</v>
      </c>
      <c r="B140" s="614" t="s">
        <v>216</v>
      </c>
      <c r="C140" s="614" t="s">
        <v>1648</v>
      </c>
      <c r="D140" s="619" t="s">
        <v>4680</v>
      </c>
      <c r="E140" s="617" t="s">
        <v>1633</v>
      </c>
      <c r="F140" s="614" t="s">
        <v>1528</v>
      </c>
      <c r="G140" s="609" t="s">
        <v>1453</v>
      </c>
      <c r="H140" s="618">
        <v>3</v>
      </c>
      <c r="I140" s="609">
        <v>45000000000</v>
      </c>
      <c r="J140" s="609" t="s">
        <v>1454</v>
      </c>
      <c r="K140" s="616" t="s">
        <v>1605</v>
      </c>
      <c r="L140" s="785">
        <v>100000</v>
      </c>
      <c r="M140" s="609" t="s">
        <v>2184</v>
      </c>
      <c r="N140" s="616">
        <v>100000</v>
      </c>
      <c r="O140" s="612">
        <v>42795</v>
      </c>
      <c r="P140" s="612">
        <v>43070</v>
      </c>
      <c r="Q140" s="609" t="s">
        <v>108</v>
      </c>
      <c r="R140" s="609" t="s">
        <v>1456</v>
      </c>
      <c r="S140" s="609" t="s">
        <v>1457</v>
      </c>
      <c r="T140" s="609"/>
      <c r="U140" s="609"/>
      <c r="V140" s="609"/>
      <c r="W140" s="609"/>
      <c r="X140" s="609"/>
      <c r="Y140" s="609"/>
      <c r="Z140" s="609"/>
      <c r="AA140" s="609" t="s">
        <v>1458</v>
      </c>
      <c r="AB140" s="642" t="s">
        <v>263</v>
      </c>
      <c r="AC140" s="652"/>
      <c r="AD140" s="652" t="s">
        <v>113</v>
      </c>
      <c r="AE140" s="653">
        <f t="shared" si="2"/>
        <v>3</v>
      </c>
    </row>
    <row r="141" spans="1:31" ht="105" hidden="1" x14ac:dyDescent="0.25">
      <c r="A141" s="608" t="s">
        <v>3497</v>
      </c>
      <c r="B141" s="614" t="s">
        <v>1649</v>
      </c>
      <c r="C141" s="614" t="s">
        <v>1649</v>
      </c>
      <c r="D141" s="619" t="s">
        <v>4679</v>
      </c>
      <c r="E141" s="617" t="s">
        <v>1633</v>
      </c>
      <c r="F141" s="614" t="s">
        <v>1650</v>
      </c>
      <c r="G141" s="609" t="s">
        <v>1651</v>
      </c>
      <c r="H141" s="618">
        <v>20</v>
      </c>
      <c r="I141" s="609">
        <v>45000000000</v>
      </c>
      <c r="J141" s="609" t="s">
        <v>1454</v>
      </c>
      <c r="K141" s="616" t="s">
        <v>1552</v>
      </c>
      <c r="L141" s="785">
        <v>100000</v>
      </c>
      <c r="M141" s="609" t="s">
        <v>2184</v>
      </c>
      <c r="N141" s="616">
        <v>100000</v>
      </c>
      <c r="O141" s="612">
        <v>42767</v>
      </c>
      <c r="P141" s="612">
        <v>43070</v>
      </c>
      <c r="Q141" s="609" t="s">
        <v>108</v>
      </c>
      <c r="R141" s="609" t="s">
        <v>1456</v>
      </c>
      <c r="S141" s="609" t="s">
        <v>1457</v>
      </c>
      <c r="T141" s="609"/>
      <c r="U141" s="609"/>
      <c r="V141" s="609"/>
      <c r="W141" s="609"/>
      <c r="X141" s="609"/>
      <c r="Y141" s="609"/>
      <c r="Z141" s="609"/>
      <c r="AA141" s="609" t="s">
        <v>1458</v>
      </c>
      <c r="AB141" s="642" t="s">
        <v>263</v>
      </c>
      <c r="AC141" s="652"/>
      <c r="AD141" s="652" t="s">
        <v>113</v>
      </c>
      <c r="AE141" s="653">
        <f t="shared" si="2"/>
        <v>2</v>
      </c>
    </row>
    <row r="142" spans="1:31" ht="105" hidden="1" x14ac:dyDescent="0.25">
      <c r="A142" s="608" t="s">
        <v>3498</v>
      </c>
      <c r="B142" s="614" t="s">
        <v>1649</v>
      </c>
      <c r="C142" s="614" t="s">
        <v>1649</v>
      </c>
      <c r="D142" s="619" t="s">
        <v>4678</v>
      </c>
      <c r="E142" s="617" t="s">
        <v>1633</v>
      </c>
      <c r="F142" s="614" t="s">
        <v>1650</v>
      </c>
      <c r="G142" s="609" t="s">
        <v>1651</v>
      </c>
      <c r="H142" s="618">
        <v>20</v>
      </c>
      <c r="I142" s="609">
        <v>45000000000</v>
      </c>
      <c r="J142" s="609" t="s">
        <v>1454</v>
      </c>
      <c r="K142" s="616" t="s">
        <v>1605</v>
      </c>
      <c r="L142" s="785">
        <v>100000</v>
      </c>
      <c r="M142" s="609" t="s">
        <v>2184</v>
      </c>
      <c r="N142" s="616">
        <v>100000</v>
      </c>
      <c r="O142" s="612">
        <v>42767</v>
      </c>
      <c r="P142" s="612">
        <v>43070</v>
      </c>
      <c r="Q142" s="609" t="s">
        <v>108</v>
      </c>
      <c r="R142" s="609" t="s">
        <v>1456</v>
      </c>
      <c r="S142" s="609" t="s">
        <v>1457</v>
      </c>
      <c r="T142" s="609"/>
      <c r="U142" s="609"/>
      <c r="V142" s="609"/>
      <c r="W142" s="609"/>
      <c r="X142" s="609"/>
      <c r="Y142" s="609"/>
      <c r="Z142" s="609"/>
      <c r="AA142" s="609" t="s">
        <v>1458</v>
      </c>
      <c r="AB142" s="642" t="s">
        <v>263</v>
      </c>
      <c r="AC142" s="652"/>
      <c r="AD142" s="652" t="s">
        <v>113</v>
      </c>
      <c r="AE142" s="653">
        <f t="shared" si="2"/>
        <v>2</v>
      </c>
    </row>
    <row r="143" spans="1:31" ht="105" hidden="1" x14ac:dyDescent="0.25">
      <c r="A143" s="608" t="s">
        <v>3499</v>
      </c>
      <c r="B143" s="614" t="s">
        <v>1642</v>
      </c>
      <c r="C143" s="614" t="s">
        <v>1643</v>
      </c>
      <c r="D143" s="619" t="s">
        <v>4677</v>
      </c>
      <c r="E143" s="617" t="s">
        <v>1633</v>
      </c>
      <c r="F143" s="614" t="s">
        <v>1528</v>
      </c>
      <c r="G143" s="609" t="s">
        <v>1453</v>
      </c>
      <c r="H143" s="618">
        <v>10</v>
      </c>
      <c r="I143" s="609">
        <v>45000000000</v>
      </c>
      <c r="J143" s="609" t="s">
        <v>1454</v>
      </c>
      <c r="K143" s="616" t="s">
        <v>1605</v>
      </c>
      <c r="L143" s="785">
        <v>100000</v>
      </c>
      <c r="M143" s="609" t="s">
        <v>2184</v>
      </c>
      <c r="N143" s="616">
        <v>100000</v>
      </c>
      <c r="O143" s="612">
        <v>42795</v>
      </c>
      <c r="P143" s="612">
        <v>43070</v>
      </c>
      <c r="Q143" s="609" t="s">
        <v>108</v>
      </c>
      <c r="R143" s="609" t="s">
        <v>1456</v>
      </c>
      <c r="S143" s="609" t="s">
        <v>1457</v>
      </c>
      <c r="T143" s="609"/>
      <c r="U143" s="609"/>
      <c r="V143" s="609"/>
      <c r="W143" s="609"/>
      <c r="X143" s="609"/>
      <c r="Y143" s="609"/>
      <c r="Z143" s="609"/>
      <c r="AA143" s="609" t="s">
        <v>1458</v>
      </c>
      <c r="AB143" s="642" t="s">
        <v>263</v>
      </c>
      <c r="AC143" s="652"/>
      <c r="AD143" s="652" t="s">
        <v>113</v>
      </c>
      <c r="AE143" s="653">
        <f t="shared" si="2"/>
        <v>3</v>
      </c>
    </row>
    <row r="144" spans="1:31" ht="105" hidden="1" x14ac:dyDescent="0.25">
      <c r="A144" s="608" t="s">
        <v>3500</v>
      </c>
      <c r="B144" s="614" t="s">
        <v>1642</v>
      </c>
      <c r="C144" s="614" t="s">
        <v>1643</v>
      </c>
      <c r="D144" s="619" t="s">
        <v>4676</v>
      </c>
      <c r="E144" s="617" t="s">
        <v>1633</v>
      </c>
      <c r="F144" s="614" t="s">
        <v>1645</v>
      </c>
      <c r="G144" s="609" t="s">
        <v>1646</v>
      </c>
      <c r="H144" s="618">
        <v>5</v>
      </c>
      <c r="I144" s="609">
        <v>45000000000</v>
      </c>
      <c r="J144" s="609" t="s">
        <v>1454</v>
      </c>
      <c r="K144" s="616" t="s">
        <v>1605</v>
      </c>
      <c r="L144" s="785">
        <v>100000</v>
      </c>
      <c r="M144" s="609" t="s">
        <v>2184</v>
      </c>
      <c r="N144" s="616">
        <v>100000</v>
      </c>
      <c r="O144" s="612">
        <v>42795</v>
      </c>
      <c r="P144" s="612">
        <v>43070</v>
      </c>
      <c r="Q144" s="609" t="s">
        <v>108</v>
      </c>
      <c r="R144" s="609" t="s">
        <v>1456</v>
      </c>
      <c r="S144" s="609" t="s">
        <v>1457</v>
      </c>
      <c r="T144" s="609"/>
      <c r="U144" s="609"/>
      <c r="V144" s="609"/>
      <c r="W144" s="609"/>
      <c r="X144" s="609"/>
      <c r="Y144" s="609"/>
      <c r="Z144" s="609"/>
      <c r="AA144" s="609" t="s">
        <v>1458</v>
      </c>
      <c r="AB144" s="642" t="s">
        <v>263</v>
      </c>
      <c r="AC144" s="652"/>
      <c r="AD144" s="652" t="s">
        <v>113</v>
      </c>
      <c r="AE144" s="653">
        <f t="shared" si="2"/>
        <v>3</v>
      </c>
    </row>
    <row r="145" spans="1:31" ht="105" hidden="1" x14ac:dyDescent="0.25">
      <c r="A145" s="608" t="s">
        <v>3501</v>
      </c>
      <c r="B145" s="614" t="s">
        <v>1642</v>
      </c>
      <c r="C145" s="614" t="s">
        <v>1643</v>
      </c>
      <c r="D145" s="619" t="s">
        <v>4675</v>
      </c>
      <c r="E145" s="617" t="s">
        <v>1633</v>
      </c>
      <c r="F145" s="614" t="s">
        <v>1645</v>
      </c>
      <c r="G145" s="609" t="s">
        <v>1646</v>
      </c>
      <c r="H145" s="618">
        <v>20</v>
      </c>
      <c r="I145" s="609">
        <v>45000000000</v>
      </c>
      <c r="J145" s="609" t="s">
        <v>1454</v>
      </c>
      <c r="K145" s="616" t="s">
        <v>1605</v>
      </c>
      <c r="L145" s="785">
        <v>100000</v>
      </c>
      <c r="M145" s="609" t="s">
        <v>2184</v>
      </c>
      <c r="N145" s="616">
        <v>100000</v>
      </c>
      <c r="O145" s="612">
        <v>42795</v>
      </c>
      <c r="P145" s="612">
        <v>43070</v>
      </c>
      <c r="Q145" s="609" t="s">
        <v>108</v>
      </c>
      <c r="R145" s="609" t="s">
        <v>1456</v>
      </c>
      <c r="S145" s="609" t="s">
        <v>1457</v>
      </c>
      <c r="T145" s="609"/>
      <c r="U145" s="609"/>
      <c r="V145" s="609"/>
      <c r="W145" s="609"/>
      <c r="X145" s="609"/>
      <c r="Y145" s="609"/>
      <c r="Z145" s="609"/>
      <c r="AA145" s="609" t="s">
        <v>1458</v>
      </c>
      <c r="AB145" s="642" t="s">
        <v>263</v>
      </c>
      <c r="AC145" s="652"/>
      <c r="AD145" s="652" t="s">
        <v>113</v>
      </c>
      <c r="AE145" s="653">
        <f t="shared" si="2"/>
        <v>3</v>
      </c>
    </row>
    <row r="146" spans="1:31" ht="105" hidden="1" x14ac:dyDescent="0.25">
      <c r="A146" s="608" t="s">
        <v>3502</v>
      </c>
      <c r="B146" s="614" t="s">
        <v>1642</v>
      </c>
      <c r="C146" s="614" t="s">
        <v>1643</v>
      </c>
      <c r="D146" s="619" t="s">
        <v>4674</v>
      </c>
      <c r="E146" s="617" t="s">
        <v>1633</v>
      </c>
      <c r="F146" s="614" t="s">
        <v>1645</v>
      </c>
      <c r="G146" s="609" t="s">
        <v>1646</v>
      </c>
      <c r="H146" s="618">
        <v>2</v>
      </c>
      <c r="I146" s="609">
        <v>45000000000</v>
      </c>
      <c r="J146" s="609" t="s">
        <v>1454</v>
      </c>
      <c r="K146" s="616" t="s">
        <v>1605</v>
      </c>
      <c r="L146" s="785">
        <v>100000</v>
      </c>
      <c r="M146" s="609" t="s">
        <v>2184</v>
      </c>
      <c r="N146" s="616">
        <v>100000</v>
      </c>
      <c r="O146" s="612">
        <v>42795</v>
      </c>
      <c r="P146" s="612">
        <v>43070</v>
      </c>
      <c r="Q146" s="609" t="s">
        <v>108</v>
      </c>
      <c r="R146" s="609" t="s">
        <v>1456</v>
      </c>
      <c r="S146" s="609" t="s">
        <v>1457</v>
      </c>
      <c r="T146" s="609"/>
      <c r="U146" s="609"/>
      <c r="V146" s="609"/>
      <c r="W146" s="609"/>
      <c r="X146" s="609"/>
      <c r="Y146" s="609"/>
      <c r="Z146" s="609"/>
      <c r="AA146" s="609" t="s">
        <v>1458</v>
      </c>
      <c r="AB146" s="642" t="s">
        <v>263</v>
      </c>
      <c r="AC146" s="652"/>
      <c r="AD146" s="652" t="s">
        <v>113</v>
      </c>
      <c r="AE146" s="653">
        <f t="shared" si="2"/>
        <v>3</v>
      </c>
    </row>
    <row r="147" spans="1:31" ht="105" hidden="1" x14ac:dyDescent="0.25">
      <c r="A147" s="608" t="s">
        <v>3503</v>
      </c>
      <c r="B147" s="614" t="s">
        <v>1652</v>
      </c>
      <c r="C147" s="614" t="s">
        <v>1652</v>
      </c>
      <c r="D147" s="619" t="s">
        <v>4673</v>
      </c>
      <c r="E147" s="617" t="s">
        <v>1633</v>
      </c>
      <c r="F147" s="614" t="s">
        <v>1528</v>
      </c>
      <c r="G147" s="609" t="s">
        <v>1453</v>
      </c>
      <c r="H147" s="618">
        <v>3</v>
      </c>
      <c r="I147" s="609">
        <v>45000000000</v>
      </c>
      <c r="J147" s="609" t="s">
        <v>1454</v>
      </c>
      <c r="K147" s="616" t="s">
        <v>1605</v>
      </c>
      <c r="L147" s="785">
        <v>100000</v>
      </c>
      <c r="M147" s="609" t="s">
        <v>2184</v>
      </c>
      <c r="N147" s="616">
        <v>100000</v>
      </c>
      <c r="O147" s="612">
        <v>42795</v>
      </c>
      <c r="P147" s="612">
        <v>43070</v>
      </c>
      <c r="Q147" s="609" t="s">
        <v>108</v>
      </c>
      <c r="R147" s="609" t="s">
        <v>1456</v>
      </c>
      <c r="S147" s="609" t="s">
        <v>1457</v>
      </c>
      <c r="T147" s="609"/>
      <c r="U147" s="609"/>
      <c r="V147" s="609"/>
      <c r="W147" s="609"/>
      <c r="X147" s="609"/>
      <c r="Y147" s="609"/>
      <c r="Z147" s="609"/>
      <c r="AA147" s="609" t="s">
        <v>1458</v>
      </c>
      <c r="AB147" s="642" t="s">
        <v>263</v>
      </c>
      <c r="AC147" s="652"/>
      <c r="AD147" s="652" t="s">
        <v>113</v>
      </c>
      <c r="AE147" s="653">
        <f t="shared" si="2"/>
        <v>3</v>
      </c>
    </row>
    <row r="148" spans="1:31" ht="105" hidden="1" x14ac:dyDescent="0.25">
      <c r="A148" s="608" t="s">
        <v>3504</v>
      </c>
      <c r="B148" s="614" t="s">
        <v>1642</v>
      </c>
      <c r="C148" s="614" t="s">
        <v>1653</v>
      </c>
      <c r="D148" s="619" t="s">
        <v>4672</v>
      </c>
      <c r="E148" s="617" t="s">
        <v>1633</v>
      </c>
      <c r="F148" s="614" t="s">
        <v>1528</v>
      </c>
      <c r="G148" s="609" t="s">
        <v>1453</v>
      </c>
      <c r="H148" s="618">
        <v>2</v>
      </c>
      <c r="I148" s="609">
        <v>45000000000</v>
      </c>
      <c r="J148" s="609" t="s">
        <v>1454</v>
      </c>
      <c r="K148" s="616" t="s">
        <v>1605</v>
      </c>
      <c r="L148" s="785">
        <v>100000</v>
      </c>
      <c r="M148" s="609" t="s">
        <v>2184</v>
      </c>
      <c r="N148" s="616">
        <v>100000</v>
      </c>
      <c r="O148" s="612">
        <v>42795</v>
      </c>
      <c r="P148" s="612">
        <v>43070</v>
      </c>
      <c r="Q148" s="609" t="s">
        <v>108</v>
      </c>
      <c r="R148" s="609" t="s">
        <v>1456</v>
      </c>
      <c r="S148" s="609" t="s">
        <v>1457</v>
      </c>
      <c r="T148" s="609"/>
      <c r="U148" s="609"/>
      <c r="V148" s="609"/>
      <c r="W148" s="609"/>
      <c r="X148" s="609"/>
      <c r="Y148" s="609"/>
      <c r="Z148" s="609"/>
      <c r="AA148" s="609" t="s">
        <v>1458</v>
      </c>
      <c r="AB148" s="642" t="s">
        <v>263</v>
      </c>
      <c r="AC148" s="652"/>
      <c r="AD148" s="652" t="s">
        <v>113</v>
      </c>
      <c r="AE148" s="653">
        <f t="shared" si="2"/>
        <v>3</v>
      </c>
    </row>
    <row r="149" spans="1:31" ht="105" hidden="1" x14ac:dyDescent="0.25">
      <c r="A149" s="608" t="s">
        <v>3505</v>
      </c>
      <c r="B149" s="614" t="s">
        <v>1642</v>
      </c>
      <c r="C149" s="614" t="s">
        <v>1643</v>
      </c>
      <c r="D149" s="619" t="s">
        <v>4671</v>
      </c>
      <c r="E149" s="617" t="s">
        <v>1633</v>
      </c>
      <c r="F149" s="614" t="s">
        <v>1528</v>
      </c>
      <c r="G149" s="609" t="s">
        <v>1453</v>
      </c>
      <c r="H149" s="618">
        <v>2</v>
      </c>
      <c r="I149" s="609">
        <v>45000000000</v>
      </c>
      <c r="J149" s="609" t="s">
        <v>1454</v>
      </c>
      <c r="K149" s="616" t="s">
        <v>1605</v>
      </c>
      <c r="L149" s="785">
        <v>100000</v>
      </c>
      <c r="M149" s="609" t="s">
        <v>2184</v>
      </c>
      <c r="N149" s="616">
        <v>100000</v>
      </c>
      <c r="O149" s="612">
        <v>42795</v>
      </c>
      <c r="P149" s="612">
        <v>43070</v>
      </c>
      <c r="Q149" s="609" t="s">
        <v>108</v>
      </c>
      <c r="R149" s="609" t="s">
        <v>1456</v>
      </c>
      <c r="S149" s="609" t="s">
        <v>1457</v>
      </c>
      <c r="T149" s="609"/>
      <c r="U149" s="609"/>
      <c r="V149" s="609"/>
      <c r="W149" s="609"/>
      <c r="X149" s="609"/>
      <c r="Y149" s="609"/>
      <c r="Z149" s="609"/>
      <c r="AA149" s="609" t="s">
        <v>1458</v>
      </c>
      <c r="AB149" s="642" t="s">
        <v>263</v>
      </c>
      <c r="AC149" s="652"/>
      <c r="AD149" s="652" t="s">
        <v>113</v>
      </c>
      <c r="AE149" s="653">
        <f t="shared" si="2"/>
        <v>3</v>
      </c>
    </row>
    <row r="150" spans="1:31" ht="105" hidden="1" x14ac:dyDescent="0.25">
      <c r="A150" s="608" t="s">
        <v>3506</v>
      </c>
      <c r="B150" s="614" t="s">
        <v>1654</v>
      </c>
      <c r="C150" s="614" t="s">
        <v>1654</v>
      </c>
      <c r="D150" s="619" t="s">
        <v>4670</v>
      </c>
      <c r="E150" s="617" t="s">
        <v>1633</v>
      </c>
      <c r="F150" s="614" t="s">
        <v>1528</v>
      </c>
      <c r="G150" s="609" t="s">
        <v>1453</v>
      </c>
      <c r="H150" s="618">
        <v>1</v>
      </c>
      <c r="I150" s="609">
        <v>45000000000</v>
      </c>
      <c r="J150" s="609" t="s">
        <v>1454</v>
      </c>
      <c r="K150" s="616" t="s">
        <v>1605</v>
      </c>
      <c r="L150" s="785">
        <v>100000</v>
      </c>
      <c r="M150" s="609" t="s">
        <v>2184</v>
      </c>
      <c r="N150" s="616">
        <v>100000</v>
      </c>
      <c r="O150" s="612">
        <v>42767</v>
      </c>
      <c r="P150" s="612">
        <v>43070</v>
      </c>
      <c r="Q150" s="609" t="s">
        <v>108</v>
      </c>
      <c r="R150" s="609" t="s">
        <v>1456</v>
      </c>
      <c r="S150" s="609" t="s">
        <v>1457</v>
      </c>
      <c r="T150" s="609"/>
      <c r="U150" s="609"/>
      <c r="V150" s="609"/>
      <c r="W150" s="609"/>
      <c r="X150" s="609"/>
      <c r="Y150" s="609"/>
      <c r="Z150" s="609"/>
      <c r="AA150" s="609" t="s">
        <v>1458</v>
      </c>
      <c r="AB150" s="642" t="s">
        <v>263</v>
      </c>
      <c r="AC150" s="652"/>
      <c r="AD150" s="652" t="s">
        <v>113</v>
      </c>
      <c r="AE150" s="653">
        <f t="shared" si="2"/>
        <v>2</v>
      </c>
    </row>
    <row r="151" spans="1:31" ht="105" hidden="1" x14ac:dyDescent="0.25">
      <c r="A151" s="608" t="s">
        <v>3507</v>
      </c>
      <c r="B151" s="614" t="s">
        <v>1649</v>
      </c>
      <c r="C151" s="614" t="s">
        <v>1649</v>
      </c>
      <c r="D151" s="619" t="s">
        <v>4669</v>
      </c>
      <c r="E151" s="617" t="s">
        <v>1633</v>
      </c>
      <c r="F151" s="614" t="s">
        <v>1528</v>
      </c>
      <c r="G151" s="609" t="s">
        <v>1453</v>
      </c>
      <c r="H151" s="618">
        <v>1</v>
      </c>
      <c r="I151" s="609">
        <v>45000000000</v>
      </c>
      <c r="J151" s="609" t="s">
        <v>1454</v>
      </c>
      <c r="K151" s="616" t="s">
        <v>1605</v>
      </c>
      <c r="L151" s="785">
        <v>100000</v>
      </c>
      <c r="M151" s="609" t="s">
        <v>2184</v>
      </c>
      <c r="N151" s="616">
        <v>100000</v>
      </c>
      <c r="O151" s="612">
        <v>42767</v>
      </c>
      <c r="P151" s="612">
        <v>43070</v>
      </c>
      <c r="Q151" s="609" t="s">
        <v>108</v>
      </c>
      <c r="R151" s="609" t="s">
        <v>1456</v>
      </c>
      <c r="S151" s="609" t="s">
        <v>1457</v>
      </c>
      <c r="T151" s="609"/>
      <c r="U151" s="609"/>
      <c r="V151" s="609"/>
      <c r="W151" s="609"/>
      <c r="X151" s="609"/>
      <c r="Y151" s="609"/>
      <c r="Z151" s="609"/>
      <c r="AA151" s="609" t="s">
        <v>1458</v>
      </c>
      <c r="AB151" s="642" t="s">
        <v>263</v>
      </c>
      <c r="AC151" s="652"/>
      <c r="AD151" s="652" t="s">
        <v>113</v>
      </c>
      <c r="AE151" s="653">
        <f t="shared" si="2"/>
        <v>2</v>
      </c>
    </row>
    <row r="152" spans="1:31" ht="105" hidden="1" x14ac:dyDescent="0.25">
      <c r="A152" s="608" t="s">
        <v>3508</v>
      </c>
      <c r="B152" s="614" t="s">
        <v>1649</v>
      </c>
      <c r="C152" s="614" t="s">
        <v>1649</v>
      </c>
      <c r="D152" s="619" t="s">
        <v>4668</v>
      </c>
      <c r="E152" s="617" t="s">
        <v>1633</v>
      </c>
      <c r="F152" s="614" t="s">
        <v>1528</v>
      </c>
      <c r="G152" s="609" t="s">
        <v>1453</v>
      </c>
      <c r="H152" s="618">
        <v>1</v>
      </c>
      <c r="I152" s="609">
        <v>45000000000</v>
      </c>
      <c r="J152" s="609" t="s">
        <v>1454</v>
      </c>
      <c r="K152" s="616" t="s">
        <v>1605</v>
      </c>
      <c r="L152" s="785">
        <v>100000</v>
      </c>
      <c r="M152" s="609" t="s">
        <v>2184</v>
      </c>
      <c r="N152" s="616">
        <v>100000</v>
      </c>
      <c r="O152" s="612">
        <v>42767</v>
      </c>
      <c r="P152" s="612">
        <v>43070</v>
      </c>
      <c r="Q152" s="609" t="s">
        <v>108</v>
      </c>
      <c r="R152" s="609" t="s">
        <v>1456</v>
      </c>
      <c r="S152" s="609" t="s">
        <v>1457</v>
      </c>
      <c r="T152" s="609"/>
      <c r="U152" s="609"/>
      <c r="V152" s="609"/>
      <c r="W152" s="609"/>
      <c r="X152" s="609"/>
      <c r="Y152" s="609"/>
      <c r="Z152" s="609"/>
      <c r="AA152" s="609" t="s">
        <v>1458</v>
      </c>
      <c r="AB152" s="642" t="s">
        <v>263</v>
      </c>
      <c r="AC152" s="652"/>
      <c r="AD152" s="652" t="s">
        <v>113</v>
      </c>
      <c r="AE152" s="653">
        <f t="shared" si="2"/>
        <v>2</v>
      </c>
    </row>
    <row r="153" spans="1:31" ht="105" hidden="1" x14ac:dyDescent="0.25">
      <c r="A153" s="608" t="s">
        <v>3509</v>
      </c>
      <c r="B153" s="614" t="s">
        <v>1652</v>
      </c>
      <c r="C153" s="614" t="s">
        <v>1653</v>
      </c>
      <c r="D153" s="619" t="s">
        <v>4667</v>
      </c>
      <c r="E153" s="617" t="s">
        <v>1633</v>
      </c>
      <c r="F153" s="614" t="s">
        <v>1528</v>
      </c>
      <c r="G153" s="609" t="s">
        <v>1453</v>
      </c>
      <c r="H153" s="618">
        <v>5</v>
      </c>
      <c r="I153" s="609">
        <v>45000000000</v>
      </c>
      <c r="J153" s="609" t="s">
        <v>1454</v>
      </c>
      <c r="K153" s="616" t="s">
        <v>1605</v>
      </c>
      <c r="L153" s="785">
        <v>100000</v>
      </c>
      <c r="M153" s="609" t="s">
        <v>2184</v>
      </c>
      <c r="N153" s="616">
        <v>100000</v>
      </c>
      <c r="O153" s="612">
        <v>42795</v>
      </c>
      <c r="P153" s="612">
        <v>43070</v>
      </c>
      <c r="Q153" s="609" t="s">
        <v>108</v>
      </c>
      <c r="R153" s="609" t="s">
        <v>1456</v>
      </c>
      <c r="S153" s="609" t="s">
        <v>1457</v>
      </c>
      <c r="T153" s="609"/>
      <c r="U153" s="609"/>
      <c r="V153" s="609"/>
      <c r="W153" s="609"/>
      <c r="X153" s="609"/>
      <c r="Y153" s="609"/>
      <c r="Z153" s="609"/>
      <c r="AA153" s="609" t="s">
        <v>1458</v>
      </c>
      <c r="AB153" s="642" t="s">
        <v>263</v>
      </c>
      <c r="AC153" s="652"/>
      <c r="AD153" s="652" t="s">
        <v>113</v>
      </c>
      <c r="AE153" s="653">
        <f t="shared" si="2"/>
        <v>3</v>
      </c>
    </row>
    <row r="154" spans="1:31" ht="105" hidden="1" x14ac:dyDescent="0.25">
      <c r="A154" s="608" t="s">
        <v>3510</v>
      </c>
      <c r="B154" s="614" t="s">
        <v>1655</v>
      </c>
      <c r="C154" s="614" t="s">
        <v>1656</v>
      </c>
      <c r="D154" s="623" t="s">
        <v>4666</v>
      </c>
      <c r="E154" s="613" t="s">
        <v>1657</v>
      </c>
      <c r="F154" s="614" t="s">
        <v>1528</v>
      </c>
      <c r="G154" s="609" t="s">
        <v>1453</v>
      </c>
      <c r="H154" s="618">
        <v>2900</v>
      </c>
      <c r="I154" s="609">
        <v>45000000000</v>
      </c>
      <c r="J154" s="609" t="s">
        <v>1454</v>
      </c>
      <c r="K154" s="624" t="s">
        <v>1658</v>
      </c>
      <c r="L154" s="785">
        <v>1402882</v>
      </c>
      <c r="M154" s="609" t="s">
        <v>2184</v>
      </c>
      <c r="N154" s="624">
        <v>1402882</v>
      </c>
      <c r="O154" s="612">
        <v>42767</v>
      </c>
      <c r="P154" s="612">
        <v>43070</v>
      </c>
      <c r="Q154" s="609" t="s">
        <v>108</v>
      </c>
      <c r="R154" s="609" t="s">
        <v>1456</v>
      </c>
      <c r="S154" s="609" t="s">
        <v>1457</v>
      </c>
      <c r="T154" s="609"/>
      <c r="U154" s="609"/>
      <c r="V154" s="609"/>
      <c r="W154" s="609"/>
      <c r="X154" s="609"/>
      <c r="Y154" s="609"/>
      <c r="Z154" s="609"/>
      <c r="AA154" s="609" t="s">
        <v>1458</v>
      </c>
      <c r="AB154" s="642" t="s">
        <v>263</v>
      </c>
      <c r="AC154" s="652"/>
      <c r="AD154" s="652" t="s">
        <v>113</v>
      </c>
      <c r="AE154" s="653">
        <f t="shared" si="2"/>
        <v>2</v>
      </c>
    </row>
    <row r="155" spans="1:31" ht="105" hidden="1" x14ac:dyDescent="0.25">
      <c r="A155" s="608" t="s">
        <v>3511</v>
      </c>
      <c r="B155" s="614" t="s">
        <v>1655</v>
      </c>
      <c r="C155" s="614" t="s">
        <v>1656</v>
      </c>
      <c r="D155" s="623" t="s">
        <v>4665</v>
      </c>
      <c r="E155" s="613" t="s">
        <v>1657</v>
      </c>
      <c r="F155" s="614" t="s">
        <v>1528</v>
      </c>
      <c r="G155" s="609" t="s">
        <v>1453</v>
      </c>
      <c r="H155" s="618">
        <v>3100</v>
      </c>
      <c r="I155" s="609">
        <v>45000000000</v>
      </c>
      <c r="J155" s="609" t="s">
        <v>1454</v>
      </c>
      <c r="K155" s="624" t="s">
        <v>1659</v>
      </c>
      <c r="L155" s="785">
        <v>1510486</v>
      </c>
      <c r="M155" s="609" t="s">
        <v>2184</v>
      </c>
      <c r="N155" s="624">
        <v>1510486</v>
      </c>
      <c r="O155" s="612">
        <v>42856</v>
      </c>
      <c r="P155" s="612">
        <v>43070</v>
      </c>
      <c r="Q155" s="609" t="s">
        <v>108</v>
      </c>
      <c r="R155" s="609" t="s">
        <v>1456</v>
      </c>
      <c r="S155" s="609" t="s">
        <v>1457</v>
      </c>
      <c r="T155" s="609"/>
      <c r="U155" s="609"/>
      <c r="V155" s="609"/>
      <c r="W155" s="609"/>
      <c r="X155" s="609"/>
      <c r="Y155" s="609"/>
      <c r="Z155" s="609"/>
      <c r="AA155" s="609" t="s">
        <v>1458</v>
      </c>
      <c r="AB155" s="642" t="s">
        <v>263</v>
      </c>
      <c r="AC155" s="652"/>
      <c r="AD155" s="652" t="s">
        <v>113</v>
      </c>
      <c r="AE155" s="653">
        <f t="shared" si="2"/>
        <v>5</v>
      </c>
    </row>
    <row r="156" spans="1:31" ht="105" hidden="1" x14ac:dyDescent="0.25">
      <c r="A156" s="608" t="s">
        <v>3512</v>
      </c>
      <c r="B156" s="614" t="s">
        <v>1655</v>
      </c>
      <c r="C156" s="614" t="s">
        <v>1656</v>
      </c>
      <c r="D156" s="623" t="s">
        <v>4664</v>
      </c>
      <c r="E156" s="613" t="s">
        <v>1657</v>
      </c>
      <c r="F156" s="614" t="s">
        <v>1528</v>
      </c>
      <c r="G156" s="609" t="s">
        <v>1453</v>
      </c>
      <c r="H156" s="618">
        <v>2830</v>
      </c>
      <c r="I156" s="609">
        <v>45000000000</v>
      </c>
      <c r="J156" s="609" t="s">
        <v>1454</v>
      </c>
      <c r="K156" s="624" t="s">
        <v>1660</v>
      </c>
      <c r="L156" s="785">
        <v>1350456</v>
      </c>
      <c r="M156" s="609" t="s">
        <v>2184</v>
      </c>
      <c r="N156" s="624">
        <v>1350456</v>
      </c>
      <c r="O156" s="612">
        <v>42917</v>
      </c>
      <c r="P156" s="612">
        <v>43070</v>
      </c>
      <c r="Q156" s="609" t="s">
        <v>108</v>
      </c>
      <c r="R156" s="609" t="s">
        <v>1456</v>
      </c>
      <c r="S156" s="609" t="s">
        <v>1457</v>
      </c>
      <c r="T156" s="609"/>
      <c r="U156" s="609"/>
      <c r="V156" s="609"/>
      <c r="W156" s="609"/>
      <c r="X156" s="609"/>
      <c r="Y156" s="609"/>
      <c r="Z156" s="609"/>
      <c r="AA156" s="609" t="s">
        <v>1458</v>
      </c>
      <c r="AB156" s="642" t="s">
        <v>263</v>
      </c>
      <c r="AC156" s="652"/>
      <c r="AD156" s="652" t="s">
        <v>113</v>
      </c>
      <c r="AE156" s="653">
        <f t="shared" si="2"/>
        <v>7</v>
      </c>
    </row>
    <row r="157" spans="1:31" ht="105" hidden="1" x14ac:dyDescent="0.25">
      <c r="A157" s="608" t="s">
        <v>3513</v>
      </c>
      <c r="B157" s="614" t="s">
        <v>1655</v>
      </c>
      <c r="C157" s="614" t="s">
        <v>1656</v>
      </c>
      <c r="D157" s="623" t="s">
        <v>4663</v>
      </c>
      <c r="E157" s="613" t="s">
        <v>1657</v>
      </c>
      <c r="F157" s="614" t="s">
        <v>1645</v>
      </c>
      <c r="G157" s="609" t="s">
        <v>1646</v>
      </c>
      <c r="H157" s="618">
        <v>2890</v>
      </c>
      <c r="I157" s="609">
        <v>45000000000</v>
      </c>
      <c r="J157" s="609" t="s">
        <v>1454</v>
      </c>
      <c r="K157" s="624" t="s">
        <v>1661</v>
      </c>
      <c r="L157" s="785">
        <v>1450655</v>
      </c>
      <c r="M157" s="609" t="s">
        <v>2184</v>
      </c>
      <c r="N157" s="624">
        <v>1450655</v>
      </c>
      <c r="O157" s="612">
        <v>42979</v>
      </c>
      <c r="P157" s="612">
        <v>43070</v>
      </c>
      <c r="Q157" s="609" t="s">
        <v>108</v>
      </c>
      <c r="R157" s="609" t="s">
        <v>1456</v>
      </c>
      <c r="S157" s="609" t="s">
        <v>1457</v>
      </c>
      <c r="T157" s="609"/>
      <c r="U157" s="609"/>
      <c r="V157" s="609"/>
      <c r="W157" s="609"/>
      <c r="X157" s="609"/>
      <c r="Y157" s="609"/>
      <c r="Z157" s="609"/>
      <c r="AA157" s="609" t="s">
        <v>1458</v>
      </c>
      <c r="AB157" s="642" t="s">
        <v>263</v>
      </c>
      <c r="AC157" s="652"/>
      <c r="AD157" s="652" t="s">
        <v>113</v>
      </c>
      <c r="AE157" s="653">
        <f t="shared" si="2"/>
        <v>9</v>
      </c>
    </row>
    <row r="158" spans="1:31" ht="105" hidden="1" x14ac:dyDescent="0.25">
      <c r="A158" s="608" t="s">
        <v>3514</v>
      </c>
      <c r="B158" s="614" t="s">
        <v>1655</v>
      </c>
      <c r="C158" s="614" t="s">
        <v>1656</v>
      </c>
      <c r="D158" s="623" t="s">
        <v>4662</v>
      </c>
      <c r="E158" s="613" t="s">
        <v>1657</v>
      </c>
      <c r="F158" s="614" t="s">
        <v>1528</v>
      </c>
      <c r="G158" s="609" t="s">
        <v>1453</v>
      </c>
      <c r="H158" s="618">
        <v>2465</v>
      </c>
      <c r="I158" s="609">
        <v>45000000000</v>
      </c>
      <c r="J158" s="609" t="s">
        <v>1454</v>
      </c>
      <c r="K158" s="625" t="s">
        <v>1662</v>
      </c>
      <c r="L158" s="797">
        <v>1299631.4000000004</v>
      </c>
      <c r="M158" s="609" t="s">
        <v>2184</v>
      </c>
      <c r="N158" s="625">
        <v>1299631.4000000004</v>
      </c>
      <c r="O158" s="612">
        <v>42856</v>
      </c>
      <c r="P158" s="612">
        <v>43070</v>
      </c>
      <c r="Q158" s="609" t="s">
        <v>108</v>
      </c>
      <c r="R158" s="609" t="s">
        <v>1456</v>
      </c>
      <c r="S158" s="609" t="s">
        <v>1457</v>
      </c>
      <c r="T158" s="609"/>
      <c r="U158" s="609"/>
      <c r="V158" s="609"/>
      <c r="W158" s="609"/>
      <c r="X158" s="609"/>
      <c r="Y158" s="609"/>
      <c r="Z158" s="609"/>
      <c r="AA158" s="609" t="s">
        <v>1458</v>
      </c>
      <c r="AB158" s="642" t="s">
        <v>263</v>
      </c>
      <c r="AC158" s="652"/>
      <c r="AD158" s="652" t="s">
        <v>113</v>
      </c>
      <c r="AE158" s="653">
        <f t="shared" si="2"/>
        <v>5</v>
      </c>
    </row>
    <row r="159" spans="1:31" ht="105" hidden="1" x14ac:dyDescent="0.25">
      <c r="A159" s="608" t="s">
        <v>3515</v>
      </c>
      <c r="B159" s="614" t="s">
        <v>1663</v>
      </c>
      <c r="C159" s="614" t="s">
        <v>1664</v>
      </c>
      <c r="D159" s="623" t="s">
        <v>4661</v>
      </c>
      <c r="E159" s="613" t="s">
        <v>1657</v>
      </c>
      <c r="F159" s="614" t="s">
        <v>1528</v>
      </c>
      <c r="G159" s="609" t="s">
        <v>1453</v>
      </c>
      <c r="H159" s="618">
        <v>7926</v>
      </c>
      <c r="I159" s="609">
        <v>45000000000</v>
      </c>
      <c r="J159" s="609" t="s">
        <v>1454</v>
      </c>
      <c r="K159" s="616" t="s">
        <v>1665</v>
      </c>
      <c r="L159" s="785">
        <v>1638161.5</v>
      </c>
      <c r="M159" s="609" t="s">
        <v>2184</v>
      </c>
      <c r="N159" s="616">
        <v>1638161.5</v>
      </c>
      <c r="O159" s="612">
        <v>42856</v>
      </c>
      <c r="P159" s="612">
        <v>43070</v>
      </c>
      <c r="Q159" s="609" t="s">
        <v>108</v>
      </c>
      <c r="R159" s="609" t="s">
        <v>1456</v>
      </c>
      <c r="S159" s="609" t="s">
        <v>1457</v>
      </c>
      <c r="T159" s="609"/>
      <c r="U159" s="609"/>
      <c r="V159" s="609"/>
      <c r="W159" s="609"/>
      <c r="X159" s="609"/>
      <c r="Y159" s="609"/>
      <c r="Z159" s="609"/>
      <c r="AA159" s="609" t="s">
        <v>1458</v>
      </c>
      <c r="AB159" s="642" t="s">
        <v>263</v>
      </c>
      <c r="AC159" s="652"/>
      <c r="AD159" s="652" t="s">
        <v>113</v>
      </c>
      <c r="AE159" s="653">
        <f t="shared" si="2"/>
        <v>5</v>
      </c>
    </row>
    <row r="160" spans="1:31" ht="105" hidden="1" x14ac:dyDescent="0.25">
      <c r="A160" s="608" t="s">
        <v>3516</v>
      </c>
      <c r="B160" s="614" t="s">
        <v>1666</v>
      </c>
      <c r="C160" s="614" t="s">
        <v>1667</v>
      </c>
      <c r="D160" s="623" t="s">
        <v>4660</v>
      </c>
      <c r="E160" s="613" t="s">
        <v>1657</v>
      </c>
      <c r="F160" s="614" t="s">
        <v>1528</v>
      </c>
      <c r="G160" s="609" t="s">
        <v>1453</v>
      </c>
      <c r="H160" s="618">
        <v>6307</v>
      </c>
      <c r="I160" s="609">
        <v>45000000000</v>
      </c>
      <c r="J160" s="609" t="s">
        <v>1454</v>
      </c>
      <c r="K160" s="616" t="s">
        <v>1668</v>
      </c>
      <c r="L160" s="785">
        <v>887332</v>
      </c>
      <c r="M160" s="609" t="s">
        <v>2184</v>
      </c>
      <c r="N160" s="616">
        <v>887332</v>
      </c>
      <c r="O160" s="612">
        <v>42795</v>
      </c>
      <c r="P160" s="612">
        <v>43070</v>
      </c>
      <c r="Q160" s="609" t="s">
        <v>108</v>
      </c>
      <c r="R160" s="609" t="s">
        <v>1456</v>
      </c>
      <c r="S160" s="609" t="s">
        <v>1457</v>
      </c>
      <c r="T160" s="609"/>
      <c r="U160" s="609"/>
      <c r="V160" s="609"/>
      <c r="W160" s="609"/>
      <c r="X160" s="609"/>
      <c r="Y160" s="609"/>
      <c r="Z160" s="609"/>
      <c r="AA160" s="609" t="s">
        <v>1458</v>
      </c>
      <c r="AB160" s="642" t="s">
        <v>263</v>
      </c>
      <c r="AC160" s="652"/>
      <c r="AD160" s="652" t="s">
        <v>113</v>
      </c>
      <c r="AE160" s="653">
        <f t="shared" si="2"/>
        <v>3</v>
      </c>
    </row>
    <row r="161" spans="1:31" ht="105" hidden="1" x14ac:dyDescent="0.25">
      <c r="A161" s="608" t="s">
        <v>3517</v>
      </c>
      <c r="B161" s="614" t="s">
        <v>1666</v>
      </c>
      <c r="C161" s="614" t="s">
        <v>1667</v>
      </c>
      <c r="D161" s="623" t="s">
        <v>4659</v>
      </c>
      <c r="E161" s="613" t="s">
        <v>1657</v>
      </c>
      <c r="F161" s="614" t="s">
        <v>1528</v>
      </c>
      <c r="G161" s="609" t="s">
        <v>1453</v>
      </c>
      <c r="H161" s="618">
        <v>6320</v>
      </c>
      <c r="I161" s="609">
        <v>45000000000</v>
      </c>
      <c r="J161" s="609" t="s">
        <v>1454</v>
      </c>
      <c r="K161" s="616" t="s">
        <v>1669</v>
      </c>
      <c r="L161" s="785">
        <v>886564</v>
      </c>
      <c r="M161" s="609" t="s">
        <v>2184</v>
      </c>
      <c r="N161" s="616">
        <v>886564</v>
      </c>
      <c r="O161" s="612">
        <v>42887</v>
      </c>
      <c r="P161" s="612">
        <v>43070</v>
      </c>
      <c r="Q161" s="609" t="s">
        <v>108</v>
      </c>
      <c r="R161" s="609" t="s">
        <v>1456</v>
      </c>
      <c r="S161" s="609" t="s">
        <v>1457</v>
      </c>
      <c r="T161" s="609"/>
      <c r="U161" s="609"/>
      <c r="V161" s="609"/>
      <c r="W161" s="609"/>
      <c r="X161" s="609"/>
      <c r="Y161" s="609"/>
      <c r="Z161" s="609"/>
      <c r="AA161" s="609" t="s">
        <v>1458</v>
      </c>
      <c r="AB161" s="642" t="s">
        <v>263</v>
      </c>
      <c r="AC161" s="652"/>
      <c r="AD161" s="652" t="s">
        <v>113</v>
      </c>
      <c r="AE161" s="653">
        <f t="shared" si="2"/>
        <v>6</v>
      </c>
    </row>
    <row r="162" spans="1:31" ht="105" hidden="1" x14ac:dyDescent="0.25">
      <c r="A162" s="608" t="s">
        <v>3518</v>
      </c>
      <c r="B162" s="614" t="s">
        <v>1666</v>
      </c>
      <c r="C162" s="614" t="s">
        <v>1667</v>
      </c>
      <c r="D162" s="623" t="s">
        <v>4658</v>
      </c>
      <c r="E162" s="613" t="s">
        <v>1657</v>
      </c>
      <c r="F162" s="614" t="s">
        <v>1528</v>
      </c>
      <c r="G162" s="609" t="s">
        <v>1453</v>
      </c>
      <c r="H162" s="618">
        <v>6450</v>
      </c>
      <c r="I162" s="609">
        <v>45000000000</v>
      </c>
      <c r="J162" s="609" t="s">
        <v>1454</v>
      </c>
      <c r="K162" s="616" t="s">
        <v>1670</v>
      </c>
      <c r="L162" s="785">
        <v>892651</v>
      </c>
      <c r="M162" s="609" t="s">
        <v>2184</v>
      </c>
      <c r="N162" s="616">
        <v>892651</v>
      </c>
      <c r="O162" s="612">
        <v>42979</v>
      </c>
      <c r="P162" s="612">
        <v>43070</v>
      </c>
      <c r="Q162" s="609" t="s">
        <v>108</v>
      </c>
      <c r="R162" s="609" t="s">
        <v>1456</v>
      </c>
      <c r="S162" s="609" t="s">
        <v>1457</v>
      </c>
      <c r="T162" s="609"/>
      <c r="U162" s="609"/>
      <c r="V162" s="609"/>
      <c r="W162" s="609"/>
      <c r="X162" s="609"/>
      <c r="Y162" s="609"/>
      <c r="Z162" s="609"/>
      <c r="AA162" s="609" t="s">
        <v>1458</v>
      </c>
      <c r="AB162" s="642" t="s">
        <v>263</v>
      </c>
      <c r="AC162" s="652"/>
      <c r="AD162" s="652" t="s">
        <v>113</v>
      </c>
      <c r="AE162" s="653">
        <f t="shared" si="2"/>
        <v>9</v>
      </c>
    </row>
    <row r="163" spans="1:31" ht="105" hidden="1" x14ac:dyDescent="0.25">
      <c r="A163" s="608" t="s">
        <v>3519</v>
      </c>
      <c r="B163" s="614" t="s">
        <v>1663</v>
      </c>
      <c r="C163" s="614" t="s">
        <v>1664</v>
      </c>
      <c r="D163" s="623" t="s">
        <v>4657</v>
      </c>
      <c r="E163" s="613" t="s">
        <v>1657</v>
      </c>
      <c r="F163" s="614" t="s">
        <v>1528</v>
      </c>
      <c r="G163" s="609" t="s">
        <v>1453</v>
      </c>
      <c r="H163" s="618">
        <v>2080</v>
      </c>
      <c r="I163" s="609">
        <v>45000000000</v>
      </c>
      <c r="J163" s="609" t="s">
        <v>1454</v>
      </c>
      <c r="K163" s="616" t="s">
        <v>1671</v>
      </c>
      <c r="L163" s="785">
        <v>331254</v>
      </c>
      <c r="M163" s="609" t="s">
        <v>2184</v>
      </c>
      <c r="N163" s="616">
        <v>331254</v>
      </c>
      <c r="O163" s="612">
        <v>42917</v>
      </c>
      <c r="P163" s="612">
        <v>43070</v>
      </c>
      <c r="Q163" s="609" t="s">
        <v>108</v>
      </c>
      <c r="R163" s="609" t="s">
        <v>1456</v>
      </c>
      <c r="S163" s="609" t="s">
        <v>1457</v>
      </c>
      <c r="T163" s="609"/>
      <c r="U163" s="609"/>
      <c r="V163" s="609"/>
      <c r="W163" s="609"/>
      <c r="X163" s="609"/>
      <c r="Y163" s="609"/>
      <c r="Z163" s="609"/>
      <c r="AA163" s="609" t="s">
        <v>1458</v>
      </c>
      <c r="AB163" s="642" t="s">
        <v>263</v>
      </c>
      <c r="AC163" s="652"/>
      <c r="AD163" s="652" t="s">
        <v>113</v>
      </c>
      <c r="AE163" s="653">
        <f t="shared" si="2"/>
        <v>7</v>
      </c>
    </row>
    <row r="164" spans="1:31" ht="105" hidden="1" x14ac:dyDescent="0.25">
      <c r="A164" s="608" t="s">
        <v>3520</v>
      </c>
      <c r="B164" s="614" t="s">
        <v>1672</v>
      </c>
      <c r="C164" s="614" t="s">
        <v>1673</v>
      </c>
      <c r="D164" s="623" t="s">
        <v>4656</v>
      </c>
      <c r="E164" s="613" t="s">
        <v>1674</v>
      </c>
      <c r="F164" s="614" t="s">
        <v>1528</v>
      </c>
      <c r="G164" s="609" t="s">
        <v>1453</v>
      </c>
      <c r="H164" s="618">
        <v>1</v>
      </c>
      <c r="I164" s="609">
        <v>45000000000</v>
      </c>
      <c r="J164" s="609" t="s">
        <v>1454</v>
      </c>
      <c r="K164" s="616" t="s">
        <v>1675</v>
      </c>
      <c r="L164" s="785">
        <v>5534000</v>
      </c>
      <c r="M164" s="609" t="s">
        <v>2184</v>
      </c>
      <c r="N164" s="616">
        <v>5534000</v>
      </c>
      <c r="O164" s="612">
        <v>42767</v>
      </c>
      <c r="P164" s="612">
        <v>43070</v>
      </c>
      <c r="Q164" s="609" t="s">
        <v>100</v>
      </c>
      <c r="R164" s="609" t="s">
        <v>1456</v>
      </c>
      <c r="S164" s="609" t="s">
        <v>1457</v>
      </c>
      <c r="T164" s="609"/>
      <c r="U164" s="609"/>
      <c r="V164" s="609"/>
      <c r="W164" s="609"/>
      <c r="X164" s="609"/>
      <c r="Y164" s="609"/>
      <c r="Z164" s="609"/>
      <c r="AA164" s="609" t="s">
        <v>1458</v>
      </c>
      <c r="AB164" s="642" t="s">
        <v>263</v>
      </c>
      <c r="AC164" s="652"/>
      <c r="AD164" s="652" t="s">
        <v>113</v>
      </c>
      <c r="AE164" s="653">
        <f t="shared" si="2"/>
        <v>2</v>
      </c>
    </row>
    <row r="165" spans="1:31" ht="105" hidden="1" x14ac:dyDescent="0.25">
      <c r="A165" s="608" t="s">
        <v>3521</v>
      </c>
      <c r="B165" s="614" t="s">
        <v>1672</v>
      </c>
      <c r="C165" s="614" t="s">
        <v>1673</v>
      </c>
      <c r="D165" s="623" t="s">
        <v>4655</v>
      </c>
      <c r="E165" s="613" t="s">
        <v>1674</v>
      </c>
      <c r="F165" s="614" t="s">
        <v>1528</v>
      </c>
      <c r="G165" s="609" t="s">
        <v>1453</v>
      </c>
      <c r="H165" s="618">
        <v>1</v>
      </c>
      <c r="I165" s="609">
        <v>45000000000</v>
      </c>
      <c r="J165" s="609" t="s">
        <v>1454</v>
      </c>
      <c r="K165" s="616" t="s">
        <v>1676</v>
      </c>
      <c r="L165" s="785">
        <v>4739000</v>
      </c>
      <c r="M165" s="609" t="s">
        <v>2184</v>
      </c>
      <c r="N165" s="616">
        <v>4739000</v>
      </c>
      <c r="O165" s="612">
        <v>42826</v>
      </c>
      <c r="P165" s="612">
        <v>43070</v>
      </c>
      <c r="Q165" s="609" t="s">
        <v>108</v>
      </c>
      <c r="R165" s="609" t="s">
        <v>1456</v>
      </c>
      <c r="S165" s="609" t="s">
        <v>1457</v>
      </c>
      <c r="T165" s="609"/>
      <c r="U165" s="609"/>
      <c r="V165" s="609"/>
      <c r="W165" s="609"/>
      <c r="X165" s="609"/>
      <c r="Y165" s="609"/>
      <c r="Z165" s="609"/>
      <c r="AA165" s="609" t="s">
        <v>1458</v>
      </c>
      <c r="AB165" s="642" t="s">
        <v>263</v>
      </c>
      <c r="AC165" s="652"/>
      <c r="AD165" s="652" t="s">
        <v>113</v>
      </c>
      <c r="AE165" s="653">
        <f t="shared" si="2"/>
        <v>4</v>
      </c>
    </row>
    <row r="166" spans="1:31" ht="105" hidden="1" x14ac:dyDescent="0.25">
      <c r="A166" s="608" t="s">
        <v>3522</v>
      </c>
      <c r="B166" s="614" t="s">
        <v>1672</v>
      </c>
      <c r="C166" s="614" t="s">
        <v>1673</v>
      </c>
      <c r="D166" s="623" t="s">
        <v>4654</v>
      </c>
      <c r="E166" s="613" t="s">
        <v>1674</v>
      </c>
      <c r="F166" s="614" t="s">
        <v>1528</v>
      </c>
      <c r="G166" s="609" t="s">
        <v>1453</v>
      </c>
      <c r="H166" s="618">
        <v>1</v>
      </c>
      <c r="I166" s="609">
        <v>45000000000</v>
      </c>
      <c r="J166" s="609" t="s">
        <v>1454</v>
      </c>
      <c r="K166" s="616" t="s">
        <v>1677</v>
      </c>
      <c r="L166" s="785">
        <v>3962000</v>
      </c>
      <c r="M166" s="609" t="s">
        <v>2184</v>
      </c>
      <c r="N166" s="616">
        <v>3962000</v>
      </c>
      <c r="O166" s="612">
        <v>42917</v>
      </c>
      <c r="P166" s="612">
        <v>43070</v>
      </c>
      <c r="Q166" s="609" t="s">
        <v>108</v>
      </c>
      <c r="R166" s="609" t="s">
        <v>1456</v>
      </c>
      <c r="S166" s="609" t="s">
        <v>1457</v>
      </c>
      <c r="T166" s="609"/>
      <c r="U166" s="609"/>
      <c r="V166" s="609"/>
      <c r="W166" s="609"/>
      <c r="X166" s="609"/>
      <c r="Y166" s="609"/>
      <c r="Z166" s="609"/>
      <c r="AA166" s="609" t="s">
        <v>1458</v>
      </c>
      <c r="AB166" s="642" t="s">
        <v>263</v>
      </c>
      <c r="AC166" s="652"/>
      <c r="AD166" s="652" t="s">
        <v>113</v>
      </c>
      <c r="AE166" s="653">
        <f t="shared" si="2"/>
        <v>7</v>
      </c>
    </row>
    <row r="167" spans="1:31" ht="105" hidden="1" x14ac:dyDescent="0.25">
      <c r="A167" s="608" t="s">
        <v>3523</v>
      </c>
      <c r="B167" s="614" t="s">
        <v>1672</v>
      </c>
      <c r="C167" s="614" t="s">
        <v>1673</v>
      </c>
      <c r="D167" s="623" t="s">
        <v>4653</v>
      </c>
      <c r="E167" s="613" t="s">
        <v>1674</v>
      </c>
      <c r="F167" s="614" t="s">
        <v>1528</v>
      </c>
      <c r="G167" s="609" t="s">
        <v>1453</v>
      </c>
      <c r="H167" s="618">
        <v>1</v>
      </c>
      <c r="I167" s="609">
        <v>45000000000</v>
      </c>
      <c r="J167" s="609" t="s">
        <v>1454</v>
      </c>
      <c r="K167" s="616" t="s">
        <v>1678</v>
      </c>
      <c r="L167" s="785">
        <v>3821000</v>
      </c>
      <c r="M167" s="609" t="s">
        <v>2184</v>
      </c>
      <c r="N167" s="616">
        <v>3821000</v>
      </c>
      <c r="O167" s="612">
        <v>43009</v>
      </c>
      <c r="P167" s="612">
        <v>43070</v>
      </c>
      <c r="Q167" s="609" t="s">
        <v>108</v>
      </c>
      <c r="R167" s="609" t="s">
        <v>1456</v>
      </c>
      <c r="S167" s="609" t="s">
        <v>1457</v>
      </c>
      <c r="T167" s="609"/>
      <c r="U167" s="609"/>
      <c r="V167" s="609"/>
      <c r="W167" s="609"/>
      <c r="X167" s="609"/>
      <c r="Y167" s="609"/>
      <c r="Z167" s="609"/>
      <c r="AA167" s="609" t="s">
        <v>1458</v>
      </c>
      <c r="AB167" s="642" t="s">
        <v>263</v>
      </c>
      <c r="AC167" s="652"/>
      <c r="AD167" s="652" t="s">
        <v>113</v>
      </c>
      <c r="AE167" s="653">
        <f t="shared" si="2"/>
        <v>10</v>
      </c>
    </row>
    <row r="168" spans="1:31" ht="105" hidden="1" x14ac:dyDescent="0.25">
      <c r="A168" s="608" t="s">
        <v>3524</v>
      </c>
      <c r="B168" s="614" t="s">
        <v>1672</v>
      </c>
      <c r="C168" s="614" t="s">
        <v>1673</v>
      </c>
      <c r="D168" s="623" t="s">
        <v>4651</v>
      </c>
      <c r="E168" s="613" t="s">
        <v>1674</v>
      </c>
      <c r="F168" s="614" t="s">
        <v>1528</v>
      </c>
      <c r="G168" s="609" t="s">
        <v>1453</v>
      </c>
      <c r="H168" s="618">
        <v>1</v>
      </c>
      <c r="I168" s="609">
        <v>45000000000</v>
      </c>
      <c r="J168" s="609" t="s">
        <v>1454</v>
      </c>
      <c r="K168" s="616" t="s">
        <v>1679</v>
      </c>
      <c r="L168" s="785">
        <v>1059000</v>
      </c>
      <c r="M168" s="609" t="s">
        <v>2184</v>
      </c>
      <c r="N168" s="616">
        <v>1059000</v>
      </c>
      <c r="O168" s="612">
        <v>42767</v>
      </c>
      <c r="P168" s="612">
        <v>43070</v>
      </c>
      <c r="Q168" s="609" t="s">
        <v>108</v>
      </c>
      <c r="R168" s="609" t="s">
        <v>1456</v>
      </c>
      <c r="S168" s="609" t="s">
        <v>1457</v>
      </c>
      <c r="T168" s="609"/>
      <c r="U168" s="609"/>
      <c r="V168" s="609"/>
      <c r="W168" s="609"/>
      <c r="X168" s="609"/>
      <c r="Y168" s="609"/>
      <c r="Z168" s="609"/>
      <c r="AA168" s="609" t="s">
        <v>1458</v>
      </c>
      <c r="AB168" s="642" t="s">
        <v>263</v>
      </c>
      <c r="AC168" s="652"/>
      <c r="AD168" s="652" t="s">
        <v>113</v>
      </c>
      <c r="AE168" s="653">
        <f t="shared" si="2"/>
        <v>2</v>
      </c>
    </row>
    <row r="169" spans="1:31" ht="105" hidden="1" x14ac:dyDescent="0.25">
      <c r="A169" s="608" t="s">
        <v>3525</v>
      </c>
      <c r="B169" s="614" t="s">
        <v>1672</v>
      </c>
      <c r="C169" s="614" t="s">
        <v>1673</v>
      </c>
      <c r="D169" s="623" t="s">
        <v>4652</v>
      </c>
      <c r="E169" s="613" t="s">
        <v>1674</v>
      </c>
      <c r="F169" s="614" t="s">
        <v>1528</v>
      </c>
      <c r="G169" s="609" t="s">
        <v>1453</v>
      </c>
      <c r="H169" s="618">
        <v>1</v>
      </c>
      <c r="I169" s="609">
        <v>45000000000</v>
      </c>
      <c r="J169" s="609" t="s">
        <v>1454</v>
      </c>
      <c r="K169" s="616" t="s">
        <v>1680</v>
      </c>
      <c r="L169" s="785">
        <v>1765000</v>
      </c>
      <c r="M169" s="609" t="s">
        <v>2184</v>
      </c>
      <c r="N169" s="616">
        <v>1765000</v>
      </c>
      <c r="O169" s="612">
        <v>42826</v>
      </c>
      <c r="P169" s="612">
        <v>43070</v>
      </c>
      <c r="Q169" s="609" t="s">
        <v>108</v>
      </c>
      <c r="R169" s="609" t="s">
        <v>1456</v>
      </c>
      <c r="S169" s="609" t="s">
        <v>1457</v>
      </c>
      <c r="T169" s="609"/>
      <c r="U169" s="609"/>
      <c r="V169" s="609"/>
      <c r="W169" s="609"/>
      <c r="X169" s="609"/>
      <c r="Y169" s="609"/>
      <c r="Z169" s="609"/>
      <c r="AA169" s="609" t="s">
        <v>1458</v>
      </c>
      <c r="AB169" s="642" t="s">
        <v>263</v>
      </c>
      <c r="AC169" s="652"/>
      <c r="AD169" s="652" t="s">
        <v>113</v>
      </c>
      <c r="AE169" s="653">
        <f t="shared" si="2"/>
        <v>4</v>
      </c>
    </row>
    <row r="170" spans="1:31" ht="105" hidden="1" x14ac:dyDescent="0.25">
      <c r="A170" s="608" t="s">
        <v>3526</v>
      </c>
      <c r="B170" s="614" t="s">
        <v>1672</v>
      </c>
      <c r="C170" s="614" t="s">
        <v>1673</v>
      </c>
      <c r="D170" s="623" t="s">
        <v>4650</v>
      </c>
      <c r="E170" s="613" t="s">
        <v>1674</v>
      </c>
      <c r="F170" s="614" t="s">
        <v>1528</v>
      </c>
      <c r="G170" s="609" t="s">
        <v>1453</v>
      </c>
      <c r="H170" s="618">
        <v>1</v>
      </c>
      <c r="I170" s="609">
        <v>45000000000</v>
      </c>
      <c r="J170" s="609" t="s">
        <v>1454</v>
      </c>
      <c r="K170" s="616" t="s">
        <v>1681</v>
      </c>
      <c r="L170" s="785">
        <v>1764000</v>
      </c>
      <c r="M170" s="609" t="s">
        <v>2184</v>
      </c>
      <c r="N170" s="616">
        <v>1764000</v>
      </c>
      <c r="O170" s="612">
        <v>42917</v>
      </c>
      <c r="P170" s="612">
        <v>43070</v>
      </c>
      <c r="Q170" s="609" t="s">
        <v>108</v>
      </c>
      <c r="R170" s="609" t="s">
        <v>1456</v>
      </c>
      <c r="S170" s="609" t="s">
        <v>1457</v>
      </c>
      <c r="T170" s="609"/>
      <c r="U170" s="609"/>
      <c r="V170" s="609"/>
      <c r="W170" s="609"/>
      <c r="X170" s="609"/>
      <c r="Y170" s="609"/>
      <c r="Z170" s="609"/>
      <c r="AA170" s="609" t="s">
        <v>1458</v>
      </c>
      <c r="AB170" s="642" t="s">
        <v>263</v>
      </c>
      <c r="AC170" s="652"/>
      <c r="AD170" s="652" t="s">
        <v>113</v>
      </c>
      <c r="AE170" s="653">
        <f t="shared" si="2"/>
        <v>7</v>
      </c>
    </row>
    <row r="171" spans="1:31" ht="105" hidden="1" x14ac:dyDescent="0.25">
      <c r="A171" s="608" t="s">
        <v>3527</v>
      </c>
      <c r="B171" s="614" t="s">
        <v>1537</v>
      </c>
      <c r="C171" s="614" t="s">
        <v>1538</v>
      </c>
      <c r="D171" s="623" t="s">
        <v>4649</v>
      </c>
      <c r="E171" s="613" t="s">
        <v>1674</v>
      </c>
      <c r="F171" s="614" t="s">
        <v>1587</v>
      </c>
      <c r="G171" s="609" t="s">
        <v>1588</v>
      </c>
      <c r="H171" s="618">
        <v>40</v>
      </c>
      <c r="I171" s="609">
        <v>45000000000</v>
      </c>
      <c r="J171" s="609" t="s">
        <v>1454</v>
      </c>
      <c r="K171" s="616" t="s">
        <v>1682</v>
      </c>
      <c r="L171" s="785">
        <v>273000</v>
      </c>
      <c r="M171" s="609" t="s">
        <v>2184</v>
      </c>
      <c r="N171" s="616">
        <v>273000</v>
      </c>
      <c r="O171" s="612">
        <v>42767</v>
      </c>
      <c r="P171" s="612">
        <v>43070</v>
      </c>
      <c r="Q171" s="609" t="s">
        <v>108</v>
      </c>
      <c r="R171" s="609" t="s">
        <v>1456</v>
      </c>
      <c r="S171" s="609" t="s">
        <v>1457</v>
      </c>
      <c r="T171" s="609"/>
      <c r="U171" s="609"/>
      <c r="V171" s="609"/>
      <c r="W171" s="609"/>
      <c r="X171" s="609"/>
      <c r="Y171" s="609"/>
      <c r="Z171" s="609"/>
      <c r="AA171" s="609" t="s">
        <v>1458</v>
      </c>
      <c r="AB171" s="642" t="s">
        <v>263</v>
      </c>
      <c r="AC171" s="652"/>
      <c r="AD171" s="652" t="s">
        <v>113</v>
      </c>
      <c r="AE171" s="653">
        <f t="shared" si="2"/>
        <v>2</v>
      </c>
    </row>
    <row r="172" spans="1:31" ht="105" hidden="1" x14ac:dyDescent="0.25">
      <c r="A172" s="608" t="s">
        <v>3528</v>
      </c>
      <c r="B172" s="614" t="s">
        <v>1537</v>
      </c>
      <c r="C172" s="614" t="s">
        <v>1538</v>
      </c>
      <c r="D172" s="623" t="s">
        <v>4648</v>
      </c>
      <c r="E172" s="613" t="s">
        <v>1674</v>
      </c>
      <c r="F172" s="614" t="s">
        <v>1587</v>
      </c>
      <c r="G172" s="609" t="s">
        <v>1588</v>
      </c>
      <c r="H172" s="618">
        <v>40</v>
      </c>
      <c r="I172" s="609">
        <v>45000000000</v>
      </c>
      <c r="J172" s="609" t="s">
        <v>1454</v>
      </c>
      <c r="K172" s="616" t="s">
        <v>1683</v>
      </c>
      <c r="L172" s="785">
        <v>280000</v>
      </c>
      <c r="M172" s="609" t="s">
        <v>2184</v>
      </c>
      <c r="N172" s="616">
        <v>280000</v>
      </c>
      <c r="O172" s="612">
        <v>42826</v>
      </c>
      <c r="P172" s="612">
        <v>43070</v>
      </c>
      <c r="Q172" s="609" t="s">
        <v>108</v>
      </c>
      <c r="R172" s="609" t="s">
        <v>1456</v>
      </c>
      <c r="S172" s="609" t="s">
        <v>1457</v>
      </c>
      <c r="T172" s="609"/>
      <c r="U172" s="609"/>
      <c r="V172" s="609"/>
      <c r="W172" s="609"/>
      <c r="X172" s="609"/>
      <c r="Y172" s="609"/>
      <c r="Z172" s="609"/>
      <c r="AA172" s="609" t="s">
        <v>1458</v>
      </c>
      <c r="AB172" s="642" t="s">
        <v>263</v>
      </c>
      <c r="AC172" s="652"/>
      <c r="AD172" s="652" t="s">
        <v>113</v>
      </c>
      <c r="AE172" s="653">
        <f t="shared" si="2"/>
        <v>4</v>
      </c>
    </row>
    <row r="173" spans="1:31" ht="105" hidden="1" x14ac:dyDescent="0.25">
      <c r="A173" s="608" t="s">
        <v>3529</v>
      </c>
      <c r="B173" s="614" t="s">
        <v>1537</v>
      </c>
      <c r="C173" s="614" t="s">
        <v>1538</v>
      </c>
      <c r="D173" s="623" t="s">
        <v>4647</v>
      </c>
      <c r="E173" s="613" t="s">
        <v>1674</v>
      </c>
      <c r="F173" s="614" t="s">
        <v>1587</v>
      </c>
      <c r="G173" s="609" t="s">
        <v>1588</v>
      </c>
      <c r="H173" s="618">
        <v>40</v>
      </c>
      <c r="I173" s="609">
        <v>45000000000</v>
      </c>
      <c r="J173" s="609" t="s">
        <v>1454</v>
      </c>
      <c r="K173" s="616" t="s">
        <v>1684</v>
      </c>
      <c r="L173" s="785">
        <v>260000</v>
      </c>
      <c r="M173" s="609" t="s">
        <v>2184</v>
      </c>
      <c r="N173" s="616">
        <v>260000</v>
      </c>
      <c r="O173" s="612">
        <v>42917</v>
      </c>
      <c r="P173" s="612">
        <v>43070</v>
      </c>
      <c r="Q173" s="609" t="s">
        <v>108</v>
      </c>
      <c r="R173" s="609" t="s">
        <v>1456</v>
      </c>
      <c r="S173" s="609" t="s">
        <v>1457</v>
      </c>
      <c r="T173" s="609"/>
      <c r="U173" s="609"/>
      <c r="V173" s="609"/>
      <c r="W173" s="609"/>
      <c r="X173" s="609"/>
      <c r="Y173" s="609"/>
      <c r="Z173" s="609"/>
      <c r="AA173" s="609" t="s">
        <v>1458</v>
      </c>
      <c r="AB173" s="642" t="s">
        <v>263</v>
      </c>
      <c r="AC173" s="652"/>
      <c r="AD173" s="652" t="s">
        <v>113</v>
      </c>
      <c r="AE173" s="653">
        <f t="shared" si="2"/>
        <v>7</v>
      </c>
    </row>
    <row r="174" spans="1:31" ht="105" hidden="1" x14ac:dyDescent="0.25">
      <c r="A174" s="608" t="s">
        <v>3530</v>
      </c>
      <c r="B174" s="614" t="s">
        <v>1537</v>
      </c>
      <c r="C174" s="614" t="s">
        <v>1538</v>
      </c>
      <c r="D174" s="623" t="s">
        <v>4646</v>
      </c>
      <c r="E174" s="613" t="s">
        <v>1674</v>
      </c>
      <c r="F174" s="614" t="s">
        <v>1587</v>
      </c>
      <c r="G174" s="609" t="s">
        <v>1588</v>
      </c>
      <c r="H174" s="618">
        <v>40</v>
      </c>
      <c r="I174" s="609">
        <v>45000000000</v>
      </c>
      <c r="J174" s="609" t="s">
        <v>1454</v>
      </c>
      <c r="K174" s="616" t="s">
        <v>1685</v>
      </c>
      <c r="L174" s="785">
        <v>300000</v>
      </c>
      <c r="M174" s="609" t="s">
        <v>2184</v>
      </c>
      <c r="N174" s="616">
        <v>300000</v>
      </c>
      <c r="O174" s="612">
        <v>43009</v>
      </c>
      <c r="P174" s="612">
        <v>43070</v>
      </c>
      <c r="Q174" s="609" t="s">
        <v>108</v>
      </c>
      <c r="R174" s="609" t="s">
        <v>1456</v>
      </c>
      <c r="S174" s="609" t="s">
        <v>1457</v>
      </c>
      <c r="T174" s="609"/>
      <c r="U174" s="609"/>
      <c r="V174" s="609"/>
      <c r="W174" s="609"/>
      <c r="X174" s="609"/>
      <c r="Y174" s="609"/>
      <c r="Z174" s="609"/>
      <c r="AA174" s="609" t="s">
        <v>1458</v>
      </c>
      <c r="AB174" s="642" t="s">
        <v>263</v>
      </c>
      <c r="AC174" s="652"/>
      <c r="AD174" s="652" t="s">
        <v>113</v>
      </c>
      <c r="AE174" s="653">
        <f t="shared" si="2"/>
        <v>10</v>
      </c>
    </row>
    <row r="175" spans="1:31" ht="105" hidden="1" x14ac:dyDescent="0.25">
      <c r="A175" s="608" t="s">
        <v>3531</v>
      </c>
      <c r="B175" s="614" t="s">
        <v>1526</v>
      </c>
      <c r="C175" s="614" t="s">
        <v>1527</v>
      </c>
      <c r="D175" s="623" t="s">
        <v>4645</v>
      </c>
      <c r="E175" s="613" t="s">
        <v>1657</v>
      </c>
      <c r="F175" s="614" t="s">
        <v>1587</v>
      </c>
      <c r="G175" s="609" t="s">
        <v>1588</v>
      </c>
      <c r="H175" s="618">
        <v>1</v>
      </c>
      <c r="I175" s="609">
        <v>45000000000</v>
      </c>
      <c r="J175" s="609" t="s">
        <v>1454</v>
      </c>
      <c r="K175" s="616" t="s">
        <v>1686</v>
      </c>
      <c r="L175" s="785">
        <v>600000</v>
      </c>
      <c r="M175" s="609" t="s">
        <v>2184</v>
      </c>
      <c r="N175" s="616">
        <v>600000</v>
      </c>
      <c r="O175" s="612">
        <v>42826</v>
      </c>
      <c r="P175" s="612">
        <v>43070</v>
      </c>
      <c r="Q175" s="609" t="s">
        <v>108</v>
      </c>
      <c r="R175" s="609" t="s">
        <v>1456</v>
      </c>
      <c r="S175" s="609" t="s">
        <v>1457</v>
      </c>
      <c r="T175" s="609"/>
      <c r="U175" s="609"/>
      <c r="V175" s="609"/>
      <c r="W175" s="609"/>
      <c r="X175" s="609"/>
      <c r="Y175" s="609"/>
      <c r="Z175" s="609"/>
      <c r="AA175" s="609" t="s">
        <v>1458</v>
      </c>
      <c r="AB175" s="642" t="s">
        <v>263</v>
      </c>
      <c r="AC175" s="652"/>
      <c r="AD175" s="652" t="s">
        <v>113</v>
      </c>
      <c r="AE175" s="653">
        <f t="shared" si="2"/>
        <v>4</v>
      </c>
    </row>
    <row r="176" spans="1:31" ht="105" hidden="1" x14ac:dyDescent="0.25">
      <c r="A176" s="608" t="s">
        <v>3532</v>
      </c>
      <c r="B176" s="614" t="s">
        <v>1526</v>
      </c>
      <c r="C176" s="614" t="s">
        <v>1527</v>
      </c>
      <c r="D176" s="623" t="s">
        <v>4644</v>
      </c>
      <c r="E176" s="613" t="s">
        <v>1657</v>
      </c>
      <c r="F176" s="614" t="s">
        <v>1587</v>
      </c>
      <c r="G176" s="609" t="s">
        <v>1588</v>
      </c>
      <c r="H176" s="618">
        <v>1</v>
      </c>
      <c r="I176" s="609">
        <v>45000000000</v>
      </c>
      <c r="J176" s="609" t="s">
        <v>1454</v>
      </c>
      <c r="K176" s="616" t="s">
        <v>1644</v>
      </c>
      <c r="L176" s="785">
        <v>800000</v>
      </c>
      <c r="M176" s="609" t="s">
        <v>2184</v>
      </c>
      <c r="N176" s="616">
        <v>800000</v>
      </c>
      <c r="O176" s="612">
        <v>42917</v>
      </c>
      <c r="P176" s="612">
        <v>43070</v>
      </c>
      <c r="Q176" s="609" t="s">
        <v>108</v>
      </c>
      <c r="R176" s="609" t="s">
        <v>1456</v>
      </c>
      <c r="S176" s="609" t="s">
        <v>1457</v>
      </c>
      <c r="T176" s="609"/>
      <c r="U176" s="609"/>
      <c r="V176" s="609"/>
      <c r="W176" s="609"/>
      <c r="X176" s="609"/>
      <c r="Y176" s="609"/>
      <c r="Z176" s="609"/>
      <c r="AA176" s="609" t="s">
        <v>1458</v>
      </c>
      <c r="AB176" s="642" t="s">
        <v>263</v>
      </c>
      <c r="AC176" s="652"/>
      <c r="AD176" s="652" t="s">
        <v>113</v>
      </c>
      <c r="AE176" s="653">
        <f t="shared" si="2"/>
        <v>7</v>
      </c>
    </row>
    <row r="177" spans="1:31" ht="105" hidden="1" x14ac:dyDescent="0.25">
      <c r="A177" s="608" t="s">
        <v>3533</v>
      </c>
      <c r="B177" s="614" t="s">
        <v>1687</v>
      </c>
      <c r="C177" s="614" t="s">
        <v>1687</v>
      </c>
      <c r="D177" s="623" t="s">
        <v>4643</v>
      </c>
      <c r="E177" s="613" t="s">
        <v>1688</v>
      </c>
      <c r="F177" s="614" t="s">
        <v>1587</v>
      </c>
      <c r="G177" s="609" t="s">
        <v>1588</v>
      </c>
      <c r="H177" s="618">
        <v>12000</v>
      </c>
      <c r="I177" s="609">
        <v>45000000000</v>
      </c>
      <c r="J177" s="609" t="s">
        <v>1454</v>
      </c>
      <c r="K177" s="616" t="s">
        <v>1689</v>
      </c>
      <c r="L177" s="785">
        <v>1800000</v>
      </c>
      <c r="M177" s="609" t="s">
        <v>2184</v>
      </c>
      <c r="N177" s="616">
        <v>1800000</v>
      </c>
      <c r="O177" s="612">
        <v>42767</v>
      </c>
      <c r="P177" s="612">
        <v>43070</v>
      </c>
      <c r="Q177" s="609" t="s">
        <v>108</v>
      </c>
      <c r="R177" s="609" t="s">
        <v>1456</v>
      </c>
      <c r="S177" s="609" t="s">
        <v>1457</v>
      </c>
      <c r="T177" s="609"/>
      <c r="U177" s="609"/>
      <c r="V177" s="609"/>
      <c r="W177" s="609"/>
      <c r="X177" s="609"/>
      <c r="Y177" s="609"/>
      <c r="Z177" s="609"/>
      <c r="AA177" s="609" t="s">
        <v>1458</v>
      </c>
      <c r="AB177" s="642" t="s">
        <v>263</v>
      </c>
      <c r="AC177" s="652"/>
      <c r="AD177" s="652" t="s">
        <v>113</v>
      </c>
      <c r="AE177" s="653">
        <f t="shared" si="2"/>
        <v>2</v>
      </c>
    </row>
    <row r="178" spans="1:31" ht="105" hidden="1" x14ac:dyDescent="0.25">
      <c r="A178" s="608" t="s">
        <v>3534</v>
      </c>
      <c r="B178" s="614" t="s">
        <v>1690</v>
      </c>
      <c r="C178" s="614" t="s">
        <v>1690</v>
      </c>
      <c r="D178" s="623" t="s">
        <v>4642</v>
      </c>
      <c r="E178" s="613" t="s">
        <v>1688</v>
      </c>
      <c r="F178" s="614" t="s">
        <v>1528</v>
      </c>
      <c r="G178" s="609" t="s">
        <v>1453</v>
      </c>
      <c r="H178" s="618">
        <v>1000</v>
      </c>
      <c r="I178" s="609">
        <v>45000000000</v>
      </c>
      <c r="J178" s="609" t="s">
        <v>1454</v>
      </c>
      <c r="K178" s="616" t="s">
        <v>1691</v>
      </c>
      <c r="L178" s="785">
        <v>1600000</v>
      </c>
      <c r="M178" s="609" t="s">
        <v>2184</v>
      </c>
      <c r="N178" s="616">
        <v>1600000</v>
      </c>
      <c r="O178" s="612">
        <v>42767</v>
      </c>
      <c r="P178" s="612">
        <v>43070</v>
      </c>
      <c r="Q178" s="609" t="s">
        <v>108</v>
      </c>
      <c r="R178" s="609" t="s">
        <v>1456</v>
      </c>
      <c r="S178" s="609" t="s">
        <v>1457</v>
      </c>
      <c r="T178" s="609"/>
      <c r="U178" s="609"/>
      <c r="V178" s="609"/>
      <c r="W178" s="609"/>
      <c r="X178" s="609"/>
      <c r="Y178" s="609"/>
      <c r="Z178" s="609"/>
      <c r="AA178" s="609" t="s">
        <v>1458</v>
      </c>
      <c r="AB178" s="642" t="s">
        <v>263</v>
      </c>
      <c r="AC178" s="652"/>
      <c r="AD178" s="652" t="s">
        <v>113</v>
      </c>
      <c r="AE178" s="653">
        <f t="shared" si="2"/>
        <v>2</v>
      </c>
    </row>
    <row r="179" spans="1:31" ht="105" hidden="1" x14ac:dyDescent="0.25">
      <c r="A179" s="608" t="s">
        <v>3535</v>
      </c>
      <c r="B179" s="614" t="s">
        <v>1652</v>
      </c>
      <c r="C179" s="614" t="s">
        <v>1652</v>
      </c>
      <c r="D179" s="623" t="s">
        <v>4641</v>
      </c>
      <c r="E179" s="613" t="s">
        <v>1688</v>
      </c>
      <c r="F179" s="614" t="s">
        <v>1528</v>
      </c>
      <c r="G179" s="609" t="s">
        <v>1453</v>
      </c>
      <c r="H179" s="618">
        <v>1200</v>
      </c>
      <c r="I179" s="609">
        <v>45000000000</v>
      </c>
      <c r="J179" s="609" t="s">
        <v>1454</v>
      </c>
      <c r="K179" s="616" t="s">
        <v>1692</v>
      </c>
      <c r="L179" s="785">
        <v>3000000</v>
      </c>
      <c r="M179" s="609" t="s">
        <v>2184</v>
      </c>
      <c r="N179" s="616">
        <v>3000000</v>
      </c>
      <c r="O179" s="612">
        <v>42767</v>
      </c>
      <c r="P179" s="612">
        <v>43070</v>
      </c>
      <c r="Q179" s="609" t="s">
        <v>108</v>
      </c>
      <c r="R179" s="609" t="s">
        <v>1456</v>
      </c>
      <c r="S179" s="609" t="s">
        <v>1457</v>
      </c>
      <c r="T179" s="609"/>
      <c r="U179" s="609"/>
      <c r="V179" s="609"/>
      <c r="W179" s="609"/>
      <c r="X179" s="609"/>
      <c r="Y179" s="609"/>
      <c r="Z179" s="609"/>
      <c r="AA179" s="609" t="s">
        <v>1458</v>
      </c>
      <c r="AB179" s="642" t="s">
        <v>263</v>
      </c>
      <c r="AC179" s="652"/>
      <c r="AD179" s="652" t="s">
        <v>113</v>
      </c>
      <c r="AE179" s="653">
        <f t="shared" si="2"/>
        <v>2</v>
      </c>
    </row>
    <row r="180" spans="1:31" ht="105" hidden="1" x14ac:dyDescent="0.25">
      <c r="A180" s="608" t="s">
        <v>3536</v>
      </c>
      <c r="B180" s="614" t="s">
        <v>1693</v>
      </c>
      <c r="C180" s="613" t="s">
        <v>1694</v>
      </c>
      <c r="D180" s="623" t="s">
        <v>4640</v>
      </c>
      <c r="E180" s="613" t="s">
        <v>1695</v>
      </c>
      <c r="F180" s="614" t="s">
        <v>1528</v>
      </c>
      <c r="G180" s="609" t="s">
        <v>1453</v>
      </c>
      <c r="H180" s="618">
        <v>5000</v>
      </c>
      <c r="I180" s="609">
        <v>45000000000</v>
      </c>
      <c r="J180" s="609" t="s">
        <v>1454</v>
      </c>
      <c r="K180" s="616" t="s">
        <v>1696</v>
      </c>
      <c r="L180" s="785">
        <v>5000000</v>
      </c>
      <c r="M180" s="609" t="s">
        <v>2184</v>
      </c>
      <c r="N180" s="616">
        <v>5000000</v>
      </c>
      <c r="O180" s="612">
        <v>42767</v>
      </c>
      <c r="P180" s="612">
        <v>43070</v>
      </c>
      <c r="Q180" s="609" t="s">
        <v>110</v>
      </c>
      <c r="R180" s="609" t="s">
        <v>113</v>
      </c>
      <c r="S180" s="609" t="s">
        <v>1455</v>
      </c>
      <c r="T180" s="609"/>
      <c r="U180" s="609"/>
      <c r="V180" s="609"/>
      <c r="W180" s="599" t="s">
        <v>72</v>
      </c>
      <c r="X180" s="654" t="s">
        <v>2382</v>
      </c>
      <c r="Y180" s="655" t="s">
        <v>2383</v>
      </c>
      <c r="Z180" s="599"/>
      <c r="AA180" s="609" t="s">
        <v>1458</v>
      </c>
      <c r="AB180" s="642" t="s">
        <v>263</v>
      </c>
      <c r="AC180" s="652"/>
      <c r="AD180" s="652" t="s">
        <v>113</v>
      </c>
      <c r="AE180" s="653">
        <f t="shared" ref="AE180:AE243" si="3">IF(O180=0,,MONTH(O180))</f>
        <v>2</v>
      </c>
    </row>
    <row r="181" spans="1:31" ht="105" hidden="1" x14ac:dyDescent="0.25">
      <c r="A181" s="608" t="s">
        <v>3537</v>
      </c>
      <c r="B181" s="614" t="s">
        <v>1693</v>
      </c>
      <c r="C181" s="613" t="s">
        <v>1694</v>
      </c>
      <c r="D181" s="623" t="s">
        <v>4639</v>
      </c>
      <c r="E181" s="613" t="s">
        <v>1697</v>
      </c>
      <c r="F181" s="614" t="s">
        <v>1528</v>
      </c>
      <c r="G181" s="609" t="s">
        <v>1453</v>
      </c>
      <c r="H181" s="618">
        <v>3120</v>
      </c>
      <c r="I181" s="609">
        <v>45000000000</v>
      </c>
      <c r="J181" s="609" t="s">
        <v>1454</v>
      </c>
      <c r="K181" s="616" t="s">
        <v>1698</v>
      </c>
      <c r="L181" s="785">
        <v>120000</v>
      </c>
      <c r="M181" s="609" t="s">
        <v>2184</v>
      </c>
      <c r="N181" s="616">
        <v>120000</v>
      </c>
      <c r="O181" s="612">
        <v>42767</v>
      </c>
      <c r="P181" s="612">
        <v>43070</v>
      </c>
      <c r="Q181" s="609" t="s">
        <v>108</v>
      </c>
      <c r="R181" s="609" t="s">
        <v>1456</v>
      </c>
      <c r="S181" s="609" t="s">
        <v>1457</v>
      </c>
      <c r="T181" s="609"/>
      <c r="U181" s="609"/>
      <c r="V181" s="609"/>
      <c r="W181" s="609"/>
      <c r="X181" s="609"/>
      <c r="Y181" s="609"/>
      <c r="Z181" s="609"/>
      <c r="AA181" s="609" t="s">
        <v>1458</v>
      </c>
      <c r="AB181" s="642" t="s">
        <v>263</v>
      </c>
      <c r="AC181" s="652"/>
      <c r="AD181" s="652" t="s">
        <v>113</v>
      </c>
      <c r="AE181" s="653">
        <f t="shared" si="3"/>
        <v>2</v>
      </c>
    </row>
    <row r="182" spans="1:31" ht="105" hidden="1" x14ac:dyDescent="0.25">
      <c r="A182" s="608" t="s">
        <v>3538</v>
      </c>
      <c r="B182" s="614" t="s">
        <v>1693</v>
      </c>
      <c r="C182" s="613" t="s">
        <v>1699</v>
      </c>
      <c r="D182" s="623" t="s">
        <v>4638</v>
      </c>
      <c r="E182" s="613" t="s">
        <v>1700</v>
      </c>
      <c r="F182" s="614" t="s">
        <v>1645</v>
      </c>
      <c r="G182" s="609" t="s">
        <v>1646</v>
      </c>
      <c r="H182" s="618">
        <v>220</v>
      </c>
      <c r="I182" s="609">
        <v>45000000000</v>
      </c>
      <c r="J182" s="609" t="s">
        <v>1454</v>
      </c>
      <c r="K182" s="616" t="s">
        <v>1701</v>
      </c>
      <c r="L182" s="785">
        <v>134000</v>
      </c>
      <c r="M182" s="609" t="s">
        <v>2184</v>
      </c>
      <c r="N182" s="616">
        <v>134000</v>
      </c>
      <c r="O182" s="612">
        <v>42767</v>
      </c>
      <c r="P182" s="612">
        <v>43070</v>
      </c>
      <c r="Q182" s="609" t="s">
        <v>110</v>
      </c>
      <c r="R182" s="609" t="s">
        <v>113</v>
      </c>
      <c r="S182" s="609" t="s">
        <v>1455</v>
      </c>
      <c r="T182" s="609"/>
      <c r="U182" s="609"/>
      <c r="V182" s="609"/>
      <c r="W182" s="599" t="s">
        <v>72</v>
      </c>
      <c r="X182" s="599">
        <v>5321036103</v>
      </c>
      <c r="Y182" s="599" t="s">
        <v>1702</v>
      </c>
      <c r="Z182" s="599">
        <v>134000</v>
      </c>
      <c r="AA182" s="609" t="s">
        <v>1458</v>
      </c>
      <c r="AB182" s="642" t="s">
        <v>263</v>
      </c>
      <c r="AC182" s="652"/>
      <c r="AD182" s="652" t="s">
        <v>113</v>
      </c>
      <c r="AE182" s="653">
        <f t="shared" si="3"/>
        <v>2</v>
      </c>
    </row>
    <row r="183" spans="1:31" ht="105" hidden="1" x14ac:dyDescent="0.25">
      <c r="A183" s="608" t="s">
        <v>3539</v>
      </c>
      <c r="B183" s="614" t="s">
        <v>1693</v>
      </c>
      <c r="C183" s="613" t="s">
        <v>1703</v>
      </c>
      <c r="D183" s="623" t="s">
        <v>4637</v>
      </c>
      <c r="E183" s="613" t="s">
        <v>1700</v>
      </c>
      <c r="F183" s="614" t="s">
        <v>1645</v>
      </c>
      <c r="G183" s="609" t="s">
        <v>1646</v>
      </c>
      <c r="H183" s="618">
        <v>120</v>
      </c>
      <c r="I183" s="609">
        <v>45000000000</v>
      </c>
      <c r="J183" s="609" t="s">
        <v>1454</v>
      </c>
      <c r="K183" s="616" t="s">
        <v>1516</v>
      </c>
      <c r="L183" s="785">
        <v>340000</v>
      </c>
      <c r="M183" s="609" t="s">
        <v>2184</v>
      </c>
      <c r="N183" s="616">
        <v>340000</v>
      </c>
      <c r="O183" s="612">
        <v>42767</v>
      </c>
      <c r="P183" s="612">
        <v>43070</v>
      </c>
      <c r="Q183" s="609" t="s">
        <v>110</v>
      </c>
      <c r="R183" s="609" t="s">
        <v>113</v>
      </c>
      <c r="S183" s="609" t="s">
        <v>1455</v>
      </c>
      <c r="T183" s="609"/>
      <c r="U183" s="609"/>
      <c r="V183" s="609"/>
      <c r="W183" s="599" t="s">
        <v>72</v>
      </c>
      <c r="X183" s="599">
        <v>5260900066</v>
      </c>
      <c r="Y183" s="599" t="s">
        <v>1704</v>
      </c>
      <c r="Z183" s="599">
        <v>340000</v>
      </c>
      <c r="AA183" s="609" t="s">
        <v>1458</v>
      </c>
      <c r="AB183" s="642" t="s">
        <v>263</v>
      </c>
      <c r="AC183" s="652"/>
      <c r="AD183" s="652" t="s">
        <v>113</v>
      </c>
      <c r="AE183" s="653">
        <f t="shared" si="3"/>
        <v>2</v>
      </c>
    </row>
    <row r="184" spans="1:31" ht="105" hidden="1" x14ac:dyDescent="0.25">
      <c r="A184" s="608" t="s">
        <v>3540</v>
      </c>
      <c r="B184" s="614" t="s">
        <v>1705</v>
      </c>
      <c r="C184" s="613" t="s">
        <v>1706</v>
      </c>
      <c r="D184" s="623" t="s">
        <v>4636</v>
      </c>
      <c r="E184" s="613" t="s">
        <v>1700</v>
      </c>
      <c r="F184" s="614" t="s">
        <v>1528</v>
      </c>
      <c r="G184" s="609" t="s">
        <v>1453</v>
      </c>
      <c r="H184" s="618">
        <v>1300</v>
      </c>
      <c r="I184" s="609">
        <v>45000000000</v>
      </c>
      <c r="J184" s="609" t="s">
        <v>1454</v>
      </c>
      <c r="K184" s="616" t="s">
        <v>1707</v>
      </c>
      <c r="L184" s="785">
        <v>160000</v>
      </c>
      <c r="M184" s="609" t="s">
        <v>2184</v>
      </c>
      <c r="N184" s="616">
        <v>160000</v>
      </c>
      <c r="O184" s="612">
        <v>42767</v>
      </c>
      <c r="P184" s="612">
        <v>43070</v>
      </c>
      <c r="Q184" s="609" t="s">
        <v>110</v>
      </c>
      <c r="R184" s="609" t="s">
        <v>113</v>
      </c>
      <c r="S184" s="609" t="s">
        <v>1455</v>
      </c>
      <c r="T184" s="609"/>
      <c r="U184" s="609"/>
      <c r="V184" s="609"/>
      <c r="W184" s="599" t="s">
        <v>72</v>
      </c>
      <c r="X184" s="599">
        <v>7807026923</v>
      </c>
      <c r="Y184" s="599" t="s">
        <v>1708</v>
      </c>
      <c r="Z184" s="599">
        <v>160000</v>
      </c>
      <c r="AA184" s="609" t="s">
        <v>1458</v>
      </c>
      <c r="AB184" s="642" t="s">
        <v>263</v>
      </c>
      <c r="AC184" s="652"/>
      <c r="AD184" s="652" t="s">
        <v>113</v>
      </c>
      <c r="AE184" s="653">
        <f t="shared" si="3"/>
        <v>2</v>
      </c>
    </row>
    <row r="185" spans="1:31" ht="105" hidden="1" x14ac:dyDescent="0.25">
      <c r="A185" s="608" t="s">
        <v>3541</v>
      </c>
      <c r="B185" s="614" t="s">
        <v>1596</v>
      </c>
      <c r="C185" s="613" t="s">
        <v>1709</v>
      </c>
      <c r="D185" s="623" t="s">
        <v>4635</v>
      </c>
      <c r="E185" s="613" t="s">
        <v>1700</v>
      </c>
      <c r="F185" s="614" t="s">
        <v>1528</v>
      </c>
      <c r="G185" s="609" t="s">
        <v>1453</v>
      </c>
      <c r="H185" s="618">
        <v>1050</v>
      </c>
      <c r="I185" s="609">
        <v>45000000000</v>
      </c>
      <c r="J185" s="609" t="s">
        <v>1454</v>
      </c>
      <c r="K185" s="616" t="s">
        <v>1710</v>
      </c>
      <c r="L185" s="785">
        <v>410000</v>
      </c>
      <c r="M185" s="609" t="s">
        <v>2184</v>
      </c>
      <c r="N185" s="616">
        <v>410000</v>
      </c>
      <c r="O185" s="612">
        <v>42767</v>
      </c>
      <c r="P185" s="612">
        <v>43070</v>
      </c>
      <c r="Q185" s="609" t="s">
        <v>110</v>
      </c>
      <c r="R185" s="609" t="s">
        <v>113</v>
      </c>
      <c r="S185" s="609" t="s">
        <v>1455</v>
      </c>
      <c r="T185" s="609"/>
      <c r="U185" s="609"/>
      <c r="V185" s="609"/>
      <c r="W185" s="599" t="s">
        <v>72</v>
      </c>
      <c r="X185" s="599">
        <v>7706265403</v>
      </c>
      <c r="Y185" s="599" t="s">
        <v>1711</v>
      </c>
      <c r="Z185" s="599">
        <v>410000</v>
      </c>
      <c r="AA185" s="609" t="s">
        <v>1458</v>
      </c>
      <c r="AB185" s="642" t="s">
        <v>263</v>
      </c>
      <c r="AC185" s="652"/>
      <c r="AD185" s="652" t="s">
        <v>113</v>
      </c>
      <c r="AE185" s="653">
        <f t="shared" si="3"/>
        <v>2</v>
      </c>
    </row>
    <row r="186" spans="1:31" ht="105" hidden="1" x14ac:dyDescent="0.25">
      <c r="A186" s="608" t="s">
        <v>3542</v>
      </c>
      <c r="B186" s="614" t="s">
        <v>1576</v>
      </c>
      <c r="C186" s="613" t="s">
        <v>1540</v>
      </c>
      <c r="D186" s="623" t="s">
        <v>4634</v>
      </c>
      <c r="E186" s="613" t="s">
        <v>1700</v>
      </c>
      <c r="F186" s="614" t="s">
        <v>1528</v>
      </c>
      <c r="G186" s="609" t="s">
        <v>1453</v>
      </c>
      <c r="H186" s="618">
        <v>1710</v>
      </c>
      <c r="I186" s="609">
        <v>45000000000</v>
      </c>
      <c r="J186" s="609" t="s">
        <v>1454</v>
      </c>
      <c r="K186" s="616" t="s">
        <v>1712</v>
      </c>
      <c r="L186" s="785">
        <v>515000</v>
      </c>
      <c r="M186" s="609" t="s">
        <v>2184</v>
      </c>
      <c r="N186" s="616">
        <v>515000</v>
      </c>
      <c r="O186" s="612">
        <v>42767</v>
      </c>
      <c r="P186" s="612">
        <v>43070</v>
      </c>
      <c r="Q186" s="609" t="s">
        <v>110</v>
      </c>
      <c r="R186" s="609" t="s">
        <v>113</v>
      </c>
      <c r="S186" s="609" t="s">
        <v>1455</v>
      </c>
      <c r="T186" s="609"/>
      <c r="U186" s="609"/>
      <c r="V186" s="609"/>
      <c r="W186" s="599" t="s">
        <v>72</v>
      </c>
      <c r="X186" s="599">
        <v>3301028439</v>
      </c>
      <c r="Y186" s="599" t="s">
        <v>1713</v>
      </c>
      <c r="Z186" s="599">
        <v>515000</v>
      </c>
      <c r="AA186" s="609" t="s">
        <v>1458</v>
      </c>
      <c r="AB186" s="642" t="s">
        <v>263</v>
      </c>
      <c r="AC186" s="652"/>
      <c r="AD186" s="652" t="s">
        <v>113</v>
      </c>
      <c r="AE186" s="653">
        <f t="shared" si="3"/>
        <v>2</v>
      </c>
    </row>
    <row r="187" spans="1:31" ht="105" hidden="1" x14ac:dyDescent="0.25">
      <c r="A187" s="608" t="s">
        <v>3543</v>
      </c>
      <c r="B187" s="614" t="s">
        <v>1576</v>
      </c>
      <c r="C187" s="613" t="s">
        <v>1540</v>
      </c>
      <c r="D187" s="623" t="s">
        <v>4633</v>
      </c>
      <c r="E187" s="613" t="s">
        <v>1714</v>
      </c>
      <c r="F187" s="614" t="s">
        <v>1528</v>
      </c>
      <c r="G187" s="609" t="s">
        <v>1453</v>
      </c>
      <c r="H187" s="618">
        <v>600</v>
      </c>
      <c r="I187" s="609">
        <v>45000000000</v>
      </c>
      <c r="J187" s="609" t="s">
        <v>1454</v>
      </c>
      <c r="K187" s="616" t="s">
        <v>1605</v>
      </c>
      <c r="L187" s="785">
        <v>100000</v>
      </c>
      <c r="M187" s="609" t="s">
        <v>2184</v>
      </c>
      <c r="N187" s="616">
        <v>100000</v>
      </c>
      <c r="O187" s="612">
        <v>42767</v>
      </c>
      <c r="P187" s="612">
        <v>43070</v>
      </c>
      <c r="Q187" s="609" t="s">
        <v>108</v>
      </c>
      <c r="R187" s="609" t="s">
        <v>1456</v>
      </c>
      <c r="S187" s="609" t="s">
        <v>1457</v>
      </c>
      <c r="T187" s="609"/>
      <c r="U187" s="609"/>
      <c r="V187" s="609"/>
      <c r="W187" s="609"/>
      <c r="X187" s="609"/>
      <c r="Y187" s="609"/>
      <c r="Z187" s="609"/>
      <c r="AA187" s="609" t="s">
        <v>1458</v>
      </c>
      <c r="AB187" s="642" t="s">
        <v>263</v>
      </c>
      <c r="AC187" s="652"/>
      <c r="AD187" s="652" t="s">
        <v>113</v>
      </c>
      <c r="AE187" s="653">
        <f t="shared" si="3"/>
        <v>2</v>
      </c>
    </row>
    <row r="188" spans="1:31" ht="105" hidden="1" x14ac:dyDescent="0.25">
      <c r="A188" s="608" t="s">
        <v>3544</v>
      </c>
      <c r="B188" s="614" t="s">
        <v>1576</v>
      </c>
      <c r="C188" s="613" t="s">
        <v>1540</v>
      </c>
      <c r="D188" s="623" t="s">
        <v>4632</v>
      </c>
      <c r="E188" s="613" t="s">
        <v>1715</v>
      </c>
      <c r="F188" s="614" t="s">
        <v>1528</v>
      </c>
      <c r="G188" s="609" t="s">
        <v>1453</v>
      </c>
      <c r="H188" s="618">
        <v>6600</v>
      </c>
      <c r="I188" s="609">
        <v>45000000000</v>
      </c>
      <c r="J188" s="609" t="s">
        <v>1454</v>
      </c>
      <c r="K188" s="616" t="s">
        <v>1716</v>
      </c>
      <c r="L188" s="785">
        <v>2100000</v>
      </c>
      <c r="M188" s="609" t="s">
        <v>2184</v>
      </c>
      <c r="N188" s="616">
        <v>2100000</v>
      </c>
      <c r="O188" s="612">
        <v>42767</v>
      </c>
      <c r="P188" s="612">
        <v>43070</v>
      </c>
      <c r="Q188" s="609" t="s">
        <v>110</v>
      </c>
      <c r="R188" s="609" t="s">
        <v>113</v>
      </c>
      <c r="S188" s="609" t="s">
        <v>1455</v>
      </c>
      <c r="T188" s="609"/>
      <c r="U188" s="609"/>
      <c r="V188" s="609"/>
      <c r="W188" s="599" t="s">
        <v>72</v>
      </c>
      <c r="X188" s="599">
        <v>3661033635</v>
      </c>
      <c r="Y188" s="599" t="s">
        <v>1717</v>
      </c>
      <c r="Z188" s="599">
        <v>2100000</v>
      </c>
      <c r="AA188" s="609" t="s">
        <v>1458</v>
      </c>
      <c r="AB188" s="642" t="s">
        <v>263</v>
      </c>
      <c r="AC188" s="652"/>
      <c r="AD188" s="652" t="s">
        <v>113</v>
      </c>
      <c r="AE188" s="653">
        <f t="shared" si="3"/>
        <v>2</v>
      </c>
    </row>
    <row r="189" spans="1:31" ht="105" hidden="1" x14ac:dyDescent="0.25">
      <c r="A189" s="608" t="s">
        <v>3545</v>
      </c>
      <c r="B189" s="614" t="s">
        <v>1576</v>
      </c>
      <c r="C189" s="613" t="s">
        <v>1540</v>
      </c>
      <c r="D189" s="623" t="s">
        <v>4631</v>
      </c>
      <c r="E189" s="613" t="s">
        <v>1718</v>
      </c>
      <c r="F189" s="614" t="s">
        <v>1528</v>
      </c>
      <c r="G189" s="609" t="s">
        <v>1453</v>
      </c>
      <c r="H189" s="618">
        <v>600</v>
      </c>
      <c r="I189" s="609">
        <v>45000000000</v>
      </c>
      <c r="J189" s="609" t="s">
        <v>1454</v>
      </c>
      <c r="K189" s="616" t="s">
        <v>1605</v>
      </c>
      <c r="L189" s="785">
        <v>100000</v>
      </c>
      <c r="M189" s="609" t="s">
        <v>2184</v>
      </c>
      <c r="N189" s="616">
        <v>100000</v>
      </c>
      <c r="O189" s="612">
        <v>42767</v>
      </c>
      <c r="P189" s="612">
        <v>43070</v>
      </c>
      <c r="Q189" s="609" t="s">
        <v>108</v>
      </c>
      <c r="R189" s="609" t="s">
        <v>1456</v>
      </c>
      <c r="S189" s="609" t="s">
        <v>1457</v>
      </c>
      <c r="T189" s="609"/>
      <c r="U189" s="609"/>
      <c r="V189" s="609"/>
      <c r="W189" s="609"/>
      <c r="X189" s="609"/>
      <c r="Y189" s="609"/>
      <c r="Z189" s="609"/>
      <c r="AA189" s="609" t="s">
        <v>1458</v>
      </c>
      <c r="AB189" s="642" t="s">
        <v>263</v>
      </c>
      <c r="AC189" s="652"/>
      <c r="AD189" s="652" t="s">
        <v>113</v>
      </c>
      <c r="AE189" s="653">
        <f t="shared" si="3"/>
        <v>2</v>
      </c>
    </row>
    <row r="190" spans="1:31" ht="105" hidden="1" x14ac:dyDescent="0.25">
      <c r="A190" s="608" t="s">
        <v>3546</v>
      </c>
      <c r="B190" s="614" t="s">
        <v>1576</v>
      </c>
      <c r="C190" s="613" t="s">
        <v>1540</v>
      </c>
      <c r="D190" s="623" t="s">
        <v>4630</v>
      </c>
      <c r="E190" s="613" t="s">
        <v>1715</v>
      </c>
      <c r="F190" s="614" t="s">
        <v>1528</v>
      </c>
      <c r="G190" s="609" t="s">
        <v>1453</v>
      </c>
      <c r="H190" s="618">
        <v>75</v>
      </c>
      <c r="I190" s="609">
        <v>45000000000</v>
      </c>
      <c r="J190" s="609" t="s">
        <v>1454</v>
      </c>
      <c r="K190" s="616" t="s">
        <v>1719</v>
      </c>
      <c r="L190" s="785">
        <v>250000</v>
      </c>
      <c r="M190" s="609" t="s">
        <v>2184</v>
      </c>
      <c r="N190" s="616">
        <v>250000</v>
      </c>
      <c r="O190" s="612">
        <v>42767</v>
      </c>
      <c r="P190" s="612">
        <v>43070</v>
      </c>
      <c r="Q190" s="609" t="s">
        <v>110</v>
      </c>
      <c r="R190" s="609" t="s">
        <v>113</v>
      </c>
      <c r="S190" s="609" t="s">
        <v>1455</v>
      </c>
      <c r="T190" s="609"/>
      <c r="U190" s="609"/>
      <c r="V190" s="609"/>
      <c r="W190" s="599" t="s">
        <v>72</v>
      </c>
      <c r="X190" s="599">
        <v>7841479761</v>
      </c>
      <c r="Y190" s="599" t="s">
        <v>1720</v>
      </c>
      <c r="Z190" s="599">
        <v>250000</v>
      </c>
      <c r="AA190" s="609" t="s">
        <v>1458</v>
      </c>
      <c r="AB190" s="642" t="s">
        <v>263</v>
      </c>
      <c r="AC190" s="652"/>
      <c r="AD190" s="652" t="s">
        <v>113</v>
      </c>
      <c r="AE190" s="653">
        <f t="shared" si="3"/>
        <v>2</v>
      </c>
    </row>
    <row r="191" spans="1:31" ht="105" hidden="1" x14ac:dyDescent="0.25">
      <c r="A191" s="608" t="s">
        <v>3547</v>
      </c>
      <c r="B191" s="614" t="s">
        <v>1531</v>
      </c>
      <c r="C191" s="613" t="s">
        <v>1721</v>
      </c>
      <c r="D191" s="623" t="s">
        <v>4629</v>
      </c>
      <c r="E191" s="613" t="s">
        <v>1715</v>
      </c>
      <c r="F191" s="614" t="s">
        <v>1528</v>
      </c>
      <c r="G191" s="609" t="s">
        <v>1453</v>
      </c>
      <c r="H191" s="618">
        <v>40</v>
      </c>
      <c r="I191" s="609">
        <v>45000000000</v>
      </c>
      <c r="J191" s="609" t="s">
        <v>1454</v>
      </c>
      <c r="K191" s="616" t="s">
        <v>1719</v>
      </c>
      <c r="L191" s="785">
        <v>250000</v>
      </c>
      <c r="M191" s="609" t="s">
        <v>2184</v>
      </c>
      <c r="N191" s="616">
        <v>250000</v>
      </c>
      <c r="O191" s="612">
        <v>42767</v>
      </c>
      <c r="P191" s="612">
        <v>43070</v>
      </c>
      <c r="Q191" s="609" t="s">
        <v>110</v>
      </c>
      <c r="R191" s="609" t="s">
        <v>113</v>
      </c>
      <c r="S191" s="609" t="s">
        <v>1455</v>
      </c>
      <c r="T191" s="609"/>
      <c r="U191" s="609"/>
      <c r="V191" s="609"/>
      <c r="W191" s="599" t="s">
        <v>72</v>
      </c>
      <c r="X191" s="599">
        <v>7702231308</v>
      </c>
      <c r="Y191" s="599" t="s">
        <v>1722</v>
      </c>
      <c r="Z191" s="599">
        <v>250000</v>
      </c>
      <c r="AA191" s="609" t="s">
        <v>1458</v>
      </c>
      <c r="AB191" s="642" t="s">
        <v>263</v>
      </c>
      <c r="AC191" s="652"/>
      <c r="AD191" s="652" t="s">
        <v>113</v>
      </c>
      <c r="AE191" s="653">
        <f t="shared" si="3"/>
        <v>2</v>
      </c>
    </row>
    <row r="192" spans="1:31" ht="105" hidden="1" x14ac:dyDescent="0.25">
      <c r="A192" s="608" t="s">
        <v>3548</v>
      </c>
      <c r="B192" s="614" t="s">
        <v>1723</v>
      </c>
      <c r="C192" s="613" t="s">
        <v>1724</v>
      </c>
      <c r="D192" s="623" t="s">
        <v>4628</v>
      </c>
      <c r="E192" s="613" t="s">
        <v>1715</v>
      </c>
      <c r="F192" s="614" t="s">
        <v>1528</v>
      </c>
      <c r="G192" s="609" t="s">
        <v>1453</v>
      </c>
      <c r="H192" s="618">
        <v>55</v>
      </c>
      <c r="I192" s="609">
        <v>45000000000</v>
      </c>
      <c r="J192" s="609" t="s">
        <v>1454</v>
      </c>
      <c r="K192" s="616" t="s">
        <v>1725</v>
      </c>
      <c r="L192" s="785">
        <v>635000</v>
      </c>
      <c r="M192" s="609" t="s">
        <v>2184</v>
      </c>
      <c r="N192" s="616">
        <v>635000</v>
      </c>
      <c r="O192" s="612">
        <v>42767</v>
      </c>
      <c r="P192" s="612">
        <v>43070</v>
      </c>
      <c r="Q192" s="609" t="s">
        <v>110</v>
      </c>
      <c r="R192" s="609" t="s">
        <v>113</v>
      </c>
      <c r="S192" s="609" t="s">
        <v>1455</v>
      </c>
      <c r="T192" s="609"/>
      <c r="U192" s="609"/>
      <c r="V192" s="609"/>
      <c r="W192" s="599" t="s">
        <v>73</v>
      </c>
      <c r="X192" s="599">
        <v>7735064772</v>
      </c>
      <c r="Y192" s="599" t="s">
        <v>1726</v>
      </c>
      <c r="Z192" s="599">
        <v>635000</v>
      </c>
      <c r="AA192" s="609" t="s">
        <v>1458</v>
      </c>
      <c r="AB192" s="642" t="s">
        <v>263</v>
      </c>
      <c r="AC192" s="652"/>
      <c r="AD192" s="652" t="s">
        <v>113</v>
      </c>
      <c r="AE192" s="653">
        <f t="shared" si="3"/>
        <v>2</v>
      </c>
    </row>
    <row r="193" spans="1:31" ht="105" hidden="1" x14ac:dyDescent="0.25">
      <c r="A193" s="608" t="s">
        <v>3549</v>
      </c>
      <c r="B193" s="614" t="s">
        <v>1727</v>
      </c>
      <c r="C193" s="613" t="s">
        <v>1728</v>
      </c>
      <c r="D193" s="623" t="s">
        <v>4627</v>
      </c>
      <c r="E193" s="613" t="s">
        <v>1715</v>
      </c>
      <c r="F193" s="614" t="s">
        <v>1528</v>
      </c>
      <c r="G193" s="609" t="s">
        <v>1453</v>
      </c>
      <c r="H193" s="618">
        <v>1650</v>
      </c>
      <c r="I193" s="609">
        <v>45000000000</v>
      </c>
      <c r="J193" s="609" t="s">
        <v>1454</v>
      </c>
      <c r="K193" s="616" t="s">
        <v>1729</v>
      </c>
      <c r="L193" s="785">
        <v>4300000</v>
      </c>
      <c r="M193" s="609" t="s">
        <v>2184</v>
      </c>
      <c r="N193" s="616">
        <v>4300000</v>
      </c>
      <c r="O193" s="612">
        <v>42767</v>
      </c>
      <c r="P193" s="612">
        <v>43070</v>
      </c>
      <c r="Q193" s="609" t="s">
        <v>110</v>
      </c>
      <c r="R193" s="609" t="s">
        <v>113</v>
      </c>
      <c r="S193" s="609" t="s">
        <v>1455</v>
      </c>
      <c r="T193" s="609"/>
      <c r="U193" s="609"/>
      <c r="V193" s="609"/>
      <c r="W193" s="599" t="s">
        <v>72</v>
      </c>
      <c r="X193" s="599">
        <v>7735007358</v>
      </c>
      <c r="Y193" s="599" t="s">
        <v>1730</v>
      </c>
      <c r="Z193" s="599">
        <v>4300000</v>
      </c>
      <c r="AA193" s="609" t="s">
        <v>1458</v>
      </c>
      <c r="AB193" s="642" t="s">
        <v>263</v>
      </c>
      <c r="AC193" s="652"/>
      <c r="AD193" s="652" t="s">
        <v>113</v>
      </c>
      <c r="AE193" s="653">
        <f t="shared" si="3"/>
        <v>2</v>
      </c>
    </row>
    <row r="194" spans="1:31" ht="105" hidden="1" x14ac:dyDescent="0.25">
      <c r="A194" s="608" t="s">
        <v>3550</v>
      </c>
      <c r="B194" s="614" t="s">
        <v>1727</v>
      </c>
      <c r="C194" s="613" t="s">
        <v>1728</v>
      </c>
      <c r="D194" s="623" t="s">
        <v>4626</v>
      </c>
      <c r="E194" s="613" t="s">
        <v>1731</v>
      </c>
      <c r="F194" s="614" t="s">
        <v>1528</v>
      </c>
      <c r="G194" s="609" t="s">
        <v>1453</v>
      </c>
      <c r="H194" s="618">
        <v>4800</v>
      </c>
      <c r="I194" s="609">
        <v>45000000000</v>
      </c>
      <c r="J194" s="609" t="s">
        <v>1454</v>
      </c>
      <c r="K194" s="616" t="s">
        <v>1732</v>
      </c>
      <c r="L194" s="785">
        <v>11000000</v>
      </c>
      <c r="M194" s="609" t="s">
        <v>2184</v>
      </c>
      <c r="N194" s="616">
        <v>11000000</v>
      </c>
      <c r="O194" s="612">
        <v>42767</v>
      </c>
      <c r="P194" s="612">
        <v>43070</v>
      </c>
      <c r="Q194" s="609" t="s">
        <v>100</v>
      </c>
      <c r="R194" s="609" t="s">
        <v>1456</v>
      </c>
      <c r="S194" s="609" t="s">
        <v>1457</v>
      </c>
      <c r="T194" s="609"/>
      <c r="U194" s="609"/>
      <c r="V194" s="609"/>
      <c r="W194" s="609"/>
      <c r="X194" s="609"/>
      <c r="Y194" s="609"/>
      <c r="Z194" s="609"/>
      <c r="AA194" s="609" t="s">
        <v>1458</v>
      </c>
      <c r="AB194" s="642" t="s">
        <v>263</v>
      </c>
      <c r="AC194" s="652"/>
      <c r="AD194" s="652" t="s">
        <v>113</v>
      </c>
      <c r="AE194" s="653">
        <f t="shared" si="3"/>
        <v>2</v>
      </c>
    </row>
    <row r="195" spans="1:31" ht="105" hidden="1" x14ac:dyDescent="0.25">
      <c r="A195" s="608" t="s">
        <v>3551</v>
      </c>
      <c r="B195" s="614" t="s">
        <v>232</v>
      </c>
      <c r="C195" s="613" t="s">
        <v>1733</v>
      </c>
      <c r="D195" s="623" t="s">
        <v>4625</v>
      </c>
      <c r="E195" s="613" t="s">
        <v>1715</v>
      </c>
      <c r="F195" s="614" t="s">
        <v>1528</v>
      </c>
      <c r="G195" s="609" t="s">
        <v>1453</v>
      </c>
      <c r="H195" s="618">
        <v>430</v>
      </c>
      <c r="I195" s="609">
        <v>45000000000</v>
      </c>
      <c r="J195" s="609" t="s">
        <v>1454</v>
      </c>
      <c r="K195" s="616" t="s">
        <v>1734</v>
      </c>
      <c r="L195" s="785">
        <v>2900000</v>
      </c>
      <c r="M195" s="609" t="s">
        <v>2184</v>
      </c>
      <c r="N195" s="616">
        <v>2900000</v>
      </c>
      <c r="O195" s="612">
        <v>42767</v>
      </c>
      <c r="P195" s="612">
        <v>43070</v>
      </c>
      <c r="Q195" s="609" t="s">
        <v>110</v>
      </c>
      <c r="R195" s="609" t="s">
        <v>113</v>
      </c>
      <c r="S195" s="609" t="s">
        <v>1455</v>
      </c>
      <c r="T195" s="609"/>
      <c r="U195" s="609"/>
      <c r="V195" s="609"/>
      <c r="W195" s="599" t="s">
        <v>72</v>
      </c>
      <c r="X195" s="599">
        <v>7728816598</v>
      </c>
      <c r="Y195" s="599" t="s">
        <v>1735</v>
      </c>
      <c r="Z195" s="599">
        <v>2900000</v>
      </c>
      <c r="AA195" s="609" t="s">
        <v>1458</v>
      </c>
      <c r="AB195" s="642" t="s">
        <v>263</v>
      </c>
      <c r="AC195" s="652"/>
      <c r="AD195" s="652" t="s">
        <v>113</v>
      </c>
      <c r="AE195" s="653">
        <f t="shared" si="3"/>
        <v>2</v>
      </c>
    </row>
    <row r="196" spans="1:31" ht="105" hidden="1" x14ac:dyDescent="0.25">
      <c r="A196" s="608" t="s">
        <v>3552</v>
      </c>
      <c r="B196" s="614" t="s">
        <v>1576</v>
      </c>
      <c r="C196" s="613" t="s">
        <v>1540</v>
      </c>
      <c r="D196" s="623" t="s">
        <v>4624</v>
      </c>
      <c r="E196" s="613" t="s">
        <v>1715</v>
      </c>
      <c r="F196" s="614" t="s">
        <v>1528</v>
      </c>
      <c r="G196" s="609" t="s">
        <v>1453</v>
      </c>
      <c r="H196" s="618">
        <v>190</v>
      </c>
      <c r="I196" s="609">
        <v>45000000000</v>
      </c>
      <c r="J196" s="609" t="s">
        <v>1454</v>
      </c>
      <c r="K196" s="616" t="s">
        <v>1736</v>
      </c>
      <c r="L196" s="785">
        <v>240000</v>
      </c>
      <c r="M196" s="609" t="s">
        <v>2184</v>
      </c>
      <c r="N196" s="616">
        <v>240000</v>
      </c>
      <c r="O196" s="612">
        <v>42767</v>
      </c>
      <c r="P196" s="612">
        <v>43070</v>
      </c>
      <c r="Q196" s="609" t="s">
        <v>110</v>
      </c>
      <c r="R196" s="609" t="s">
        <v>113</v>
      </c>
      <c r="S196" s="609" t="s">
        <v>1455</v>
      </c>
      <c r="T196" s="609"/>
      <c r="U196" s="609"/>
      <c r="V196" s="609"/>
      <c r="W196" s="599" t="s">
        <v>72</v>
      </c>
      <c r="X196" s="599">
        <v>5753018359</v>
      </c>
      <c r="Y196" s="599" t="s">
        <v>1737</v>
      </c>
      <c r="Z196" s="599">
        <v>240000</v>
      </c>
      <c r="AA196" s="609" t="s">
        <v>1458</v>
      </c>
      <c r="AB196" s="642" t="s">
        <v>263</v>
      </c>
      <c r="AC196" s="652"/>
      <c r="AD196" s="652" t="s">
        <v>113</v>
      </c>
      <c r="AE196" s="653">
        <f t="shared" si="3"/>
        <v>2</v>
      </c>
    </row>
    <row r="197" spans="1:31" ht="105" hidden="1" x14ac:dyDescent="0.25">
      <c r="A197" s="608" t="s">
        <v>3553</v>
      </c>
      <c r="B197" s="614" t="s">
        <v>1576</v>
      </c>
      <c r="C197" s="613" t="s">
        <v>1738</v>
      </c>
      <c r="D197" s="623" t="s">
        <v>4623</v>
      </c>
      <c r="E197" s="613" t="s">
        <v>1715</v>
      </c>
      <c r="F197" s="614" t="s">
        <v>1528</v>
      </c>
      <c r="G197" s="609" t="s">
        <v>1453</v>
      </c>
      <c r="H197" s="618">
        <v>8350</v>
      </c>
      <c r="I197" s="609">
        <v>45000000000</v>
      </c>
      <c r="J197" s="609" t="s">
        <v>1454</v>
      </c>
      <c r="K197" s="616" t="s">
        <v>1609</v>
      </c>
      <c r="L197" s="785">
        <v>2200000</v>
      </c>
      <c r="M197" s="609" t="s">
        <v>2184</v>
      </c>
      <c r="N197" s="616">
        <v>2200000</v>
      </c>
      <c r="O197" s="612">
        <v>42767</v>
      </c>
      <c r="P197" s="612">
        <v>43070</v>
      </c>
      <c r="Q197" s="609" t="s">
        <v>110</v>
      </c>
      <c r="R197" s="609" t="s">
        <v>113</v>
      </c>
      <c r="S197" s="609" t="s">
        <v>1455</v>
      </c>
      <c r="T197" s="609"/>
      <c r="U197" s="609"/>
      <c r="V197" s="609"/>
      <c r="W197" s="599" t="s">
        <v>72</v>
      </c>
      <c r="X197" s="599">
        <v>1827003592</v>
      </c>
      <c r="Y197" s="599" t="s">
        <v>1739</v>
      </c>
      <c r="Z197" s="599">
        <v>2200000</v>
      </c>
      <c r="AA197" s="609" t="s">
        <v>1458</v>
      </c>
      <c r="AB197" s="642" t="s">
        <v>263</v>
      </c>
      <c r="AC197" s="652"/>
      <c r="AD197" s="652" t="s">
        <v>113</v>
      </c>
      <c r="AE197" s="653">
        <f t="shared" si="3"/>
        <v>2</v>
      </c>
    </row>
    <row r="198" spans="1:31" ht="105" hidden="1" x14ac:dyDescent="0.25">
      <c r="A198" s="608" t="s">
        <v>3554</v>
      </c>
      <c r="B198" s="614" t="s">
        <v>1740</v>
      </c>
      <c r="C198" s="613" t="s">
        <v>1699</v>
      </c>
      <c r="D198" s="623" t="s">
        <v>4622</v>
      </c>
      <c r="E198" s="613" t="s">
        <v>1715</v>
      </c>
      <c r="F198" s="614" t="s">
        <v>1528</v>
      </c>
      <c r="G198" s="609" t="s">
        <v>1453</v>
      </c>
      <c r="H198" s="618">
        <v>90</v>
      </c>
      <c r="I198" s="609">
        <v>45000000000</v>
      </c>
      <c r="J198" s="609" t="s">
        <v>1454</v>
      </c>
      <c r="K198" s="616" t="s">
        <v>1741</v>
      </c>
      <c r="L198" s="785">
        <v>2950000</v>
      </c>
      <c r="M198" s="609" t="s">
        <v>2184</v>
      </c>
      <c r="N198" s="616">
        <v>2950000</v>
      </c>
      <c r="O198" s="612">
        <v>42767</v>
      </c>
      <c r="P198" s="612">
        <v>43070</v>
      </c>
      <c r="Q198" s="609" t="s">
        <v>110</v>
      </c>
      <c r="R198" s="609" t="s">
        <v>113</v>
      </c>
      <c r="S198" s="609" t="s">
        <v>1455</v>
      </c>
      <c r="T198" s="609"/>
      <c r="U198" s="609"/>
      <c r="V198" s="609"/>
      <c r="W198" s="599" t="s">
        <v>72</v>
      </c>
      <c r="X198" s="599">
        <v>3664122185</v>
      </c>
      <c r="Y198" s="599" t="s">
        <v>1742</v>
      </c>
      <c r="Z198" s="599">
        <v>2950000</v>
      </c>
      <c r="AA198" s="609" t="s">
        <v>1458</v>
      </c>
      <c r="AB198" s="642" t="s">
        <v>263</v>
      </c>
      <c r="AC198" s="652"/>
      <c r="AD198" s="652" t="s">
        <v>113</v>
      </c>
      <c r="AE198" s="653">
        <f t="shared" si="3"/>
        <v>2</v>
      </c>
    </row>
    <row r="199" spans="1:31" ht="105" hidden="1" x14ac:dyDescent="0.25">
      <c r="A199" s="608" t="s">
        <v>3555</v>
      </c>
      <c r="B199" s="614" t="s">
        <v>1663</v>
      </c>
      <c r="C199" s="613" t="s">
        <v>1743</v>
      </c>
      <c r="D199" s="623" t="s">
        <v>4621</v>
      </c>
      <c r="E199" s="613" t="s">
        <v>1744</v>
      </c>
      <c r="F199" s="614" t="s">
        <v>1528</v>
      </c>
      <c r="G199" s="609" t="s">
        <v>1453</v>
      </c>
      <c r="H199" s="618">
        <v>600000</v>
      </c>
      <c r="I199" s="609">
        <v>45000000000</v>
      </c>
      <c r="J199" s="609" t="s">
        <v>1454</v>
      </c>
      <c r="K199" s="616" t="s">
        <v>1692</v>
      </c>
      <c r="L199" s="785">
        <v>3000000</v>
      </c>
      <c r="M199" s="609" t="s">
        <v>2184</v>
      </c>
      <c r="N199" s="616">
        <v>3000000</v>
      </c>
      <c r="O199" s="612">
        <v>42767</v>
      </c>
      <c r="P199" s="612">
        <v>43070</v>
      </c>
      <c r="Q199" s="609" t="s">
        <v>108</v>
      </c>
      <c r="R199" s="609" t="s">
        <v>1456</v>
      </c>
      <c r="S199" s="609" t="s">
        <v>1457</v>
      </c>
      <c r="T199" s="609"/>
      <c r="U199" s="609"/>
      <c r="V199" s="609"/>
      <c r="W199" s="609"/>
      <c r="X199" s="609"/>
      <c r="Y199" s="609"/>
      <c r="Z199" s="609"/>
      <c r="AA199" s="609" t="s">
        <v>1458</v>
      </c>
      <c r="AB199" s="642" t="s">
        <v>263</v>
      </c>
      <c r="AC199" s="652"/>
      <c r="AD199" s="652" t="s">
        <v>113</v>
      </c>
      <c r="AE199" s="653">
        <f t="shared" si="3"/>
        <v>2</v>
      </c>
    </row>
    <row r="200" spans="1:31" ht="105" hidden="1" x14ac:dyDescent="0.25">
      <c r="A200" s="608" t="s">
        <v>3556</v>
      </c>
      <c r="B200" s="614" t="s">
        <v>1540</v>
      </c>
      <c r="C200" s="613" t="s">
        <v>1745</v>
      </c>
      <c r="D200" s="623" t="s">
        <v>4620</v>
      </c>
      <c r="E200" s="613" t="s">
        <v>1695</v>
      </c>
      <c r="F200" s="614" t="s">
        <v>1528</v>
      </c>
      <c r="G200" s="609" t="s">
        <v>1453</v>
      </c>
      <c r="H200" s="618">
        <v>200</v>
      </c>
      <c r="I200" s="609">
        <v>45000000000</v>
      </c>
      <c r="J200" s="609" t="s">
        <v>1454</v>
      </c>
      <c r="K200" s="616" t="s">
        <v>1746</v>
      </c>
      <c r="L200" s="785">
        <v>350000</v>
      </c>
      <c r="M200" s="609" t="s">
        <v>2184</v>
      </c>
      <c r="N200" s="616">
        <v>350000</v>
      </c>
      <c r="O200" s="612">
        <v>42767</v>
      </c>
      <c r="P200" s="612">
        <v>43070</v>
      </c>
      <c r="Q200" s="609" t="s">
        <v>110</v>
      </c>
      <c r="R200" s="609" t="s">
        <v>113</v>
      </c>
      <c r="S200" s="609" t="s">
        <v>1455</v>
      </c>
      <c r="T200" s="609"/>
      <c r="U200" s="609"/>
      <c r="V200" s="609"/>
      <c r="W200" s="599" t="s">
        <v>72</v>
      </c>
      <c r="X200" s="599">
        <v>3435000717</v>
      </c>
      <c r="Y200" s="599" t="s">
        <v>1747</v>
      </c>
      <c r="Z200" s="599">
        <v>350000</v>
      </c>
      <c r="AA200" s="609" t="s">
        <v>1458</v>
      </c>
      <c r="AB200" s="642" t="s">
        <v>263</v>
      </c>
      <c r="AC200" s="652"/>
      <c r="AD200" s="652" t="s">
        <v>113</v>
      </c>
      <c r="AE200" s="653">
        <f t="shared" si="3"/>
        <v>2</v>
      </c>
    </row>
    <row r="201" spans="1:31" ht="105" hidden="1" x14ac:dyDescent="0.25">
      <c r="A201" s="608" t="s">
        <v>3557</v>
      </c>
      <c r="B201" s="614" t="s">
        <v>1531</v>
      </c>
      <c r="C201" s="613" t="s">
        <v>1748</v>
      </c>
      <c r="D201" s="623" t="s">
        <v>4619</v>
      </c>
      <c r="E201" s="613" t="s">
        <v>1749</v>
      </c>
      <c r="F201" s="614" t="s">
        <v>1528</v>
      </c>
      <c r="G201" s="609" t="s">
        <v>1453</v>
      </c>
      <c r="H201" s="618">
        <v>11</v>
      </c>
      <c r="I201" s="609">
        <v>45000000000</v>
      </c>
      <c r="J201" s="609" t="s">
        <v>1454</v>
      </c>
      <c r="K201" s="616" t="s">
        <v>1750</v>
      </c>
      <c r="L201" s="785">
        <v>325000</v>
      </c>
      <c r="M201" s="609" t="s">
        <v>2184</v>
      </c>
      <c r="N201" s="616">
        <v>325000</v>
      </c>
      <c r="O201" s="612">
        <v>42767</v>
      </c>
      <c r="P201" s="612">
        <v>43070</v>
      </c>
      <c r="Q201" s="609" t="s">
        <v>110</v>
      </c>
      <c r="R201" s="609" t="s">
        <v>113</v>
      </c>
      <c r="S201" s="609" t="s">
        <v>1455</v>
      </c>
      <c r="T201" s="609"/>
      <c r="U201" s="609"/>
      <c r="V201" s="609"/>
      <c r="W201" s="599" t="s">
        <v>72</v>
      </c>
      <c r="X201" s="599">
        <v>7810528095</v>
      </c>
      <c r="Y201" s="599" t="s">
        <v>1751</v>
      </c>
      <c r="Z201" s="599">
        <v>325000</v>
      </c>
      <c r="AA201" s="609" t="s">
        <v>1458</v>
      </c>
      <c r="AB201" s="642" t="s">
        <v>263</v>
      </c>
      <c r="AC201" s="652"/>
      <c r="AD201" s="652" t="s">
        <v>113</v>
      </c>
      <c r="AE201" s="653">
        <f t="shared" si="3"/>
        <v>2</v>
      </c>
    </row>
    <row r="202" spans="1:31" ht="105" hidden="1" x14ac:dyDescent="0.25">
      <c r="A202" s="608" t="s">
        <v>3558</v>
      </c>
      <c r="B202" s="614" t="s">
        <v>1752</v>
      </c>
      <c r="C202" s="613" t="s">
        <v>1753</v>
      </c>
      <c r="D202" s="623" t="s">
        <v>4618</v>
      </c>
      <c r="E202" s="613" t="s">
        <v>1754</v>
      </c>
      <c r="F202" s="614" t="s">
        <v>1528</v>
      </c>
      <c r="G202" s="609" t="s">
        <v>1453</v>
      </c>
      <c r="H202" s="618">
        <v>60</v>
      </c>
      <c r="I202" s="609">
        <v>45000000000</v>
      </c>
      <c r="J202" s="609" t="s">
        <v>1454</v>
      </c>
      <c r="K202" s="616" t="s">
        <v>1685</v>
      </c>
      <c r="L202" s="785">
        <v>300000</v>
      </c>
      <c r="M202" s="609" t="s">
        <v>2184</v>
      </c>
      <c r="N202" s="616">
        <v>300000</v>
      </c>
      <c r="O202" s="612">
        <v>42767</v>
      </c>
      <c r="P202" s="612">
        <v>43070</v>
      </c>
      <c r="Q202" s="609" t="s">
        <v>108</v>
      </c>
      <c r="R202" s="609" t="s">
        <v>1456</v>
      </c>
      <c r="S202" s="609" t="s">
        <v>1457</v>
      </c>
      <c r="T202" s="609"/>
      <c r="U202" s="609"/>
      <c r="V202" s="609"/>
      <c r="W202" s="609"/>
      <c r="X202" s="609"/>
      <c r="Y202" s="609"/>
      <c r="Z202" s="609"/>
      <c r="AA202" s="609" t="s">
        <v>1458</v>
      </c>
      <c r="AB202" s="642" t="s">
        <v>263</v>
      </c>
      <c r="AC202" s="652"/>
      <c r="AD202" s="652" t="s">
        <v>113</v>
      </c>
      <c r="AE202" s="653">
        <f t="shared" si="3"/>
        <v>2</v>
      </c>
    </row>
    <row r="203" spans="1:31" ht="105" hidden="1" x14ac:dyDescent="0.25">
      <c r="A203" s="608" t="s">
        <v>3559</v>
      </c>
      <c r="B203" s="614" t="s">
        <v>1755</v>
      </c>
      <c r="C203" s="613" t="s">
        <v>1756</v>
      </c>
      <c r="D203" s="623" t="s">
        <v>4617</v>
      </c>
      <c r="E203" s="613" t="s">
        <v>1715</v>
      </c>
      <c r="F203" s="614" t="s">
        <v>1528</v>
      </c>
      <c r="G203" s="609" t="s">
        <v>1453</v>
      </c>
      <c r="H203" s="618">
        <v>55200</v>
      </c>
      <c r="I203" s="609">
        <v>45000000000</v>
      </c>
      <c r="J203" s="609" t="s">
        <v>1454</v>
      </c>
      <c r="K203" s="616" t="s">
        <v>1757</v>
      </c>
      <c r="L203" s="785">
        <v>650000</v>
      </c>
      <c r="M203" s="609" t="s">
        <v>2184</v>
      </c>
      <c r="N203" s="616">
        <v>650000</v>
      </c>
      <c r="O203" s="612">
        <v>42767</v>
      </c>
      <c r="P203" s="612">
        <v>43070</v>
      </c>
      <c r="Q203" s="609" t="s">
        <v>110</v>
      </c>
      <c r="R203" s="609" t="s">
        <v>113</v>
      </c>
      <c r="S203" s="609" t="s">
        <v>1455</v>
      </c>
      <c r="T203" s="609"/>
      <c r="U203" s="609"/>
      <c r="V203" s="609"/>
      <c r="W203" s="599" t="s">
        <v>72</v>
      </c>
      <c r="X203" s="599">
        <v>5262073044</v>
      </c>
      <c r="Y203" s="599" t="s">
        <v>1758</v>
      </c>
      <c r="Z203" s="599">
        <v>650000</v>
      </c>
      <c r="AA203" s="609" t="s">
        <v>1458</v>
      </c>
      <c r="AB203" s="642" t="s">
        <v>263</v>
      </c>
      <c r="AC203" s="652"/>
      <c r="AD203" s="652" t="s">
        <v>113</v>
      </c>
      <c r="AE203" s="653">
        <f t="shared" si="3"/>
        <v>2</v>
      </c>
    </row>
    <row r="204" spans="1:31" ht="105" hidden="1" x14ac:dyDescent="0.25">
      <c r="A204" s="608" t="s">
        <v>3560</v>
      </c>
      <c r="B204" s="614" t="s">
        <v>1759</v>
      </c>
      <c r="C204" s="613" t="s">
        <v>1760</v>
      </c>
      <c r="D204" s="623" t="s">
        <v>4616</v>
      </c>
      <c r="E204" s="613" t="s">
        <v>1744</v>
      </c>
      <c r="F204" s="614" t="s">
        <v>1528</v>
      </c>
      <c r="G204" s="609" t="s">
        <v>1453</v>
      </c>
      <c r="H204" s="618">
        <v>120</v>
      </c>
      <c r="I204" s="609">
        <v>45000000000</v>
      </c>
      <c r="J204" s="609" t="s">
        <v>1454</v>
      </c>
      <c r="K204" s="616" t="s">
        <v>2963</v>
      </c>
      <c r="L204" s="785">
        <v>1954935</v>
      </c>
      <c r="M204" s="838" t="s">
        <v>4813</v>
      </c>
      <c r="N204" s="616">
        <v>1954935</v>
      </c>
      <c r="O204" s="612">
        <v>42767</v>
      </c>
      <c r="P204" s="612">
        <v>43070</v>
      </c>
      <c r="Q204" s="609" t="s">
        <v>108</v>
      </c>
      <c r="R204" s="609" t="s">
        <v>1456</v>
      </c>
      <c r="S204" s="609" t="s">
        <v>1457</v>
      </c>
      <c r="T204" s="609"/>
      <c r="U204" s="609"/>
      <c r="V204" s="609"/>
      <c r="W204" s="609"/>
      <c r="X204" s="609"/>
      <c r="Y204" s="609"/>
      <c r="Z204" s="609"/>
      <c r="AA204" s="609" t="s">
        <v>1458</v>
      </c>
      <c r="AB204" s="642" t="s">
        <v>263</v>
      </c>
      <c r="AC204" s="652"/>
      <c r="AD204" s="652" t="s">
        <v>113</v>
      </c>
      <c r="AE204" s="653">
        <f t="shared" si="3"/>
        <v>2</v>
      </c>
    </row>
    <row r="205" spans="1:31" ht="105" hidden="1" x14ac:dyDescent="0.25">
      <c r="A205" s="608" t="s">
        <v>3561</v>
      </c>
      <c r="B205" s="614" t="s">
        <v>1759</v>
      </c>
      <c r="C205" s="613" t="s">
        <v>1760</v>
      </c>
      <c r="D205" s="623" t="s">
        <v>4615</v>
      </c>
      <c r="E205" s="613" t="s">
        <v>1744</v>
      </c>
      <c r="F205" s="614" t="s">
        <v>1528</v>
      </c>
      <c r="G205" s="609" t="s">
        <v>1453</v>
      </c>
      <c r="H205" s="618">
        <v>630</v>
      </c>
      <c r="I205" s="609">
        <v>45000000000</v>
      </c>
      <c r="J205" s="609" t="s">
        <v>1454</v>
      </c>
      <c r="K205" s="616" t="s">
        <v>5985</v>
      </c>
      <c r="L205" s="785">
        <v>691516.45</v>
      </c>
      <c r="M205" s="609" t="s">
        <v>2184</v>
      </c>
      <c r="N205" s="616">
        <v>691516.45</v>
      </c>
      <c r="O205" s="612">
        <v>42856</v>
      </c>
      <c r="P205" s="612">
        <v>43070</v>
      </c>
      <c r="Q205" s="609" t="s">
        <v>108</v>
      </c>
      <c r="R205" s="609" t="s">
        <v>1456</v>
      </c>
      <c r="S205" s="609" t="s">
        <v>1457</v>
      </c>
      <c r="T205" s="609"/>
      <c r="U205" s="609"/>
      <c r="V205" s="609"/>
      <c r="W205" s="609"/>
      <c r="X205" s="609"/>
      <c r="Y205" s="609"/>
      <c r="Z205" s="609"/>
      <c r="AA205" s="609" t="s">
        <v>1458</v>
      </c>
      <c r="AB205" s="642" t="s">
        <v>263</v>
      </c>
      <c r="AC205" s="652"/>
      <c r="AD205" s="652" t="s">
        <v>113</v>
      </c>
      <c r="AE205" s="653">
        <f t="shared" si="3"/>
        <v>5</v>
      </c>
    </row>
    <row r="206" spans="1:31" ht="105" hidden="1" x14ac:dyDescent="0.25">
      <c r="A206" s="608" t="s">
        <v>3562</v>
      </c>
      <c r="B206" s="614" t="s">
        <v>138</v>
      </c>
      <c r="C206" s="613" t="s">
        <v>1761</v>
      </c>
      <c r="D206" s="623" t="s">
        <v>4614</v>
      </c>
      <c r="E206" s="613" t="s">
        <v>1762</v>
      </c>
      <c r="F206" s="614" t="s">
        <v>1528</v>
      </c>
      <c r="G206" s="609" t="s">
        <v>1453</v>
      </c>
      <c r="H206" s="618">
        <v>53</v>
      </c>
      <c r="I206" s="609">
        <v>45000000000</v>
      </c>
      <c r="J206" s="609" t="s">
        <v>1454</v>
      </c>
      <c r="K206" s="616" t="s">
        <v>1763</v>
      </c>
      <c r="L206" s="785">
        <v>560000</v>
      </c>
      <c r="M206" s="609" t="s">
        <v>2184</v>
      </c>
      <c r="N206" s="616">
        <v>560000</v>
      </c>
      <c r="O206" s="612">
        <v>42767</v>
      </c>
      <c r="P206" s="612">
        <v>43070</v>
      </c>
      <c r="Q206" s="609" t="s">
        <v>108</v>
      </c>
      <c r="R206" s="609" t="s">
        <v>1456</v>
      </c>
      <c r="S206" s="609" t="s">
        <v>1457</v>
      </c>
      <c r="T206" s="609"/>
      <c r="U206" s="609"/>
      <c r="V206" s="609"/>
      <c r="W206" s="609"/>
      <c r="X206" s="609"/>
      <c r="Y206" s="609"/>
      <c r="Z206" s="609"/>
      <c r="AA206" s="609" t="s">
        <v>1458</v>
      </c>
      <c r="AB206" s="642" t="s">
        <v>263</v>
      </c>
      <c r="AC206" s="652"/>
      <c r="AD206" s="652" t="s">
        <v>113</v>
      </c>
      <c r="AE206" s="653">
        <f t="shared" si="3"/>
        <v>2</v>
      </c>
    </row>
    <row r="207" spans="1:31" ht="105" hidden="1" x14ac:dyDescent="0.25">
      <c r="A207" s="608" t="s">
        <v>3563</v>
      </c>
      <c r="B207" s="614" t="s">
        <v>1764</v>
      </c>
      <c r="C207" s="613" t="s">
        <v>1765</v>
      </c>
      <c r="D207" s="623" t="s">
        <v>4613</v>
      </c>
      <c r="E207" s="613" t="s">
        <v>1766</v>
      </c>
      <c r="F207" s="614" t="s">
        <v>1528</v>
      </c>
      <c r="G207" s="609" t="s">
        <v>1453</v>
      </c>
      <c r="H207" s="618">
        <v>415</v>
      </c>
      <c r="I207" s="609">
        <v>45000000000</v>
      </c>
      <c r="J207" s="609" t="s">
        <v>1454</v>
      </c>
      <c r="K207" s="616" t="s">
        <v>1767</v>
      </c>
      <c r="L207" s="785">
        <v>308000</v>
      </c>
      <c r="M207" s="609" t="s">
        <v>2184</v>
      </c>
      <c r="N207" s="616">
        <v>308000</v>
      </c>
      <c r="O207" s="612">
        <v>42767</v>
      </c>
      <c r="P207" s="612">
        <v>43070</v>
      </c>
      <c r="Q207" s="609" t="s">
        <v>108</v>
      </c>
      <c r="R207" s="609" t="s">
        <v>1456</v>
      </c>
      <c r="S207" s="609" t="s">
        <v>1457</v>
      </c>
      <c r="T207" s="609"/>
      <c r="U207" s="609"/>
      <c r="V207" s="609"/>
      <c r="W207" s="609"/>
      <c r="X207" s="609"/>
      <c r="Y207" s="609"/>
      <c r="Z207" s="609"/>
      <c r="AA207" s="609" t="s">
        <v>1458</v>
      </c>
      <c r="AB207" s="642" t="s">
        <v>263</v>
      </c>
      <c r="AC207" s="652"/>
      <c r="AD207" s="652" t="s">
        <v>113</v>
      </c>
      <c r="AE207" s="653">
        <f t="shared" si="3"/>
        <v>2</v>
      </c>
    </row>
    <row r="208" spans="1:31" ht="105" hidden="1" x14ac:dyDescent="0.25">
      <c r="A208" s="608" t="s">
        <v>3564</v>
      </c>
      <c r="B208" s="614" t="s">
        <v>1764</v>
      </c>
      <c r="C208" s="613" t="s">
        <v>1765</v>
      </c>
      <c r="D208" s="623" t="s">
        <v>4612</v>
      </c>
      <c r="E208" s="613" t="s">
        <v>1766</v>
      </c>
      <c r="F208" s="614" t="s">
        <v>1768</v>
      </c>
      <c r="G208" s="609" t="s">
        <v>1769</v>
      </c>
      <c r="H208" s="618">
        <v>120</v>
      </c>
      <c r="I208" s="609">
        <v>45000000000</v>
      </c>
      <c r="J208" s="609" t="s">
        <v>1454</v>
      </c>
      <c r="K208" s="616" t="s">
        <v>1770</v>
      </c>
      <c r="L208" s="785">
        <v>440000</v>
      </c>
      <c r="M208" s="838" t="s">
        <v>4813</v>
      </c>
      <c r="N208" s="616">
        <v>440000</v>
      </c>
      <c r="O208" s="612">
        <v>42767</v>
      </c>
      <c r="P208" s="612">
        <v>43070</v>
      </c>
      <c r="Q208" s="609" t="s">
        <v>108</v>
      </c>
      <c r="R208" s="609" t="s">
        <v>1456</v>
      </c>
      <c r="S208" s="609" t="s">
        <v>1457</v>
      </c>
      <c r="T208" s="609"/>
      <c r="U208" s="609"/>
      <c r="V208" s="609"/>
      <c r="W208" s="609"/>
      <c r="X208" s="609"/>
      <c r="Y208" s="609"/>
      <c r="Z208" s="609"/>
      <c r="AA208" s="609" t="s">
        <v>1458</v>
      </c>
      <c r="AB208" s="642" t="s">
        <v>263</v>
      </c>
      <c r="AC208" s="652"/>
      <c r="AD208" s="652" t="s">
        <v>113</v>
      </c>
      <c r="AE208" s="653">
        <f t="shared" si="3"/>
        <v>2</v>
      </c>
    </row>
    <row r="209" spans="1:31" ht="105" hidden="1" x14ac:dyDescent="0.25">
      <c r="A209" s="608" t="s">
        <v>3565</v>
      </c>
      <c r="B209" s="614" t="s">
        <v>1764</v>
      </c>
      <c r="C209" s="613" t="s">
        <v>1765</v>
      </c>
      <c r="D209" s="623" t="s">
        <v>4611</v>
      </c>
      <c r="E209" s="613" t="s">
        <v>1766</v>
      </c>
      <c r="F209" s="614" t="s">
        <v>1645</v>
      </c>
      <c r="G209" s="609" t="s">
        <v>1646</v>
      </c>
      <c r="H209" s="618">
        <v>335</v>
      </c>
      <c r="I209" s="609">
        <v>45000000000</v>
      </c>
      <c r="J209" s="609" t="s">
        <v>1454</v>
      </c>
      <c r="K209" s="616" t="s">
        <v>1771</v>
      </c>
      <c r="L209" s="785">
        <v>1225000</v>
      </c>
      <c r="M209" s="838" t="s">
        <v>4813</v>
      </c>
      <c r="N209" s="616">
        <v>1225000</v>
      </c>
      <c r="O209" s="612">
        <v>42767</v>
      </c>
      <c r="P209" s="612">
        <v>43070</v>
      </c>
      <c r="Q209" s="609" t="s">
        <v>108</v>
      </c>
      <c r="R209" s="609" t="s">
        <v>1456</v>
      </c>
      <c r="S209" s="609" t="s">
        <v>1457</v>
      </c>
      <c r="T209" s="609"/>
      <c r="U209" s="609"/>
      <c r="V209" s="609"/>
      <c r="W209" s="609"/>
      <c r="X209" s="609"/>
      <c r="Y209" s="609"/>
      <c r="Z209" s="609"/>
      <c r="AA209" s="609" t="s">
        <v>1458</v>
      </c>
      <c r="AB209" s="642" t="s">
        <v>263</v>
      </c>
      <c r="AC209" s="652"/>
      <c r="AD209" s="652" t="s">
        <v>113</v>
      </c>
      <c r="AE209" s="653">
        <f t="shared" si="3"/>
        <v>2</v>
      </c>
    </row>
    <row r="210" spans="1:31" ht="105" hidden="1" x14ac:dyDescent="0.25">
      <c r="A210" s="608" t="s">
        <v>3566</v>
      </c>
      <c r="B210" s="614" t="s">
        <v>1772</v>
      </c>
      <c r="C210" s="613" t="s">
        <v>1772</v>
      </c>
      <c r="D210" s="623" t="s">
        <v>4610</v>
      </c>
      <c r="E210" s="613" t="s">
        <v>1773</v>
      </c>
      <c r="F210" s="614" t="s">
        <v>973</v>
      </c>
      <c r="G210" s="609" t="s">
        <v>1774</v>
      </c>
      <c r="H210" s="618">
        <v>9000</v>
      </c>
      <c r="I210" s="609">
        <v>45000000000</v>
      </c>
      <c r="J210" s="609" t="s">
        <v>1454</v>
      </c>
      <c r="K210" s="616" t="s">
        <v>1775</v>
      </c>
      <c r="L210" s="785">
        <v>6000000</v>
      </c>
      <c r="M210" s="609" t="s">
        <v>2184</v>
      </c>
      <c r="N210" s="616">
        <v>6000000</v>
      </c>
      <c r="O210" s="612">
        <v>42767</v>
      </c>
      <c r="P210" s="612">
        <v>43070</v>
      </c>
      <c r="Q210" s="609" t="s">
        <v>100</v>
      </c>
      <c r="R210" s="609" t="s">
        <v>1456</v>
      </c>
      <c r="S210" s="609" t="s">
        <v>1457</v>
      </c>
      <c r="T210" s="609"/>
      <c r="U210" s="609"/>
      <c r="V210" s="609"/>
      <c r="W210" s="609"/>
      <c r="X210" s="609"/>
      <c r="Y210" s="609"/>
      <c r="Z210" s="609"/>
      <c r="AA210" s="609" t="s">
        <v>1458</v>
      </c>
      <c r="AB210" s="642" t="s">
        <v>263</v>
      </c>
      <c r="AC210" s="652"/>
      <c r="AD210" s="652" t="s">
        <v>113</v>
      </c>
      <c r="AE210" s="653">
        <f t="shared" si="3"/>
        <v>2</v>
      </c>
    </row>
    <row r="211" spans="1:31" ht="105" hidden="1" x14ac:dyDescent="0.25">
      <c r="A211" s="608" t="s">
        <v>3567</v>
      </c>
      <c r="B211" s="614" t="s">
        <v>1772</v>
      </c>
      <c r="C211" s="613" t="s">
        <v>1772</v>
      </c>
      <c r="D211" s="623" t="s">
        <v>4609</v>
      </c>
      <c r="E211" s="613" t="s">
        <v>1773</v>
      </c>
      <c r="F211" s="614" t="s">
        <v>1528</v>
      </c>
      <c r="G211" s="609" t="s">
        <v>1453</v>
      </c>
      <c r="H211" s="618">
        <v>65</v>
      </c>
      <c r="I211" s="609">
        <v>45000000000</v>
      </c>
      <c r="J211" s="609" t="s">
        <v>1454</v>
      </c>
      <c r="K211" s="616" t="s">
        <v>1776</v>
      </c>
      <c r="L211" s="785">
        <v>225500</v>
      </c>
      <c r="M211" s="609" t="s">
        <v>2184</v>
      </c>
      <c r="N211" s="616">
        <v>225500</v>
      </c>
      <c r="O211" s="612">
        <v>42767</v>
      </c>
      <c r="P211" s="612">
        <v>43070</v>
      </c>
      <c r="Q211" s="609" t="s">
        <v>108</v>
      </c>
      <c r="R211" s="609" t="s">
        <v>1456</v>
      </c>
      <c r="S211" s="609" t="s">
        <v>1457</v>
      </c>
      <c r="T211" s="609"/>
      <c r="U211" s="609"/>
      <c r="V211" s="609"/>
      <c r="W211" s="609"/>
      <c r="X211" s="609"/>
      <c r="Y211" s="609"/>
      <c r="Z211" s="609"/>
      <c r="AA211" s="609" t="s">
        <v>1458</v>
      </c>
      <c r="AB211" s="642" t="s">
        <v>263</v>
      </c>
      <c r="AC211" s="652"/>
      <c r="AD211" s="652" t="s">
        <v>113</v>
      </c>
      <c r="AE211" s="653">
        <f t="shared" si="3"/>
        <v>2</v>
      </c>
    </row>
    <row r="212" spans="1:31" ht="105" hidden="1" x14ac:dyDescent="0.25">
      <c r="A212" s="608" t="s">
        <v>3568</v>
      </c>
      <c r="B212" s="614" t="s">
        <v>1777</v>
      </c>
      <c r="C212" s="613" t="s">
        <v>1475</v>
      </c>
      <c r="D212" s="623" t="s">
        <v>4608</v>
      </c>
      <c r="E212" s="613" t="s">
        <v>1773</v>
      </c>
      <c r="F212" s="614" t="s">
        <v>1778</v>
      </c>
      <c r="G212" s="609" t="s">
        <v>1779</v>
      </c>
      <c r="H212" s="618">
        <v>140</v>
      </c>
      <c r="I212" s="609">
        <v>45000000000</v>
      </c>
      <c r="J212" s="609" t="s">
        <v>1454</v>
      </c>
      <c r="K212" s="616" t="s">
        <v>1780</v>
      </c>
      <c r="L212" s="785">
        <v>540000</v>
      </c>
      <c r="M212" s="609" t="s">
        <v>2184</v>
      </c>
      <c r="N212" s="616">
        <v>540000</v>
      </c>
      <c r="O212" s="612">
        <v>42767</v>
      </c>
      <c r="P212" s="612">
        <v>43070</v>
      </c>
      <c r="Q212" s="609" t="s">
        <v>108</v>
      </c>
      <c r="R212" s="609" t="s">
        <v>1456</v>
      </c>
      <c r="S212" s="609" t="s">
        <v>1457</v>
      </c>
      <c r="T212" s="609"/>
      <c r="U212" s="609"/>
      <c r="V212" s="609"/>
      <c r="W212" s="609"/>
      <c r="X212" s="609"/>
      <c r="Y212" s="609"/>
      <c r="Z212" s="609"/>
      <c r="AA212" s="609" t="s">
        <v>1458</v>
      </c>
      <c r="AB212" s="642" t="s">
        <v>263</v>
      </c>
      <c r="AC212" s="652"/>
      <c r="AD212" s="652" t="s">
        <v>113</v>
      </c>
      <c r="AE212" s="653">
        <f t="shared" si="3"/>
        <v>2</v>
      </c>
    </row>
    <row r="213" spans="1:31" ht="105" hidden="1" x14ac:dyDescent="0.25">
      <c r="A213" s="608" t="s">
        <v>3569</v>
      </c>
      <c r="B213" s="614" t="s">
        <v>1777</v>
      </c>
      <c r="C213" s="613" t="s">
        <v>1475</v>
      </c>
      <c r="D213" s="623" t="s">
        <v>4607</v>
      </c>
      <c r="E213" s="613" t="s">
        <v>1773</v>
      </c>
      <c r="F213" s="614" t="s">
        <v>1781</v>
      </c>
      <c r="G213" s="609" t="s">
        <v>1782</v>
      </c>
      <c r="H213" s="618">
        <v>2040</v>
      </c>
      <c r="I213" s="609">
        <v>45000000000</v>
      </c>
      <c r="J213" s="609" t="s">
        <v>1454</v>
      </c>
      <c r="K213" s="616" t="s">
        <v>1783</v>
      </c>
      <c r="L213" s="785">
        <v>1440000</v>
      </c>
      <c r="M213" s="609" t="s">
        <v>2184</v>
      </c>
      <c r="N213" s="616">
        <v>1440000</v>
      </c>
      <c r="O213" s="612">
        <v>42767</v>
      </c>
      <c r="P213" s="612">
        <v>43070</v>
      </c>
      <c r="Q213" s="609" t="s">
        <v>108</v>
      </c>
      <c r="R213" s="609" t="s">
        <v>1456</v>
      </c>
      <c r="S213" s="609" t="s">
        <v>1457</v>
      </c>
      <c r="T213" s="609"/>
      <c r="U213" s="609"/>
      <c r="V213" s="609"/>
      <c r="W213" s="609"/>
      <c r="X213" s="609"/>
      <c r="Y213" s="609"/>
      <c r="Z213" s="609"/>
      <c r="AA213" s="609" t="s">
        <v>1458</v>
      </c>
      <c r="AB213" s="642" t="s">
        <v>263</v>
      </c>
      <c r="AC213" s="652"/>
      <c r="AD213" s="652" t="s">
        <v>113</v>
      </c>
      <c r="AE213" s="653">
        <f t="shared" si="3"/>
        <v>2</v>
      </c>
    </row>
    <row r="214" spans="1:31" ht="105" hidden="1" x14ac:dyDescent="0.25">
      <c r="A214" s="608" t="s">
        <v>3570</v>
      </c>
      <c r="B214" s="614" t="s">
        <v>1777</v>
      </c>
      <c r="C214" s="613" t="s">
        <v>1475</v>
      </c>
      <c r="D214" s="623" t="s">
        <v>4606</v>
      </c>
      <c r="E214" s="613" t="s">
        <v>1773</v>
      </c>
      <c r="F214" s="614" t="s">
        <v>1645</v>
      </c>
      <c r="G214" s="609" t="s">
        <v>1646</v>
      </c>
      <c r="H214" s="618">
        <v>21</v>
      </c>
      <c r="I214" s="609">
        <v>45000000000</v>
      </c>
      <c r="J214" s="609" t="s">
        <v>1454</v>
      </c>
      <c r="K214" s="616" t="s">
        <v>1784</v>
      </c>
      <c r="L214" s="785">
        <v>157200</v>
      </c>
      <c r="M214" s="609" t="s">
        <v>2184</v>
      </c>
      <c r="N214" s="616">
        <v>157200</v>
      </c>
      <c r="O214" s="612">
        <v>42767</v>
      </c>
      <c r="P214" s="612">
        <v>43070</v>
      </c>
      <c r="Q214" s="609" t="s">
        <v>108</v>
      </c>
      <c r="R214" s="609" t="s">
        <v>1456</v>
      </c>
      <c r="S214" s="609" t="s">
        <v>1457</v>
      </c>
      <c r="T214" s="609"/>
      <c r="U214" s="609"/>
      <c r="V214" s="609"/>
      <c r="W214" s="609"/>
      <c r="X214" s="609"/>
      <c r="Y214" s="609"/>
      <c r="Z214" s="609"/>
      <c r="AA214" s="609" t="s">
        <v>1458</v>
      </c>
      <c r="AB214" s="642" t="s">
        <v>263</v>
      </c>
      <c r="AC214" s="652"/>
      <c r="AD214" s="652" t="s">
        <v>113</v>
      </c>
      <c r="AE214" s="653">
        <f t="shared" si="3"/>
        <v>2</v>
      </c>
    </row>
    <row r="215" spans="1:31" ht="105" hidden="1" x14ac:dyDescent="0.25">
      <c r="A215" s="608" t="s">
        <v>3571</v>
      </c>
      <c r="B215" s="614" t="s">
        <v>1785</v>
      </c>
      <c r="C215" s="613" t="s">
        <v>1786</v>
      </c>
      <c r="D215" s="623" t="s">
        <v>4605</v>
      </c>
      <c r="E215" s="613" t="s">
        <v>1773</v>
      </c>
      <c r="F215" s="614" t="s">
        <v>1645</v>
      </c>
      <c r="G215" s="609" t="s">
        <v>1646</v>
      </c>
      <c r="H215" s="618">
        <v>533</v>
      </c>
      <c r="I215" s="609">
        <v>45000000000</v>
      </c>
      <c r="J215" s="609" t="s">
        <v>1454</v>
      </c>
      <c r="K215" s="616" t="s">
        <v>1780</v>
      </c>
      <c r="L215" s="785">
        <v>540000</v>
      </c>
      <c r="M215" s="609" t="s">
        <v>2184</v>
      </c>
      <c r="N215" s="616">
        <v>540000</v>
      </c>
      <c r="O215" s="612">
        <v>42767</v>
      </c>
      <c r="P215" s="612">
        <v>43070</v>
      </c>
      <c r="Q215" s="609" t="s">
        <v>108</v>
      </c>
      <c r="R215" s="609" t="s">
        <v>1456</v>
      </c>
      <c r="S215" s="609" t="s">
        <v>1457</v>
      </c>
      <c r="T215" s="609"/>
      <c r="U215" s="609"/>
      <c r="V215" s="609"/>
      <c r="W215" s="609"/>
      <c r="X215" s="609"/>
      <c r="Y215" s="609"/>
      <c r="Z215" s="609"/>
      <c r="AA215" s="609" t="s">
        <v>1458</v>
      </c>
      <c r="AB215" s="642" t="s">
        <v>263</v>
      </c>
      <c r="AC215" s="652"/>
      <c r="AD215" s="652" t="s">
        <v>113</v>
      </c>
      <c r="AE215" s="653">
        <f t="shared" si="3"/>
        <v>2</v>
      </c>
    </row>
    <row r="216" spans="1:31" ht="105" hidden="1" x14ac:dyDescent="0.25">
      <c r="A216" s="608" t="s">
        <v>3572</v>
      </c>
      <c r="B216" s="614" t="s">
        <v>1787</v>
      </c>
      <c r="C216" s="613" t="s">
        <v>1788</v>
      </c>
      <c r="D216" s="623" t="s">
        <v>4604</v>
      </c>
      <c r="E216" s="613" t="s">
        <v>1773</v>
      </c>
      <c r="F216" s="614" t="s">
        <v>1528</v>
      </c>
      <c r="G216" s="609" t="s">
        <v>1453</v>
      </c>
      <c r="H216" s="618">
        <v>250</v>
      </c>
      <c r="I216" s="609">
        <v>45000000000</v>
      </c>
      <c r="J216" s="609" t="s">
        <v>1454</v>
      </c>
      <c r="K216" s="616" t="s">
        <v>1789</v>
      </c>
      <c r="L216" s="785">
        <v>1874000</v>
      </c>
      <c r="M216" s="609" t="s">
        <v>2184</v>
      </c>
      <c r="N216" s="616">
        <v>1874000</v>
      </c>
      <c r="O216" s="612">
        <v>42767</v>
      </c>
      <c r="P216" s="612">
        <v>43070</v>
      </c>
      <c r="Q216" s="609" t="s">
        <v>108</v>
      </c>
      <c r="R216" s="609" t="s">
        <v>1456</v>
      </c>
      <c r="S216" s="609" t="s">
        <v>1457</v>
      </c>
      <c r="T216" s="609"/>
      <c r="U216" s="609"/>
      <c r="V216" s="609"/>
      <c r="W216" s="609"/>
      <c r="X216" s="609"/>
      <c r="Y216" s="609"/>
      <c r="Z216" s="609"/>
      <c r="AA216" s="609" t="s">
        <v>1458</v>
      </c>
      <c r="AB216" s="642" t="s">
        <v>263</v>
      </c>
      <c r="AC216" s="652"/>
      <c r="AD216" s="652" t="s">
        <v>113</v>
      </c>
      <c r="AE216" s="653">
        <f t="shared" si="3"/>
        <v>2</v>
      </c>
    </row>
    <row r="217" spans="1:31" ht="105" hidden="1" x14ac:dyDescent="0.25">
      <c r="A217" s="608" t="s">
        <v>3573</v>
      </c>
      <c r="B217" s="614" t="s">
        <v>1786</v>
      </c>
      <c r="C217" s="613" t="s">
        <v>1649</v>
      </c>
      <c r="D217" s="623" t="s">
        <v>4603</v>
      </c>
      <c r="E217" s="613" t="s">
        <v>1773</v>
      </c>
      <c r="F217" s="614" t="s">
        <v>1528</v>
      </c>
      <c r="G217" s="609" t="s">
        <v>1453</v>
      </c>
      <c r="H217" s="618">
        <v>747</v>
      </c>
      <c r="I217" s="609">
        <v>45000000000</v>
      </c>
      <c r="J217" s="609" t="s">
        <v>1454</v>
      </c>
      <c r="K217" s="616" t="s">
        <v>1790</v>
      </c>
      <c r="L217" s="785">
        <v>1015000</v>
      </c>
      <c r="M217" s="609" t="s">
        <v>2184</v>
      </c>
      <c r="N217" s="616">
        <v>1015000</v>
      </c>
      <c r="O217" s="612">
        <v>42767</v>
      </c>
      <c r="P217" s="612">
        <v>43070</v>
      </c>
      <c r="Q217" s="609" t="s">
        <v>108</v>
      </c>
      <c r="R217" s="609" t="s">
        <v>1456</v>
      </c>
      <c r="S217" s="609" t="s">
        <v>1457</v>
      </c>
      <c r="T217" s="609"/>
      <c r="U217" s="609"/>
      <c r="V217" s="609"/>
      <c r="W217" s="609"/>
      <c r="X217" s="609"/>
      <c r="Y217" s="609"/>
      <c r="Z217" s="609"/>
      <c r="AA217" s="609" t="s">
        <v>1458</v>
      </c>
      <c r="AB217" s="642" t="s">
        <v>263</v>
      </c>
      <c r="AC217" s="652"/>
      <c r="AD217" s="652" t="s">
        <v>113</v>
      </c>
      <c r="AE217" s="653">
        <f t="shared" si="3"/>
        <v>2</v>
      </c>
    </row>
    <row r="218" spans="1:31" ht="105" hidden="1" x14ac:dyDescent="0.25">
      <c r="A218" s="608" t="s">
        <v>3574</v>
      </c>
      <c r="B218" s="614" t="s">
        <v>1791</v>
      </c>
      <c r="C218" s="613" t="s">
        <v>1666</v>
      </c>
      <c r="D218" s="623" t="s">
        <v>4602</v>
      </c>
      <c r="E218" s="613" t="s">
        <v>1773</v>
      </c>
      <c r="F218" s="614" t="s">
        <v>973</v>
      </c>
      <c r="G218" s="609" t="s">
        <v>1774</v>
      </c>
      <c r="H218" s="618">
        <v>5365</v>
      </c>
      <c r="I218" s="609">
        <v>45000000000</v>
      </c>
      <c r="J218" s="609" t="s">
        <v>1454</v>
      </c>
      <c r="K218" s="616" t="s">
        <v>1616</v>
      </c>
      <c r="L218" s="785">
        <v>200000</v>
      </c>
      <c r="M218" s="609" t="s">
        <v>2184</v>
      </c>
      <c r="N218" s="616">
        <v>200000</v>
      </c>
      <c r="O218" s="612">
        <v>42767</v>
      </c>
      <c r="P218" s="612">
        <v>43070</v>
      </c>
      <c r="Q218" s="609" t="s">
        <v>108</v>
      </c>
      <c r="R218" s="609" t="s">
        <v>1456</v>
      </c>
      <c r="S218" s="609" t="s">
        <v>1457</v>
      </c>
      <c r="T218" s="609"/>
      <c r="U218" s="609"/>
      <c r="V218" s="609"/>
      <c r="W218" s="609"/>
      <c r="X218" s="609"/>
      <c r="Y218" s="609"/>
      <c r="Z218" s="609"/>
      <c r="AA218" s="609" t="s">
        <v>1458</v>
      </c>
      <c r="AB218" s="642" t="s">
        <v>263</v>
      </c>
      <c r="AC218" s="652"/>
      <c r="AD218" s="652" t="s">
        <v>113</v>
      </c>
      <c r="AE218" s="653">
        <f t="shared" si="3"/>
        <v>2</v>
      </c>
    </row>
    <row r="219" spans="1:31" ht="105" hidden="1" x14ac:dyDescent="0.25">
      <c r="A219" s="608" t="s">
        <v>3575</v>
      </c>
      <c r="B219" s="614" t="s">
        <v>1791</v>
      </c>
      <c r="C219" s="613" t="s">
        <v>1666</v>
      </c>
      <c r="D219" s="623" t="s">
        <v>4601</v>
      </c>
      <c r="E219" s="613" t="s">
        <v>1773</v>
      </c>
      <c r="F219" s="614" t="s">
        <v>1528</v>
      </c>
      <c r="G219" s="609" t="s">
        <v>1453</v>
      </c>
      <c r="H219" s="618">
        <v>692</v>
      </c>
      <c r="I219" s="609">
        <v>45000000000</v>
      </c>
      <c r="J219" s="609" t="s">
        <v>1454</v>
      </c>
      <c r="K219" s="616" t="s">
        <v>1792</v>
      </c>
      <c r="L219" s="785">
        <v>204500</v>
      </c>
      <c r="M219" s="609" t="s">
        <v>2184</v>
      </c>
      <c r="N219" s="616">
        <v>204500</v>
      </c>
      <c r="O219" s="612">
        <v>42767</v>
      </c>
      <c r="P219" s="612">
        <v>43070</v>
      </c>
      <c r="Q219" s="609" t="s">
        <v>108</v>
      </c>
      <c r="R219" s="609" t="s">
        <v>1456</v>
      </c>
      <c r="S219" s="609" t="s">
        <v>1457</v>
      </c>
      <c r="T219" s="609"/>
      <c r="U219" s="609"/>
      <c r="V219" s="609"/>
      <c r="W219" s="609"/>
      <c r="X219" s="609"/>
      <c r="Y219" s="609"/>
      <c r="Z219" s="609"/>
      <c r="AA219" s="609" t="s">
        <v>1458</v>
      </c>
      <c r="AB219" s="642" t="s">
        <v>263</v>
      </c>
      <c r="AC219" s="652"/>
      <c r="AD219" s="652" t="s">
        <v>113</v>
      </c>
      <c r="AE219" s="653">
        <f t="shared" si="3"/>
        <v>2</v>
      </c>
    </row>
    <row r="220" spans="1:31" ht="105" hidden="1" x14ac:dyDescent="0.25">
      <c r="A220" s="608" t="s">
        <v>3576</v>
      </c>
      <c r="B220" s="613" t="s">
        <v>1793</v>
      </c>
      <c r="C220" s="613" t="s">
        <v>1794</v>
      </c>
      <c r="D220" s="623" t="s">
        <v>4600</v>
      </c>
      <c r="E220" s="613" t="s">
        <v>1795</v>
      </c>
      <c r="F220" s="614" t="s">
        <v>1645</v>
      </c>
      <c r="G220" s="609" t="s">
        <v>1646</v>
      </c>
      <c r="H220" s="618">
        <v>1</v>
      </c>
      <c r="I220" s="609">
        <v>45000000000</v>
      </c>
      <c r="J220" s="609" t="s">
        <v>1454</v>
      </c>
      <c r="K220" s="616" t="s">
        <v>1796</v>
      </c>
      <c r="L220" s="785">
        <v>770000</v>
      </c>
      <c r="M220" s="609" t="s">
        <v>2184</v>
      </c>
      <c r="N220" s="616">
        <v>770000</v>
      </c>
      <c r="O220" s="612">
        <v>42979</v>
      </c>
      <c r="P220" s="612">
        <v>43070</v>
      </c>
      <c r="Q220" s="609" t="s">
        <v>108</v>
      </c>
      <c r="R220" s="609" t="s">
        <v>1456</v>
      </c>
      <c r="S220" s="609" t="s">
        <v>1457</v>
      </c>
      <c r="T220" s="609"/>
      <c r="U220" s="609"/>
      <c r="V220" s="609"/>
      <c r="W220" s="609"/>
      <c r="X220" s="609"/>
      <c r="Y220" s="609"/>
      <c r="Z220" s="609"/>
      <c r="AA220" s="609" t="s">
        <v>1458</v>
      </c>
      <c r="AB220" s="642" t="s">
        <v>263</v>
      </c>
      <c r="AC220" s="652"/>
      <c r="AD220" s="652" t="s">
        <v>113</v>
      </c>
      <c r="AE220" s="653">
        <f t="shared" si="3"/>
        <v>9</v>
      </c>
    </row>
    <row r="221" spans="1:31" ht="105" hidden="1" x14ac:dyDescent="0.25">
      <c r="A221" s="608" t="s">
        <v>3577</v>
      </c>
      <c r="B221" s="613" t="s">
        <v>1793</v>
      </c>
      <c r="C221" s="613" t="s">
        <v>1797</v>
      </c>
      <c r="D221" s="623" t="s">
        <v>4599</v>
      </c>
      <c r="E221" s="613" t="s">
        <v>1798</v>
      </c>
      <c r="F221" s="614" t="s">
        <v>1799</v>
      </c>
      <c r="G221" s="609" t="s">
        <v>1800</v>
      </c>
      <c r="H221" s="618">
        <v>2</v>
      </c>
      <c r="I221" s="609">
        <v>45000000000</v>
      </c>
      <c r="J221" s="609" t="s">
        <v>1454</v>
      </c>
      <c r="K221" s="616" t="s">
        <v>1801</v>
      </c>
      <c r="L221" s="785">
        <v>180000</v>
      </c>
      <c r="M221" s="609" t="s">
        <v>2184</v>
      </c>
      <c r="N221" s="616">
        <v>180000</v>
      </c>
      <c r="O221" s="612">
        <v>42887</v>
      </c>
      <c r="P221" s="612">
        <v>43071</v>
      </c>
      <c r="Q221" s="609" t="s">
        <v>108</v>
      </c>
      <c r="R221" s="609" t="s">
        <v>1456</v>
      </c>
      <c r="S221" s="609" t="s">
        <v>1457</v>
      </c>
      <c r="T221" s="609"/>
      <c r="U221" s="609"/>
      <c r="V221" s="609"/>
      <c r="W221" s="609"/>
      <c r="X221" s="609"/>
      <c r="Y221" s="609"/>
      <c r="Z221" s="609"/>
      <c r="AA221" s="609" t="s">
        <v>1458</v>
      </c>
      <c r="AB221" s="642" t="s">
        <v>263</v>
      </c>
      <c r="AC221" s="652"/>
      <c r="AD221" s="652" t="s">
        <v>113</v>
      </c>
      <c r="AE221" s="653">
        <f t="shared" si="3"/>
        <v>6</v>
      </c>
    </row>
    <row r="222" spans="1:31" ht="105" hidden="1" x14ac:dyDescent="0.25">
      <c r="A222" s="608" t="s">
        <v>3578</v>
      </c>
      <c r="B222" s="613" t="s">
        <v>1531</v>
      </c>
      <c r="C222" s="613" t="s">
        <v>1802</v>
      </c>
      <c r="D222" s="623" t="s">
        <v>4598</v>
      </c>
      <c r="E222" s="613" t="s">
        <v>1803</v>
      </c>
      <c r="F222" s="614" t="s">
        <v>1640</v>
      </c>
      <c r="G222" s="609" t="s">
        <v>1641</v>
      </c>
      <c r="H222" s="618">
        <v>1</v>
      </c>
      <c r="I222" s="609">
        <v>45000000000</v>
      </c>
      <c r="J222" s="609" t="s">
        <v>1454</v>
      </c>
      <c r="K222" s="616" t="s">
        <v>1804</v>
      </c>
      <c r="L222" s="785">
        <v>2450000</v>
      </c>
      <c r="M222" s="609" t="s">
        <v>2184</v>
      </c>
      <c r="N222" s="616">
        <v>2450000</v>
      </c>
      <c r="O222" s="612">
        <v>42948</v>
      </c>
      <c r="P222" s="612">
        <v>43072</v>
      </c>
      <c r="Q222" s="609" t="s">
        <v>108</v>
      </c>
      <c r="R222" s="609" t="s">
        <v>1456</v>
      </c>
      <c r="S222" s="609" t="s">
        <v>1457</v>
      </c>
      <c r="T222" s="609"/>
      <c r="U222" s="609"/>
      <c r="V222" s="609"/>
      <c r="W222" s="609"/>
      <c r="X222" s="609"/>
      <c r="Y222" s="609"/>
      <c r="Z222" s="609"/>
      <c r="AA222" s="609" t="s">
        <v>1458</v>
      </c>
      <c r="AB222" s="642" t="s">
        <v>263</v>
      </c>
      <c r="AC222" s="652"/>
      <c r="AD222" s="652" t="s">
        <v>113</v>
      </c>
      <c r="AE222" s="653">
        <f t="shared" si="3"/>
        <v>8</v>
      </c>
    </row>
    <row r="223" spans="1:31" ht="105" hidden="1" x14ac:dyDescent="0.25">
      <c r="A223" s="608" t="s">
        <v>3579</v>
      </c>
      <c r="B223" s="613" t="s">
        <v>1517</v>
      </c>
      <c r="C223" s="613" t="s">
        <v>1805</v>
      </c>
      <c r="D223" s="623" t="s">
        <v>4597</v>
      </c>
      <c r="E223" s="613" t="s">
        <v>1773</v>
      </c>
      <c r="F223" s="614" t="s">
        <v>1645</v>
      </c>
      <c r="G223" s="609" t="s">
        <v>1646</v>
      </c>
      <c r="H223" s="618">
        <v>370</v>
      </c>
      <c r="I223" s="609">
        <v>45000000000</v>
      </c>
      <c r="J223" s="609" t="s">
        <v>1454</v>
      </c>
      <c r="K223" s="616" t="s">
        <v>1806</v>
      </c>
      <c r="L223" s="785">
        <v>150000</v>
      </c>
      <c r="M223" s="609" t="s">
        <v>2184</v>
      </c>
      <c r="N223" s="616">
        <v>150000</v>
      </c>
      <c r="O223" s="612">
        <v>42767</v>
      </c>
      <c r="P223" s="612">
        <v>43073</v>
      </c>
      <c r="Q223" s="609" t="s">
        <v>108</v>
      </c>
      <c r="R223" s="609" t="s">
        <v>1456</v>
      </c>
      <c r="S223" s="609" t="s">
        <v>1457</v>
      </c>
      <c r="T223" s="609"/>
      <c r="U223" s="609"/>
      <c r="V223" s="609"/>
      <c r="W223" s="609"/>
      <c r="X223" s="609"/>
      <c r="Y223" s="609"/>
      <c r="Z223" s="609"/>
      <c r="AA223" s="609" t="s">
        <v>1458</v>
      </c>
      <c r="AB223" s="642" t="s">
        <v>263</v>
      </c>
      <c r="AC223" s="652"/>
      <c r="AD223" s="652" t="s">
        <v>113</v>
      </c>
      <c r="AE223" s="653">
        <f t="shared" si="3"/>
        <v>2</v>
      </c>
    </row>
    <row r="224" spans="1:31" ht="105" hidden="1" x14ac:dyDescent="0.25">
      <c r="A224" s="608" t="s">
        <v>3580</v>
      </c>
      <c r="B224" s="613" t="s">
        <v>1787</v>
      </c>
      <c r="C224" s="613" t="s">
        <v>1807</v>
      </c>
      <c r="D224" s="623" t="s">
        <v>4596</v>
      </c>
      <c r="E224" s="613" t="s">
        <v>1773</v>
      </c>
      <c r="F224" s="614" t="s">
        <v>1528</v>
      </c>
      <c r="G224" s="609" t="s">
        <v>1453</v>
      </c>
      <c r="H224" s="618">
        <v>123</v>
      </c>
      <c r="I224" s="609">
        <v>45000000000</v>
      </c>
      <c r="J224" s="609" t="s">
        <v>1454</v>
      </c>
      <c r="K224" s="616" t="s">
        <v>1707</v>
      </c>
      <c r="L224" s="785">
        <v>160000</v>
      </c>
      <c r="M224" s="609" t="s">
        <v>2184</v>
      </c>
      <c r="N224" s="616">
        <v>160000</v>
      </c>
      <c r="O224" s="612">
        <v>42795</v>
      </c>
      <c r="P224" s="612">
        <v>43074</v>
      </c>
      <c r="Q224" s="609" t="s">
        <v>108</v>
      </c>
      <c r="R224" s="609" t="s">
        <v>1456</v>
      </c>
      <c r="S224" s="609" t="s">
        <v>1457</v>
      </c>
      <c r="T224" s="609"/>
      <c r="U224" s="609"/>
      <c r="V224" s="609"/>
      <c r="W224" s="609"/>
      <c r="X224" s="609"/>
      <c r="Y224" s="609"/>
      <c r="Z224" s="609"/>
      <c r="AA224" s="609" t="s">
        <v>1458</v>
      </c>
      <c r="AB224" s="642" t="s">
        <v>263</v>
      </c>
      <c r="AC224" s="652"/>
      <c r="AD224" s="652" t="s">
        <v>113</v>
      </c>
      <c r="AE224" s="653">
        <f t="shared" si="3"/>
        <v>3</v>
      </c>
    </row>
    <row r="225" spans="1:31" ht="105" hidden="1" x14ac:dyDescent="0.25">
      <c r="A225" s="608" t="s">
        <v>3581</v>
      </c>
      <c r="B225" s="613" t="s">
        <v>1787</v>
      </c>
      <c r="C225" s="613" t="s">
        <v>1808</v>
      </c>
      <c r="D225" s="623" t="s">
        <v>4595</v>
      </c>
      <c r="E225" s="613" t="s">
        <v>1773</v>
      </c>
      <c r="F225" s="614" t="s">
        <v>1640</v>
      </c>
      <c r="G225" s="609" t="s">
        <v>1641</v>
      </c>
      <c r="H225" s="618">
        <v>310</v>
      </c>
      <c r="I225" s="609">
        <v>45000000000</v>
      </c>
      <c r="J225" s="609" t="s">
        <v>1454</v>
      </c>
      <c r="K225" s="616" t="s">
        <v>1809</v>
      </c>
      <c r="L225" s="785">
        <v>459500</v>
      </c>
      <c r="M225" s="609" t="s">
        <v>2184</v>
      </c>
      <c r="N225" s="616">
        <v>459500</v>
      </c>
      <c r="O225" s="612">
        <v>42887</v>
      </c>
      <c r="P225" s="612">
        <v>43075</v>
      </c>
      <c r="Q225" s="609" t="s">
        <v>108</v>
      </c>
      <c r="R225" s="609" t="s">
        <v>1456</v>
      </c>
      <c r="S225" s="609" t="s">
        <v>1457</v>
      </c>
      <c r="T225" s="609"/>
      <c r="U225" s="609"/>
      <c r="V225" s="609"/>
      <c r="W225" s="609"/>
      <c r="X225" s="609"/>
      <c r="Y225" s="609"/>
      <c r="Z225" s="609"/>
      <c r="AA225" s="609" t="s">
        <v>1458</v>
      </c>
      <c r="AB225" s="642" t="s">
        <v>263</v>
      </c>
      <c r="AC225" s="652"/>
      <c r="AD225" s="652" t="s">
        <v>113</v>
      </c>
      <c r="AE225" s="653">
        <f t="shared" si="3"/>
        <v>6</v>
      </c>
    </row>
    <row r="226" spans="1:31" ht="105" hidden="1" x14ac:dyDescent="0.25">
      <c r="A226" s="608" t="s">
        <v>3582</v>
      </c>
      <c r="B226" s="613" t="s">
        <v>1517</v>
      </c>
      <c r="C226" s="613" t="s">
        <v>1810</v>
      </c>
      <c r="D226" s="623" t="s">
        <v>4594</v>
      </c>
      <c r="E226" s="613" t="s">
        <v>1773</v>
      </c>
      <c r="F226" s="614" t="s">
        <v>1645</v>
      </c>
      <c r="G226" s="609" t="s">
        <v>1646</v>
      </c>
      <c r="H226" s="618">
        <v>620</v>
      </c>
      <c r="I226" s="609">
        <v>45000000000</v>
      </c>
      <c r="J226" s="609" t="s">
        <v>1454</v>
      </c>
      <c r="K226" s="616" t="s">
        <v>1634</v>
      </c>
      <c r="L226" s="785">
        <v>2500000</v>
      </c>
      <c r="M226" s="609" t="s">
        <v>2184</v>
      </c>
      <c r="N226" s="616">
        <v>2500000</v>
      </c>
      <c r="O226" s="612">
        <v>42767</v>
      </c>
      <c r="P226" s="612">
        <v>43076</v>
      </c>
      <c r="Q226" s="609" t="s">
        <v>108</v>
      </c>
      <c r="R226" s="609" t="s">
        <v>1456</v>
      </c>
      <c r="S226" s="609" t="s">
        <v>1457</v>
      </c>
      <c r="T226" s="609"/>
      <c r="U226" s="609"/>
      <c r="V226" s="609"/>
      <c r="W226" s="609"/>
      <c r="X226" s="609"/>
      <c r="Y226" s="609"/>
      <c r="Z226" s="609"/>
      <c r="AA226" s="609" t="s">
        <v>1458</v>
      </c>
      <c r="AB226" s="642" t="s">
        <v>263</v>
      </c>
      <c r="AC226" s="652"/>
      <c r="AD226" s="652" t="s">
        <v>113</v>
      </c>
      <c r="AE226" s="653">
        <f t="shared" si="3"/>
        <v>2</v>
      </c>
    </row>
    <row r="227" spans="1:31" ht="105" hidden="1" x14ac:dyDescent="0.25">
      <c r="A227" s="608" t="s">
        <v>3583</v>
      </c>
      <c r="B227" s="613" t="s">
        <v>1517</v>
      </c>
      <c r="C227" s="613" t="s">
        <v>1810</v>
      </c>
      <c r="D227" s="623" t="s">
        <v>4593</v>
      </c>
      <c r="E227" s="613" t="s">
        <v>1773</v>
      </c>
      <c r="F227" s="613" t="s">
        <v>1528</v>
      </c>
      <c r="G227" s="609" t="s">
        <v>1453</v>
      </c>
      <c r="H227" s="618">
        <v>600</v>
      </c>
      <c r="I227" s="609">
        <v>45000000000</v>
      </c>
      <c r="J227" s="609" t="s">
        <v>1454</v>
      </c>
      <c r="K227" s="616" t="s">
        <v>1634</v>
      </c>
      <c r="L227" s="785">
        <v>2500000</v>
      </c>
      <c r="M227" s="609" t="s">
        <v>2184</v>
      </c>
      <c r="N227" s="616">
        <v>2500000</v>
      </c>
      <c r="O227" s="612">
        <v>42887</v>
      </c>
      <c r="P227" s="612">
        <v>43077</v>
      </c>
      <c r="Q227" s="609" t="s">
        <v>108</v>
      </c>
      <c r="R227" s="609" t="s">
        <v>1456</v>
      </c>
      <c r="S227" s="609" t="s">
        <v>1457</v>
      </c>
      <c r="T227" s="609"/>
      <c r="U227" s="609"/>
      <c r="V227" s="609"/>
      <c r="W227" s="609"/>
      <c r="X227" s="609"/>
      <c r="Y227" s="609"/>
      <c r="Z227" s="609"/>
      <c r="AA227" s="609" t="s">
        <v>1458</v>
      </c>
      <c r="AB227" s="642" t="s">
        <v>263</v>
      </c>
      <c r="AC227" s="652"/>
      <c r="AD227" s="652" t="s">
        <v>113</v>
      </c>
      <c r="AE227" s="653">
        <f t="shared" si="3"/>
        <v>6</v>
      </c>
    </row>
    <row r="228" spans="1:31" ht="105" hidden="1" x14ac:dyDescent="0.25">
      <c r="A228" s="608" t="s">
        <v>3584</v>
      </c>
      <c r="B228" s="613" t="s">
        <v>1517</v>
      </c>
      <c r="C228" s="613" t="s">
        <v>1810</v>
      </c>
      <c r="D228" s="623" t="s">
        <v>4592</v>
      </c>
      <c r="E228" s="613" t="s">
        <v>1773</v>
      </c>
      <c r="F228" s="613" t="s">
        <v>1528</v>
      </c>
      <c r="G228" s="609" t="s">
        <v>1453</v>
      </c>
      <c r="H228" s="618">
        <v>750</v>
      </c>
      <c r="I228" s="609">
        <v>45000000000</v>
      </c>
      <c r="J228" s="609" t="s">
        <v>1454</v>
      </c>
      <c r="K228" s="616" t="s">
        <v>1692</v>
      </c>
      <c r="L228" s="785">
        <v>3000000</v>
      </c>
      <c r="M228" s="609" t="s">
        <v>2184</v>
      </c>
      <c r="N228" s="616">
        <v>3000000</v>
      </c>
      <c r="O228" s="612">
        <v>42979</v>
      </c>
      <c r="P228" s="612">
        <v>43078</v>
      </c>
      <c r="Q228" s="609" t="s">
        <v>108</v>
      </c>
      <c r="R228" s="609" t="s">
        <v>1456</v>
      </c>
      <c r="S228" s="609" t="s">
        <v>1457</v>
      </c>
      <c r="T228" s="609"/>
      <c r="U228" s="609"/>
      <c r="V228" s="609"/>
      <c r="W228" s="609"/>
      <c r="X228" s="609"/>
      <c r="Y228" s="609"/>
      <c r="Z228" s="609"/>
      <c r="AA228" s="609" t="s">
        <v>1458</v>
      </c>
      <c r="AB228" s="642" t="s">
        <v>263</v>
      </c>
      <c r="AC228" s="652"/>
      <c r="AD228" s="652" t="s">
        <v>113</v>
      </c>
      <c r="AE228" s="653">
        <f t="shared" si="3"/>
        <v>9</v>
      </c>
    </row>
    <row r="229" spans="1:31" ht="105" hidden="1" x14ac:dyDescent="0.25">
      <c r="A229" s="608" t="s">
        <v>3585</v>
      </c>
      <c r="B229" s="613" t="s">
        <v>1517</v>
      </c>
      <c r="C229" s="613" t="s">
        <v>1810</v>
      </c>
      <c r="D229" s="623" t="s">
        <v>4591</v>
      </c>
      <c r="E229" s="613" t="s">
        <v>1773</v>
      </c>
      <c r="F229" s="613" t="s">
        <v>1528</v>
      </c>
      <c r="G229" s="609" t="s">
        <v>1453</v>
      </c>
      <c r="H229" s="618">
        <v>700</v>
      </c>
      <c r="I229" s="609">
        <v>45000000000</v>
      </c>
      <c r="J229" s="609" t="s">
        <v>1454</v>
      </c>
      <c r="K229" s="616" t="s">
        <v>1811</v>
      </c>
      <c r="L229" s="785">
        <v>2800000</v>
      </c>
      <c r="M229" s="609" t="s">
        <v>2184</v>
      </c>
      <c r="N229" s="616">
        <v>2800000</v>
      </c>
      <c r="O229" s="612">
        <v>43040</v>
      </c>
      <c r="P229" s="612">
        <v>43079</v>
      </c>
      <c r="Q229" s="609" t="s">
        <v>108</v>
      </c>
      <c r="R229" s="609" t="s">
        <v>1456</v>
      </c>
      <c r="S229" s="609" t="s">
        <v>1457</v>
      </c>
      <c r="T229" s="609"/>
      <c r="U229" s="609"/>
      <c r="V229" s="609"/>
      <c r="W229" s="609"/>
      <c r="X229" s="609"/>
      <c r="Y229" s="609"/>
      <c r="Z229" s="609"/>
      <c r="AA229" s="609" t="s">
        <v>1458</v>
      </c>
      <c r="AB229" s="642" t="s">
        <v>263</v>
      </c>
      <c r="AC229" s="652"/>
      <c r="AD229" s="652" t="s">
        <v>113</v>
      </c>
      <c r="AE229" s="653">
        <f t="shared" si="3"/>
        <v>11</v>
      </c>
    </row>
    <row r="230" spans="1:31" ht="105" hidden="1" x14ac:dyDescent="0.25">
      <c r="A230" s="608" t="s">
        <v>3586</v>
      </c>
      <c r="B230" s="613" t="s">
        <v>1517</v>
      </c>
      <c r="C230" s="613" t="s">
        <v>1810</v>
      </c>
      <c r="D230" s="623" t="s">
        <v>4590</v>
      </c>
      <c r="E230" s="613" t="s">
        <v>1773</v>
      </c>
      <c r="F230" s="613" t="s">
        <v>1528</v>
      </c>
      <c r="G230" s="609" t="s">
        <v>1453</v>
      </c>
      <c r="H230" s="618">
        <v>90</v>
      </c>
      <c r="I230" s="609">
        <v>45000000000</v>
      </c>
      <c r="J230" s="609" t="s">
        <v>1454</v>
      </c>
      <c r="K230" s="616" t="s">
        <v>1812</v>
      </c>
      <c r="L230" s="785">
        <v>360000</v>
      </c>
      <c r="M230" s="609" t="s">
        <v>2184</v>
      </c>
      <c r="N230" s="616">
        <v>360000</v>
      </c>
      <c r="O230" s="612">
        <v>42767</v>
      </c>
      <c r="P230" s="612">
        <v>43080</v>
      </c>
      <c r="Q230" s="609" t="s">
        <v>108</v>
      </c>
      <c r="R230" s="609" t="s">
        <v>1456</v>
      </c>
      <c r="S230" s="609" t="s">
        <v>1457</v>
      </c>
      <c r="T230" s="609"/>
      <c r="U230" s="609"/>
      <c r="V230" s="609"/>
      <c r="W230" s="609"/>
      <c r="X230" s="609"/>
      <c r="Y230" s="609"/>
      <c r="Z230" s="609"/>
      <c r="AA230" s="609" t="s">
        <v>1458</v>
      </c>
      <c r="AB230" s="642" t="s">
        <v>263</v>
      </c>
      <c r="AC230" s="652"/>
      <c r="AD230" s="652" t="s">
        <v>113</v>
      </c>
      <c r="AE230" s="653">
        <f t="shared" si="3"/>
        <v>2</v>
      </c>
    </row>
    <row r="231" spans="1:31" ht="105" hidden="1" x14ac:dyDescent="0.25">
      <c r="A231" s="608" t="s">
        <v>3587</v>
      </c>
      <c r="B231" s="613" t="s">
        <v>1517</v>
      </c>
      <c r="C231" s="613" t="s">
        <v>1810</v>
      </c>
      <c r="D231" s="623" t="s">
        <v>4589</v>
      </c>
      <c r="E231" s="613" t="s">
        <v>1773</v>
      </c>
      <c r="F231" s="613" t="s">
        <v>1528</v>
      </c>
      <c r="G231" s="609" t="s">
        <v>1453</v>
      </c>
      <c r="H231" s="618">
        <v>90</v>
      </c>
      <c r="I231" s="609">
        <v>45000000000</v>
      </c>
      <c r="J231" s="609" t="s">
        <v>1454</v>
      </c>
      <c r="K231" s="616" t="s">
        <v>1812</v>
      </c>
      <c r="L231" s="785">
        <v>360000</v>
      </c>
      <c r="M231" s="609" t="s">
        <v>2184</v>
      </c>
      <c r="N231" s="616">
        <v>360000</v>
      </c>
      <c r="O231" s="612">
        <v>42887</v>
      </c>
      <c r="P231" s="612">
        <v>43081</v>
      </c>
      <c r="Q231" s="609" t="s">
        <v>108</v>
      </c>
      <c r="R231" s="609" t="s">
        <v>1456</v>
      </c>
      <c r="S231" s="609" t="s">
        <v>1457</v>
      </c>
      <c r="T231" s="609"/>
      <c r="U231" s="609"/>
      <c r="V231" s="609"/>
      <c r="W231" s="609"/>
      <c r="X231" s="609"/>
      <c r="Y231" s="609"/>
      <c r="Z231" s="609"/>
      <c r="AA231" s="609" t="s">
        <v>1458</v>
      </c>
      <c r="AB231" s="642" t="s">
        <v>263</v>
      </c>
      <c r="AC231" s="652"/>
      <c r="AD231" s="652" t="s">
        <v>113</v>
      </c>
      <c r="AE231" s="653">
        <f t="shared" si="3"/>
        <v>6</v>
      </c>
    </row>
    <row r="232" spans="1:31" ht="105" hidden="1" x14ac:dyDescent="0.25">
      <c r="A232" s="608" t="s">
        <v>3588</v>
      </c>
      <c r="B232" s="613" t="s">
        <v>1517</v>
      </c>
      <c r="C232" s="613" t="s">
        <v>1810</v>
      </c>
      <c r="D232" s="623" t="s">
        <v>4588</v>
      </c>
      <c r="E232" s="613" t="s">
        <v>1773</v>
      </c>
      <c r="F232" s="613" t="s">
        <v>1528</v>
      </c>
      <c r="G232" s="609" t="s">
        <v>1453</v>
      </c>
      <c r="H232" s="618">
        <v>90</v>
      </c>
      <c r="I232" s="609">
        <v>45000000000</v>
      </c>
      <c r="J232" s="609" t="s">
        <v>1454</v>
      </c>
      <c r="K232" s="616" t="s">
        <v>1812</v>
      </c>
      <c r="L232" s="785">
        <v>360000</v>
      </c>
      <c r="M232" s="609" t="s">
        <v>2184</v>
      </c>
      <c r="N232" s="616">
        <v>360000</v>
      </c>
      <c r="O232" s="612">
        <v>42979</v>
      </c>
      <c r="P232" s="612">
        <v>43082</v>
      </c>
      <c r="Q232" s="609" t="s">
        <v>108</v>
      </c>
      <c r="R232" s="609" t="s">
        <v>1456</v>
      </c>
      <c r="S232" s="609" t="s">
        <v>1457</v>
      </c>
      <c r="T232" s="609"/>
      <c r="U232" s="609"/>
      <c r="V232" s="609"/>
      <c r="W232" s="609"/>
      <c r="X232" s="609"/>
      <c r="Y232" s="609"/>
      <c r="Z232" s="609"/>
      <c r="AA232" s="609" t="s">
        <v>1458</v>
      </c>
      <c r="AB232" s="642" t="s">
        <v>263</v>
      </c>
      <c r="AC232" s="652"/>
      <c r="AD232" s="652" t="s">
        <v>113</v>
      </c>
      <c r="AE232" s="653">
        <f t="shared" si="3"/>
        <v>9</v>
      </c>
    </row>
    <row r="233" spans="1:31" ht="105" hidden="1" x14ac:dyDescent="0.25">
      <c r="A233" s="608" t="s">
        <v>3589</v>
      </c>
      <c r="B233" s="613" t="s">
        <v>1517</v>
      </c>
      <c r="C233" s="613" t="s">
        <v>1810</v>
      </c>
      <c r="D233" s="623" t="s">
        <v>4587</v>
      </c>
      <c r="E233" s="613" t="s">
        <v>1773</v>
      </c>
      <c r="F233" s="613" t="s">
        <v>1528</v>
      </c>
      <c r="G233" s="609" t="s">
        <v>1453</v>
      </c>
      <c r="H233" s="618">
        <v>90</v>
      </c>
      <c r="I233" s="609">
        <v>45000000000</v>
      </c>
      <c r="J233" s="609" t="s">
        <v>1454</v>
      </c>
      <c r="K233" s="616" t="s">
        <v>1812</v>
      </c>
      <c r="L233" s="785">
        <v>360000</v>
      </c>
      <c r="M233" s="609" t="s">
        <v>2184</v>
      </c>
      <c r="N233" s="616">
        <v>360000</v>
      </c>
      <c r="O233" s="612">
        <v>43040</v>
      </c>
      <c r="P233" s="612">
        <v>43083</v>
      </c>
      <c r="Q233" s="609" t="s">
        <v>108</v>
      </c>
      <c r="R233" s="609" t="s">
        <v>1456</v>
      </c>
      <c r="S233" s="609" t="s">
        <v>1457</v>
      </c>
      <c r="T233" s="609"/>
      <c r="U233" s="609"/>
      <c r="V233" s="609"/>
      <c r="W233" s="609"/>
      <c r="X233" s="609"/>
      <c r="Y233" s="609"/>
      <c r="Z233" s="609"/>
      <c r="AA233" s="609" t="s">
        <v>1458</v>
      </c>
      <c r="AB233" s="642" t="s">
        <v>263</v>
      </c>
      <c r="AC233" s="652"/>
      <c r="AD233" s="652" t="s">
        <v>113</v>
      </c>
      <c r="AE233" s="653">
        <f t="shared" si="3"/>
        <v>11</v>
      </c>
    </row>
    <row r="234" spans="1:31" ht="105" hidden="1" x14ac:dyDescent="0.25">
      <c r="A234" s="608" t="s">
        <v>3590</v>
      </c>
      <c r="B234" s="613" t="s">
        <v>1517</v>
      </c>
      <c r="C234" s="613" t="s">
        <v>1813</v>
      </c>
      <c r="D234" s="623" t="s">
        <v>4586</v>
      </c>
      <c r="E234" s="613" t="s">
        <v>1773</v>
      </c>
      <c r="F234" s="613" t="s">
        <v>1528</v>
      </c>
      <c r="G234" s="609" t="s">
        <v>1453</v>
      </c>
      <c r="H234" s="618">
        <v>24</v>
      </c>
      <c r="I234" s="609">
        <v>45000000000</v>
      </c>
      <c r="J234" s="609" t="s">
        <v>1454</v>
      </c>
      <c r="K234" s="616" t="s">
        <v>1814</v>
      </c>
      <c r="L234" s="785">
        <v>145000</v>
      </c>
      <c r="M234" s="609" t="s">
        <v>2184</v>
      </c>
      <c r="N234" s="616">
        <v>145000</v>
      </c>
      <c r="O234" s="612">
        <v>42979</v>
      </c>
      <c r="P234" s="612">
        <v>43084</v>
      </c>
      <c r="Q234" s="609" t="s">
        <v>108</v>
      </c>
      <c r="R234" s="609" t="s">
        <v>1456</v>
      </c>
      <c r="S234" s="609" t="s">
        <v>1457</v>
      </c>
      <c r="T234" s="609"/>
      <c r="U234" s="609"/>
      <c r="V234" s="609"/>
      <c r="W234" s="609"/>
      <c r="X234" s="609"/>
      <c r="Y234" s="609"/>
      <c r="Z234" s="609"/>
      <c r="AA234" s="609" t="s">
        <v>1458</v>
      </c>
      <c r="AB234" s="642" t="s">
        <v>263</v>
      </c>
      <c r="AC234" s="652"/>
      <c r="AD234" s="652" t="s">
        <v>113</v>
      </c>
      <c r="AE234" s="653">
        <f t="shared" si="3"/>
        <v>9</v>
      </c>
    </row>
    <row r="235" spans="1:31" ht="105" hidden="1" x14ac:dyDescent="0.25">
      <c r="A235" s="608" t="s">
        <v>3591</v>
      </c>
      <c r="B235" s="613" t="s">
        <v>1815</v>
      </c>
      <c r="C235" s="613" t="s">
        <v>1816</v>
      </c>
      <c r="D235" s="623" t="s">
        <v>4585</v>
      </c>
      <c r="E235" s="613" t="s">
        <v>1773</v>
      </c>
      <c r="F235" s="613" t="s">
        <v>1528</v>
      </c>
      <c r="G235" s="609" t="s">
        <v>1453</v>
      </c>
      <c r="H235" s="618">
        <v>1</v>
      </c>
      <c r="I235" s="609">
        <v>45000000000</v>
      </c>
      <c r="J235" s="609" t="s">
        <v>1454</v>
      </c>
      <c r="K235" s="616" t="s">
        <v>1817</v>
      </c>
      <c r="L235" s="785">
        <v>170000</v>
      </c>
      <c r="M235" s="609" t="s">
        <v>2184</v>
      </c>
      <c r="N235" s="616">
        <v>170000</v>
      </c>
      <c r="O235" s="612">
        <v>42887</v>
      </c>
      <c r="P235" s="612">
        <v>43085</v>
      </c>
      <c r="Q235" s="609" t="s">
        <v>108</v>
      </c>
      <c r="R235" s="609" t="s">
        <v>1456</v>
      </c>
      <c r="S235" s="609" t="s">
        <v>1457</v>
      </c>
      <c r="T235" s="609"/>
      <c r="U235" s="609"/>
      <c r="V235" s="609"/>
      <c r="W235" s="609"/>
      <c r="X235" s="609"/>
      <c r="Y235" s="609"/>
      <c r="Z235" s="609"/>
      <c r="AA235" s="609" t="s">
        <v>1458</v>
      </c>
      <c r="AB235" s="642" t="s">
        <v>263</v>
      </c>
      <c r="AC235" s="652"/>
      <c r="AD235" s="652" t="s">
        <v>113</v>
      </c>
      <c r="AE235" s="653">
        <f t="shared" si="3"/>
        <v>6</v>
      </c>
    </row>
    <row r="236" spans="1:31" ht="105" hidden="1" x14ac:dyDescent="0.25">
      <c r="A236" s="608" t="s">
        <v>3592</v>
      </c>
      <c r="B236" s="613" t="s">
        <v>1517</v>
      </c>
      <c r="C236" s="613" t="s">
        <v>1818</v>
      </c>
      <c r="D236" s="623" t="s">
        <v>4584</v>
      </c>
      <c r="E236" s="613" t="s">
        <v>1773</v>
      </c>
      <c r="F236" s="613" t="s">
        <v>1528</v>
      </c>
      <c r="G236" s="609" t="s">
        <v>1453</v>
      </c>
      <c r="H236" s="618">
        <v>2</v>
      </c>
      <c r="I236" s="609">
        <v>45000000000</v>
      </c>
      <c r="J236" s="609" t="s">
        <v>1454</v>
      </c>
      <c r="K236" s="616" t="s">
        <v>1819</v>
      </c>
      <c r="L236" s="785">
        <v>630000</v>
      </c>
      <c r="M236" s="609" t="s">
        <v>2184</v>
      </c>
      <c r="N236" s="616">
        <v>630000</v>
      </c>
      <c r="O236" s="612">
        <v>42736</v>
      </c>
      <c r="P236" s="612">
        <v>43087</v>
      </c>
      <c r="Q236" s="609" t="s">
        <v>108</v>
      </c>
      <c r="R236" s="609" t="s">
        <v>1456</v>
      </c>
      <c r="S236" s="609" t="s">
        <v>1457</v>
      </c>
      <c r="T236" s="609"/>
      <c r="U236" s="609"/>
      <c r="V236" s="609"/>
      <c r="W236" s="609"/>
      <c r="X236" s="609"/>
      <c r="Y236" s="609"/>
      <c r="Z236" s="609"/>
      <c r="AA236" s="609" t="s">
        <v>1458</v>
      </c>
      <c r="AB236" s="642" t="s">
        <v>263</v>
      </c>
      <c r="AC236" s="652"/>
      <c r="AD236" s="652" t="s">
        <v>113</v>
      </c>
      <c r="AE236" s="653">
        <f t="shared" si="3"/>
        <v>1</v>
      </c>
    </row>
    <row r="237" spans="1:31" ht="105" hidden="1" x14ac:dyDescent="0.25">
      <c r="A237" s="608" t="s">
        <v>3593</v>
      </c>
      <c r="B237" s="613" t="s">
        <v>1517</v>
      </c>
      <c r="C237" s="613" t="s">
        <v>1818</v>
      </c>
      <c r="D237" s="623" t="s">
        <v>4583</v>
      </c>
      <c r="E237" s="613" t="s">
        <v>1773</v>
      </c>
      <c r="F237" s="613" t="s">
        <v>1587</v>
      </c>
      <c r="G237" s="609" t="s">
        <v>1588</v>
      </c>
      <c r="H237" s="618">
        <v>2</v>
      </c>
      <c r="I237" s="609">
        <v>45000000000</v>
      </c>
      <c r="J237" s="609" t="s">
        <v>1454</v>
      </c>
      <c r="K237" s="616" t="s">
        <v>1819</v>
      </c>
      <c r="L237" s="785">
        <v>630000</v>
      </c>
      <c r="M237" s="609" t="s">
        <v>2184</v>
      </c>
      <c r="N237" s="616">
        <v>630000</v>
      </c>
      <c r="O237" s="612">
        <v>42826</v>
      </c>
      <c r="P237" s="612">
        <v>43088</v>
      </c>
      <c r="Q237" s="609" t="s">
        <v>108</v>
      </c>
      <c r="R237" s="609" t="s">
        <v>1456</v>
      </c>
      <c r="S237" s="609" t="s">
        <v>1457</v>
      </c>
      <c r="T237" s="609"/>
      <c r="U237" s="609"/>
      <c r="V237" s="609"/>
      <c r="W237" s="609"/>
      <c r="X237" s="609"/>
      <c r="Y237" s="609"/>
      <c r="Z237" s="609"/>
      <c r="AA237" s="609" t="s">
        <v>1458</v>
      </c>
      <c r="AB237" s="642" t="s">
        <v>263</v>
      </c>
      <c r="AC237" s="652"/>
      <c r="AD237" s="652" t="s">
        <v>113</v>
      </c>
      <c r="AE237" s="653">
        <f t="shared" si="3"/>
        <v>4</v>
      </c>
    </row>
    <row r="238" spans="1:31" ht="105" hidden="1" x14ac:dyDescent="0.25">
      <c r="A238" s="608" t="s">
        <v>3594</v>
      </c>
      <c r="B238" s="613" t="s">
        <v>1793</v>
      </c>
      <c r="C238" s="613" t="s">
        <v>1793</v>
      </c>
      <c r="D238" s="623" t="s">
        <v>4582</v>
      </c>
      <c r="E238" s="613" t="s">
        <v>1820</v>
      </c>
      <c r="F238" s="613" t="s">
        <v>1587</v>
      </c>
      <c r="G238" s="609" t="s">
        <v>1588</v>
      </c>
      <c r="H238" s="618">
        <v>1</v>
      </c>
      <c r="I238" s="609">
        <v>45000000000</v>
      </c>
      <c r="J238" s="609" t="s">
        <v>1454</v>
      </c>
      <c r="K238" s="616" t="s">
        <v>1821</v>
      </c>
      <c r="L238" s="785">
        <v>5500000</v>
      </c>
      <c r="M238" s="609" t="s">
        <v>2184</v>
      </c>
      <c r="N238" s="616">
        <v>5500000</v>
      </c>
      <c r="O238" s="612">
        <v>42948</v>
      </c>
      <c r="P238" s="612">
        <v>43090</v>
      </c>
      <c r="Q238" s="609" t="s">
        <v>100</v>
      </c>
      <c r="R238" s="609" t="s">
        <v>1456</v>
      </c>
      <c r="S238" s="609" t="s">
        <v>1457</v>
      </c>
      <c r="T238" s="609"/>
      <c r="U238" s="609"/>
      <c r="V238" s="609"/>
      <c r="W238" s="609"/>
      <c r="X238" s="609"/>
      <c r="Y238" s="609"/>
      <c r="Z238" s="609"/>
      <c r="AA238" s="609" t="s">
        <v>1458</v>
      </c>
      <c r="AB238" s="642" t="s">
        <v>263</v>
      </c>
      <c r="AC238" s="652"/>
      <c r="AD238" s="652" t="s">
        <v>113</v>
      </c>
      <c r="AE238" s="653">
        <f t="shared" si="3"/>
        <v>8</v>
      </c>
    </row>
    <row r="239" spans="1:31" ht="105" hidden="1" x14ac:dyDescent="0.25">
      <c r="A239" s="608" t="s">
        <v>3595</v>
      </c>
      <c r="B239" s="613" t="s">
        <v>1822</v>
      </c>
      <c r="C239" s="613" t="s">
        <v>1823</v>
      </c>
      <c r="D239" s="623" t="s">
        <v>4581</v>
      </c>
      <c r="E239" s="613" t="s">
        <v>1824</v>
      </c>
      <c r="F239" s="613" t="s">
        <v>1587</v>
      </c>
      <c r="G239" s="609" t="s">
        <v>1588</v>
      </c>
      <c r="H239" s="618">
        <v>1</v>
      </c>
      <c r="I239" s="609">
        <v>45000000000</v>
      </c>
      <c r="J239" s="609" t="s">
        <v>1454</v>
      </c>
      <c r="K239" s="616" t="s">
        <v>1825</v>
      </c>
      <c r="L239" s="785">
        <v>5464890</v>
      </c>
      <c r="M239" s="609" t="s">
        <v>2184</v>
      </c>
      <c r="N239" s="616">
        <v>5464890</v>
      </c>
      <c r="O239" s="612">
        <v>42948</v>
      </c>
      <c r="P239" s="612">
        <v>43091</v>
      </c>
      <c r="Q239" s="609" t="s">
        <v>100</v>
      </c>
      <c r="R239" s="609" t="s">
        <v>1456</v>
      </c>
      <c r="S239" s="609" t="s">
        <v>1457</v>
      </c>
      <c r="T239" s="609"/>
      <c r="U239" s="609"/>
      <c r="V239" s="609"/>
      <c r="W239" s="609"/>
      <c r="X239" s="609"/>
      <c r="Y239" s="609"/>
      <c r="Z239" s="609"/>
      <c r="AA239" s="609" t="s">
        <v>1458</v>
      </c>
      <c r="AB239" s="642" t="s">
        <v>263</v>
      </c>
      <c r="AC239" s="652"/>
      <c r="AD239" s="652" t="s">
        <v>113</v>
      </c>
      <c r="AE239" s="653">
        <f t="shared" si="3"/>
        <v>8</v>
      </c>
    </row>
    <row r="240" spans="1:31" ht="105" hidden="1" x14ac:dyDescent="0.25">
      <c r="A240" s="608" t="s">
        <v>3596</v>
      </c>
      <c r="B240" s="613" t="s">
        <v>1822</v>
      </c>
      <c r="C240" s="613" t="s">
        <v>1823</v>
      </c>
      <c r="D240" s="623" t="s">
        <v>4580</v>
      </c>
      <c r="E240" s="613" t="s">
        <v>1826</v>
      </c>
      <c r="F240" s="613" t="s">
        <v>1528</v>
      </c>
      <c r="G240" s="609" t="s">
        <v>1453</v>
      </c>
      <c r="H240" s="618">
        <v>1</v>
      </c>
      <c r="I240" s="609">
        <v>45000000000</v>
      </c>
      <c r="J240" s="609" t="s">
        <v>1454</v>
      </c>
      <c r="K240" s="616" t="s">
        <v>1827</v>
      </c>
      <c r="L240" s="785">
        <v>7893780</v>
      </c>
      <c r="M240" s="609" t="s">
        <v>2184</v>
      </c>
      <c r="N240" s="616">
        <v>7893780</v>
      </c>
      <c r="O240" s="612">
        <v>42948</v>
      </c>
      <c r="P240" s="612">
        <v>43092</v>
      </c>
      <c r="Q240" s="609" t="s">
        <v>100</v>
      </c>
      <c r="R240" s="609" t="s">
        <v>1456</v>
      </c>
      <c r="S240" s="609" t="s">
        <v>1457</v>
      </c>
      <c r="T240" s="609"/>
      <c r="U240" s="609"/>
      <c r="V240" s="609"/>
      <c r="W240" s="609"/>
      <c r="X240" s="609"/>
      <c r="Y240" s="609"/>
      <c r="Z240" s="609"/>
      <c r="AA240" s="609" t="s">
        <v>1458</v>
      </c>
      <c r="AB240" s="642" t="s">
        <v>263</v>
      </c>
      <c r="AC240" s="652"/>
      <c r="AD240" s="652" t="s">
        <v>113</v>
      </c>
      <c r="AE240" s="653">
        <f t="shared" si="3"/>
        <v>8</v>
      </c>
    </row>
    <row r="241" spans="1:31" ht="105" hidden="1" x14ac:dyDescent="0.25">
      <c r="A241" s="608" t="s">
        <v>3597</v>
      </c>
      <c r="B241" s="613" t="s">
        <v>1793</v>
      </c>
      <c r="C241" s="613" t="s">
        <v>1828</v>
      </c>
      <c r="D241" s="623" t="s">
        <v>4579</v>
      </c>
      <c r="E241" s="613" t="s">
        <v>1829</v>
      </c>
      <c r="F241" s="613" t="s">
        <v>1528</v>
      </c>
      <c r="G241" s="609" t="s">
        <v>1453</v>
      </c>
      <c r="H241" s="618">
        <v>1</v>
      </c>
      <c r="I241" s="609">
        <v>45000000000</v>
      </c>
      <c r="J241" s="609" t="s">
        <v>1454</v>
      </c>
      <c r="K241" s="616" t="s">
        <v>1830</v>
      </c>
      <c r="L241" s="785">
        <v>4000000</v>
      </c>
      <c r="M241" s="609" t="s">
        <v>2184</v>
      </c>
      <c r="N241" s="616">
        <v>4000000</v>
      </c>
      <c r="O241" s="612">
        <v>42948</v>
      </c>
      <c r="P241" s="612">
        <v>43093</v>
      </c>
      <c r="Q241" s="609" t="s">
        <v>108</v>
      </c>
      <c r="R241" s="609" t="s">
        <v>1456</v>
      </c>
      <c r="S241" s="609" t="s">
        <v>1457</v>
      </c>
      <c r="T241" s="609"/>
      <c r="U241" s="609"/>
      <c r="V241" s="609"/>
      <c r="W241" s="609"/>
      <c r="X241" s="609"/>
      <c r="Y241" s="609"/>
      <c r="Z241" s="609"/>
      <c r="AA241" s="609" t="s">
        <v>1458</v>
      </c>
      <c r="AB241" s="642" t="s">
        <v>263</v>
      </c>
      <c r="AC241" s="652"/>
      <c r="AD241" s="652" t="s">
        <v>113</v>
      </c>
      <c r="AE241" s="653">
        <f t="shared" si="3"/>
        <v>8</v>
      </c>
    </row>
    <row r="242" spans="1:31" ht="105" hidden="1" x14ac:dyDescent="0.25">
      <c r="A242" s="608" t="s">
        <v>3598</v>
      </c>
      <c r="B242" s="613" t="s">
        <v>1831</v>
      </c>
      <c r="C242" s="613" t="s">
        <v>1832</v>
      </c>
      <c r="D242" s="623" t="s">
        <v>4578</v>
      </c>
      <c r="E242" s="613" t="s">
        <v>1833</v>
      </c>
      <c r="F242" s="613" t="s">
        <v>1528</v>
      </c>
      <c r="G242" s="609" t="s">
        <v>1453</v>
      </c>
      <c r="H242" s="618">
        <v>1</v>
      </c>
      <c r="I242" s="609">
        <v>45000000000</v>
      </c>
      <c r="J242" s="609" t="s">
        <v>1454</v>
      </c>
      <c r="K242" s="616" t="s">
        <v>1834</v>
      </c>
      <c r="L242" s="785">
        <v>442200</v>
      </c>
      <c r="M242" s="609" t="s">
        <v>2184</v>
      </c>
      <c r="N242" s="616">
        <v>442200</v>
      </c>
      <c r="O242" s="612">
        <v>42887</v>
      </c>
      <c r="P242" s="612">
        <v>43094</v>
      </c>
      <c r="Q242" s="609" t="s">
        <v>108</v>
      </c>
      <c r="R242" s="609" t="s">
        <v>1456</v>
      </c>
      <c r="S242" s="609" t="s">
        <v>1457</v>
      </c>
      <c r="T242" s="609"/>
      <c r="U242" s="609"/>
      <c r="V242" s="609"/>
      <c r="W242" s="609"/>
      <c r="X242" s="609"/>
      <c r="Y242" s="609"/>
      <c r="Z242" s="609"/>
      <c r="AA242" s="609" t="s">
        <v>1458</v>
      </c>
      <c r="AB242" s="642" t="s">
        <v>263</v>
      </c>
      <c r="AC242" s="652"/>
      <c r="AD242" s="652" t="s">
        <v>113</v>
      </c>
      <c r="AE242" s="653">
        <f t="shared" si="3"/>
        <v>6</v>
      </c>
    </row>
    <row r="243" spans="1:31" ht="105" hidden="1" x14ac:dyDescent="0.25">
      <c r="A243" s="608" t="s">
        <v>3599</v>
      </c>
      <c r="B243" s="613" t="s">
        <v>1531</v>
      </c>
      <c r="C243" s="613" t="s">
        <v>1835</v>
      </c>
      <c r="D243" s="623" t="s">
        <v>4577</v>
      </c>
      <c r="E243" s="613" t="s">
        <v>1773</v>
      </c>
      <c r="F243" s="613" t="s">
        <v>1528</v>
      </c>
      <c r="G243" s="609" t="s">
        <v>1453</v>
      </c>
      <c r="H243" s="618">
        <v>1</v>
      </c>
      <c r="I243" s="609">
        <v>45000000000</v>
      </c>
      <c r="J243" s="609" t="s">
        <v>1454</v>
      </c>
      <c r="K243" s="616" t="s">
        <v>1499</v>
      </c>
      <c r="L243" s="785">
        <v>1500000</v>
      </c>
      <c r="M243" s="609" t="s">
        <v>2184</v>
      </c>
      <c r="N243" s="616">
        <v>1500000</v>
      </c>
      <c r="O243" s="612">
        <v>42736</v>
      </c>
      <c r="P243" s="612">
        <v>43095</v>
      </c>
      <c r="Q243" s="609" t="s">
        <v>108</v>
      </c>
      <c r="R243" s="609" t="s">
        <v>1456</v>
      </c>
      <c r="S243" s="609" t="s">
        <v>1457</v>
      </c>
      <c r="T243" s="609"/>
      <c r="U243" s="609"/>
      <c r="V243" s="609"/>
      <c r="W243" s="609"/>
      <c r="X243" s="609"/>
      <c r="Y243" s="609"/>
      <c r="Z243" s="609"/>
      <c r="AA243" s="609" t="s">
        <v>1458</v>
      </c>
      <c r="AB243" s="642" t="s">
        <v>263</v>
      </c>
      <c r="AC243" s="652"/>
      <c r="AD243" s="652" t="s">
        <v>113</v>
      </c>
      <c r="AE243" s="653">
        <f t="shared" si="3"/>
        <v>1</v>
      </c>
    </row>
    <row r="244" spans="1:31" ht="105" hidden="1" x14ac:dyDescent="0.25">
      <c r="A244" s="608" t="s">
        <v>3600</v>
      </c>
      <c r="B244" s="613" t="s">
        <v>1793</v>
      </c>
      <c r="C244" s="613" t="s">
        <v>1793</v>
      </c>
      <c r="D244" s="623" t="s">
        <v>4576</v>
      </c>
      <c r="E244" s="613" t="s">
        <v>1773</v>
      </c>
      <c r="F244" s="613" t="s">
        <v>1528</v>
      </c>
      <c r="G244" s="609" t="s">
        <v>1453</v>
      </c>
      <c r="H244" s="618">
        <v>1</v>
      </c>
      <c r="I244" s="609">
        <v>45000000000</v>
      </c>
      <c r="J244" s="609" t="s">
        <v>1454</v>
      </c>
      <c r="K244" s="616" t="s">
        <v>1801</v>
      </c>
      <c r="L244" s="785">
        <v>180000</v>
      </c>
      <c r="M244" s="609" t="s">
        <v>2184</v>
      </c>
      <c r="N244" s="616">
        <v>180000</v>
      </c>
      <c r="O244" s="612">
        <v>42736</v>
      </c>
      <c r="P244" s="612">
        <v>43096</v>
      </c>
      <c r="Q244" s="609" t="s">
        <v>108</v>
      </c>
      <c r="R244" s="609" t="s">
        <v>1456</v>
      </c>
      <c r="S244" s="609" t="s">
        <v>1457</v>
      </c>
      <c r="T244" s="609"/>
      <c r="U244" s="609"/>
      <c r="V244" s="609"/>
      <c r="W244" s="609"/>
      <c r="X244" s="609"/>
      <c r="Y244" s="609"/>
      <c r="Z244" s="609"/>
      <c r="AA244" s="609" t="s">
        <v>1458</v>
      </c>
      <c r="AB244" s="642" t="s">
        <v>263</v>
      </c>
      <c r="AC244" s="652"/>
      <c r="AD244" s="652" t="s">
        <v>113</v>
      </c>
      <c r="AE244" s="653">
        <f t="shared" ref="AE244:AE307" si="4">IF(O244=0,,MONTH(O244))</f>
        <v>1</v>
      </c>
    </row>
    <row r="245" spans="1:31" ht="105" hidden="1" x14ac:dyDescent="0.25">
      <c r="A245" s="608" t="s">
        <v>3601</v>
      </c>
      <c r="B245" s="613" t="s">
        <v>1793</v>
      </c>
      <c r="C245" s="613" t="s">
        <v>1793</v>
      </c>
      <c r="D245" s="623" t="s">
        <v>4575</v>
      </c>
      <c r="E245" s="613" t="s">
        <v>1773</v>
      </c>
      <c r="F245" s="613" t="s">
        <v>1587</v>
      </c>
      <c r="G245" s="609" t="s">
        <v>1588</v>
      </c>
      <c r="H245" s="618">
        <v>1</v>
      </c>
      <c r="I245" s="609">
        <v>45000000000</v>
      </c>
      <c r="J245" s="609" t="s">
        <v>1454</v>
      </c>
      <c r="K245" s="616" t="s">
        <v>1801</v>
      </c>
      <c r="L245" s="785">
        <v>180000</v>
      </c>
      <c r="M245" s="609" t="s">
        <v>2184</v>
      </c>
      <c r="N245" s="616">
        <v>180000</v>
      </c>
      <c r="O245" s="612">
        <v>42736</v>
      </c>
      <c r="P245" s="612">
        <v>43097</v>
      </c>
      <c r="Q245" s="609" t="s">
        <v>108</v>
      </c>
      <c r="R245" s="609" t="s">
        <v>1456</v>
      </c>
      <c r="S245" s="609" t="s">
        <v>1457</v>
      </c>
      <c r="T245" s="609"/>
      <c r="U245" s="609"/>
      <c r="V245" s="609"/>
      <c r="W245" s="609"/>
      <c r="X245" s="609"/>
      <c r="Y245" s="609"/>
      <c r="Z245" s="609"/>
      <c r="AA245" s="609" t="s">
        <v>1458</v>
      </c>
      <c r="AB245" s="642" t="s">
        <v>263</v>
      </c>
      <c r="AC245" s="652"/>
      <c r="AD245" s="652" t="s">
        <v>113</v>
      </c>
      <c r="AE245" s="653">
        <f t="shared" si="4"/>
        <v>1</v>
      </c>
    </row>
    <row r="246" spans="1:31" ht="105" hidden="1" x14ac:dyDescent="0.25">
      <c r="A246" s="608" t="s">
        <v>3602</v>
      </c>
      <c r="B246" s="613" t="s">
        <v>1787</v>
      </c>
      <c r="C246" s="613" t="s">
        <v>1836</v>
      </c>
      <c r="D246" s="623" t="s">
        <v>4574</v>
      </c>
      <c r="E246" s="613" t="s">
        <v>1773</v>
      </c>
      <c r="F246" s="613" t="s">
        <v>1528</v>
      </c>
      <c r="G246" s="609" t="s">
        <v>1453</v>
      </c>
      <c r="H246" s="618">
        <v>3</v>
      </c>
      <c r="I246" s="609">
        <v>45000000000</v>
      </c>
      <c r="J246" s="609" t="s">
        <v>1454</v>
      </c>
      <c r="K246" s="616" t="s">
        <v>1837</v>
      </c>
      <c r="L246" s="785">
        <v>207000</v>
      </c>
      <c r="M246" s="609" t="s">
        <v>2184</v>
      </c>
      <c r="N246" s="616">
        <v>207000</v>
      </c>
      <c r="O246" s="612">
        <v>42826</v>
      </c>
      <c r="P246" s="612">
        <v>43100</v>
      </c>
      <c r="Q246" s="609" t="s">
        <v>108</v>
      </c>
      <c r="R246" s="609" t="s">
        <v>1456</v>
      </c>
      <c r="S246" s="609" t="s">
        <v>1457</v>
      </c>
      <c r="T246" s="609"/>
      <c r="U246" s="609"/>
      <c r="V246" s="609"/>
      <c r="W246" s="609"/>
      <c r="X246" s="609"/>
      <c r="Y246" s="609"/>
      <c r="Z246" s="609"/>
      <c r="AA246" s="609" t="s">
        <v>1458</v>
      </c>
      <c r="AB246" s="642" t="s">
        <v>263</v>
      </c>
      <c r="AC246" s="652"/>
      <c r="AD246" s="652" t="s">
        <v>113</v>
      </c>
      <c r="AE246" s="653">
        <f t="shared" si="4"/>
        <v>4</v>
      </c>
    </row>
    <row r="247" spans="1:31" ht="105" hidden="1" x14ac:dyDescent="0.25">
      <c r="A247" s="608" t="s">
        <v>3603</v>
      </c>
      <c r="B247" s="613" t="s">
        <v>1517</v>
      </c>
      <c r="C247" s="613" t="s">
        <v>1810</v>
      </c>
      <c r="D247" s="623" t="s">
        <v>4573</v>
      </c>
      <c r="E247" s="613" t="s">
        <v>1773</v>
      </c>
      <c r="F247" s="613" t="s">
        <v>1528</v>
      </c>
      <c r="G247" s="609" t="s">
        <v>1453</v>
      </c>
      <c r="H247" s="618">
        <v>60</v>
      </c>
      <c r="I247" s="609">
        <v>45000000000</v>
      </c>
      <c r="J247" s="609" t="s">
        <v>1454</v>
      </c>
      <c r="K247" s="616" t="s">
        <v>1698</v>
      </c>
      <c r="L247" s="785">
        <v>120000</v>
      </c>
      <c r="M247" s="609" t="s">
        <v>2184</v>
      </c>
      <c r="N247" s="616">
        <v>120000</v>
      </c>
      <c r="O247" s="612">
        <v>42856</v>
      </c>
      <c r="P247" s="612">
        <v>43071</v>
      </c>
      <c r="Q247" s="609" t="s">
        <v>108</v>
      </c>
      <c r="R247" s="609" t="s">
        <v>1456</v>
      </c>
      <c r="S247" s="609" t="s">
        <v>1457</v>
      </c>
      <c r="T247" s="609"/>
      <c r="U247" s="609"/>
      <c r="V247" s="609"/>
      <c r="W247" s="609"/>
      <c r="X247" s="609"/>
      <c r="Y247" s="609"/>
      <c r="Z247" s="609"/>
      <c r="AA247" s="609" t="s">
        <v>1458</v>
      </c>
      <c r="AB247" s="642" t="s">
        <v>263</v>
      </c>
      <c r="AC247" s="652"/>
      <c r="AD247" s="652" t="s">
        <v>113</v>
      </c>
      <c r="AE247" s="653">
        <f t="shared" si="4"/>
        <v>5</v>
      </c>
    </row>
    <row r="248" spans="1:31" ht="105" hidden="1" x14ac:dyDescent="0.25">
      <c r="A248" s="608" t="s">
        <v>3604</v>
      </c>
      <c r="B248" s="613" t="s">
        <v>1815</v>
      </c>
      <c r="C248" s="613" t="s">
        <v>1838</v>
      </c>
      <c r="D248" s="623" t="s">
        <v>4572</v>
      </c>
      <c r="E248" s="613" t="s">
        <v>1773</v>
      </c>
      <c r="F248" s="613" t="s">
        <v>1528</v>
      </c>
      <c r="G248" s="609" t="s">
        <v>1453</v>
      </c>
      <c r="H248" s="618">
        <v>4</v>
      </c>
      <c r="I248" s="609">
        <v>45000000000</v>
      </c>
      <c r="J248" s="609" t="s">
        <v>1454</v>
      </c>
      <c r="K248" s="616" t="s">
        <v>1605</v>
      </c>
      <c r="L248" s="785">
        <v>100000</v>
      </c>
      <c r="M248" s="609" t="s">
        <v>2184</v>
      </c>
      <c r="N248" s="616">
        <v>100000</v>
      </c>
      <c r="O248" s="612">
        <v>42948</v>
      </c>
      <c r="P248" s="612">
        <v>43072</v>
      </c>
      <c r="Q248" s="609" t="s">
        <v>108</v>
      </c>
      <c r="R248" s="609" t="s">
        <v>1456</v>
      </c>
      <c r="S248" s="609" t="s">
        <v>1457</v>
      </c>
      <c r="T248" s="609"/>
      <c r="U248" s="609"/>
      <c r="V248" s="609"/>
      <c r="W248" s="609"/>
      <c r="X248" s="609"/>
      <c r="Y248" s="609"/>
      <c r="Z248" s="609"/>
      <c r="AA248" s="609" t="s">
        <v>1458</v>
      </c>
      <c r="AB248" s="642" t="s">
        <v>263</v>
      </c>
      <c r="AC248" s="652"/>
      <c r="AD248" s="652" t="s">
        <v>113</v>
      </c>
      <c r="AE248" s="653">
        <f t="shared" si="4"/>
        <v>8</v>
      </c>
    </row>
    <row r="249" spans="1:31" ht="105" hidden="1" x14ac:dyDescent="0.25">
      <c r="A249" s="608" t="s">
        <v>3605</v>
      </c>
      <c r="B249" s="613" t="s">
        <v>1815</v>
      </c>
      <c r="C249" s="613" t="s">
        <v>1838</v>
      </c>
      <c r="D249" s="623" t="s">
        <v>4571</v>
      </c>
      <c r="E249" s="613" t="s">
        <v>1773</v>
      </c>
      <c r="F249" s="613" t="s">
        <v>1528</v>
      </c>
      <c r="G249" s="609" t="s">
        <v>1453</v>
      </c>
      <c r="H249" s="618">
        <v>4</v>
      </c>
      <c r="I249" s="609">
        <v>45000000000</v>
      </c>
      <c r="J249" s="609" t="s">
        <v>1454</v>
      </c>
      <c r="K249" s="616" t="s">
        <v>1839</v>
      </c>
      <c r="L249" s="785">
        <v>140000</v>
      </c>
      <c r="M249" s="609" t="s">
        <v>2184</v>
      </c>
      <c r="N249" s="616">
        <v>140000</v>
      </c>
      <c r="O249" s="612">
        <v>42948</v>
      </c>
      <c r="P249" s="612">
        <v>43073</v>
      </c>
      <c r="Q249" s="609" t="s">
        <v>108</v>
      </c>
      <c r="R249" s="609" t="s">
        <v>1456</v>
      </c>
      <c r="S249" s="609" t="s">
        <v>1457</v>
      </c>
      <c r="T249" s="609"/>
      <c r="U249" s="609"/>
      <c r="V249" s="609"/>
      <c r="W249" s="609"/>
      <c r="X249" s="609"/>
      <c r="Y249" s="609"/>
      <c r="Z249" s="609"/>
      <c r="AA249" s="609" t="s">
        <v>1458</v>
      </c>
      <c r="AB249" s="642" t="s">
        <v>263</v>
      </c>
      <c r="AC249" s="652"/>
      <c r="AD249" s="652" t="s">
        <v>113</v>
      </c>
      <c r="AE249" s="653">
        <f t="shared" si="4"/>
        <v>8</v>
      </c>
    </row>
    <row r="250" spans="1:31" ht="105" hidden="1" x14ac:dyDescent="0.25">
      <c r="A250" s="608" t="s">
        <v>3606</v>
      </c>
      <c r="B250" s="613" t="s">
        <v>1517</v>
      </c>
      <c r="C250" s="613" t="s">
        <v>1805</v>
      </c>
      <c r="D250" s="623" t="s">
        <v>4570</v>
      </c>
      <c r="E250" s="613" t="s">
        <v>1773</v>
      </c>
      <c r="F250" s="613" t="s">
        <v>1528</v>
      </c>
      <c r="G250" s="609" t="s">
        <v>1453</v>
      </c>
      <c r="H250" s="618">
        <v>450</v>
      </c>
      <c r="I250" s="609">
        <v>45000000000</v>
      </c>
      <c r="J250" s="609" t="s">
        <v>1454</v>
      </c>
      <c r="K250" s="616" t="s">
        <v>1719</v>
      </c>
      <c r="L250" s="785">
        <v>250000</v>
      </c>
      <c r="M250" s="609" t="s">
        <v>2184</v>
      </c>
      <c r="N250" s="616">
        <v>250000</v>
      </c>
      <c r="O250" s="612">
        <v>42795</v>
      </c>
      <c r="P250" s="612">
        <v>43074</v>
      </c>
      <c r="Q250" s="609" t="s">
        <v>108</v>
      </c>
      <c r="R250" s="609" t="s">
        <v>1456</v>
      </c>
      <c r="S250" s="609" t="s">
        <v>1457</v>
      </c>
      <c r="T250" s="609"/>
      <c r="U250" s="609"/>
      <c r="V250" s="609"/>
      <c r="W250" s="609"/>
      <c r="X250" s="609"/>
      <c r="Y250" s="609"/>
      <c r="Z250" s="609"/>
      <c r="AA250" s="609" t="s">
        <v>1458</v>
      </c>
      <c r="AB250" s="642" t="s">
        <v>263</v>
      </c>
      <c r="AC250" s="652"/>
      <c r="AD250" s="652" t="s">
        <v>113</v>
      </c>
      <c r="AE250" s="653">
        <f t="shared" si="4"/>
        <v>3</v>
      </c>
    </row>
    <row r="251" spans="1:31" ht="105" hidden="1" x14ac:dyDescent="0.25">
      <c r="A251" s="608" t="s">
        <v>3607</v>
      </c>
      <c r="B251" s="613" t="s">
        <v>1517</v>
      </c>
      <c r="C251" s="613" t="s">
        <v>1805</v>
      </c>
      <c r="D251" s="623" t="s">
        <v>4569</v>
      </c>
      <c r="E251" s="613" t="s">
        <v>1773</v>
      </c>
      <c r="F251" s="613" t="s">
        <v>1528</v>
      </c>
      <c r="G251" s="609" t="s">
        <v>1453</v>
      </c>
      <c r="H251" s="618">
        <v>450</v>
      </c>
      <c r="I251" s="609">
        <v>45000000000</v>
      </c>
      <c r="J251" s="609" t="s">
        <v>1454</v>
      </c>
      <c r="K251" s="616" t="s">
        <v>1685</v>
      </c>
      <c r="L251" s="785">
        <v>300000</v>
      </c>
      <c r="M251" s="609" t="s">
        <v>2184</v>
      </c>
      <c r="N251" s="616">
        <v>300000</v>
      </c>
      <c r="O251" s="612">
        <v>42948</v>
      </c>
      <c r="P251" s="612">
        <v>43075</v>
      </c>
      <c r="Q251" s="609" t="s">
        <v>108</v>
      </c>
      <c r="R251" s="609" t="s">
        <v>1456</v>
      </c>
      <c r="S251" s="609" t="s">
        <v>1457</v>
      </c>
      <c r="T251" s="609"/>
      <c r="U251" s="609"/>
      <c r="V251" s="609"/>
      <c r="W251" s="609"/>
      <c r="X251" s="609"/>
      <c r="Y251" s="609"/>
      <c r="Z251" s="609"/>
      <c r="AA251" s="609" t="s">
        <v>1458</v>
      </c>
      <c r="AB251" s="642" t="s">
        <v>263</v>
      </c>
      <c r="AC251" s="652"/>
      <c r="AD251" s="652" t="s">
        <v>113</v>
      </c>
      <c r="AE251" s="653">
        <f t="shared" si="4"/>
        <v>8</v>
      </c>
    </row>
    <row r="252" spans="1:31" ht="105" hidden="1" x14ac:dyDescent="0.25">
      <c r="A252" s="608" t="s">
        <v>3608</v>
      </c>
      <c r="B252" s="613" t="s">
        <v>1526</v>
      </c>
      <c r="C252" s="613" t="s">
        <v>1840</v>
      </c>
      <c r="D252" s="623" t="s">
        <v>4568</v>
      </c>
      <c r="E252" s="613" t="s">
        <v>1773</v>
      </c>
      <c r="F252" s="613" t="s">
        <v>1528</v>
      </c>
      <c r="G252" s="609" t="s">
        <v>1453</v>
      </c>
      <c r="H252" s="618">
        <v>15</v>
      </c>
      <c r="I252" s="609">
        <v>45000000000</v>
      </c>
      <c r="J252" s="609" t="s">
        <v>1454</v>
      </c>
      <c r="K252" s="616" t="s">
        <v>1841</v>
      </c>
      <c r="L252" s="785">
        <v>13000000</v>
      </c>
      <c r="M252" s="609" t="s">
        <v>2184</v>
      </c>
      <c r="N252" s="616">
        <v>13000000</v>
      </c>
      <c r="O252" s="612">
        <v>42795</v>
      </c>
      <c r="P252" s="612">
        <v>43077</v>
      </c>
      <c r="Q252" s="609" t="s">
        <v>100</v>
      </c>
      <c r="R252" s="609" t="s">
        <v>1456</v>
      </c>
      <c r="S252" s="609" t="s">
        <v>1457</v>
      </c>
      <c r="T252" s="609"/>
      <c r="U252" s="609"/>
      <c r="V252" s="609"/>
      <c r="W252" s="609"/>
      <c r="X252" s="609"/>
      <c r="Y252" s="609"/>
      <c r="Z252" s="609"/>
      <c r="AA252" s="609" t="s">
        <v>1458</v>
      </c>
      <c r="AB252" s="642" t="s">
        <v>263</v>
      </c>
      <c r="AC252" s="652"/>
      <c r="AD252" s="652" t="s">
        <v>113</v>
      </c>
      <c r="AE252" s="653">
        <f t="shared" si="4"/>
        <v>3</v>
      </c>
    </row>
    <row r="253" spans="1:31" ht="105" hidden="1" x14ac:dyDescent="0.25">
      <c r="A253" s="608" t="s">
        <v>3609</v>
      </c>
      <c r="B253" s="613" t="s">
        <v>1526</v>
      </c>
      <c r="C253" s="613" t="s">
        <v>1840</v>
      </c>
      <c r="D253" s="623" t="s">
        <v>4567</v>
      </c>
      <c r="E253" s="613" t="s">
        <v>1773</v>
      </c>
      <c r="F253" s="613" t="s">
        <v>1528</v>
      </c>
      <c r="G253" s="609" t="s">
        <v>1453</v>
      </c>
      <c r="H253" s="618">
        <v>9</v>
      </c>
      <c r="I253" s="609">
        <v>45000000000</v>
      </c>
      <c r="J253" s="609" t="s">
        <v>1454</v>
      </c>
      <c r="K253" s="616" t="s">
        <v>1757</v>
      </c>
      <c r="L253" s="785">
        <v>650000</v>
      </c>
      <c r="M253" s="609" t="s">
        <v>2184</v>
      </c>
      <c r="N253" s="616">
        <v>650000</v>
      </c>
      <c r="O253" s="612">
        <v>42948</v>
      </c>
      <c r="P253" s="612">
        <v>43078</v>
      </c>
      <c r="Q253" s="609" t="s">
        <v>108</v>
      </c>
      <c r="R253" s="609" t="s">
        <v>1456</v>
      </c>
      <c r="S253" s="609" t="s">
        <v>1457</v>
      </c>
      <c r="T253" s="609"/>
      <c r="U253" s="609"/>
      <c r="V253" s="609"/>
      <c r="W253" s="609"/>
      <c r="X253" s="609"/>
      <c r="Y253" s="609"/>
      <c r="Z253" s="609"/>
      <c r="AA253" s="609" t="s">
        <v>1458</v>
      </c>
      <c r="AB253" s="642" t="s">
        <v>263</v>
      </c>
      <c r="AC253" s="652"/>
      <c r="AD253" s="652" t="s">
        <v>113</v>
      </c>
      <c r="AE253" s="653">
        <f t="shared" si="4"/>
        <v>8</v>
      </c>
    </row>
    <row r="254" spans="1:31" ht="105" hidden="1" x14ac:dyDescent="0.25">
      <c r="A254" s="608" t="s">
        <v>3610</v>
      </c>
      <c r="B254" s="613" t="s">
        <v>1842</v>
      </c>
      <c r="C254" s="613" t="s">
        <v>1843</v>
      </c>
      <c r="D254" s="623" t="s">
        <v>4566</v>
      </c>
      <c r="E254" s="613" t="s">
        <v>1773</v>
      </c>
      <c r="F254" s="613" t="s">
        <v>1528</v>
      </c>
      <c r="G254" s="609" t="s">
        <v>1453</v>
      </c>
      <c r="H254" s="618">
        <v>105</v>
      </c>
      <c r="I254" s="609">
        <v>45000000000</v>
      </c>
      <c r="J254" s="609" t="s">
        <v>1454</v>
      </c>
      <c r="K254" s="616" t="s">
        <v>1806</v>
      </c>
      <c r="L254" s="785">
        <v>150000</v>
      </c>
      <c r="M254" s="609" t="s">
        <v>2184</v>
      </c>
      <c r="N254" s="616">
        <v>150000</v>
      </c>
      <c r="O254" s="612">
        <v>42767</v>
      </c>
      <c r="P254" s="612">
        <v>43080</v>
      </c>
      <c r="Q254" s="609" t="s">
        <v>108</v>
      </c>
      <c r="R254" s="609" t="s">
        <v>1456</v>
      </c>
      <c r="S254" s="609" t="s">
        <v>1457</v>
      </c>
      <c r="T254" s="609"/>
      <c r="U254" s="609"/>
      <c r="V254" s="609"/>
      <c r="W254" s="609"/>
      <c r="X254" s="609"/>
      <c r="Y254" s="609"/>
      <c r="Z254" s="609"/>
      <c r="AA254" s="609" t="s">
        <v>1458</v>
      </c>
      <c r="AB254" s="642" t="s">
        <v>263</v>
      </c>
      <c r="AC254" s="652"/>
      <c r="AD254" s="652" t="s">
        <v>113</v>
      </c>
      <c r="AE254" s="653">
        <f t="shared" si="4"/>
        <v>2</v>
      </c>
    </row>
    <row r="255" spans="1:31" ht="105" hidden="1" x14ac:dyDescent="0.25">
      <c r="A255" s="608" t="s">
        <v>3611</v>
      </c>
      <c r="B255" s="613" t="s">
        <v>1844</v>
      </c>
      <c r="C255" s="613" t="s">
        <v>1845</v>
      </c>
      <c r="D255" s="623" t="s">
        <v>4565</v>
      </c>
      <c r="E255" s="613" t="s">
        <v>1773</v>
      </c>
      <c r="F255" s="613" t="s">
        <v>1528</v>
      </c>
      <c r="G255" s="609" t="s">
        <v>1453</v>
      </c>
      <c r="H255" s="618">
        <v>20</v>
      </c>
      <c r="I255" s="609">
        <v>45000000000</v>
      </c>
      <c r="J255" s="609" t="s">
        <v>1454</v>
      </c>
      <c r="K255" s="616" t="s">
        <v>1707</v>
      </c>
      <c r="L255" s="785">
        <v>160000</v>
      </c>
      <c r="M255" s="609" t="s">
        <v>2184</v>
      </c>
      <c r="N255" s="616">
        <v>160000</v>
      </c>
      <c r="O255" s="612">
        <v>42767</v>
      </c>
      <c r="P255" s="612">
        <v>43081</v>
      </c>
      <c r="Q255" s="609" t="s">
        <v>108</v>
      </c>
      <c r="R255" s="609" t="s">
        <v>1456</v>
      </c>
      <c r="S255" s="609" t="s">
        <v>1457</v>
      </c>
      <c r="T255" s="609"/>
      <c r="U255" s="609"/>
      <c r="V255" s="609"/>
      <c r="W255" s="609"/>
      <c r="X255" s="609"/>
      <c r="Y255" s="609"/>
      <c r="Z255" s="609"/>
      <c r="AA255" s="609" t="s">
        <v>1458</v>
      </c>
      <c r="AB255" s="642" t="s">
        <v>263</v>
      </c>
      <c r="AC255" s="652"/>
      <c r="AD255" s="652" t="s">
        <v>113</v>
      </c>
      <c r="AE255" s="653">
        <f t="shared" si="4"/>
        <v>2</v>
      </c>
    </row>
    <row r="256" spans="1:31" ht="105" hidden="1" x14ac:dyDescent="0.25">
      <c r="A256" s="608" t="s">
        <v>3612</v>
      </c>
      <c r="B256" s="613" t="s">
        <v>1793</v>
      </c>
      <c r="C256" s="613" t="s">
        <v>1846</v>
      </c>
      <c r="D256" s="623" t="s">
        <v>4564</v>
      </c>
      <c r="E256" s="613" t="s">
        <v>1773</v>
      </c>
      <c r="F256" s="613" t="s">
        <v>1528</v>
      </c>
      <c r="G256" s="609" t="s">
        <v>1453</v>
      </c>
      <c r="H256" s="618">
        <v>4</v>
      </c>
      <c r="I256" s="609">
        <v>45000000000</v>
      </c>
      <c r="J256" s="609" t="s">
        <v>1454</v>
      </c>
      <c r="K256" s="616" t="s">
        <v>1847</v>
      </c>
      <c r="L256" s="785">
        <v>158170</v>
      </c>
      <c r="M256" s="609" t="s">
        <v>2184</v>
      </c>
      <c r="N256" s="616">
        <v>158170</v>
      </c>
      <c r="O256" s="612">
        <v>42856</v>
      </c>
      <c r="P256" s="612">
        <v>43082</v>
      </c>
      <c r="Q256" s="609" t="s">
        <v>108</v>
      </c>
      <c r="R256" s="609" t="s">
        <v>1456</v>
      </c>
      <c r="S256" s="609" t="s">
        <v>1457</v>
      </c>
      <c r="T256" s="609"/>
      <c r="U256" s="609"/>
      <c r="V256" s="609"/>
      <c r="W256" s="609"/>
      <c r="X256" s="609"/>
      <c r="Y256" s="609"/>
      <c r="Z256" s="609"/>
      <c r="AA256" s="609" t="s">
        <v>1458</v>
      </c>
      <c r="AB256" s="642" t="s">
        <v>263</v>
      </c>
      <c r="AC256" s="652"/>
      <c r="AD256" s="652" t="s">
        <v>113</v>
      </c>
      <c r="AE256" s="653">
        <f t="shared" si="4"/>
        <v>5</v>
      </c>
    </row>
    <row r="257" spans="1:31" ht="105" hidden="1" x14ac:dyDescent="0.25">
      <c r="A257" s="608" t="s">
        <v>3613</v>
      </c>
      <c r="B257" s="613" t="s">
        <v>1793</v>
      </c>
      <c r="C257" s="613" t="s">
        <v>1793</v>
      </c>
      <c r="D257" s="623" t="s">
        <v>4563</v>
      </c>
      <c r="E257" s="613" t="s">
        <v>1773</v>
      </c>
      <c r="F257" s="613" t="s">
        <v>1528</v>
      </c>
      <c r="G257" s="609" t="s">
        <v>1453</v>
      </c>
      <c r="H257" s="618">
        <v>1</v>
      </c>
      <c r="I257" s="609">
        <v>45000000000</v>
      </c>
      <c r="J257" s="609" t="s">
        <v>1454</v>
      </c>
      <c r="K257" s="616" t="s">
        <v>1848</v>
      </c>
      <c r="L257" s="785">
        <v>1650000</v>
      </c>
      <c r="M257" s="609" t="s">
        <v>2184</v>
      </c>
      <c r="N257" s="616">
        <v>1650000</v>
      </c>
      <c r="O257" s="612">
        <v>42856</v>
      </c>
      <c r="P257" s="612">
        <v>43083</v>
      </c>
      <c r="Q257" s="609" t="s">
        <v>108</v>
      </c>
      <c r="R257" s="609" t="s">
        <v>1456</v>
      </c>
      <c r="S257" s="609" t="s">
        <v>1457</v>
      </c>
      <c r="T257" s="609"/>
      <c r="U257" s="609"/>
      <c r="V257" s="609"/>
      <c r="W257" s="609"/>
      <c r="X257" s="609"/>
      <c r="Y257" s="609"/>
      <c r="Z257" s="609"/>
      <c r="AA257" s="609" t="s">
        <v>1458</v>
      </c>
      <c r="AB257" s="642" t="s">
        <v>263</v>
      </c>
      <c r="AC257" s="652"/>
      <c r="AD257" s="652" t="s">
        <v>113</v>
      </c>
      <c r="AE257" s="653">
        <f t="shared" si="4"/>
        <v>5</v>
      </c>
    </row>
    <row r="258" spans="1:31" ht="105" hidden="1" x14ac:dyDescent="0.25">
      <c r="A258" s="608" t="s">
        <v>3614</v>
      </c>
      <c r="B258" s="613" t="s">
        <v>1531</v>
      </c>
      <c r="C258" s="613" t="s">
        <v>1802</v>
      </c>
      <c r="D258" s="623" t="s">
        <v>4562</v>
      </c>
      <c r="E258" s="613" t="s">
        <v>1773</v>
      </c>
      <c r="F258" s="613" t="s">
        <v>1528</v>
      </c>
      <c r="G258" s="609" t="s">
        <v>1453</v>
      </c>
      <c r="H258" s="618">
        <v>1</v>
      </c>
      <c r="I258" s="609">
        <v>45000000000</v>
      </c>
      <c r="J258" s="609" t="s">
        <v>1454</v>
      </c>
      <c r="K258" s="616" t="s">
        <v>1849</v>
      </c>
      <c r="L258" s="785">
        <v>1126000</v>
      </c>
      <c r="M258" s="609" t="s">
        <v>2184</v>
      </c>
      <c r="N258" s="616">
        <v>1126000</v>
      </c>
      <c r="O258" s="612">
        <v>42856</v>
      </c>
      <c r="P258" s="612">
        <v>43084</v>
      </c>
      <c r="Q258" s="609" t="s">
        <v>108</v>
      </c>
      <c r="R258" s="609" t="s">
        <v>1456</v>
      </c>
      <c r="S258" s="609" t="s">
        <v>1457</v>
      </c>
      <c r="T258" s="609"/>
      <c r="U258" s="609"/>
      <c r="V258" s="609"/>
      <c r="W258" s="609"/>
      <c r="X258" s="609"/>
      <c r="Y258" s="609"/>
      <c r="Z258" s="609"/>
      <c r="AA258" s="609" t="s">
        <v>1458</v>
      </c>
      <c r="AB258" s="642" t="s">
        <v>263</v>
      </c>
      <c r="AC258" s="652"/>
      <c r="AD258" s="652" t="s">
        <v>113</v>
      </c>
      <c r="AE258" s="653">
        <f t="shared" si="4"/>
        <v>5</v>
      </c>
    </row>
    <row r="259" spans="1:31" ht="105" hidden="1" x14ac:dyDescent="0.25">
      <c r="A259" s="608" t="s">
        <v>3615</v>
      </c>
      <c r="B259" s="613" t="s">
        <v>1793</v>
      </c>
      <c r="C259" s="613" t="s">
        <v>1794</v>
      </c>
      <c r="D259" s="623" t="s">
        <v>4561</v>
      </c>
      <c r="E259" s="613" t="s">
        <v>1773</v>
      </c>
      <c r="F259" s="613" t="s">
        <v>1528</v>
      </c>
      <c r="G259" s="609" t="s">
        <v>1453</v>
      </c>
      <c r="H259" s="618">
        <v>1</v>
      </c>
      <c r="I259" s="609">
        <v>45000000000</v>
      </c>
      <c r="J259" s="609" t="s">
        <v>1454</v>
      </c>
      <c r="K259" s="616" t="s">
        <v>1850</v>
      </c>
      <c r="L259" s="785">
        <v>247285</v>
      </c>
      <c r="M259" s="609" t="s">
        <v>2184</v>
      </c>
      <c r="N259" s="616">
        <v>247285</v>
      </c>
      <c r="O259" s="612">
        <v>42856</v>
      </c>
      <c r="P259" s="612">
        <v>43085</v>
      </c>
      <c r="Q259" s="609" t="s">
        <v>108</v>
      </c>
      <c r="R259" s="609" t="s">
        <v>1456</v>
      </c>
      <c r="S259" s="609" t="s">
        <v>1457</v>
      </c>
      <c r="T259" s="609"/>
      <c r="U259" s="609"/>
      <c r="V259" s="609"/>
      <c r="W259" s="609"/>
      <c r="X259" s="609"/>
      <c r="Y259" s="609"/>
      <c r="Z259" s="609"/>
      <c r="AA259" s="609" t="s">
        <v>1458</v>
      </c>
      <c r="AB259" s="642" t="s">
        <v>263</v>
      </c>
      <c r="AC259" s="652"/>
      <c r="AD259" s="652" t="s">
        <v>113</v>
      </c>
      <c r="AE259" s="653">
        <f t="shared" si="4"/>
        <v>5</v>
      </c>
    </row>
    <row r="260" spans="1:31" ht="105" hidden="1" x14ac:dyDescent="0.25">
      <c r="A260" s="608" t="s">
        <v>3616</v>
      </c>
      <c r="B260" s="613" t="s">
        <v>1851</v>
      </c>
      <c r="C260" s="613" t="s">
        <v>1852</v>
      </c>
      <c r="D260" s="623" t="s">
        <v>4560</v>
      </c>
      <c r="E260" s="613" t="s">
        <v>1773</v>
      </c>
      <c r="F260" s="613" t="s">
        <v>1528</v>
      </c>
      <c r="G260" s="609" t="s">
        <v>1453</v>
      </c>
      <c r="H260" s="618">
        <v>2</v>
      </c>
      <c r="I260" s="609">
        <v>45000000000</v>
      </c>
      <c r="J260" s="609" t="s">
        <v>1454</v>
      </c>
      <c r="K260" s="616" t="s">
        <v>1853</v>
      </c>
      <c r="L260" s="785">
        <v>208370</v>
      </c>
      <c r="M260" s="609" t="s">
        <v>2184</v>
      </c>
      <c r="N260" s="616">
        <v>208370</v>
      </c>
      <c r="O260" s="612">
        <v>42856</v>
      </c>
      <c r="P260" s="612">
        <v>43086</v>
      </c>
      <c r="Q260" s="609" t="s">
        <v>108</v>
      </c>
      <c r="R260" s="609" t="s">
        <v>1456</v>
      </c>
      <c r="S260" s="609" t="s">
        <v>1457</v>
      </c>
      <c r="T260" s="609"/>
      <c r="U260" s="609"/>
      <c r="V260" s="609"/>
      <c r="W260" s="609"/>
      <c r="X260" s="609"/>
      <c r="Y260" s="609"/>
      <c r="Z260" s="609"/>
      <c r="AA260" s="609" t="s">
        <v>1458</v>
      </c>
      <c r="AB260" s="642" t="s">
        <v>263</v>
      </c>
      <c r="AC260" s="652"/>
      <c r="AD260" s="652" t="s">
        <v>113</v>
      </c>
      <c r="AE260" s="653">
        <f t="shared" si="4"/>
        <v>5</v>
      </c>
    </row>
    <row r="261" spans="1:31" ht="105" hidden="1" x14ac:dyDescent="0.25">
      <c r="A261" s="608" t="s">
        <v>3617</v>
      </c>
      <c r="B261" s="613" t="s">
        <v>1854</v>
      </c>
      <c r="C261" s="613" t="s">
        <v>1855</v>
      </c>
      <c r="D261" s="623" t="s">
        <v>4559</v>
      </c>
      <c r="E261" s="613" t="s">
        <v>1773</v>
      </c>
      <c r="F261" s="613" t="s">
        <v>1528</v>
      </c>
      <c r="G261" s="609" t="s">
        <v>1453</v>
      </c>
      <c r="H261" s="618">
        <v>900</v>
      </c>
      <c r="I261" s="609">
        <v>45000000000</v>
      </c>
      <c r="J261" s="609" t="s">
        <v>1454</v>
      </c>
      <c r="K261" s="616" t="s">
        <v>1856</v>
      </c>
      <c r="L261" s="785">
        <v>270000</v>
      </c>
      <c r="M261" s="609" t="s">
        <v>2184</v>
      </c>
      <c r="N261" s="616">
        <v>270000</v>
      </c>
      <c r="O261" s="612">
        <v>42736</v>
      </c>
      <c r="P261" s="612">
        <v>43088</v>
      </c>
      <c r="Q261" s="609" t="s">
        <v>108</v>
      </c>
      <c r="R261" s="609" t="s">
        <v>1456</v>
      </c>
      <c r="S261" s="609" t="s">
        <v>1457</v>
      </c>
      <c r="T261" s="609"/>
      <c r="U261" s="609"/>
      <c r="V261" s="609"/>
      <c r="W261" s="609"/>
      <c r="X261" s="609"/>
      <c r="Y261" s="609"/>
      <c r="Z261" s="609"/>
      <c r="AA261" s="609" t="s">
        <v>1458</v>
      </c>
      <c r="AB261" s="642" t="s">
        <v>263</v>
      </c>
      <c r="AC261" s="652"/>
      <c r="AD261" s="652" t="s">
        <v>113</v>
      </c>
      <c r="AE261" s="653">
        <f t="shared" si="4"/>
        <v>1</v>
      </c>
    </row>
    <row r="262" spans="1:31" ht="105" hidden="1" x14ac:dyDescent="0.25">
      <c r="A262" s="608" t="s">
        <v>3618</v>
      </c>
      <c r="B262" s="613" t="s">
        <v>1844</v>
      </c>
      <c r="C262" s="613" t="s">
        <v>1857</v>
      </c>
      <c r="D262" s="623" t="s">
        <v>4558</v>
      </c>
      <c r="E262" s="613" t="s">
        <v>1773</v>
      </c>
      <c r="F262" s="613" t="s">
        <v>1528</v>
      </c>
      <c r="G262" s="609" t="s">
        <v>1453</v>
      </c>
      <c r="H262" s="618">
        <v>10</v>
      </c>
      <c r="I262" s="609">
        <v>45000000000</v>
      </c>
      <c r="J262" s="609" t="s">
        <v>1454</v>
      </c>
      <c r="K262" s="616" t="s">
        <v>1858</v>
      </c>
      <c r="L262" s="785">
        <v>507000</v>
      </c>
      <c r="M262" s="609" t="s">
        <v>2184</v>
      </c>
      <c r="N262" s="616">
        <v>507000</v>
      </c>
      <c r="O262" s="612">
        <v>42887</v>
      </c>
      <c r="P262" s="612">
        <v>43090</v>
      </c>
      <c r="Q262" s="609" t="s">
        <v>108</v>
      </c>
      <c r="R262" s="609" t="s">
        <v>1456</v>
      </c>
      <c r="S262" s="609" t="s">
        <v>1457</v>
      </c>
      <c r="T262" s="609"/>
      <c r="U262" s="609"/>
      <c r="V262" s="609"/>
      <c r="W262" s="609"/>
      <c r="X262" s="609"/>
      <c r="Y262" s="609"/>
      <c r="Z262" s="609"/>
      <c r="AA262" s="609" t="s">
        <v>1458</v>
      </c>
      <c r="AB262" s="642" t="s">
        <v>263</v>
      </c>
      <c r="AC262" s="652"/>
      <c r="AD262" s="652" t="s">
        <v>113</v>
      </c>
      <c r="AE262" s="653">
        <f t="shared" si="4"/>
        <v>6</v>
      </c>
    </row>
    <row r="263" spans="1:31" ht="105" hidden="1" x14ac:dyDescent="0.25">
      <c r="A263" s="608" t="s">
        <v>3619</v>
      </c>
      <c r="B263" s="613" t="s">
        <v>1859</v>
      </c>
      <c r="C263" s="613" t="s">
        <v>1859</v>
      </c>
      <c r="D263" s="623" t="s">
        <v>4557</v>
      </c>
      <c r="E263" s="613" t="s">
        <v>1773</v>
      </c>
      <c r="F263" s="613" t="s">
        <v>1528</v>
      </c>
      <c r="G263" s="609" t="s">
        <v>1453</v>
      </c>
      <c r="H263" s="618">
        <v>2</v>
      </c>
      <c r="I263" s="609">
        <v>45000000000</v>
      </c>
      <c r="J263" s="609" t="s">
        <v>1454</v>
      </c>
      <c r="K263" s="616" t="s">
        <v>1860</v>
      </c>
      <c r="L263" s="785">
        <v>194000</v>
      </c>
      <c r="M263" s="609" t="s">
        <v>2184</v>
      </c>
      <c r="N263" s="616">
        <v>194000</v>
      </c>
      <c r="O263" s="612">
        <v>42917</v>
      </c>
      <c r="P263" s="612">
        <v>43091</v>
      </c>
      <c r="Q263" s="609" t="s">
        <v>108</v>
      </c>
      <c r="R263" s="609" t="s">
        <v>1456</v>
      </c>
      <c r="S263" s="609" t="s">
        <v>1457</v>
      </c>
      <c r="T263" s="609"/>
      <c r="U263" s="609"/>
      <c r="V263" s="609"/>
      <c r="W263" s="609"/>
      <c r="X263" s="609"/>
      <c r="Y263" s="609"/>
      <c r="Z263" s="609"/>
      <c r="AA263" s="609" t="s">
        <v>1458</v>
      </c>
      <c r="AB263" s="642" t="s">
        <v>263</v>
      </c>
      <c r="AC263" s="652"/>
      <c r="AD263" s="652" t="s">
        <v>113</v>
      </c>
      <c r="AE263" s="653">
        <f t="shared" si="4"/>
        <v>7</v>
      </c>
    </row>
    <row r="264" spans="1:31" ht="105" hidden="1" x14ac:dyDescent="0.25">
      <c r="A264" s="608" t="s">
        <v>3620</v>
      </c>
      <c r="B264" s="613" t="s">
        <v>1851</v>
      </c>
      <c r="C264" s="613" t="s">
        <v>1861</v>
      </c>
      <c r="D264" s="623" t="s">
        <v>4556</v>
      </c>
      <c r="E264" s="613" t="s">
        <v>1862</v>
      </c>
      <c r="F264" s="613" t="s">
        <v>1528</v>
      </c>
      <c r="G264" s="609" t="s">
        <v>1453</v>
      </c>
      <c r="H264" s="618">
        <v>2</v>
      </c>
      <c r="I264" s="609">
        <v>45000000000</v>
      </c>
      <c r="J264" s="609" t="s">
        <v>1454</v>
      </c>
      <c r="K264" s="616" t="s">
        <v>1806</v>
      </c>
      <c r="L264" s="785">
        <v>150000</v>
      </c>
      <c r="M264" s="609" t="s">
        <v>2184</v>
      </c>
      <c r="N264" s="616">
        <v>150000</v>
      </c>
      <c r="O264" s="612">
        <v>42948</v>
      </c>
      <c r="P264" s="612">
        <v>43098</v>
      </c>
      <c r="Q264" s="609" t="s">
        <v>108</v>
      </c>
      <c r="R264" s="609" t="s">
        <v>1456</v>
      </c>
      <c r="S264" s="609" t="s">
        <v>1457</v>
      </c>
      <c r="T264" s="609"/>
      <c r="U264" s="609"/>
      <c r="V264" s="609"/>
      <c r="W264" s="609"/>
      <c r="X264" s="609"/>
      <c r="Y264" s="609"/>
      <c r="Z264" s="609"/>
      <c r="AA264" s="609" t="s">
        <v>1458</v>
      </c>
      <c r="AB264" s="642" t="s">
        <v>263</v>
      </c>
      <c r="AC264" s="652"/>
      <c r="AD264" s="652" t="s">
        <v>113</v>
      </c>
      <c r="AE264" s="653">
        <f t="shared" si="4"/>
        <v>8</v>
      </c>
    </row>
    <row r="265" spans="1:31" ht="105" hidden="1" x14ac:dyDescent="0.25">
      <c r="A265" s="608" t="s">
        <v>3621</v>
      </c>
      <c r="B265" s="613" t="s">
        <v>1793</v>
      </c>
      <c r="C265" s="613" t="s">
        <v>1863</v>
      </c>
      <c r="D265" s="623" t="s">
        <v>4555</v>
      </c>
      <c r="E265" s="613" t="s">
        <v>1864</v>
      </c>
      <c r="F265" s="613" t="s">
        <v>1528</v>
      </c>
      <c r="G265" s="609" t="s">
        <v>1453</v>
      </c>
      <c r="H265" s="618">
        <v>1</v>
      </c>
      <c r="I265" s="609">
        <v>45000000000</v>
      </c>
      <c r="J265" s="609" t="s">
        <v>1454</v>
      </c>
      <c r="K265" s="616" t="s">
        <v>1865</v>
      </c>
      <c r="L265" s="785">
        <v>138000</v>
      </c>
      <c r="M265" s="609" t="s">
        <v>2184</v>
      </c>
      <c r="N265" s="616">
        <v>138000</v>
      </c>
      <c r="O265" s="612">
        <v>42948</v>
      </c>
      <c r="P265" s="612">
        <v>43099</v>
      </c>
      <c r="Q265" s="609" t="s">
        <v>108</v>
      </c>
      <c r="R265" s="609" t="s">
        <v>1456</v>
      </c>
      <c r="S265" s="609" t="s">
        <v>1457</v>
      </c>
      <c r="T265" s="609"/>
      <c r="U265" s="609"/>
      <c r="V265" s="609"/>
      <c r="W265" s="609"/>
      <c r="X265" s="609"/>
      <c r="Y265" s="609"/>
      <c r="Z265" s="609"/>
      <c r="AA265" s="609" t="s">
        <v>1458</v>
      </c>
      <c r="AB265" s="642" t="s">
        <v>263</v>
      </c>
      <c r="AC265" s="652"/>
      <c r="AD265" s="652" t="s">
        <v>113</v>
      </c>
      <c r="AE265" s="653">
        <f t="shared" si="4"/>
        <v>8</v>
      </c>
    </row>
    <row r="266" spans="1:31" ht="105" hidden="1" x14ac:dyDescent="0.25">
      <c r="A266" s="608" t="s">
        <v>3622</v>
      </c>
      <c r="B266" s="613" t="s">
        <v>1793</v>
      </c>
      <c r="C266" s="613" t="s">
        <v>1863</v>
      </c>
      <c r="D266" s="623" t="s">
        <v>4554</v>
      </c>
      <c r="E266" s="613" t="s">
        <v>1864</v>
      </c>
      <c r="F266" s="613" t="s">
        <v>1528</v>
      </c>
      <c r="G266" s="609" t="s">
        <v>1453</v>
      </c>
      <c r="H266" s="618">
        <v>1</v>
      </c>
      <c r="I266" s="609">
        <v>45000000000</v>
      </c>
      <c r="J266" s="609" t="s">
        <v>1454</v>
      </c>
      <c r="K266" s="616" t="s">
        <v>1806</v>
      </c>
      <c r="L266" s="785">
        <v>150000</v>
      </c>
      <c r="M266" s="609" t="s">
        <v>2184</v>
      </c>
      <c r="N266" s="616">
        <v>150000</v>
      </c>
      <c r="O266" s="612">
        <v>42948</v>
      </c>
      <c r="P266" s="612">
        <v>43100</v>
      </c>
      <c r="Q266" s="609" t="s">
        <v>108</v>
      </c>
      <c r="R266" s="609" t="s">
        <v>1456</v>
      </c>
      <c r="S266" s="609" t="s">
        <v>1457</v>
      </c>
      <c r="T266" s="609"/>
      <c r="U266" s="609"/>
      <c r="V266" s="609"/>
      <c r="W266" s="609"/>
      <c r="X266" s="609"/>
      <c r="Y266" s="609"/>
      <c r="Z266" s="609"/>
      <c r="AA266" s="609" t="s">
        <v>1458</v>
      </c>
      <c r="AB266" s="642" t="s">
        <v>263</v>
      </c>
      <c r="AC266" s="652"/>
      <c r="AD266" s="652" t="s">
        <v>113</v>
      </c>
      <c r="AE266" s="653">
        <f t="shared" si="4"/>
        <v>8</v>
      </c>
    </row>
    <row r="267" spans="1:31" ht="105" hidden="1" x14ac:dyDescent="0.25">
      <c r="A267" s="608" t="s">
        <v>3623</v>
      </c>
      <c r="B267" s="613" t="s">
        <v>1793</v>
      </c>
      <c r="C267" s="613" t="s">
        <v>1797</v>
      </c>
      <c r="D267" s="623" t="s">
        <v>4553</v>
      </c>
      <c r="E267" s="613" t="s">
        <v>1864</v>
      </c>
      <c r="F267" s="613" t="s">
        <v>1528</v>
      </c>
      <c r="G267" s="609" t="s">
        <v>1453</v>
      </c>
      <c r="H267" s="618">
        <v>2</v>
      </c>
      <c r="I267" s="609">
        <v>45000000000</v>
      </c>
      <c r="J267" s="609" t="s">
        <v>1454</v>
      </c>
      <c r="K267" s="616" t="s">
        <v>1866</v>
      </c>
      <c r="L267" s="785">
        <v>394120</v>
      </c>
      <c r="M267" s="609" t="s">
        <v>2184</v>
      </c>
      <c r="N267" s="616">
        <v>394120</v>
      </c>
      <c r="O267" s="612">
        <v>42948</v>
      </c>
      <c r="P267" s="612">
        <v>43070</v>
      </c>
      <c r="Q267" s="609" t="s">
        <v>108</v>
      </c>
      <c r="R267" s="609" t="s">
        <v>1456</v>
      </c>
      <c r="S267" s="609" t="s">
        <v>1457</v>
      </c>
      <c r="T267" s="609"/>
      <c r="U267" s="609"/>
      <c r="V267" s="609"/>
      <c r="W267" s="609"/>
      <c r="X267" s="609"/>
      <c r="Y267" s="609"/>
      <c r="Z267" s="609"/>
      <c r="AA267" s="609" t="s">
        <v>1458</v>
      </c>
      <c r="AB267" s="642" t="s">
        <v>263</v>
      </c>
      <c r="AC267" s="652"/>
      <c r="AD267" s="652" t="s">
        <v>113</v>
      </c>
      <c r="AE267" s="653">
        <f t="shared" si="4"/>
        <v>8</v>
      </c>
    </row>
    <row r="268" spans="1:31" ht="105" hidden="1" x14ac:dyDescent="0.25">
      <c r="A268" s="608" t="s">
        <v>3624</v>
      </c>
      <c r="B268" s="613" t="s">
        <v>1793</v>
      </c>
      <c r="C268" s="613" t="s">
        <v>1867</v>
      </c>
      <c r="D268" s="623" t="s">
        <v>4552</v>
      </c>
      <c r="E268" s="613" t="s">
        <v>1868</v>
      </c>
      <c r="F268" s="613" t="s">
        <v>1528</v>
      </c>
      <c r="G268" s="609" t="s">
        <v>1453</v>
      </c>
      <c r="H268" s="618">
        <v>2</v>
      </c>
      <c r="I268" s="609">
        <v>45000000000</v>
      </c>
      <c r="J268" s="609" t="s">
        <v>1454</v>
      </c>
      <c r="K268" s="616" t="s">
        <v>1869</v>
      </c>
      <c r="L268" s="785">
        <v>167200</v>
      </c>
      <c r="M268" s="609" t="s">
        <v>2184</v>
      </c>
      <c r="N268" s="616">
        <v>167200</v>
      </c>
      <c r="O268" s="612">
        <v>42948</v>
      </c>
      <c r="P268" s="612">
        <v>43071</v>
      </c>
      <c r="Q268" s="609" t="s">
        <v>108</v>
      </c>
      <c r="R268" s="609" t="s">
        <v>1456</v>
      </c>
      <c r="S268" s="609" t="s">
        <v>1457</v>
      </c>
      <c r="T268" s="609"/>
      <c r="U268" s="609"/>
      <c r="V268" s="609"/>
      <c r="W268" s="609"/>
      <c r="X268" s="609"/>
      <c r="Y268" s="609"/>
      <c r="Z268" s="609"/>
      <c r="AA268" s="609" t="s">
        <v>1458</v>
      </c>
      <c r="AB268" s="642" t="s">
        <v>263</v>
      </c>
      <c r="AC268" s="652"/>
      <c r="AD268" s="652" t="s">
        <v>113</v>
      </c>
      <c r="AE268" s="653">
        <f t="shared" si="4"/>
        <v>8</v>
      </c>
    </row>
    <row r="269" spans="1:31" ht="105" hidden="1" x14ac:dyDescent="0.25">
      <c r="A269" s="608" t="s">
        <v>3625</v>
      </c>
      <c r="B269" s="613" t="s">
        <v>1531</v>
      </c>
      <c r="C269" s="613" t="s">
        <v>1870</v>
      </c>
      <c r="D269" s="623" t="s">
        <v>4551</v>
      </c>
      <c r="E269" s="613" t="s">
        <v>1871</v>
      </c>
      <c r="F269" s="613" t="s">
        <v>1528</v>
      </c>
      <c r="G269" s="609" t="s">
        <v>1453</v>
      </c>
      <c r="H269" s="618">
        <v>1</v>
      </c>
      <c r="I269" s="609">
        <v>45000000000</v>
      </c>
      <c r="J269" s="609" t="s">
        <v>1454</v>
      </c>
      <c r="K269" s="616" t="s">
        <v>1872</v>
      </c>
      <c r="L269" s="785">
        <v>210000</v>
      </c>
      <c r="M269" s="609" t="s">
        <v>2184</v>
      </c>
      <c r="N269" s="616">
        <v>210000</v>
      </c>
      <c r="O269" s="612">
        <v>42948</v>
      </c>
      <c r="P269" s="612">
        <v>43074</v>
      </c>
      <c r="Q269" s="609" t="s">
        <v>108</v>
      </c>
      <c r="R269" s="609" t="s">
        <v>1456</v>
      </c>
      <c r="S269" s="609" t="s">
        <v>1457</v>
      </c>
      <c r="T269" s="609"/>
      <c r="U269" s="609"/>
      <c r="V269" s="609"/>
      <c r="W269" s="609"/>
      <c r="X269" s="609"/>
      <c r="Y269" s="609"/>
      <c r="Z269" s="609"/>
      <c r="AA269" s="609" t="s">
        <v>1458</v>
      </c>
      <c r="AB269" s="642" t="s">
        <v>263</v>
      </c>
      <c r="AC269" s="652"/>
      <c r="AD269" s="652" t="s">
        <v>113</v>
      </c>
      <c r="AE269" s="653">
        <f t="shared" si="4"/>
        <v>8</v>
      </c>
    </row>
    <row r="270" spans="1:31" ht="105" hidden="1" x14ac:dyDescent="0.25">
      <c r="A270" s="608" t="s">
        <v>3626</v>
      </c>
      <c r="B270" s="613" t="s">
        <v>1526</v>
      </c>
      <c r="C270" s="613" t="s">
        <v>1873</v>
      </c>
      <c r="D270" s="623" t="s">
        <v>4550</v>
      </c>
      <c r="E270" s="613" t="s">
        <v>1874</v>
      </c>
      <c r="F270" s="613" t="s">
        <v>1528</v>
      </c>
      <c r="G270" s="609" t="s">
        <v>1453</v>
      </c>
      <c r="H270" s="618">
        <v>1</v>
      </c>
      <c r="I270" s="609">
        <v>45000000000</v>
      </c>
      <c r="J270" s="609" t="s">
        <v>1454</v>
      </c>
      <c r="K270" s="616" t="s">
        <v>1875</v>
      </c>
      <c r="L270" s="785">
        <v>1226000</v>
      </c>
      <c r="M270" s="609" t="s">
        <v>2184</v>
      </c>
      <c r="N270" s="616">
        <v>1226000</v>
      </c>
      <c r="O270" s="612">
        <v>42948</v>
      </c>
      <c r="P270" s="612">
        <v>43079</v>
      </c>
      <c r="Q270" s="609" t="s">
        <v>108</v>
      </c>
      <c r="R270" s="609" t="s">
        <v>1456</v>
      </c>
      <c r="S270" s="609" t="s">
        <v>1457</v>
      </c>
      <c r="T270" s="609"/>
      <c r="U270" s="609"/>
      <c r="V270" s="609"/>
      <c r="W270" s="609"/>
      <c r="X270" s="609"/>
      <c r="Y270" s="609"/>
      <c r="Z270" s="609"/>
      <c r="AA270" s="609" t="s">
        <v>1458</v>
      </c>
      <c r="AB270" s="642" t="s">
        <v>263</v>
      </c>
      <c r="AC270" s="652"/>
      <c r="AD270" s="652" t="s">
        <v>113</v>
      </c>
      <c r="AE270" s="653">
        <f t="shared" si="4"/>
        <v>8</v>
      </c>
    </row>
    <row r="271" spans="1:31" ht="105" hidden="1" x14ac:dyDescent="0.25">
      <c r="A271" s="608" t="s">
        <v>3627</v>
      </c>
      <c r="B271" s="613" t="s">
        <v>1876</v>
      </c>
      <c r="C271" s="613" t="s">
        <v>1877</v>
      </c>
      <c r="D271" s="623" t="s">
        <v>4549</v>
      </c>
      <c r="E271" s="613" t="s">
        <v>1878</v>
      </c>
      <c r="F271" s="613" t="s">
        <v>1528</v>
      </c>
      <c r="G271" s="609" t="s">
        <v>1453</v>
      </c>
      <c r="H271" s="618">
        <v>1</v>
      </c>
      <c r="I271" s="609">
        <v>45000000000</v>
      </c>
      <c r="J271" s="609" t="s">
        <v>1454</v>
      </c>
      <c r="K271" s="616" t="s">
        <v>1770</v>
      </c>
      <c r="L271" s="785">
        <v>440000</v>
      </c>
      <c r="M271" s="609" t="s">
        <v>2184</v>
      </c>
      <c r="N271" s="616">
        <v>440000</v>
      </c>
      <c r="O271" s="612">
        <v>42948</v>
      </c>
      <c r="P271" s="612">
        <v>43080</v>
      </c>
      <c r="Q271" s="609" t="s">
        <v>108</v>
      </c>
      <c r="R271" s="609" t="s">
        <v>1456</v>
      </c>
      <c r="S271" s="609" t="s">
        <v>1457</v>
      </c>
      <c r="T271" s="609"/>
      <c r="U271" s="609"/>
      <c r="V271" s="609"/>
      <c r="W271" s="609"/>
      <c r="X271" s="609"/>
      <c r="Y271" s="609"/>
      <c r="Z271" s="609"/>
      <c r="AA271" s="609" t="s">
        <v>1458</v>
      </c>
      <c r="AB271" s="642" t="s">
        <v>263</v>
      </c>
      <c r="AC271" s="652"/>
      <c r="AD271" s="652" t="s">
        <v>113</v>
      </c>
      <c r="AE271" s="653">
        <f t="shared" si="4"/>
        <v>8</v>
      </c>
    </row>
    <row r="272" spans="1:31" ht="105" hidden="1" x14ac:dyDescent="0.25">
      <c r="A272" s="608" t="s">
        <v>3628</v>
      </c>
      <c r="B272" s="613" t="s">
        <v>1831</v>
      </c>
      <c r="C272" s="613" t="s">
        <v>1879</v>
      </c>
      <c r="D272" s="623" t="s">
        <v>4548</v>
      </c>
      <c r="E272" s="613" t="s">
        <v>1880</v>
      </c>
      <c r="F272" s="613" t="s">
        <v>1528</v>
      </c>
      <c r="G272" s="609" t="s">
        <v>1453</v>
      </c>
      <c r="H272" s="618">
        <v>2</v>
      </c>
      <c r="I272" s="609">
        <v>45000000000</v>
      </c>
      <c r="J272" s="609" t="s">
        <v>1454</v>
      </c>
      <c r="K272" s="616" t="s">
        <v>1881</v>
      </c>
      <c r="L272" s="785">
        <v>216000</v>
      </c>
      <c r="M272" s="609" t="s">
        <v>2184</v>
      </c>
      <c r="N272" s="616">
        <v>216000</v>
      </c>
      <c r="O272" s="612">
        <v>42948</v>
      </c>
      <c r="P272" s="612">
        <v>43081</v>
      </c>
      <c r="Q272" s="609" t="s">
        <v>108</v>
      </c>
      <c r="R272" s="609" t="s">
        <v>1456</v>
      </c>
      <c r="S272" s="609" t="s">
        <v>1457</v>
      </c>
      <c r="T272" s="609"/>
      <c r="U272" s="609"/>
      <c r="V272" s="609"/>
      <c r="W272" s="609"/>
      <c r="X272" s="609"/>
      <c r="Y272" s="609"/>
      <c r="Z272" s="609"/>
      <c r="AA272" s="609" t="s">
        <v>1458</v>
      </c>
      <c r="AB272" s="642" t="s">
        <v>263</v>
      </c>
      <c r="AC272" s="652"/>
      <c r="AD272" s="652" t="s">
        <v>113</v>
      </c>
      <c r="AE272" s="653">
        <f t="shared" si="4"/>
        <v>8</v>
      </c>
    </row>
    <row r="273" spans="1:31" ht="105" hidden="1" x14ac:dyDescent="0.25">
      <c r="A273" s="608" t="s">
        <v>3629</v>
      </c>
      <c r="B273" s="613" t="s">
        <v>1793</v>
      </c>
      <c r="C273" s="613" t="s">
        <v>1863</v>
      </c>
      <c r="D273" s="623" t="s">
        <v>4547</v>
      </c>
      <c r="E273" s="613" t="s">
        <v>1773</v>
      </c>
      <c r="F273" s="613" t="s">
        <v>1528</v>
      </c>
      <c r="G273" s="609" t="s">
        <v>1453</v>
      </c>
      <c r="H273" s="618">
        <v>6</v>
      </c>
      <c r="I273" s="609">
        <v>45000000000</v>
      </c>
      <c r="J273" s="609" t="s">
        <v>1454</v>
      </c>
      <c r="K273" s="616" t="s">
        <v>1882</v>
      </c>
      <c r="L273" s="785">
        <v>1416000</v>
      </c>
      <c r="M273" s="609" t="s">
        <v>2184</v>
      </c>
      <c r="N273" s="616">
        <v>1416000</v>
      </c>
      <c r="O273" s="612">
        <v>42736</v>
      </c>
      <c r="P273" s="612">
        <v>43083</v>
      </c>
      <c r="Q273" s="609" t="s">
        <v>108</v>
      </c>
      <c r="R273" s="609" t="s">
        <v>1456</v>
      </c>
      <c r="S273" s="609" t="s">
        <v>1457</v>
      </c>
      <c r="T273" s="609"/>
      <c r="U273" s="609"/>
      <c r="V273" s="609"/>
      <c r="W273" s="609"/>
      <c r="X273" s="609"/>
      <c r="Y273" s="609"/>
      <c r="Z273" s="609"/>
      <c r="AA273" s="609" t="s">
        <v>1458</v>
      </c>
      <c r="AB273" s="642" t="s">
        <v>263</v>
      </c>
      <c r="AC273" s="652"/>
      <c r="AD273" s="652" t="s">
        <v>113</v>
      </c>
      <c r="AE273" s="653">
        <f t="shared" si="4"/>
        <v>1</v>
      </c>
    </row>
    <row r="274" spans="1:31" ht="105" hidden="1" x14ac:dyDescent="0.25">
      <c r="A274" s="608" t="s">
        <v>3630</v>
      </c>
      <c r="B274" s="613" t="s">
        <v>1793</v>
      </c>
      <c r="C274" s="613" t="s">
        <v>1863</v>
      </c>
      <c r="D274" s="623" t="s">
        <v>4546</v>
      </c>
      <c r="E274" s="613" t="s">
        <v>1773</v>
      </c>
      <c r="F274" s="613" t="s">
        <v>1587</v>
      </c>
      <c r="G274" s="609" t="s">
        <v>1588</v>
      </c>
      <c r="H274" s="618">
        <v>6</v>
      </c>
      <c r="I274" s="609">
        <v>45000000000</v>
      </c>
      <c r="J274" s="609" t="s">
        <v>1454</v>
      </c>
      <c r="K274" s="616" t="s">
        <v>1883</v>
      </c>
      <c r="L274" s="785">
        <v>2407200</v>
      </c>
      <c r="M274" s="609" t="s">
        <v>2184</v>
      </c>
      <c r="N274" s="616">
        <v>2407200</v>
      </c>
      <c r="O274" s="612">
        <v>42736</v>
      </c>
      <c r="P274" s="612">
        <v>43084</v>
      </c>
      <c r="Q274" s="609" t="s">
        <v>108</v>
      </c>
      <c r="R274" s="609" t="s">
        <v>1456</v>
      </c>
      <c r="S274" s="609" t="s">
        <v>1457</v>
      </c>
      <c r="T274" s="609"/>
      <c r="U274" s="609"/>
      <c r="V274" s="609"/>
      <c r="W274" s="609"/>
      <c r="X274" s="609"/>
      <c r="Y274" s="609"/>
      <c r="Z274" s="609"/>
      <c r="AA274" s="609" t="s">
        <v>1458</v>
      </c>
      <c r="AB274" s="642" t="s">
        <v>263</v>
      </c>
      <c r="AC274" s="652"/>
      <c r="AD274" s="652" t="s">
        <v>113</v>
      </c>
      <c r="AE274" s="653">
        <f t="shared" si="4"/>
        <v>1</v>
      </c>
    </row>
    <row r="275" spans="1:31" ht="105" hidden="1" x14ac:dyDescent="0.25">
      <c r="A275" s="608" t="s">
        <v>3631</v>
      </c>
      <c r="B275" s="613" t="s">
        <v>1531</v>
      </c>
      <c r="C275" s="613" t="s">
        <v>1870</v>
      </c>
      <c r="D275" s="623" t="s">
        <v>4545</v>
      </c>
      <c r="E275" s="613" t="s">
        <v>1773</v>
      </c>
      <c r="F275" s="613" t="s">
        <v>1528</v>
      </c>
      <c r="G275" s="609" t="s">
        <v>1453</v>
      </c>
      <c r="H275" s="618">
        <v>1</v>
      </c>
      <c r="I275" s="609">
        <v>45000000000</v>
      </c>
      <c r="J275" s="609" t="s">
        <v>1454</v>
      </c>
      <c r="K275" s="616" t="s">
        <v>1884</v>
      </c>
      <c r="L275" s="785">
        <v>228500</v>
      </c>
      <c r="M275" s="609" t="s">
        <v>2184</v>
      </c>
      <c r="N275" s="616">
        <v>228500</v>
      </c>
      <c r="O275" s="612">
        <v>42736</v>
      </c>
      <c r="P275" s="612">
        <v>43085</v>
      </c>
      <c r="Q275" s="609" t="s">
        <v>108</v>
      </c>
      <c r="R275" s="609" t="s">
        <v>1456</v>
      </c>
      <c r="S275" s="609" t="s">
        <v>1457</v>
      </c>
      <c r="T275" s="609"/>
      <c r="U275" s="609"/>
      <c r="V275" s="609"/>
      <c r="W275" s="609"/>
      <c r="X275" s="609"/>
      <c r="Y275" s="609"/>
      <c r="Z275" s="609"/>
      <c r="AA275" s="609" t="s">
        <v>1458</v>
      </c>
      <c r="AB275" s="642" t="s">
        <v>263</v>
      </c>
      <c r="AC275" s="652"/>
      <c r="AD275" s="652" t="s">
        <v>113</v>
      </c>
      <c r="AE275" s="653">
        <f t="shared" si="4"/>
        <v>1</v>
      </c>
    </row>
    <row r="276" spans="1:31" ht="105" hidden="1" x14ac:dyDescent="0.25">
      <c r="A276" s="608" t="s">
        <v>3632</v>
      </c>
      <c r="B276" s="613" t="s">
        <v>1531</v>
      </c>
      <c r="C276" s="613" t="s">
        <v>1870</v>
      </c>
      <c r="D276" s="623" t="s">
        <v>4544</v>
      </c>
      <c r="E276" s="613" t="s">
        <v>1773</v>
      </c>
      <c r="F276" s="613" t="s">
        <v>1528</v>
      </c>
      <c r="G276" s="609" t="s">
        <v>1453</v>
      </c>
      <c r="H276" s="618">
        <v>2</v>
      </c>
      <c r="I276" s="609">
        <v>45000000000</v>
      </c>
      <c r="J276" s="609" t="s">
        <v>1454</v>
      </c>
      <c r="K276" s="616" t="s">
        <v>1885</v>
      </c>
      <c r="L276" s="785">
        <v>201840</v>
      </c>
      <c r="M276" s="609" t="s">
        <v>2184</v>
      </c>
      <c r="N276" s="616">
        <v>201840</v>
      </c>
      <c r="O276" s="612">
        <v>42736</v>
      </c>
      <c r="P276" s="612">
        <v>43086</v>
      </c>
      <c r="Q276" s="609" t="s">
        <v>108</v>
      </c>
      <c r="R276" s="609" t="s">
        <v>1456</v>
      </c>
      <c r="S276" s="609" t="s">
        <v>1457</v>
      </c>
      <c r="T276" s="609"/>
      <c r="U276" s="609"/>
      <c r="V276" s="609"/>
      <c r="W276" s="609"/>
      <c r="X276" s="609"/>
      <c r="Y276" s="609"/>
      <c r="Z276" s="609"/>
      <c r="AA276" s="609" t="s">
        <v>1458</v>
      </c>
      <c r="AB276" s="642" t="s">
        <v>263</v>
      </c>
      <c r="AC276" s="652"/>
      <c r="AD276" s="652" t="s">
        <v>113</v>
      </c>
      <c r="AE276" s="653">
        <f t="shared" si="4"/>
        <v>1</v>
      </c>
    </row>
    <row r="277" spans="1:31" ht="105" hidden="1" x14ac:dyDescent="0.25">
      <c r="A277" s="608" t="s">
        <v>3633</v>
      </c>
      <c r="B277" s="613" t="s">
        <v>1531</v>
      </c>
      <c r="C277" s="613" t="s">
        <v>1870</v>
      </c>
      <c r="D277" s="623" t="s">
        <v>4543</v>
      </c>
      <c r="E277" s="613" t="s">
        <v>1886</v>
      </c>
      <c r="F277" s="613" t="s">
        <v>1528</v>
      </c>
      <c r="G277" s="609" t="s">
        <v>1453</v>
      </c>
      <c r="H277" s="618">
        <v>1</v>
      </c>
      <c r="I277" s="609">
        <v>45000000000</v>
      </c>
      <c r="J277" s="609" t="s">
        <v>1454</v>
      </c>
      <c r="K277" s="616" t="s">
        <v>1887</v>
      </c>
      <c r="L277" s="785">
        <v>220000</v>
      </c>
      <c r="M277" s="609" t="s">
        <v>2184</v>
      </c>
      <c r="N277" s="616">
        <v>220000</v>
      </c>
      <c r="O277" s="612">
        <v>42736</v>
      </c>
      <c r="P277" s="612">
        <v>43089</v>
      </c>
      <c r="Q277" s="609" t="s">
        <v>108</v>
      </c>
      <c r="R277" s="609" t="s">
        <v>1456</v>
      </c>
      <c r="S277" s="609" t="s">
        <v>1457</v>
      </c>
      <c r="T277" s="609"/>
      <c r="U277" s="609"/>
      <c r="V277" s="609"/>
      <c r="W277" s="609"/>
      <c r="X277" s="609"/>
      <c r="Y277" s="609"/>
      <c r="Z277" s="609"/>
      <c r="AA277" s="609" t="s">
        <v>1458</v>
      </c>
      <c r="AB277" s="642" t="s">
        <v>263</v>
      </c>
      <c r="AC277" s="652"/>
      <c r="AD277" s="652" t="s">
        <v>113</v>
      </c>
      <c r="AE277" s="653">
        <f t="shared" si="4"/>
        <v>1</v>
      </c>
    </row>
    <row r="278" spans="1:31" ht="105" hidden="1" x14ac:dyDescent="0.25">
      <c r="A278" s="608" t="s">
        <v>3634</v>
      </c>
      <c r="B278" s="613" t="s">
        <v>1517</v>
      </c>
      <c r="C278" s="613" t="s">
        <v>1805</v>
      </c>
      <c r="D278" s="623" t="s">
        <v>4542</v>
      </c>
      <c r="E278" s="613" t="s">
        <v>1773</v>
      </c>
      <c r="F278" s="613" t="s">
        <v>1528</v>
      </c>
      <c r="G278" s="609" t="s">
        <v>1453</v>
      </c>
      <c r="H278" s="618">
        <v>400</v>
      </c>
      <c r="I278" s="609">
        <v>45000000000</v>
      </c>
      <c r="J278" s="609" t="s">
        <v>1454</v>
      </c>
      <c r="K278" s="616" t="s">
        <v>1806</v>
      </c>
      <c r="L278" s="785">
        <v>150000</v>
      </c>
      <c r="M278" s="609" t="s">
        <v>2184</v>
      </c>
      <c r="N278" s="616">
        <v>150000</v>
      </c>
      <c r="O278" s="612">
        <v>42736</v>
      </c>
      <c r="P278" s="612">
        <v>42795</v>
      </c>
      <c r="Q278" s="609" t="s">
        <v>108</v>
      </c>
      <c r="R278" s="609" t="s">
        <v>1456</v>
      </c>
      <c r="S278" s="609" t="s">
        <v>1457</v>
      </c>
      <c r="T278" s="609"/>
      <c r="U278" s="609"/>
      <c r="V278" s="609"/>
      <c r="W278" s="609"/>
      <c r="X278" s="609"/>
      <c r="Y278" s="609"/>
      <c r="Z278" s="609"/>
      <c r="AA278" s="609" t="s">
        <v>1458</v>
      </c>
      <c r="AB278" s="642" t="s">
        <v>263</v>
      </c>
      <c r="AC278" s="652"/>
      <c r="AD278" s="652" t="s">
        <v>113</v>
      </c>
      <c r="AE278" s="653">
        <f t="shared" si="4"/>
        <v>1</v>
      </c>
    </row>
    <row r="279" spans="1:31" ht="105" hidden="1" x14ac:dyDescent="0.25">
      <c r="A279" s="608" t="s">
        <v>3635</v>
      </c>
      <c r="B279" s="613" t="s">
        <v>1571</v>
      </c>
      <c r="C279" s="613" t="s">
        <v>1571</v>
      </c>
      <c r="D279" s="623" t="s">
        <v>4541</v>
      </c>
      <c r="E279" s="613" t="s">
        <v>1773</v>
      </c>
      <c r="F279" s="613" t="s">
        <v>1528</v>
      </c>
      <c r="G279" s="609" t="s">
        <v>1453</v>
      </c>
      <c r="H279" s="618">
        <v>6</v>
      </c>
      <c r="I279" s="609">
        <v>45000000000</v>
      </c>
      <c r="J279" s="609" t="s">
        <v>1454</v>
      </c>
      <c r="K279" s="616" t="s">
        <v>1736</v>
      </c>
      <c r="L279" s="785">
        <v>240000</v>
      </c>
      <c r="M279" s="609" t="s">
        <v>2184</v>
      </c>
      <c r="N279" s="616">
        <v>240000</v>
      </c>
      <c r="O279" s="612">
        <v>42736</v>
      </c>
      <c r="P279" s="612">
        <v>43094</v>
      </c>
      <c r="Q279" s="609" t="s">
        <v>108</v>
      </c>
      <c r="R279" s="609" t="s">
        <v>1456</v>
      </c>
      <c r="S279" s="609" t="s">
        <v>1457</v>
      </c>
      <c r="T279" s="609"/>
      <c r="U279" s="609"/>
      <c r="V279" s="609"/>
      <c r="W279" s="609"/>
      <c r="X279" s="609"/>
      <c r="Y279" s="609"/>
      <c r="Z279" s="609"/>
      <c r="AA279" s="609" t="s">
        <v>1458</v>
      </c>
      <c r="AB279" s="642" t="s">
        <v>263</v>
      </c>
      <c r="AC279" s="652"/>
      <c r="AD279" s="652" t="s">
        <v>113</v>
      </c>
      <c r="AE279" s="653">
        <f t="shared" si="4"/>
        <v>1</v>
      </c>
    </row>
    <row r="280" spans="1:31" ht="105" hidden="1" x14ac:dyDescent="0.25">
      <c r="A280" s="608" t="s">
        <v>3636</v>
      </c>
      <c r="B280" s="613" t="s">
        <v>1517</v>
      </c>
      <c r="C280" s="613" t="s">
        <v>1805</v>
      </c>
      <c r="D280" s="623" t="s">
        <v>4540</v>
      </c>
      <c r="E280" s="613" t="s">
        <v>1773</v>
      </c>
      <c r="F280" s="613" t="s">
        <v>1528</v>
      </c>
      <c r="G280" s="609" t="s">
        <v>1453</v>
      </c>
      <c r="H280" s="618">
        <v>400</v>
      </c>
      <c r="I280" s="609">
        <v>45000000000</v>
      </c>
      <c r="J280" s="609" t="s">
        <v>1454</v>
      </c>
      <c r="K280" s="616" t="s">
        <v>1806</v>
      </c>
      <c r="L280" s="785">
        <v>150000</v>
      </c>
      <c r="M280" s="609" t="s">
        <v>2184</v>
      </c>
      <c r="N280" s="616">
        <v>150000</v>
      </c>
      <c r="O280" s="612">
        <v>42856</v>
      </c>
      <c r="P280" s="612">
        <v>42887</v>
      </c>
      <c r="Q280" s="609" t="s">
        <v>108</v>
      </c>
      <c r="R280" s="609" t="s">
        <v>1456</v>
      </c>
      <c r="S280" s="609" t="s">
        <v>1457</v>
      </c>
      <c r="T280" s="609"/>
      <c r="U280" s="609"/>
      <c r="V280" s="609"/>
      <c r="W280" s="609"/>
      <c r="X280" s="609"/>
      <c r="Y280" s="609"/>
      <c r="Z280" s="609"/>
      <c r="AA280" s="609" t="s">
        <v>1458</v>
      </c>
      <c r="AB280" s="642" t="s">
        <v>263</v>
      </c>
      <c r="AC280" s="652"/>
      <c r="AD280" s="652" t="s">
        <v>113</v>
      </c>
      <c r="AE280" s="653">
        <f t="shared" si="4"/>
        <v>5</v>
      </c>
    </row>
    <row r="281" spans="1:31" ht="105" hidden="1" x14ac:dyDescent="0.25">
      <c r="A281" s="608" t="s">
        <v>3637</v>
      </c>
      <c r="B281" s="613" t="s">
        <v>1888</v>
      </c>
      <c r="C281" s="613" t="s">
        <v>1889</v>
      </c>
      <c r="D281" s="623" t="s">
        <v>4539</v>
      </c>
      <c r="E281" s="613" t="s">
        <v>1890</v>
      </c>
      <c r="F281" s="613" t="s">
        <v>1528</v>
      </c>
      <c r="G281" s="609" t="s">
        <v>1453</v>
      </c>
      <c r="H281" s="618">
        <v>1</v>
      </c>
      <c r="I281" s="609">
        <v>45000000000</v>
      </c>
      <c r="J281" s="609" t="s">
        <v>1454</v>
      </c>
      <c r="K281" s="616" t="s">
        <v>1812</v>
      </c>
      <c r="L281" s="785">
        <v>360000</v>
      </c>
      <c r="M281" s="609" t="s">
        <v>2184</v>
      </c>
      <c r="N281" s="616">
        <v>360000</v>
      </c>
      <c r="O281" s="612">
        <v>42887</v>
      </c>
      <c r="P281" s="612">
        <v>43099</v>
      </c>
      <c r="Q281" s="609" t="s">
        <v>108</v>
      </c>
      <c r="R281" s="609" t="s">
        <v>1456</v>
      </c>
      <c r="S281" s="609" t="s">
        <v>1457</v>
      </c>
      <c r="T281" s="609"/>
      <c r="U281" s="609"/>
      <c r="V281" s="609"/>
      <c r="W281" s="609"/>
      <c r="X281" s="609"/>
      <c r="Y281" s="609"/>
      <c r="Z281" s="609"/>
      <c r="AA281" s="609" t="s">
        <v>1458</v>
      </c>
      <c r="AB281" s="642" t="s">
        <v>263</v>
      </c>
      <c r="AC281" s="652"/>
      <c r="AD281" s="652" t="s">
        <v>113</v>
      </c>
      <c r="AE281" s="653">
        <f t="shared" si="4"/>
        <v>6</v>
      </c>
    </row>
    <row r="282" spans="1:31" ht="105" hidden="1" x14ac:dyDescent="0.25">
      <c r="A282" s="608" t="s">
        <v>3638</v>
      </c>
      <c r="B282" s="613" t="s">
        <v>1480</v>
      </c>
      <c r="C282" s="613" t="s">
        <v>1891</v>
      </c>
      <c r="D282" s="623" t="s">
        <v>4538</v>
      </c>
      <c r="E282" s="613" t="s">
        <v>1773</v>
      </c>
      <c r="F282" s="613" t="s">
        <v>1528</v>
      </c>
      <c r="G282" s="609" t="s">
        <v>1453</v>
      </c>
      <c r="H282" s="618">
        <v>975</v>
      </c>
      <c r="I282" s="609">
        <v>45000000000</v>
      </c>
      <c r="J282" s="609" t="s">
        <v>1454</v>
      </c>
      <c r="K282" s="616" t="s">
        <v>1892</v>
      </c>
      <c r="L282" s="785">
        <v>292500</v>
      </c>
      <c r="M282" s="609" t="s">
        <v>2184</v>
      </c>
      <c r="N282" s="616">
        <v>292500</v>
      </c>
      <c r="O282" s="612">
        <v>42887</v>
      </c>
      <c r="P282" s="612">
        <v>43100</v>
      </c>
      <c r="Q282" s="609" t="s">
        <v>108</v>
      </c>
      <c r="R282" s="609" t="s">
        <v>1456</v>
      </c>
      <c r="S282" s="609" t="s">
        <v>1457</v>
      </c>
      <c r="T282" s="609"/>
      <c r="U282" s="609"/>
      <c r="V282" s="609"/>
      <c r="W282" s="609"/>
      <c r="X282" s="609"/>
      <c r="Y282" s="609"/>
      <c r="Z282" s="609"/>
      <c r="AA282" s="609" t="s">
        <v>1458</v>
      </c>
      <c r="AB282" s="642" t="s">
        <v>263</v>
      </c>
      <c r="AC282" s="652"/>
      <c r="AD282" s="652" t="s">
        <v>113</v>
      </c>
      <c r="AE282" s="653">
        <f t="shared" si="4"/>
        <v>6</v>
      </c>
    </row>
    <row r="283" spans="1:31" ht="105" hidden="1" x14ac:dyDescent="0.25">
      <c r="A283" s="608" t="s">
        <v>3639</v>
      </c>
      <c r="B283" s="613" t="s">
        <v>1517</v>
      </c>
      <c r="C283" s="613" t="s">
        <v>1893</v>
      </c>
      <c r="D283" s="623" t="s">
        <v>4537</v>
      </c>
      <c r="E283" s="613" t="s">
        <v>1773</v>
      </c>
      <c r="F283" s="613" t="s">
        <v>1528</v>
      </c>
      <c r="G283" s="609" t="s">
        <v>1453</v>
      </c>
      <c r="H283" s="618">
        <v>20</v>
      </c>
      <c r="I283" s="609">
        <v>45000000000</v>
      </c>
      <c r="J283" s="609" t="s">
        <v>1454</v>
      </c>
      <c r="K283" s="616" t="s">
        <v>1719</v>
      </c>
      <c r="L283" s="785">
        <v>250000</v>
      </c>
      <c r="M283" s="609" t="s">
        <v>2184</v>
      </c>
      <c r="N283" s="616">
        <v>250000</v>
      </c>
      <c r="O283" s="612">
        <v>42887</v>
      </c>
      <c r="P283" s="612">
        <v>43072</v>
      </c>
      <c r="Q283" s="609" t="s">
        <v>108</v>
      </c>
      <c r="R283" s="609" t="s">
        <v>1456</v>
      </c>
      <c r="S283" s="609" t="s">
        <v>1457</v>
      </c>
      <c r="T283" s="609"/>
      <c r="U283" s="609"/>
      <c r="V283" s="609"/>
      <c r="W283" s="609"/>
      <c r="X283" s="609"/>
      <c r="Y283" s="609"/>
      <c r="Z283" s="609"/>
      <c r="AA283" s="609" t="s">
        <v>1458</v>
      </c>
      <c r="AB283" s="642" t="s">
        <v>263</v>
      </c>
      <c r="AC283" s="652"/>
      <c r="AD283" s="652" t="s">
        <v>113</v>
      </c>
      <c r="AE283" s="653">
        <f t="shared" si="4"/>
        <v>6</v>
      </c>
    </row>
    <row r="284" spans="1:31" ht="105" hidden="1" x14ac:dyDescent="0.25">
      <c r="A284" s="608" t="s">
        <v>3640</v>
      </c>
      <c r="B284" s="613" t="s">
        <v>1822</v>
      </c>
      <c r="C284" s="613" t="s">
        <v>1894</v>
      </c>
      <c r="D284" s="623" t="s">
        <v>4536</v>
      </c>
      <c r="E284" s="613" t="s">
        <v>1895</v>
      </c>
      <c r="F284" s="613" t="s">
        <v>1528</v>
      </c>
      <c r="G284" s="609" t="s">
        <v>1453</v>
      </c>
      <c r="H284" s="618">
        <v>1</v>
      </c>
      <c r="I284" s="609">
        <v>45000000000</v>
      </c>
      <c r="J284" s="609" t="s">
        <v>1454</v>
      </c>
      <c r="K284" s="616" t="s">
        <v>1896</v>
      </c>
      <c r="L284" s="785">
        <v>968150</v>
      </c>
      <c r="M284" s="609" t="s">
        <v>2184</v>
      </c>
      <c r="N284" s="616">
        <v>968150</v>
      </c>
      <c r="O284" s="612">
        <v>42856</v>
      </c>
      <c r="P284" s="612">
        <v>43074</v>
      </c>
      <c r="Q284" s="609" t="s">
        <v>108</v>
      </c>
      <c r="R284" s="609" t="s">
        <v>1456</v>
      </c>
      <c r="S284" s="609" t="s">
        <v>1457</v>
      </c>
      <c r="T284" s="609"/>
      <c r="U284" s="609"/>
      <c r="V284" s="609"/>
      <c r="W284" s="609"/>
      <c r="X284" s="609"/>
      <c r="Y284" s="609"/>
      <c r="Z284" s="609"/>
      <c r="AA284" s="609" t="s">
        <v>1458</v>
      </c>
      <c r="AB284" s="642" t="s">
        <v>263</v>
      </c>
      <c r="AC284" s="652"/>
      <c r="AD284" s="652" t="s">
        <v>113</v>
      </c>
      <c r="AE284" s="653">
        <f t="shared" si="4"/>
        <v>5</v>
      </c>
    </row>
    <row r="285" spans="1:31" ht="105" hidden="1" x14ac:dyDescent="0.25">
      <c r="A285" s="608" t="s">
        <v>3641</v>
      </c>
      <c r="B285" s="613" t="s">
        <v>1517</v>
      </c>
      <c r="C285" s="613" t="s">
        <v>1805</v>
      </c>
      <c r="D285" s="623" t="s">
        <v>4535</v>
      </c>
      <c r="E285" s="613" t="s">
        <v>1773</v>
      </c>
      <c r="F285" s="613" t="s">
        <v>1528</v>
      </c>
      <c r="G285" s="609" t="s">
        <v>1453</v>
      </c>
      <c r="H285" s="618">
        <v>400</v>
      </c>
      <c r="I285" s="609">
        <v>45000000000</v>
      </c>
      <c r="J285" s="609" t="s">
        <v>1454</v>
      </c>
      <c r="K285" s="616" t="s">
        <v>1806</v>
      </c>
      <c r="L285" s="785">
        <v>150000</v>
      </c>
      <c r="M285" s="609" t="s">
        <v>2184</v>
      </c>
      <c r="N285" s="616">
        <v>150000</v>
      </c>
      <c r="O285" s="612">
        <v>42948</v>
      </c>
      <c r="P285" s="612">
        <v>42979</v>
      </c>
      <c r="Q285" s="609" t="s">
        <v>108</v>
      </c>
      <c r="R285" s="609" t="s">
        <v>1456</v>
      </c>
      <c r="S285" s="609" t="s">
        <v>1457</v>
      </c>
      <c r="T285" s="609"/>
      <c r="U285" s="609"/>
      <c r="V285" s="609"/>
      <c r="W285" s="609"/>
      <c r="X285" s="609"/>
      <c r="Y285" s="609"/>
      <c r="Z285" s="609"/>
      <c r="AA285" s="609" t="s">
        <v>1458</v>
      </c>
      <c r="AB285" s="642" t="s">
        <v>263</v>
      </c>
      <c r="AC285" s="652"/>
      <c r="AD285" s="652" t="s">
        <v>113</v>
      </c>
      <c r="AE285" s="653">
        <f t="shared" si="4"/>
        <v>8</v>
      </c>
    </row>
    <row r="286" spans="1:31" ht="105" hidden="1" x14ac:dyDescent="0.25">
      <c r="A286" s="608" t="s">
        <v>3642</v>
      </c>
      <c r="B286" s="613" t="s">
        <v>1859</v>
      </c>
      <c r="C286" s="613" t="s">
        <v>1859</v>
      </c>
      <c r="D286" s="623" t="s">
        <v>4534</v>
      </c>
      <c r="E286" s="613" t="s">
        <v>1773</v>
      </c>
      <c r="F286" s="613" t="s">
        <v>1897</v>
      </c>
      <c r="G286" s="609" t="s">
        <v>1898</v>
      </c>
      <c r="H286" s="618">
        <v>80</v>
      </c>
      <c r="I286" s="609">
        <v>45000000000</v>
      </c>
      <c r="J286" s="609" t="s">
        <v>1454</v>
      </c>
      <c r="K286" s="616" t="s">
        <v>1899</v>
      </c>
      <c r="L286" s="785">
        <v>278495</v>
      </c>
      <c r="M286" s="609" t="s">
        <v>2184</v>
      </c>
      <c r="N286" s="616">
        <v>278495</v>
      </c>
      <c r="O286" s="612">
        <v>42826</v>
      </c>
      <c r="P286" s="612">
        <v>43075</v>
      </c>
      <c r="Q286" s="609" t="s">
        <v>108</v>
      </c>
      <c r="R286" s="609" t="s">
        <v>1456</v>
      </c>
      <c r="S286" s="609" t="s">
        <v>1457</v>
      </c>
      <c r="T286" s="609"/>
      <c r="U286" s="609"/>
      <c r="V286" s="609"/>
      <c r="W286" s="609"/>
      <c r="X286" s="609"/>
      <c r="Y286" s="609"/>
      <c r="Z286" s="609"/>
      <c r="AA286" s="609" t="s">
        <v>1458</v>
      </c>
      <c r="AB286" s="642" t="s">
        <v>263</v>
      </c>
      <c r="AC286" s="652"/>
      <c r="AD286" s="652" t="s">
        <v>113</v>
      </c>
      <c r="AE286" s="653">
        <f t="shared" si="4"/>
        <v>4</v>
      </c>
    </row>
    <row r="287" spans="1:31" ht="105" hidden="1" x14ac:dyDescent="0.25">
      <c r="A287" s="608" t="s">
        <v>3643</v>
      </c>
      <c r="B287" s="613" t="s">
        <v>1517</v>
      </c>
      <c r="C287" s="613" t="s">
        <v>1810</v>
      </c>
      <c r="D287" s="623" t="s">
        <v>4533</v>
      </c>
      <c r="E287" s="613" t="s">
        <v>1773</v>
      </c>
      <c r="F287" s="613" t="s">
        <v>1528</v>
      </c>
      <c r="G287" s="609" t="s">
        <v>1453</v>
      </c>
      <c r="H287" s="618">
        <v>30</v>
      </c>
      <c r="I287" s="609">
        <v>45000000000</v>
      </c>
      <c r="J287" s="609" t="s">
        <v>1454</v>
      </c>
      <c r="K287" s="616" t="s">
        <v>1647</v>
      </c>
      <c r="L287" s="785">
        <v>400000</v>
      </c>
      <c r="M287" s="609" t="s">
        <v>2184</v>
      </c>
      <c r="N287" s="616">
        <v>400000</v>
      </c>
      <c r="O287" s="612">
        <v>42795</v>
      </c>
      <c r="P287" s="612">
        <v>43076</v>
      </c>
      <c r="Q287" s="609" t="s">
        <v>108</v>
      </c>
      <c r="R287" s="609" t="s">
        <v>1456</v>
      </c>
      <c r="S287" s="609" t="s">
        <v>1457</v>
      </c>
      <c r="T287" s="609"/>
      <c r="U287" s="609"/>
      <c r="V287" s="609"/>
      <c r="W287" s="609"/>
      <c r="X287" s="609"/>
      <c r="Y287" s="609"/>
      <c r="Z287" s="609"/>
      <c r="AA287" s="609" t="s">
        <v>1458</v>
      </c>
      <c r="AB287" s="642" t="s">
        <v>263</v>
      </c>
      <c r="AC287" s="652"/>
      <c r="AD287" s="652" t="s">
        <v>113</v>
      </c>
      <c r="AE287" s="653">
        <f t="shared" si="4"/>
        <v>3</v>
      </c>
    </row>
    <row r="288" spans="1:31" ht="105" hidden="1" x14ac:dyDescent="0.25">
      <c r="A288" s="608" t="s">
        <v>3644</v>
      </c>
      <c r="B288" s="613" t="s">
        <v>1517</v>
      </c>
      <c r="C288" s="613" t="s">
        <v>1810</v>
      </c>
      <c r="D288" s="623" t="s">
        <v>4532</v>
      </c>
      <c r="E288" s="613" t="s">
        <v>1773</v>
      </c>
      <c r="F288" s="613" t="s">
        <v>1528</v>
      </c>
      <c r="G288" s="609" t="s">
        <v>1453</v>
      </c>
      <c r="H288" s="618">
        <v>4</v>
      </c>
      <c r="I288" s="609">
        <v>45000000000</v>
      </c>
      <c r="J288" s="609" t="s">
        <v>1454</v>
      </c>
      <c r="K288" s="616" t="s">
        <v>1801</v>
      </c>
      <c r="L288" s="785">
        <v>180000</v>
      </c>
      <c r="M288" s="609" t="s">
        <v>2184</v>
      </c>
      <c r="N288" s="616">
        <v>180000</v>
      </c>
      <c r="O288" s="612">
        <v>42917</v>
      </c>
      <c r="P288" s="612">
        <v>43077</v>
      </c>
      <c r="Q288" s="609" t="s">
        <v>108</v>
      </c>
      <c r="R288" s="609" t="s">
        <v>1456</v>
      </c>
      <c r="S288" s="609" t="s">
        <v>1457</v>
      </c>
      <c r="T288" s="609"/>
      <c r="U288" s="609"/>
      <c r="V288" s="609"/>
      <c r="W288" s="609"/>
      <c r="X288" s="609"/>
      <c r="Y288" s="609"/>
      <c r="Z288" s="609"/>
      <c r="AA288" s="609" t="s">
        <v>1458</v>
      </c>
      <c r="AB288" s="642" t="s">
        <v>263</v>
      </c>
      <c r="AC288" s="652"/>
      <c r="AD288" s="652" t="s">
        <v>113</v>
      </c>
      <c r="AE288" s="653">
        <f t="shared" si="4"/>
        <v>7</v>
      </c>
    </row>
    <row r="289" spans="1:31" ht="105" hidden="1" x14ac:dyDescent="0.25">
      <c r="A289" s="608" t="s">
        <v>3645</v>
      </c>
      <c r="B289" s="613" t="s">
        <v>1517</v>
      </c>
      <c r="C289" s="613" t="s">
        <v>1805</v>
      </c>
      <c r="D289" s="623" t="s">
        <v>4531</v>
      </c>
      <c r="E289" s="613" t="s">
        <v>1773</v>
      </c>
      <c r="F289" s="613" t="s">
        <v>1528</v>
      </c>
      <c r="G289" s="609" t="s">
        <v>1453</v>
      </c>
      <c r="H289" s="618">
        <v>110</v>
      </c>
      <c r="I289" s="609">
        <v>45000000000</v>
      </c>
      <c r="J289" s="609" t="s">
        <v>1454</v>
      </c>
      <c r="K289" s="616" t="s">
        <v>1806</v>
      </c>
      <c r="L289" s="785">
        <v>150000</v>
      </c>
      <c r="M289" s="609" t="s">
        <v>2184</v>
      </c>
      <c r="N289" s="616">
        <v>150000</v>
      </c>
      <c r="O289" s="612">
        <v>42917</v>
      </c>
      <c r="P289" s="612">
        <v>43078</v>
      </c>
      <c r="Q289" s="609" t="s">
        <v>108</v>
      </c>
      <c r="R289" s="609" t="s">
        <v>1456</v>
      </c>
      <c r="S289" s="609" t="s">
        <v>1457</v>
      </c>
      <c r="T289" s="609"/>
      <c r="U289" s="609"/>
      <c r="V289" s="609"/>
      <c r="W289" s="609"/>
      <c r="X289" s="609"/>
      <c r="Y289" s="609"/>
      <c r="Z289" s="609"/>
      <c r="AA289" s="609" t="s">
        <v>1458</v>
      </c>
      <c r="AB289" s="642" t="s">
        <v>263</v>
      </c>
      <c r="AC289" s="652"/>
      <c r="AD289" s="652" t="s">
        <v>113</v>
      </c>
      <c r="AE289" s="653">
        <f t="shared" si="4"/>
        <v>7</v>
      </c>
    </row>
    <row r="290" spans="1:31" ht="105" hidden="1" x14ac:dyDescent="0.25">
      <c r="A290" s="608" t="s">
        <v>3646</v>
      </c>
      <c r="B290" s="613" t="s">
        <v>1526</v>
      </c>
      <c r="C290" s="613" t="s">
        <v>1900</v>
      </c>
      <c r="D290" s="623" t="s">
        <v>4530</v>
      </c>
      <c r="E290" s="613" t="s">
        <v>1773</v>
      </c>
      <c r="F290" s="613" t="s">
        <v>1528</v>
      </c>
      <c r="G290" s="609" t="s">
        <v>1453</v>
      </c>
      <c r="H290" s="618">
        <v>12</v>
      </c>
      <c r="I290" s="609">
        <v>45000000000</v>
      </c>
      <c r="J290" s="609" t="s">
        <v>1454</v>
      </c>
      <c r="K290" s="616" t="s">
        <v>1901</v>
      </c>
      <c r="L290" s="785">
        <v>420000</v>
      </c>
      <c r="M290" s="609" t="s">
        <v>2184</v>
      </c>
      <c r="N290" s="616">
        <v>420000</v>
      </c>
      <c r="O290" s="612">
        <v>42856</v>
      </c>
      <c r="P290" s="612">
        <v>43079</v>
      </c>
      <c r="Q290" s="609" t="s">
        <v>108</v>
      </c>
      <c r="R290" s="609" t="s">
        <v>1456</v>
      </c>
      <c r="S290" s="609" t="s">
        <v>1457</v>
      </c>
      <c r="T290" s="609"/>
      <c r="U290" s="609"/>
      <c r="V290" s="609"/>
      <c r="W290" s="609"/>
      <c r="X290" s="609"/>
      <c r="Y290" s="609"/>
      <c r="Z290" s="609"/>
      <c r="AA290" s="609" t="s">
        <v>1458</v>
      </c>
      <c r="AB290" s="642" t="s">
        <v>263</v>
      </c>
      <c r="AC290" s="652"/>
      <c r="AD290" s="652" t="s">
        <v>113</v>
      </c>
      <c r="AE290" s="653">
        <f t="shared" si="4"/>
        <v>5</v>
      </c>
    </row>
    <row r="291" spans="1:31" ht="105" hidden="1" x14ac:dyDescent="0.25">
      <c r="A291" s="608" t="s">
        <v>3647</v>
      </c>
      <c r="B291" s="613" t="s">
        <v>1571</v>
      </c>
      <c r="C291" s="613" t="s">
        <v>1571</v>
      </c>
      <c r="D291" s="623" t="s">
        <v>4529</v>
      </c>
      <c r="E291" s="613" t="s">
        <v>1773</v>
      </c>
      <c r="F291" s="613" t="s">
        <v>1528</v>
      </c>
      <c r="G291" s="609" t="s">
        <v>1453</v>
      </c>
      <c r="H291" s="618">
        <v>10</v>
      </c>
      <c r="I291" s="609">
        <v>45000000000</v>
      </c>
      <c r="J291" s="609" t="s">
        <v>1454</v>
      </c>
      <c r="K291" s="616" t="s">
        <v>1806</v>
      </c>
      <c r="L291" s="785">
        <v>150000</v>
      </c>
      <c r="M291" s="609" t="s">
        <v>2184</v>
      </c>
      <c r="N291" s="616">
        <v>150000</v>
      </c>
      <c r="O291" s="612">
        <v>42826</v>
      </c>
      <c r="P291" s="612">
        <v>43080</v>
      </c>
      <c r="Q291" s="609" t="s">
        <v>108</v>
      </c>
      <c r="R291" s="609" t="s">
        <v>1456</v>
      </c>
      <c r="S291" s="609" t="s">
        <v>1457</v>
      </c>
      <c r="T291" s="609"/>
      <c r="U291" s="609"/>
      <c r="V291" s="609"/>
      <c r="W291" s="609"/>
      <c r="X291" s="609"/>
      <c r="Y291" s="609"/>
      <c r="Z291" s="609"/>
      <c r="AA291" s="609" t="s">
        <v>1458</v>
      </c>
      <c r="AB291" s="642" t="s">
        <v>263</v>
      </c>
      <c r="AC291" s="652"/>
      <c r="AD291" s="652" t="s">
        <v>113</v>
      </c>
      <c r="AE291" s="653">
        <f t="shared" si="4"/>
        <v>4</v>
      </c>
    </row>
    <row r="292" spans="1:31" ht="105" hidden="1" x14ac:dyDescent="0.25">
      <c r="A292" s="608" t="s">
        <v>3648</v>
      </c>
      <c r="B292" s="613" t="s">
        <v>1793</v>
      </c>
      <c r="C292" s="613" t="s">
        <v>1902</v>
      </c>
      <c r="D292" s="623" t="s">
        <v>4528</v>
      </c>
      <c r="E292" s="613" t="s">
        <v>1773</v>
      </c>
      <c r="F292" s="613" t="s">
        <v>1528</v>
      </c>
      <c r="G292" s="609" t="s">
        <v>1453</v>
      </c>
      <c r="H292" s="618">
        <v>30</v>
      </c>
      <c r="I292" s="609">
        <v>45000000000</v>
      </c>
      <c r="J292" s="609" t="s">
        <v>1454</v>
      </c>
      <c r="K292" s="616" t="s">
        <v>1698</v>
      </c>
      <c r="L292" s="785">
        <v>120000</v>
      </c>
      <c r="M292" s="609" t="s">
        <v>2184</v>
      </c>
      <c r="N292" s="616">
        <v>120000</v>
      </c>
      <c r="O292" s="612">
        <v>42795</v>
      </c>
      <c r="P292" s="612">
        <v>43081</v>
      </c>
      <c r="Q292" s="609" t="s">
        <v>108</v>
      </c>
      <c r="R292" s="609" t="s">
        <v>1456</v>
      </c>
      <c r="S292" s="609" t="s">
        <v>1457</v>
      </c>
      <c r="T292" s="609"/>
      <c r="U292" s="609"/>
      <c r="V292" s="609"/>
      <c r="W292" s="609"/>
      <c r="X292" s="609"/>
      <c r="Y292" s="609"/>
      <c r="Z292" s="609"/>
      <c r="AA292" s="609" t="s">
        <v>1458</v>
      </c>
      <c r="AB292" s="642" t="s">
        <v>263</v>
      </c>
      <c r="AC292" s="652"/>
      <c r="AD292" s="652" t="s">
        <v>113</v>
      </c>
      <c r="AE292" s="653">
        <f t="shared" si="4"/>
        <v>3</v>
      </c>
    </row>
    <row r="293" spans="1:31" ht="105" hidden="1" x14ac:dyDescent="0.25">
      <c r="A293" s="608" t="s">
        <v>3649</v>
      </c>
      <c r="B293" s="613" t="s">
        <v>1815</v>
      </c>
      <c r="C293" s="613" t="s">
        <v>1903</v>
      </c>
      <c r="D293" s="623" t="s">
        <v>4527</v>
      </c>
      <c r="E293" s="613" t="s">
        <v>1773</v>
      </c>
      <c r="F293" s="613" t="s">
        <v>1528</v>
      </c>
      <c r="G293" s="609" t="s">
        <v>1453</v>
      </c>
      <c r="H293" s="618">
        <v>16</v>
      </c>
      <c r="I293" s="609">
        <v>45000000000</v>
      </c>
      <c r="J293" s="609" t="s">
        <v>1454</v>
      </c>
      <c r="K293" s="616" t="s">
        <v>1605</v>
      </c>
      <c r="L293" s="785">
        <v>100000</v>
      </c>
      <c r="M293" s="609" t="s">
        <v>2184</v>
      </c>
      <c r="N293" s="616">
        <v>100000</v>
      </c>
      <c r="O293" s="612">
        <v>42826</v>
      </c>
      <c r="P293" s="612">
        <v>43082</v>
      </c>
      <c r="Q293" s="609" t="s">
        <v>108</v>
      </c>
      <c r="R293" s="609" t="s">
        <v>1456</v>
      </c>
      <c r="S293" s="609" t="s">
        <v>1457</v>
      </c>
      <c r="T293" s="609"/>
      <c r="U293" s="609"/>
      <c r="V293" s="609"/>
      <c r="W293" s="609"/>
      <c r="X293" s="609"/>
      <c r="Y293" s="609"/>
      <c r="Z293" s="609"/>
      <c r="AA293" s="609" t="s">
        <v>1458</v>
      </c>
      <c r="AB293" s="642" t="s">
        <v>263</v>
      </c>
      <c r="AC293" s="652"/>
      <c r="AD293" s="652" t="s">
        <v>113</v>
      </c>
      <c r="AE293" s="653">
        <f t="shared" si="4"/>
        <v>4</v>
      </c>
    </row>
    <row r="294" spans="1:31" ht="105" hidden="1" x14ac:dyDescent="0.25">
      <c r="A294" s="608" t="s">
        <v>3650</v>
      </c>
      <c r="B294" s="613" t="s">
        <v>1526</v>
      </c>
      <c r="C294" s="613" t="s">
        <v>1904</v>
      </c>
      <c r="D294" s="623" t="s">
        <v>4526</v>
      </c>
      <c r="E294" s="613" t="s">
        <v>1773</v>
      </c>
      <c r="F294" s="613" t="s">
        <v>1528</v>
      </c>
      <c r="G294" s="609" t="s">
        <v>1453</v>
      </c>
      <c r="H294" s="618">
        <v>22</v>
      </c>
      <c r="I294" s="609">
        <v>45000000000</v>
      </c>
      <c r="J294" s="609" t="s">
        <v>1454</v>
      </c>
      <c r="K294" s="616" t="s">
        <v>1698</v>
      </c>
      <c r="L294" s="785">
        <v>120000</v>
      </c>
      <c r="M294" s="609" t="s">
        <v>2184</v>
      </c>
      <c r="N294" s="616">
        <v>120000</v>
      </c>
      <c r="O294" s="612">
        <v>42826</v>
      </c>
      <c r="P294" s="612">
        <v>43083</v>
      </c>
      <c r="Q294" s="609" t="s">
        <v>108</v>
      </c>
      <c r="R294" s="609" t="s">
        <v>1456</v>
      </c>
      <c r="S294" s="609" t="s">
        <v>1457</v>
      </c>
      <c r="T294" s="609"/>
      <c r="U294" s="609"/>
      <c r="V294" s="609"/>
      <c r="W294" s="609"/>
      <c r="X294" s="609"/>
      <c r="Y294" s="609"/>
      <c r="Z294" s="609"/>
      <c r="AA294" s="609" t="s">
        <v>1458</v>
      </c>
      <c r="AB294" s="642" t="s">
        <v>263</v>
      </c>
      <c r="AC294" s="652"/>
      <c r="AD294" s="652" t="s">
        <v>113</v>
      </c>
      <c r="AE294" s="653">
        <f t="shared" si="4"/>
        <v>4</v>
      </c>
    </row>
    <row r="295" spans="1:31" ht="105" hidden="1" x14ac:dyDescent="0.25">
      <c r="A295" s="608" t="s">
        <v>3651</v>
      </c>
      <c r="B295" s="613" t="s">
        <v>1526</v>
      </c>
      <c r="C295" s="613" t="s">
        <v>1900</v>
      </c>
      <c r="D295" s="623" t="s">
        <v>4525</v>
      </c>
      <c r="E295" s="613" t="s">
        <v>1773</v>
      </c>
      <c r="F295" s="613" t="s">
        <v>1528</v>
      </c>
      <c r="G295" s="609" t="s">
        <v>1453</v>
      </c>
      <c r="H295" s="618">
        <v>10</v>
      </c>
      <c r="I295" s="609">
        <v>45000000000</v>
      </c>
      <c r="J295" s="609" t="s">
        <v>1454</v>
      </c>
      <c r="K295" s="616" t="s">
        <v>1647</v>
      </c>
      <c r="L295" s="785">
        <v>400000</v>
      </c>
      <c r="M295" s="609" t="s">
        <v>2184</v>
      </c>
      <c r="N295" s="616">
        <v>400000</v>
      </c>
      <c r="O295" s="612">
        <v>42826</v>
      </c>
      <c r="P295" s="612">
        <v>43084</v>
      </c>
      <c r="Q295" s="609" t="s">
        <v>108</v>
      </c>
      <c r="R295" s="609" t="s">
        <v>1456</v>
      </c>
      <c r="S295" s="609" t="s">
        <v>1457</v>
      </c>
      <c r="T295" s="609"/>
      <c r="U295" s="609"/>
      <c r="V295" s="609"/>
      <c r="W295" s="609"/>
      <c r="X295" s="609"/>
      <c r="Y295" s="609"/>
      <c r="Z295" s="609"/>
      <c r="AA295" s="609" t="s">
        <v>1458</v>
      </c>
      <c r="AB295" s="642" t="s">
        <v>263</v>
      </c>
      <c r="AC295" s="652"/>
      <c r="AD295" s="652" t="s">
        <v>113</v>
      </c>
      <c r="AE295" s="653">
        <f t="shared" si="4"/>
        <v>4</v>
      </c>
    </row>
    <row r="296" spans="1:31" ht="105" hidden="1" x14ac:dyDescent="0.25">
      <c r="A296" s="608" t="s">
        <v>3652</v>
      </c>
      <c r="B296" s="613" t="s">
        <v>1517</v>
      </c>
      <c r="C296" s="613" t="s">
        <v>1805</v>
      </c>
      <c r="D296" s="623" t="s">
        <v>4524</v>
      </c>
      <c r="E296" s="613" t="s">
        <v>1773</v>
      </c>
      <c r="F296" s="613" t="s">
        <v>1528</v>
      </c>
      <c r="G296" s="609" t="s">
        <v>1453</v>
      </c>
      <c r="H296" s="618">
        <v>204</v>
      </c>
      <c r="I296" s="609">
        <v>45000000000</v>
      </c>
      <c r="J296" s="609" t="s">
        <v>1454</v>
      </c>
      <c r="K296" s="616" t="s">
        <v>3264</v>
      </c>
      <c r="L296" s="785">
        <v>705263.25</v>
      </c>
      <c r="M296" s="609" t="s">
        <v>2184</v>
      </c>
      <c r="N296" s="616">
        <v>705263.25</v>
      </c>
      <c r="O296" s="612">
        <v>42767</v>
      </c>
      <c r="P296" s="612">
        <v>43085</v>
      </c>
      <c r="Q296" s="609" t="s">
        <v>108</v>
      </c>
      <c r="R296" s="609" t="s">
        <v>1456</v>
      </c>
      <c r="S296" s="609" t="s">
        <v>1457</v>
      </c>
      <c r="T296" s="609"/>
      <c r="U296" s="609"/>
      <c r="V296" s="609"/>
      <c r="W296" s="609"/>
      <c r="X296" s="609"/>
      <c r="Y296" s="609"/>
      <c r="Z296" s="609"/>
      <c r="AA296" s="609" t="s">
        <v>1458</v>
      </c>
      <c r="AB296" s="642" t="s">
        <v>263</v>
      </c>
      <c r="AC296" s="652"/>
      <c r="AD296" s="652" t="s">
        <v>113</v>
      </c>
      <c r="AE296" s="653">
        <f t="shared" si="4"/>
        <v>2</v>
      </c>
    </row>
    <row r="297" spans="1:31" ht="105" hidden="1" x14ac:dyDescent="0.25">
      <c r="A297" s="608" t="s">
        <v>3653</v>
      </c>
      <c r="B297" s="613" t="s">
        <v>1517</v>
      </c>
      <c r="C297" s="613" t="s">
        <v>1805</v>
      </c>
      <c r="D297" s="623" t="s">
        <v>4523</v>
      </c>
      <c r="E297" s="613" t="s">
        <v>1773</v>
      </c>
      <c r="F297" s="613" t="s">
        <v>1528</v>
      </c>
      <c r="G297" s="609" t="s">
        <v>1453</v>
      </c>
      <c r="H297" s="618">
        <v>210</v>
      </c>
      <c r="I297" s="609">
        <v>45000000000</v>
      </c>
      <c r="J297" s="609" t="s">
        <v>1454</v>
      </c>
      <c r="K297" s="616" t="s">
        <v>1905</v>
      </c>
      <c r="L297" s="785">
        <v>130000</v>
      </c>
      <c r="M297" s="609" t="s">
        <v>2184</v>
      </c>
      <c r="N297" s="616">
        <v>130000</v>
      </c>
      <c r="O297" s="612">
        <v>42767</v>
      </c>
      <c r="P297" s="612">
        <v>43086</v>
      </c>
      <c r="Q297" s="609" t="s">
        <v>108</v>
      </c>
      <c r="R297" s="609" t="s">
        <v>1456</v>
      </c>
      <c r="S297" s="609" t="s">
        <v>1457</v>
      </c>
      <c r="T297" s="609"/>
      <c r="U297" s="609"/>
      <c r="V297" s="609"/>
      <c r="W297" s="609"/>
      <c r="X297" s="609"/>
      <c r="Y297" s="609"/>
      <c r="Z297" s="609"/>
      <c r="AA297" s="609" t="s">
        <v>1458</v>
      </c>
      <c r="AB297" s="642" t="s">
        <v>263</v>
      </c>
      <c r="AC297" s="652"/>
      <c r="AD297" s="652" t="s">
        <v>113</v>
      </c>
      <c r="AE297" s="653">
        <f t="shared" si="4"/>
        <v>2</v>
      </c>
    </row>
    <row r="298" spans="1:31" ht="105" hidden="1" x14ac:dyDescent="0.25">
      <c r="A298" s="608" t="s">
        <v>3654</v>
      </c>
      <c r="B298" s="613" t="s">
        <v>1517</v>
      </c>
      <c r="C298" s="613" t="s">
        <v>1805</v>
      </c>
      <c r="D298" s="623" t="s">
        <v>4522</v>
      </c>
      <c r="E298" s="613" t="s">
        <v>1773</v>
      </c>
      <c r="F298" s="613" t="s">
        <v>1528</v>
      </c>
      <c r="G298" s="609" t="s">
        <v>1453</v>
      </c>
      <c r="H298" s="618">
        <v>400</v>
      </c>
      <c r="I298" s="609">
        <v>45000000000</v>
      </c>
      <c r="J298" s="609" t="s">
        <v>1454</v>
      </c>
      <c r="K298" s="616" t="s">
        <v>1806</v>
      </c>
      <c r="L298" s="785">
        <v>150000</v>
      </c>
      <c r="M298" s="609" t="s">
        <v>2184</v>
      </c>
      <c r="N298" s="616">
        <v>150000</v>
      </c>
      <c r="O298" s="612">
        <v>43040</v>
      </c>
      <c r="P298" s="612">
        <v>43096</v>
      </c>
      <c r="Q298" s="609" t="s">
        <v>108</v>
      </c>
      <c r="R298" s="609" t="s">
        <v>1456</v>
      </c>
      <c r="S298" s="609" t="s">
        <v>1457</v>
      </c>
      <c r="T298" s="609"/>
      <c r="U298" s="609"/>
      <c r="V298" s="609"/>
      <c r="W298" s="609"/>
      <c r="X298" s="609"/>
      <c r="Y298" s="609"/>
      <c r="Z298" s="609"/>
      <c r="AA298" s="609" t="s">
        <v>1458</v>
      </c>
      <c r="AB298" s="642" t="s">
        <v>263</v>
      </c>
      <c r="AC298" s="652"/>
      <c r="AD298" s="652" t="s">
        <v>113</v>
      </c>
      <c r="AE298" s="653">
        <f t="shared" si="4"/>
        <v>11</v>
      </c>
    </row>
    <row r="299" spans="1:31" ht="105" hidden="1" x14ac:dyDescent="0.25">
      <c r="A299" s="608" t="s">
        <v>3655</v>
      </c>
      <c r="B299" s="613" t="s">
        <v>1906</v>
      </c>
      <c r="C299" s="613" t="s">
        <v>1907</v>
      </c>
      <c r="D299" s="623" t="s">
        <v>4521</v>
      </c>
      <c r="E299" s="613" t="s">
        <v>1773</v>
      </c>
      <c r="F299" s="613" t="s">
        <v>1528</v>
      </c>
      <c r="G299" s="609" t="s">
        <v>1453</v>
      </c>
      <c r="H299" s="618">
        <v>1</v>
      </c>
      <c r="I299" s="609">
        <v>45000000000</v>
      </c>
      <c r="J299" s="609" t="s">
        <v>1454</v>
      </c>
      <c r="K299" s="616" t="s">
        <v>1908</v>
      </c>
      <c r="L299" s="785">
        <v>248400</v>
      </c>
      <c r="M299" s="609" t="s">
        <v>2184</v>
      </c>
      <c r="N299" s="616">
        <v>248400</v>
      </c>
      <c r="O299" s="612">
        <v>42736</v>
      </c>
      <c r="P299" s="612">
        <v>42826</v>
      </c>
      <c r="Q299" s="609" t="s">
        <v>108</v>
      </c>
      <c r="R299" s="609" t="s">
        <v>1456</v>
      </c>
      <c r="S299" s="609" t="s">
        <v>1457</v>
      </c>
      <c r="T299" s="609"/>
      <c r="U299" s="609"/>
      <c r="V299" s="609"/>
      <c r="W299" s="609"/>
      <c r="X299" s="609"/>
      <c r="Y299" s="609"/>
      <c r="Z299" s="609"/>
      <c r="AA299" s="609" t="s">
        <v>1458</v>
      </c>
      <c r="AB299" s="642" t="s">
        <v>263</v>
      </c>
      <c r="AC299" s="652"/>
      <c r="AD299" s="652" t="s">
        <v>113</v>
      </c>
      <c r="AE299" s="653">
        <f t="shared" si="4"/>
        <v>1</v>
      </c>
    </row>
    <row r="300" spans="1:31" ht="105" hidden="1" x14ac:dyDescent="0.25">
      <c r="A300" s="608" t="s">
        <v>3656</v>
      </c>
      <c r="B300" s="613" t="s">
        <v>1909</v>
      </c>
      <c r="C300" s="613" t="s">
        <v>1910</v>
      </c>
      <c r="D300" s="623" t="s">
        <v>4520</v>
      </c>
      <c r="E300" s="613" t="s">
        <v>1766</v>
      </c>
      <c r="F300" s="613" t="s">
        <v>1528</v>
      </c>
      <c r="G300" s="609" t="s">
        <v>1453</v>
      </c>
      <c r="H300" s="618">
        <v>1</v>
      </c>
      <c r="I300" s="609">
        <v>45000000000</v>
      </c>
      <c r="J300" s="609" t="s">
        <v>1454</v>
      </c>
      <c r="K300" s="616" t="s">
        <v>1686</v>
      </c>
      <c r="L300" s="785">
        <v>600000</v>
      </c>
      <c r="M300" s="609" t="s">
        <v>2184</v>
      </c>
      <c r="N300" s="616">
        <v>600000</v>
      </c>
      <c r="O300" s="612">
        <v>42767</v>
      </c>
      <c r="P300" s="612">
        <v>43096</v>
      </c>
      <c r="Q300" s="609" t="s">
        <v>108</v>
      </c>
      <c r="R300" s="609" t="s">
        <v>1456</v>
      </c>
      <c r="S300" s="609" t="s">
        <v>1457</v>
      </c>
      <c r="T300" s="609"/>
      <c r="U300" s="609"/>
      <c r="V300" s="609"/>
      <c r="W300" s="609"/>
      <c r="X300" s="609"/>
      <c r="Y300" s="609"/>
      <c r="Z300" s="609"/>
      <c r="AA300" s="609" t="s">
        <v>1458</v>
      </c>
      <c r="AB300" s="642" t="s">
        <v>263</v>
      </c>
      <c r="AC300" s="652"/>
      <c r="AD300" s="652" t="s">
        <v>113</v>
      </c>
      <c r="AE300" s="653">
        <f t="shared" si="4"/>
        <v>2</v>
      </c>
    </row>
    <row r="301" spans="1:31" ht="105" hidden="1" x14ac:dyDescent="0.25">
      <c r="A301" s="608" t="s">
        <v>3657</v>
      </c>
      <c r="B301" s="613" t="s">
        <v>1909</v>
      </c>
      <c r="C301" s="613" t="s">
        <v>1910</v>
      </c>
      <c r="D301" s="623" t="s">
        <v>4519</v>
      </c>
      <c r="E301" s="613" t="s">
        <v>1766</v>
      </c>
      <c r="F301" s="613" t="s">
        <v>1528</v>
      </c>
      <c r="G301" s="609" t="s">
        <v>1453</v>
      </c>
      <c r="H301" s="618">
        <v>1</v>
      </c>
      <c r="I301" s="609">
        <v>45000000000</v>
      </c>
      <c r="J301" s="609" t="s">
        <v>1454</v>
      </c>
      <c r="K301" s="616" t="s">
        <v>1644</v>
      </c>
      <c r="L301" s="785">
        <v>800000</v>
      </c>
      <c r="M301" s="609" t="s">
        <v>2184</v>
      </c>
      <c r="N301" s="616">
        <v>800000</v>
      </c>
      <c r="O301" s="612">
        <v>42826</v>
      </c>
      <c r="P301" s="612">
        <v>43096</v>
      </c>
      <c r="Q301" s="609" t="s">
        <v>108</v>
      </c>
      <c r="R301" s="609" t="s">
        <v>1456</v>
      </c>
      <c r="S301" s="609" t="s">
        <v>1457</v>
      </c>
      <c r="T301" s="609"/>
      <c r="U301" s="609"/>
      <c r="V301" s="609"/>
      <c r="W301" s="609"/>
      <c r="X301" s="609"/>
      <c r="Y301" s="609"/>
      <c r="Z301" s="609"/>
      <c r="AA301" s="609" t="s">
        <v>1458</v>
      </c>
      <c r="AB301" s="642" t="s">
        <v>263</v>
      </c>
      <c r="AC301" s="652"/>
      <c r="AD301" s="652" t="s">
        <v>113</v>
      </c>
      <c r="AE301" s="653">
        <f t="shared" si="4"/>
        <v>4</v>
      </c>
    </row>
    <row r="302" spans="1:31" ht="105" hidden="1" x14ac:dyDescent="0.25">
      <c r="A302" s="608" t="s">
        <v>3658</v>
      </c>
      <c r="B302" s="613" t="s">
        <v>1666</v>
      </c>
      <c r="C302" s="613" t="s">
        <v>1911</v>
      </c>
      <c r="D302" s="623" t="s">
        <v>4518</v>
      </c>
      <c r="E302" s="613" t="s">
        <v>1766</v>
      </c>
      <c r="F302" s="613" t="s">
        <v>1528</v>
      </c>
      <c r="G302" s="609" t="s">
        <v>1453</v>
      </c>
      <c r="H302" s="618">
        <v>1</v>
      </c>
      <c r="I302" s="609">
        <v>45000000000</v>
      </c>
      <c r="J302" s="609" t="s">
        <v>1454</v>
      </c>
      <c r="K302" s="616" t="s">
        <v>1912</v>
      </c>
      <c r="L302" s="785">
        <v>1228500</v>
      </c>
      <c r="M302" s="609" t="s">
        <v>2184</v>
      </c>
      <c r="N302" s="616">
        <v>1228500</v>
      </c>
      <c r="O302" s="612">
        <v>42767</v>
      </c>
      <c r="P302" s="612">
        <v>43096</v>
      </c>
      <c r="Q302" s="609" t="s">
        <v>108</v>
      </c>
      <c r="R302" s="609" t="s">
        <v>1456</v>
      </c>
      <c r="S302" s="609" t="s">
        <v>1457</v>
      </c>
      <c r="T302" s="609"/>
      <c r="U302" s="609"/>
      <c r="V302" s="609"/>
      <c r="W302" s="609"/>
      <c r="X302" s="609"/>
      <c r="Y302" s="609"/>
      <c r="Z302" s="609"/>
      <c r="AA302" s="609" t="s">
        <v>1458</v>
      </c>
      <c r="AB302" s="642" t="s">
        <v>263</v>
      </c>
      <c r="AC302" s="652"/>
      <c r="AD302" s="652" t="s">
        <v>113</v>
      </c>
      <c r="AE302" s="653">
        <f t="shared" si="4"/>
        <v>2</v>
      </c>
    </row>
    <row r="303" spans="1:31" ht="105" hidden="1" x14ac:dyDescent="0.25">
      <c r="A303" s="608" t="s">
        <v>3659</v>
      </c>
      <c r="B303" s="613" t="s">
        <v>1913</v>
      </c>
      <c r="C303" s="613" t="s">
        <v>1914</v>
      </c>
      <c r="D303" s="623" t="s">
        <v>4517</v>
      </c>
      <c r="E303" s="623" t="s">
        <v>1915</v>
      </c>
      <c r="F303" s="613" t="s">
        <v>1528</v>
      </c>
      <c r="G303" s="609" t="s">
        <v>1453</v>
      </c>
      <c r="H303" s="618">
        <v>42</v>
      </c>
      <c r="I303" s="609">
        <v>45000000000</v>
      </c>
      <c r="J303" s="609" t="s">
        <v>1454</v>
      </c>
      <c r="K303" s="616" t="s">
        <v>1887</v>
      </c>
      <c r="L303" s="785">
        <v>220000</v>
      </c>
      <c r="M303" s="609" t="s">
        <v>2184</v>
      </c>
      <c r="N303" s="616">
        <v>220000</v>
      </c>
      <c r="O303" s="612">
        <v>42767</v>
      </c>
      <c r="P303" s="612">
        <v>43096</v>
      </c>
      <c r="Q303" s="609" t="s">
        <v>108</v>
      </c>
      <c r="R303" s="609" t="s">
        <v>1456</v>
      </c>
      <c r="S303" s="609" t="s">
        <v>1457</v>
      </c>
      <c r="T303" s="609"/>
      <c r="U303" s="609"/>
      <c r="V303" s="609"/>
      <c r="W303" s="609"/>
      <c r="X303" s="609"/>
      <c r="Y303" s="609"/>
      <c r="Z303" s="609"/>
      <c r="AA303" s="609" t="s">
        <v>1458</v>
      </c>
      <c r="AB303" s="642" t="s">
        <v>263</v>
      </c>
      <c r="AC303" s="652"/>
      <c r="AD303" s="652" t="s">
        <v>113</v>
      </c>
      <c r="AE303" s="653">
        <f t="shared" si="4"/>
        <v>2</v>
      </c>
    </row>
    <row r="304" spans="1:31" ht="105" hidden="1" x14ac:dyDescent="0.25">
      <c r="A304" s="608" t="s">
        <v>3660</v>
      </c>
      <c r="B304" s="614" t="s">
        <v>1913</v>
      </c>
      <c r="C304" s="614" t="s">
        <v>1914</v>
      </c>
      <c r="D304" s="623" t="s">
        <v>4516</v>
      </c>
      <c r="E304" s="613" t="s">
        <v>1916</v>
      </c>
      <c r="F304" s="613" t="s">
        <v>1528</v>
      </c>
      <c r="G304" s="609" t="s">
        <v>1453</v>
      </c>
      <c r="H304" s="618">
        <v>40</v>
      </c>
      <c r="I304" s="609">
        <v>45000000000</v>
      </c>
      <c r="J304" s="609" t="s">
        <v>1454</v>
      </c>
      <c r="K304" s="616" t="s">
        <v>1887</v>
      </c>
      <c r="L304" s="785">
        <v>220000</v>
      </c>
      <c r="M304" s="609" t="s">
        <v>2184</v>
      </c>
      <c r="N304" s="616">
        <v>220000</v>
      </c>
      <c r="O304" s="612">
        <v>42917</v>
      </c>
      <c r="P304" s="612">
        <v>43096</v>
      </c>
      <c r="Q304" s="609" t="s">
        <v>108</v>
      </c>
      <c r="R304" s="609" t="s">
        <v>1456</v>
      </c>
      <c r="S304" s="609" t="s">
        <v>1457</v>
      </c>
      <c r="T304" s="609"/>
      <c r="U304" s="609"/>
      <c r="V304" s="609"/>
      <c r="W304" s="609"/>
      <c r="X304" s="609"/>
      <c r="Y304" s="609"/>
      <c r="Z304" s="609"/>
      <c r="AA304" s="609" t="s">
        <v>1458</v>
      </c>
      <c r="AB304" s="642" t="s">
        <v>263</v>
      </c>
      <c r="AC304" s="652"/>
      <c r="AD304" s="652" t="s">
        <v>113</v>
      </c>
      <c r="AE304" s="653">
        <f t="shared" si="4"/>
        <v>7</v>
      </c>
    </row>
    <row r="305" spans="1:31" ht="105" hidden="1" x14ac:dyDescent="0.25">
      <c r="A305" s="608" t="s">
        <v>3661</v>
      </c>
      <c r="B305" s="614" t="s">
        <v>1917</v>
      </c>
      <c r="C305" s="614" t="s">
        <v>1918</v>
      </c>
      <c r="D305" s="623" t="s">
        <v>4515</v>
      </c>
      <c r="E305" s="613" t="s">
        <v>1766</v>
      </c>
      <c r="F305" s="613" t="s">
        <v>1528</v>
      </c>
      <c r="G305" s="609" t="s">
        <v>1453</v>
      </c>
      <c r="H305" s="618">
        <v>1</v>
      </c>
      <c r="I305" s="609">
        <v>45000000000</v>
      </c>
      <c r="J305" s="609" t="s">
        <v>1454</v>
      </c>
      <c r="K305" s="616" t="s">
        <v>1685</v>
      </c>
      <c r="L305" s="785">
        <v>300000</v>
      </c>
      <c r="M305" s="609" t="s">
        <v>2184</v>
      </c>
      <c r="N305" s="616">
        <v>300000</v>
      </c>
      <c r="O305" s="612">
        <v>42767</v>
      </c>
      <c r="P305" s="612">
        <v>43096</v>
      </c>
      <c r="Q305" s="609" t="s">
        <v>108</v>
      </c>
      <c r="R305" s="609" t="s">
        <v>1456</v>
      </c>
      <c r="S305" s="609" t="s">
        <v>1457</v>
      </c>
      <c r="T305" s="609"/>
      <c r="U305" s="609"/>
      <c r="V305" s="609"/>
      <c r="W305" s="609"/>
      <c r="X305" s="609"/>
      <c r="Y305" s="609"/>
      <c r="Z305" s="609"/>
      <c r="AA305" s="609" t="s">
        <v>1458</v>
      </c>
      <c r="AB305" s="642" t="s">
        <v>263</v>
      </c>
      <c r="AC305" s="652"/>
      <c r="AD305" s="652" t="s">
        <v>113</v>
      </c>
      <c r="AE305" s="653">
        <f t="shared" si="4"/>
        <v>2</v>
      </c>
    </row>
    <row r="306" spans="1:31" ht="105" hidden="1" x14ac:dyDescent="0.25">
      <c r="A306" s="608" t="s">
        <v>3662</v>
      </c>
      <c r="B306" s="614" t="s">
        <v>1919</v>
      </c>
      <c r="C306" s="614" t="s">
        <v>1920</v>
      </c>
      <c r="D306" s="623" t="s">
        <v>4514</v>
      </c>
      <c r="E306" s="613" t="s">
        <v>1921</v>
      </c>
      <c r="F306" s="613" t="s">
        <v>1528</v>
      </c>
      <c r="G306" s="609" t="s">
        <v>1453</v>
      </c>
      <c r="H306" s="618">
        <v>1</v>
      </c>
      <c r="I306" s="609">
        <v>45000000000</v>
      </c>
      <c r="J306" s="609" t="s">
        <v>1454</v>
      </c>
      <c r="K306" s="616" t="s">
        <v>1685</v>
      </c>
      <c r="L306" s="785">
        <v>300000</v>
      </c>
      <c r="M306" s="609" t="s">
        <v>2184</v>
      </c>
      <c r="N306" s="616">
        <v>300000</v>
      </c>
      <c r="O306" s="612">
        <v>42767</v>
      </c>
      <c r="P306" s="612">
        <v>43096</v>
      </c>
      <c r="Q306" s="609" t="s">
        <v>108</v>
      </c>
      <c r="R306" s="609" t="s">
        <v>1456</v>
      </c>
      <c r="S306" s="609" t="s">
        <v>1457</v>
      </c>
      <c r="T306" s="609"/>
      <c r="U306" s="609"/>
      <c r="V306" s="609"/>
      <c r="W306" s="609"/>
      <c r="X306" s="609"/>
      <c r="Y306" s="609"/>
      <c r="Z306" s="609"/>
      <c r="AA306" s="609" t="s">
        <v>1458</v>
      </c>
      <c r="AB306" s="642" t="s">
        <v>263</v>
      </c>
      <c r="AC306" s="652"/>
      <c r="AD306" s="652" t="s">
        <v>113</v>
      </c>
      <c r="AE306" s="653">
        <f t="shared" si="4"/>
        <v>2</v>
      </c>
    </row>
    <row r="307" spans="1:31" ht="105" hidden="1" x14ac:dyDescent="0.25">
      <c r="A307" s="608" t="s">
        <v>3663</v>
      </c>
      <c r="B307" s="614" t="s">
        <v>1922</v>
      </c>
      <c r="C307" s="614" t="s">
        <v>1922</v>
      </c>
      <c r="D307" s="623" t="s">
        <v>4513</v>
      </c>
      <c r="E307" s="613" t="s">
        <v>1923</v>
      </c>
      <c r="F307" s="613" t="s">
        <v>1587</v>
      </c>
      <c r="G307" s="609" t="s">
        <v>1588</v>
      </c>
      <c r="H307" s="618">
        <v>1</v>
      </c>
      <c r="I307" s="609">
        <v>45000000000</v>
      </c>
      <c r="J307" s="609" t="s">
        <v>1454</v>
      </c>
      <c r="K307" s="616" t="s">
        <v>1685</v>
      </c>
      <c r="L307" s="785">
        <v>300000</v>
      </c>
      <c r="M307" s="609" t="s">
        <v>2184</v>
      </c>
      <c r="N307" s="616">
        <v>300000</v>
      </c>
      <c r="O307" s="612">
        <v>42767</v>
      </c>
      <c r="P307" s="612">
        <v>43096</v>
      </c>
      <c r="Q307" s="609" t="s">
        <v>108</v>
      </c>
      <c r="R307" s="609" t="s">
        <v>1456</v>
      </c>
      <c r="S307" s="609" t="s">
        <v>1457</v>
      </c>
      <c r="T307" s="609"/>
      <c r="U307" s="609"/>
      <c r="V307" s="609"/>
      <c r="W307" s="609"/>
      <c r="X307" s="609"/>
      <c r="Y307" s="609"/>
      <c r="Z307" s="609"/>
      <c r="AA307" s="609" t="s">
        <v>1458</v>
      </c>
      <c r="AB307" s="642" t="s">
        <v>263</v>
      </c>
      <c r="AC307" s="652"/>
      <c r="AD307" s="652" t="s">
        <v>113</v>
      </c>
      <c r="AE307" s="653">
        <f t="shared" si="4"/>
        <v>2</v>
      </c>
    </row>
    <row r="308" spans="1:31" ht="105" hidden="1" x14ac:dyDescent="0.25">
      <c r="A308" s="608" t="s">
        <v>3664</v>
      </c>
      <c r="B308" s="614" t="s">
        <v>1924</v>
      </c>
      <c r="C308" s="614" t="s">
        <v>1925</v>
      </c>
      <c r="D308" s="623" t="s">
        <v>4512</v>
      </c>
      <c r="E308" s="613" t="s">
        <v>1926</v>
      </c>
      <c r="F308" s="613" t="s">
        <v>1587</v>
      </c>
      <c r="G308" s="609" t="s">
        <v>1588</v>
      </c>
      <c r="H308" s="618">
        <v>1</v>
      </c>
      <c r="I308" s="609">
        <v>45000000000</v>
      </c>
      <c r="J308" s="609" t="s">
        <v>1454</v>
      </c>
      <c r="K308" s="616" t="s">
        <v>1719</v>
      </c>
      <c r="L308" s="785">
        <v>250000</v>
      </c>
      <c r="M308" s="609" t="s">
        <v>2184</v>
      </c>
      <c r="N308" s="616">
        <v>250000</v>
      </c>
      <c r="O308" s="612">
        <v>42767</v>
      </c>
      <c r="P308" s="612">
        <v>43096</v>
      </c>
      <c r="Q308" s="609" t="s">
        <v>108</v>
      </c>
      <c r="R308" s="609" t="s">
        <v>1456</v>
      </c>
      <c r="S308" s="609" t="s">
        <v>1457</v>
      </c>
      <c r="T308" s="609"/>
      <c r="U308" s="609"/>
      <c r="V308" s="609"/>
      <c r="W308" s="609"/>
      <c r="X308" s="609"/>
      <c r="Y308" s="609"/>
      <c r="Z308" s="609"/>
      <c r="AA308" s="609" t="s">
        <v>1458</v>
      </c>
      <c r="AB308" s="642" t="s">
        <v>263</v>
      </c>
      <c r="AC308" s="652"/>
      <c r="AD308" s="652" t="s">
        <v>113</v>
      </c>
      <c r="AE308" s="653">
        <f t="shared" ref="AE308:AE371" si="5">IF(O308=0,,MONTH(O308))</f>
        <v>2</v>
      </c>
    </row>
    <row r="309" spans="1:31" ht="105" hidden="1" x14ac:dyDescent="0.25">
      <c r="A309" s="608" t="s">
        <v>3665</v>
      </c>
      <c r="B309" s="614" t="s">
        <v>1927</v>
      </c>
      <c r="C309" s="614" t="s">
        <v>1928</v>
      </c>
      <c r="D309" s="623" t="s">
        <v>4511</v>
      </c>
      <c r="E309" s="613" t="s">
        <v>1929</v>
      </c>
      <c r="F309" s="613" t="s">
        <v>1587</v>
      </c>
      <c r="G309" s="609" t="s">
        <v>1588</v>
      </c>
      <c r="H309" s="618">
        <v>1</v>
      </c>
      <c r="I309" s="609">
        <v>45000000000</v>
      </c>
      <c r="J309" s="609" t="s">
        <v>1454</v>
      </c>
      <c r="K309" s="616" t="s">
        <v>1647</v>
      </c>
      <c r="L309" s="785">
        <v>400000</v>
      </c>
      <c r="M309" s="609" t="s">
        <v>2184</v>
      </c>
      <c r="N309" s="616">
        <v>400000</v>
      </c>
      <c r="O309" s="612">
        <v>42767</v>
      </c>
      <c r="P309" s="612">
        <v>43096</v>
      </c>
      <c r="Q309" s="609" t="s">
        <v>108</v>
      </c>
      <c r="R309" s="609" t="s">
        <v>1456</v>
      </c>
      <c r="S309" s="609" t="s">
        <v>1457</v>
      </c>
      <c r="T309" s="609"/>
      <c r="U309" s="609"/>
      <c r="V309" s="609"/>
      <c r="W309" s="609"/>
      <c r="X309" s="609"/>
      <c r="Y309" s="609"/>
      <c r="Z309" s="609"/>
      <c r="AA309" s="609" t="s">
        <v>1458</v>
      </c>
      <c r="AB309" s="642" t="s">
        <v>263</v>
      </c>
      <c r="AC309" s="652"/>
      <c r="AD309" s="652" t="s">
        <v>113</v>
      </c>
      <c r="AE309" s="653">
        <f t="shared" si="5"/>
        <v>2</v>
      </c>
    </row>
    <row r="310" spans="1:31" ht="105" hidden="1" x14ac:dyDescent="0.25">
      <c r="A310" s="608" t="s">
        <v>3666</v>
      </c>
      <c r="B310" s="614" t="s">
        <v>1930</v>
      </c>
      <c r="C310" s="614" t="s">
        <v>1842</v>
      </c>
      <c r="D310" s="623" t="s">
        <v>4510</v>
      </c>
      <c r="E310" s="613" t="s">
        <v>1766</v>
      </c>
      <c r="F310" s="613" t="s">
        <v>1528</v>
      </c>
      <c r="G310" s="609" t="s">
        <v>1453</v>
      </c>
      <c r="H310" s="618">
        <v>1</v>
      </c>
      <c r="I310" s="609">
        <v>45000000000</v>
      </c>
      <c r="J310" s="609" t="s">
        <v>1454</v>
      </c>
      <c r="K310" s="616" t="s">
        <v>1637</v>
      </c>
      <c r="L310" s="785">
        <v>1000000</v>
      </c>
      <c r="M310" s="609" t="s">
        <v>2184</v>
      </c>
      <c r="N310" s="616">
        <v>1000000</v>
      </c>
      <c r="O310" s="612">
        <v>42767</v>
      </c>
      <c r="P310" s="612">
        <v>43096</v>
      </c>
      <c r="Q310" s="609" t="s">
        <v>108</v>
      </c>
      <c r="R310" s="609" t="s">
        <v>1456</v>
      </c>
      <c r="S310" s="609" t="s">
        <v>1457</v>
      </c>
      <c r="T310" s="609"/>
      <c r="U310" s="609"/>
      <c r="V310" s="609"/>
      <c r="W310" s="609"/>
      <c r="X310" s="609"/>
      <c r="Y310" s="609"/>
      <c r="Z310" s="609"/>
      <c r="AA310" s="609" t="s">
        <v>1458</v>
      </c>
      <c r="AB310" s="642" t="s">
        <v>263</v>
      </c>
      <c r="AC310" s="652"/>
      <c r="AD310" s="652" t="s">
        <v>113</v>
      </c>
      <c r="AE310" s="653">
        <f t="shared" si="5"/>
        <v>2</v>
      </c>
    </row>
    <row r="311" spans="1:31" ht="105" hidden="1" x14ac:dyDescent="0.25">
      <c r="A311" s="608" t="s">
        <v>3667</v>
      </c>
      <c r="B311" s="614" t="s">
        <v>1917</v>
      </c>
      <c r="C311" s="614" t="s">
        <v>1918</v>
      </c>
      <c r="D311" s="623" t="s">
        <v>4509</v>
      </c>
      <c r="E311" s="613" t="s">
        <v>1931</v>
      </c>
      <c r="F311" s="614" t="s">
        <v>1528</v>
      </c>
      <c r="G311" s="609" t="s">
        <v>1453</v>
      </c>
      <c r="H311" s="618">
        <v>1</v>
      </c>
      <c r="I311" s="609">
        <v>45000000000</v>
      </c>
      <c r="J311" s="609" t="s">
        <v>1454</v>
      </c>
      <c r="K311" s="616" t="s">
        <v>1616</v>
      </c>
      <c r="L311" s="785">
        <v>200000</v>
      </c>
      <c r="M311" s="609" t="s">
        <v>2184</v>
      </c>
      <c r="N311" s="616">
        <v>200000</v>
      </c>
      <c r="O311" s="612">
        <v>42767</v>
      </c>
      <c r="P311" s="612">
        <v>43096</v>
      </c>
      <c r="Q311" s="609" t="s">
        <v>108</v>
      </c>
      <c r="R311" s="609" t="s">
        <v>1456</v>
      </c>
      <c r="S311" s="609" t="s">
        <v>1457</v>
      </c>
      <c r="T311" s="609"/>
      <c r="U311" s="609"/>
      <c r="V311" s="609"/>
      <c r="W311" s="609"/>
      <c r="X311" s="609"/>
      <c r="Y311" s="609"/>
      <c r="Z311" s="609"/>
      <c r="AA311" s="609" t="s">
        <v>1458</v>
      </c>
      <c r="AB311" s="642" t="s">
        <v>263</v>
      </c>
      <c r="AC311" s="652"/>
      <c r="AD311" s="652" t="s">
        <v>113</v>
      </c>
      <c r="AE311" s="653">
        <f t="shared" si="5"/>
        <v>2</v>
      </c>
    </row>
    <row r="312" spans="1:31" ht="105" hidden="1" x14ac:dyDescent="0.25">
      <c r="A312" s="608" t="s">
        <v>3668</v>
      </c>
      <c r="B312" s="614" t="s">
        <v>1924</v>
      </c>
      <c r="C312" s="614" t="s">
        <v>1925</v>
      </c>
      <c r="D312" s="623" t="s">
        <v>4508</v>
      </c>
      <c r="E312" s="613" t="s">
        <v>1932</v>
      </c>
      <c r="F312" s="614" t="s">
        <v>1587</v>
      </c>
      <c r="G312" s="609" t="s">
        <v>1588</v>
      </c>
      <c r="H312" s="618">
        <v>1</v>
      </c>
      <c r="I312" s="609">
        <v>45000000000</v>
      </c>
      <c r="J312" s="609" t="s">
        <v>1454</v>
      </c>
      <c r="K312" s="616" t="s">
        <v>1616</v>
      </c>
      <c r="L312" s="785">
        <v>200000</v>
      </c>
      <c r="M312" s="609" t="s">
        <v>2184</v>
      </c>
      <c r="N312" s="616">
        <v>200000</v>
      </c>
      <c r="O312" s="612">
        <v>42767</v>
      </c>
      <c r="P312" s="612">
        <v>43096</v>
      </c>
      <c r="Q312" s="609" t="s">
        <v>108</v>
      </c>
      <c r="R312" s="609" t="s">
        <v>1456</v>
      </c>
      <c r="S312" s="609" t="s">
        <v>1457</v>
      </c>
      <c r="T312" s="609"/>
      <c r="U312" s="609"/>
      <c r="V312" s="609"/>
      <c r="W312" s="609"/>
      <c r="X312" s="609"/>
      <c r="Y312" s="609"/>
      <c r="Z312" s="609"/>
      <c r="AA312" s="609" t="s">
        <v>1458</v>
      </c>
      <c r="AB312" s="642" t="s">
        <v>263</v>
      </c>
      <c r="AC312" s="652"/>
      <c r="AD312" s="652" t="s">
        <v>113</v>
      </c>
      <c r="AE312" s="653">
        <f t="shared" si="5"/>
        <v>2</v>
      </c>
    </row>
    <row r="313" spans="1:31" ht="105" hidden="1" x14ac:dyDescent="0.25">
      <c r="A313" s="608" t="s">
        <v>3669</v>
      </c>
      <c r="B313" s="614" t="s">
        <v>1933</v>
      </c>
      <c r="C313" s="614" t="s">
        <v>1933</v>
      </c>
      <c r="D313" s="623" t="s">
        <v>4507</v>
      </c>
      <c r="E313" s="613" t="s">
        <v>1766</v>
      </c>
      <c r="F313" s="614" t="s">
        <v>1587</v>
      </c>
      <c r="G313" s="609" t="s">
        <v>1588</v>
      </c>
      <c r="H313" s="618">
        <v>1</v>
      </c>
      <c r="I313" s="609">
        <v>45000000000</v>
      </c>
      <c r="J313" s="609" t="s">
        <v>1454</v>
      </c>
      <c r="K313" s="616" t="s">
        <v>1616</v>
      </c>
      <c r="L313" s="785">
        <v>200000</v>
      </c>
      <c r="M313" s="609" t="s">
        <v>2184</v>
      </c>
      <c r="N313" s="616">
        <v>200000</v>
      </c>
      <c r="O313" s="612">
        <v>42767</v>
      </c>
      <c r="P313" s="612">
        <v>43096</v>
      </c>
      <c r="Q313" s="609" t="s">
        <v>108</v>
      </c>
      <c r="R313" s="609" t="s">
        <v>1456</v>
      </c>
      <c r="S313" s="609" t="s">
        <v>1457</v>
      </c>
      <c r="T313" s="609"/>
      <c r="U313" s="609"/>
      <c r="V313" s="609"/>
      <c r="W313" s="609"/>
      <c r="X313" s="609"/>
      <c r="Y313" s="609"/>
      <c r="Z313" s="609"/>
      <c r="AA313" s="609" t="s">
        <v>1458</v>
      </c>
      <c r="AB313" s="642" t="s">
        <v>263</v>
      </c>
      <c r="AC313" s="652"/>
      <c r="AD313" s="652" t="s">
        <v>113</v>
      </c>
      <c r="AE313" s="653">
        <f t="shared" si="5"/>
        <v>2</v>
      </c>
    </row>
    <row r="314" spans="1:31" ht="105" hidden="1" x14ac:dyDescent="0.25">
      <c r="A314" s="608" t="s">
        <v>3670</v>
      </c>
      <c r="B314" s="614" t="s">
        <v>1934</v>
      </c>
      <c r="C314" s="614" t="s">
        <v>1935</v>
      </c>
      <c r="D314" s="623" t="s">
        <v>4506</v>
      </c>
      <c r="E314" s="613" t="s">
        <v>1766</v>
      </c>
      <c r="F314" s="614" t="s">
        <v>1587</v>
      </c>
      <c r="G314" s="609" t="s">
        <v>1588</v>
      </c>
      <c r="H314" s="618">
        <v>1</v>
      </c>
      <c r="I314" s="609">
        <v>45000000000</v>
      </c>
      <c r="J314" s="609" t="s">
        <v>1454</v>
      </c>
      <c r="K314" s="616" t="s">
        <v>1616</v>
      </c>
      <c r="L314" s="785">
        <v>200000</v>
      </c>
      <c r="M314" s="609" t="s">
        <v>2184</v>
      </c>
      <c r="N314" s="616">
        <v>200000</v>
      </c>
      <c r="O314" s="612">
        <v>42767</v>
      </c>
      <c r="P314" s="612">
        <v>43096</v>
      </c>
      <c r="Q314" s="609" t="s">
        <v>108</v>
      </c>
      <c r="R314" s="609" t="s">
        <v>1456</v>
      </c>
      <c r="S314" s="609" t="s">
        <v>1457</v>
      </c>
      <c r="T314" s="609"/>
      <c r="U314" s="609"/>
      <c r="V314" s="609"/>
      <c r="W314" s="609"/>
      <c r="X314" s="609"/>
      <c r="Y314" s="609"/>
      <c r="Z314" s="609"/>
      <c r="AA314" s="609" t="s">
        <v>1458</v>
      </c>
      <c r="AB314" s="642" t="s">
        <v>263</v>
      </c>
      <c r="AC314" s="652"/>
      <c r="AD314" s="652" t="s">
        <v>113</v>
      </c>
      <c r="AE314" s="653">
        <f t="shared" si="5"/>
        <v>2</v>
      </c>
    </row>
    <row r="315" spans="1:31" ht="105" hidden="1" x14ac:dyDescent="0.25">
      <c r="A315" s="608" t="s">
        <v>3671</v>
      </c>
      <c r="B315" s="614" t="s">
        <v>1936</v>
      </c>
      <c r="C315" s="614" t="s">
        <v>1936</v>
      </c>
      <c r="D315" s="623" t="s">
        <v>4505</v>
      </c>
      <c r="E315" s="613" t="s">
        <v>1937</v>
      </c>
      <c r="F315" s="614" t="s">
        <v>1587</v>
      </c>
      <c r="G315" s="609" t="s">
        <v>1588</v>
      </c>
      <c r="H315" s="618">
        <v>1</v>
      </c>
      <c r="I315" s="609">
        <v>45000000000</v>
      </c>
      <c r="J315" s="609" t="s">
        <v>1454</v>
      </c>
      <c r="K315" s="616" t="s">
        <v>1621</v>
      </c>
      <c r="L315" s="785">
        <v>500000</v>
      </c>
      <c r="M315" s="609" t="s">
        <v>2184</v>
      </c>
      <c r="N315" s="616">
        <v>500000</v>
      </c>
      <c r="O315" s="612">
        <v>42767</v>
      </c>
      <c r="P315" s="612">
        <v>43096</v>
      </c>
      <c r="Q315" s="609" t="s">
        <v>108</v>
      </c>
      <c r="R315" s="609" t="s">
        <v>1456</v>
      </c>
      <c r="S315" s="609" t="s">
        <v>1457</v>
      </c>
      <c r="T315" s="609"/>
      <c r="U315" s="609"/>
      <c r="V315" s="609"/>
      <c r="W315" s="609"/>
      <c r="X315" s="609"/>
      <c r="Y315" s="609"/>
      <c r="Z315" s="609"/>
      <c r="AA315" s="609" t="s">
        <v>1458</v>
      </c>
      <c r="AB315" s="642" t="s">
        <v>263</v>
      </c>
      <c r="AC315" s="652"/>
      <c r="AD315" s="652" t="s">
        <v>113</v>
      </c>
      <c r="AE315" s="653">
        <f t="shared" si="5"/>
        <v>2</v>
      </c>
    </row>
    <row r="316" spans="1:31" ht="105" hidden="1" x14ac:dyDescent="0.25">
      <c r="A316" s="608" t="s">
        <v>3672</v>
      </c>
      <c r="B316" s="614" t="s">
        <v>1922</v>
      </c>
      <c r="C316" s="614" t="s">
        <v>1922</v>
      </c>
      <c r="D316" s="623" t="s">
        <v>4504</v>
      </c>
      <c r="E316" s="613" t="s">
        <v>1923</v>
      </c>
      <c r="F316" s="614" t="s">
        <v>1587</v>
      </c>
      <c r="G316" s="609" t="s">
        <v>1588</v>
      </c>
      <c r="H316" s="618">
        <v>1</v>
      </c>
      <c r="I316" s="609">
        <v>45000000000</v>
      </c>
      <c r="J316" s="609" t="s">
        <v>1454</v>
      </c>
      <c r="K316" s="616" t="s">
        <v>1647</v>
      </c>
      <c r="L316" s="785">
        <v>400000</v>
      </c>
      <c r="M316" s="609" t="s">
        <v>2184</v>
      </c>
      <c r="N316" s="616">
        <v>400000</v>
      </c>
      <c r="O316" s="612">
        <v>42767</v>
      </c>
      <c r="P316" s="612">
        <v>43096</v>
      </c>
      <c r="Q316" s="609" t="s">
        <v>108</v>
      </c>
      <c r="R316" s="609" t="s">
        <v>1456</v>
      </c>
      <c r="S316" s="609" t="s">
        <v>1457</v>
      </c>
      <c r="T316" s="609"/>
      <c r="U316" s="609"/>
      <c r="V316" s="609"/>
      <c r="W316" s="609"/>
      <c r="X316" s="609"/>
      <c r="Y316" s="609"/>
      <c r="Z316" s="609"/>
      <c r="AA316" s="609" t="s">
        <v>1458</v>
      </c>
      <c r="AB316" s="642" t="s">
        <v>263</v>
      </c>
      <c r="AC316" s="652"/>
      <c r="AD316" s="652" t="s">
        <v>113</v>
      </c>
      <c r="AE316" s="653">
        <f t="shared" si="5"/>
        <v>2</v>
      </c>
    </row>
    <row r="317" spans="1:31" ht="105" hidden="1" x14ac:dyDescent="0.25">
      <c r="A317" s="608" t="s">
        <v>3673</v>
      </c>
      <c r="B317" s="614" t="s">
        <v>1938</v>
      </c>
      <c r="C317" s="614" t="s">
        <v>1939</v>
      </c>
      <c r="D317" s="623" t="s">
        <v>4503</v>
      </c>
      <c r="E317" s="613" t="s">
        <v>1940</v>
      </c>
      <c r="F317" s="614" t="s">
        <v>1587</v>
      </c>
      <c r="G317" s="609" t="s">
        <v>1588</v>
      </c>
      <c r="H317" s="618">
        <v>10</v>
      </c>
      <c r="I317" s="609">
        <v>45000000000</v>
      </c>
      <c r="J317" s="609" t="s">
        <v>1454</v>
      </c>
      <c r="K317" s="616" t="s">
        <v>1605</v>
      </c>
      <c r="L317" s="785">
        <v>100000</v>
      </c>
      <c r="M317" s="609" t="s">
        <v>2184</v>
      </c>
      <c r="N317" s="616">
        <v>100000</v>
      </c>
      <c r="O317" s="612">
        <v>42767</v>
      </c>
      <c r="P317" s="612">
        <v>43096</v>
      </c>
      <c r="Q317" s="609" t="s">
        <v>108</v>
      </c>
      <c r="R317" s="609" t="s">
        <v>1456</v>
      </c>
      <c r="S317" s="609" t="s">
        <v>1457</v>
      </c>
      <c r="T317" s="609"/>
      <c r="U317" s="609"/>
      <c r="V317" s="609"/>
      <c r="W317" s="609"/>
      <c r="X317" s="609"/>
      <c r="Y317" s="609"/>
      <c r="Z317" s="609"/>
      <c r="AA317" s="609" t="s">
        <v>1458</v>
      </c>
      <c r="AB317" s="642" t="s">
        <v>263</v>
      </c>
      <c r="AC317" s="652"/>
      <c r="AD317" s="652" t="s">
        <v>113</v>
      </c>
      <c r="AE317" s="653">
        <f t="shared" si="5"/>
        <v>2</v>
      </c>
    </row>
    <row r="318" spans="1:31" ht="105" hidden="1" x14ac:dyDescent="0.25">
      <c r="A318" s="608" t="s">
        <v>3674</v>
      </c>
      <c r="B318" s="614" t="s">
        <v>1927</v>
      </c>
      <c r="C318" s="614" t="s">
        <v>1928</v>
      </c>
      <c r="D318" s="623" t="s">
        <v>4502</v>
      </c>
      <c r="E318" s="613" t="s">
        <v>1929</v>
      </c>
      <c r="F318" s="614" t="s">
        <v>1587</v>
      </c>
      <c r="G318" s="609" t="s">
        <v>1588</v>
      </c>
      <c r="H318" s="618">
        <v>1</v>
      </c>
      <c r="I318" s="609">
        <v>45000000000</v>
      </c>
      <c r="J318" s="609" t="s">
        <v>1454</v>
      </c>
      <c r="K318" s="616" t="s">
        <v>1647</v>
      </c>
      <c r="L318" s="785">
        <v>400000</v>
      </c>
      <c r="M318" s="609" t="s">
        <v>2184</v>
      </c>
      <c r="N318" s="616">
        <v>400000</v>
      </c>
      <c r="O318" s="612">
        <v>42856</v>
      </c>
      <c r="P318" s="612">
        <v>43096</v>
      </c>
      <c r="Q318" s="609" t="s">
        <v>108</v>
      </c>
      <c r="R318" s="609" t="s">
        <v>1456</v>
      </c>
      <c r="S318" s="609" t="s">
        <v>1457</v>
      </c>
      <c r="T318" s="609"/>
      <c r="U318" s="609"/>
      <c r="V318" s="609"/>
      <c r="W318" s="609"/>
      <c r="X318" s="609"/>
      <c r="Y318" s="609"/>
      <c r="Z318" s="609"/>
      <c r="AA318" s="609" t="s">
        <v>1458</v>
      </c>
      <c r="AB318" s="642" t="s">
        <v>263</v>
      </c>
      <c r="AC318" s="652"/>
      <c r="AD318" s="652" t="s">
        <v>113</v>
      </c>
      <c r="AE318" s="653">
        <f t="shared" si="5"/>
        <v>5</v>
      </c>
    </row>
    <row r="319" spans="1:31" ht="120" hidden="1" x14ac:dyDescent="0.25">
      <c r="A319" s="608" t="s">
        <v>3675</v>
      </c>
      <c r="B319" s="613" t="s">
        <v>1941</v>
      </c>
      <c r="C319" s="614" t="s">
        <v>1942</v>
      </c>
      <c r="D319" s="619" t="s">
        <v>4501</v>
      </c>
      <c r="E319" s="619" t="s">
        <v>1943</v>
      </c>
      <c r="F319" s="614" t="s">
        <v>1587</v>
      </c>
      <c r="G319" s="609" t="s">
        <v>1588</v>
      </c>
      <c r="H319" s="618">
        <v>5000</v>
      </c>
      <c r="I319" s="609">
        <v>45000000000</v>
      </c>
      <c r="J319" s="609" t="s">
        <v>1454</v>
      </c>
      <c r="K319" s="616" t="s">
        <v>5091</v>
      </c>
      <c r="L319" s="785">
        <v>635178.06999999995</v>
      </c>
      <c r="M319" s="609" t="s">
        <v>2184</v>
      </c>
      <c r="N319" s="616">
        <v>635178.06999999995</v>
      </c>
      <c r="O319" s="612">
        <v>42856</v>
      </c>
      <c r="P319" s="612">
        <v>43096</v>
      </c>
      <c r="Q319" s="609" t="s">
        <v>110</v>
      </c>
      <c r="R319" s="609" t="s">
        <v>2174</v>
      </c>
      <c r="S319" s="609" t="s">
        <v>1455</v>
      </c>
      <c r="T319" s="609"/>
      <c r="U319" s="609"/>
      <c r="V319" s="609"/>
      <c r="W319" s="641" t="s">
        <v>268</v>
      </c>
      <c r="X319" s="609">
        <v>4026000108</v>
      </c>
      <c r="Y319" s="609" t="s">
        <v>5084</v>
      </c>
      <c r="Z319" s="873">
        <v>635178.06999999995</v>
      </c>
      <c r="AA319" s="609" t="s">
        <v>1458</v>
      </c>
      <c r="AB319" s="642" t="s">
        <v>263</v>
      </c>
      <c r="AC319" s="652"/>
      <c r="AD319" s="652" t="s">
        <v>113</v>
      </c>
      <c r="AE319" s="653">
        <f t="shared" si="5"/>
        <v>5</v>
      </c>
    </row>
    <row r="320" spans="1:31" ht="105" hidden="1" x14ac:dyDescent="0.25">
      <c r="A320" s="608" t="s">
        <v>3676</v>
      </c>
      <c r="B320" s="613" t="s">
        <v>1941</v>
      </c>
      <c r="C320" s="614" t="s">
        <v>1942</v>
      </c>
      <c r="D320" s="619" t="s">
        <v>4500</v>
      </c>
      <c r="E320" s="619" t="s">
        <v>1943</v>
      </c>
      <c r="F320" s="614" t="s">
        <v>1587</v>
      </c>
      <c r="G320" s="609" t="s">
        <v>1588</v>
      </c>
      <c r="H320" s="618">
        <v>1000</v>
      </c>
      <c r="I320" s="609">
        <v>45000000000</v>
      </c>
      <c r="J320" s="609" t="s">
        <v>1454</v>
      </c>
      <c r="K320" s="616" t="s">
        <v>3303</v>
      </c>
      <c r="L320" s="785">
        <v>1122000</v>
      </c>
      <c r="M320" s="838" t="s">
        <v>4813</v>
      </c>
      <c r="N320" s="616">
        <v>1122000</v>
      </c>
      <c r="O320" s="612">
        <v>42795</v>
      </c>
      <c r="P320" s="612">
        <v>43096</v>
      </c>
      <c r="Q320" s="609" t="s">
        <v>110</v>
      </c>
      <c r="R320" s="609" t="s">
        <v>113</v>
      </c>
      <c r="S320" s="609" t="s">
        <v>1455</v>
      </c>
      <c r="T320" s="609"/>
      <c r="U320" s="609"/>
      <c r="V320" s="609"/>
      <c r="W320" s="609" t="s">
        <v>268</v>
      </c>
      <c r="X320" s="639">
        <v>7729746311</v>
      </c>
      <c r="Y320" s="639" t="s">
        <v>3305</v>
      </c>
      <c r="Z320" s="698">
        <v>1122000</v>
      </c>
      <c r="AA320" s="609" t="s">
        <v>1458</v>
      </c>
      <c r="AB320" s="642" t="s">
        <v>263</v>
      </c>
      <c r="AC320" s="652"/>
      <c r="AD320" s="652" t="s">
        <v>113</v>
      </c>
      <c r="AE320" s="653">
        <f t="shared" si="5"/>
        <v>3</v>
      </c>
    </row>
    <row r="321" spans="1:31" ht="105" hidden="1" x14ac:dyDescent="0.25">
      <c r="A321" s="608" t="s">
        <v>3677</v>
      </c>
      <c r="B321" s="614" t="s">
        <v>1944</v>
      </c>
      <c r="C321" s="614" t="s">
        <v>1653</v>
      </c>
      <c r="D321" s="619" t="s">
        <v>4499</v>
      </c>
      <c r="E321" s="619" t="s">
        <v>1943</v>
      </c>
      <c r="F321" s="614" t="s">
        <v>1587</v>
      </c>
      <c r="G321" s="609" t="s">
        <v>1588</v>
      </c>
      <c r="H321" s="618">
        <v>40</v>
      </c>
      <c r="I321" s="609">
        <v>45000000000</v>
      </c>
      <c r="J321" s="609" t="s">
        <v>1454</v>
      </c>
      <c r="K321" s="616" t="s">
        <v>1647</v>
      </c>
      <c r="L321" s="785">
        <v>400000</v>
      </c>
      <c r="M321" s="609" t="s">
        <v>2184</v>
      </c>
      <c r="N321" s="616">
        <v>400000</v>
      </c>
      <c r="O321" s="612">
        <v>42736</v>
      </c>
      <c r="P321" s="612">
        <v>43096</v>
      </c>
      <c r="Q321" s="609" t="s">
        <v>108</v>
      </c>
      <c r="R321" s="609" t="s">
        <v>1456</v>
      </c>
      <c r="S321" s="609" t="s">
        <v>1457</v>
      </c>
      <c r="T321" s="609"/>
      <c r="U321" s="609"/>
      <c r="V321" s="609"/>
      <c r="W321" s="599"/>
      <c r="X321" s="599"/>
      <c r="Y321" s="599"/>
      <c r="Z321" s="615"/>
      <c r="AA321" s="609" t="s">
        <v>1458</v>
      </c>
      <c r="AB321" s="642" t="s">
        <v>263</v>
      </c>
      <c r="AC321" s="652"/>
      <c r="AD321" s="652" t="s">
        <v>113</v>
      </c>
      <c r="AE321" s="653">
        <f t="shared" si="5"/>
        <v>1</v>
      </c>
    </row>
    <row r="322" spans="1:31" ht="105" hidden="1" x14ac:dyDescent="0.25">
      <c r="A322" s="608" t="s">
        <v>3678</v>
      </c>
      <c r="B322" s="614" t="s">
        <v>1944</v>
      </c>
      <c r="C322" s="614" t="s">
        <v>1653</v>
      </c>
      <c r="D322" s="619" t="s">
        <v>4498</v>
      </c>
      <c r="E322" s="619" t="s">
        <v>1943</v>
      </c>
      <c r="F322" s="614" t="s">
        <v>1587</v>
      </c>
      <c r="G322" s="609" t="s">
        <v>1588</v>
      </c>
      <c r="H322" s="618">
        <v>5</v>
      </c>
      <c r="I322" s="609">
        <v>45000000000</v>
      </c>
      <c r="J322" s="609" t="s">
        <v>1454</v>
      </c>
      <c r="K322" s="616" t="s">
        <v>1945</v>
      </c>
      <c r="L322" s="785">
        <v>287500</v>
      </c>
      <c r="M322" s="609" t="s">
        <v>2184</v>
      </c>
      <c r="N322" s="616">
        <v>287500</v>
      </c>
      <c r="O322" s="612">
        <v>42736</v>
      </c>
      <c r="P322" s="612">
        <v>43096</v>
      </c>
      <c r="Q322" s="609" t="s">
        <v>108</v>
      </c>
      <c r="R322" s="609" t="s">
        <v>1456</v>
      </c>
      <c r="S322" s="609" t="s">
        <v>1457</v>
      </c>
      <c r="T322" s="609"/>
      <c r="U322" s="609"/>
      <c r="V322" s="609"/>
      <c r="W322" s="599"/>
      <c r="X322" s="599"/>
      <c r="Y322" s="599"/>
      <c r="Z322" s="626"/>
      <c r="AA322" s="609" t="s">
        <v>1458</v>
      </c>
      <c r="AB322" s="642" t="s">
        <v>263</v>
      </c>
      <c r="AC322" s="652"/>
      <c r="AD322" s="652" t="s">
        <v>113</v>
      </c>
      <c r="AE322" s="653">
        <f t="shared" si="5"/>
        <v>1</v>
      </c>
    </row>
    <row r="323" spans="1:31" ht="105" hidden="1" x14ac:dyDescent="0.25">
      <c r="A323" s="608" t="s">
        <v>3679</v>
      </c>
      <c r="B323" s="614" t="s">
        <v>1944</v>
      </c>
      <c r="C323" s="614" t="s">
        <v>1653</v>
      </c>
      <c r="D323" s="619" t="s">
        <v>4497</v>
      </c>
      <c r="E323" s="619" t="s">
        <v>1943</v>
      </c>
      <c r="F323" s="614" t="s">
        <v>1528</v>
      </c>
      <c r="G323" s="609" t="s">
        <v>1453</v>
      </c>
      <c r="H323" s="622" t="s">
        <v>1946</v>
      </c>
      <c r="I323" s="609">
        <v>45000000000</v>
      </c>
      <c r="J323" s="609" t="s">
        <v>1454</v>
      </c>
      <c r="K323" s="616" t="s">
        <v>1947</v>
      </c>
      <c r="L323" s="785">
        <v>1648000</v>
      </c>
      <c r="M323" s="609" t="s">
        <v>2184</v>
      </c>
      <c r="N323" s="616">
        <v>1648000</v>
      </c>
      <c r="O323" s="612">
        <v>42736</v>
      </c>
      <c r="P323" s="612">
        <v>43096</v>
      </c>
      <c r="Q323" s="609" t="s">
        <v>108</v>
      </c>
      <c r="R323" s="609" t="s">
        <v>1456</v>
      </c>
      <c r="S323" s="609" t="s">
        <v>1457</v>
      </c>
      <c r="T323" s="609"/>
      <c r="U323" s="609"/>
      <c r="V323" s="609"/>
      <c r="W323" s="599"/>
      <c r="X323" s="599"/>
      <c r="Y323" s="599"/>
      <c r="Z323" s="616"/>
      <c r="AA323" s="609" t="s">
        <v>1458</v>
      </c>
      <c r="AB323" s="642" t="s">
        <v>263</v>
      </c>
      <c r="AC323" s="652"/>
      <c r="AD323" s="652" t="s">
        <v>113</v>
      </c>
      <c r="AE323" s="653">
        <f t="shared" si="5"/>
        <v>1</v>
      </c>
    </row>
    <row r="324" spans="1:31" ht="105" hidden="1" x14ac:dyDescent="0.25">
      <c r="A324" s="608" t="s">
        <v>3680</v>
      </c>
      <c r="B324" s="614" t="s">
        <v>1851</v>
      </c>
      <c r="C324" s="614" t="s">
        <v>1851</v>
      </c>
      <c r="D324" s="619" t="s">
        <v>4496</v>
      </c>
      <c r="E324" s="617" t="s">
        <v>1948</v>
      </c>
      <c r="F324" s="614" t="s">
        <v>1528</v>
      </c>
      <c r="G324" s="609" t="s">
        <v>1453</v>
      </c>
      <c r="H324" s="618">
        <v>10</v>
      </c>
      <c r="I324" s="609">
        <v>45000000000</v>
      </c>
      <c r="J324" s="609" t="s">
        <v>1454</v>
      </c>
      <c r="K324" s="616" t="s">
        <v>1949</v>
      </c>
      <c r="L324" s="785">
        <v>137000</v>
      </c>
      <c r="M324" s="609" t="s">
        <v>2184</v>
      </c>
      <c r="N324" s="616">
        <v>137000</v>
      </c>
      <c r="O324" s="612">
        <v>42736</v>
      </c>
      <c r="P324" s="612">
        <v>43070</v>
      </c>
      <c r="Q324" s="609" t="s">
        <v>110</v>
      </c>
      <c r="R324" s="609" t="s">
        <v>113</v>
      </c>
      <c r="S324" s="609" t="s">
        <v>1455</v>
      </c>
      <c r="T324" s="609"/>
      <c r="U324" s="609"/>
      <c r="V324" s="609"/>
      <c r="W324" s="599" t="s">
        <v>73</v>
      </c>
      <c r="X324" s="599">
        <v>7727768951</v>
      </c>
      <c r="Y324" s="627" t="s">
        <v>1950</v>
      </c>
      <c r="Z324" s="616">
        <v>137000</v>
      </c>
      <c r="AA324" s="609" t="s">
        <v>1458</v>
      </c>
      <c r="AB324" s="642" t="s">
        <v>263</v>
      </c>
      <c r="AC324" s="652"/>
      <c r="AD324" s="652" t="s">
        <v>113</v>
      </c>
      <c r="AE324" s="653">
        <f t="shared" si="5"/>
        <v>1</v>
      </c>
    </row>
    <row r="325" spans="1:31" ht="105" hidden="1" x14ac:dyDescent="0.25">
      <c r="A325" s="608" t="s">
        <v>3681</v>
      </c>
      <c r="B325" s="614" t="s">
        <v>1951</v>
      </c>
      <c r="C325" s="614" t="s">
        <v>1951</v>
      </c>
      <c r="D325" s="619" t="s">
        <v>4495</v>
      </c>
      <c r="E325" s="617" t="s">
        <v>1948</v>
      </c>
      <c r="F325" s="614" t="s">
        <v>1587</v>
      </c>
      <c r="G325" s="609" t="s">
        <v>1588</v>
      </c>
      <c r="H325" s="618">
        <v>10</v>
      </c>
      <c r="I325" s="609">
        <v>45000000000</v>
      </c>
      <c r="J325" s="609" t="s">
        <v>1454</v>
      </c>
      <c r="K325" s="616" t="s">
        <v>1952</v>
      </c>
      <c r="L325" s="785">
        <v>178000</v>
      </c>
      <c r="M325" s="609" t="s">
        <v>2184</v>
      </c>
      <c r="N325" s="616">
        <v>178000</v>
      </c>
      <c r="O325" s="612">
        <v>42736</v>
      </c>
      <c r="P325" s="612">
        <v>42887</v>
      </c>
      <c r="Q325" s="609" t="s">
        <v>110</v>
      </c>
      <c r="R325" s="609" t="s">
        <v>113</v>
      </c>
      <c r="S325" s="609" t="s">
        <v>1455</v>
      </c>
      <c r="T325" s="609"/>
      <c r="U325" s="609"/>
      <c r="V325" s="609"/>
      <c r="W325" s="599" t="s">
        <v>73</v>
      </c>
      <c r="X325" s="599">
        <v>7735127006</v>
      </c>
      <c r="Y325" s="599" t="s">
        <v>1953</v>
      </c>
      <c r="Z325" s="616">
        <v>178000</v>
      </c>
      <c r="AA325" s="609" t="s">
        <v>1458</v>
      </c>
      <c r="AB325" s="642" t="s">
        <v>263</v>
      </c>
      <c r="AC325" s="652"/>
      <c r="AD325" s="652" t="s">
        <v>113</v>
      </c>
      <c r="AE325" s="653">
        <f t="shared" si="5"/>
        <v>1</v>
      </c>
    </row>
    <row r="326" spans="1:31" ht="105" hidden="1" x14ac:dyDescent="0.25">
      <c r="A326" s="608" t="s">
        <v>3682</v>
      </c>
      <c r="B326" s="614" t="s">
        <v>1941</v>
      </c>
      <c r="C326" s="614" t="s">
        <v>1941</v>
      </c>
      <c r="D326" s="619" t="s">
        <v>4494</v>
      </c>
      <c r="E326" s="617" t="s">
        <v>1948</v>
      </c>
      <c r="F326" s="614" t="s">
        <v>1528</v>
      </c>
      <c r="G326" s="609" t="s">
        <v>1453</v>
      </c>
      <c r="H326" s="618">
        <v>10</v>
      </c>
      <c r="I326" s="609">
        <v>45000000000</v>
      </c>
      <c r="J326" s="609" t="s">
        <v>1454</v>
      </c>
      <c r="K326" s="616" t="s">
        <v>1954</v>
      </c>
      <c r="L326" s="785">
        <v>173000</v>
      </c>
      <c r="M326" s="609" t="s">
        <v>2184</v>
      </c>
      <c r="N326" s="616">
        <v>173000</v>
      </c>
      <c r="O326" s="612">
        <v>42736</v>
      </c>
      <c r="P326" s="612">
        <v>43070</v>
      </c>
      <c r="Q326" s="609" t="s">
        <v>110</v>
      </c>
      <c r="R326" s="609" t="s">
        <v>113</v>
      </c>
      <c r="S326" s="609" t="s">
        <v>1455</v>
      </c>
      <c r="T326" s="609"/>
      <c r="U326" s="609"/>
      <c r="V326" s="609"/>
      <c r="W326" s="599" t="s">
        <v>73</v>
      </c>
      <c r="X326" s="599">
        <v>5024022965</v>
      </c>
      <c r="Y326" s="599" t="s">
        <v>1955</v>
      </c>
      <c r="Z326" s="616">
        <v>173000</v>
      </c>
      <c r="AA326" s="609" t="s">
        <v>1458</v>
      </c>
      <c r="AB326" s="642" t="s">
        <v>263</v>
      </c>
      <c r="AC326" s="652"/>
      <c r="AD326" s="652" t="s">
        <v>113</v>
      </c>
      <c r="AE326" s="653">
        <f t="shared" si="5"/>
        <v>1</v>
      </c>
    </row>
    <row r="327" spans="1:31" ht="105" hidden="1" x14ac:dyDescent="0.25">
      <c r="A327" s="608" t="s">
        <v>3683</v>
      </c>
      <c r="B327" s="614" t="s">
        <v>1941</v>
      </c>
      <c r="C327" s="614" t="s">
        <v>1941</v>
      </c>
      <c r="D327" s="619" t="s">
        <v>4493</v>
      </c>
      <c r="E327" s="617" t="s">
        <v>1948</v>
      </c>
      <c r="F327" s="614" t="s">
        <v>1528</v>
      </c>
      <c r="G327" s="609" t="s">
        <v>1453</v>
      </c>
      <c r="H327" s="618">
        <v>10</v>
      </c>
      <c r="I327" s="609">
        <v>45000000000</v>
      </c>
      <c r="J327" s="609" t="s">
        <v>1454</v>
      </c>
      <c r="K327" s="616" t="s">
        <v>1956</v>
      </c>
      <c r="L327" s="785">
        <v>1890000</v>
      </c>
      <c r="M327" s="609" t="s">
        <v>2184</v>
      </c>
      <c r="N327" s="616">
        <v>1890000</v>
      </c>
      <c r="O327" s="612">
        <v>42736</v>
      </c>
      <c r="P327" s="612">
        <v>43070</v>
      </c>
      <c r="Q327" s="609" t="s">
        <v>110</v>
      </c>
      <c r="R327" s="609" t="s">
        <v>113</v>
      </c>
      <c r="S327" s="609" t="s">
        <v>1455</v>
      </c>
      <c r="T327" s="609"/>
      <c r="U327" s="609"/>
      <c r="V327" s="609"/>
      <c r="W327" s="599" t="s">
        <v>73</v>
      </c>
      <c r="X327" s="599" t="s">
        <v>1957</v>
      </c>
      <c r="Y327" s="599" t="s">
        <v>1958</v>
      </c>
      <c r="Z327" s="616">
        <v>1890000</v>
      </c>
      <c r="AA327" s="609" t="s">
        <v>1458</v>
      </c>
      <c r="AB327" s="642" t="s">
        <v>263</v>
      </c>
      <c r="AC327" s="652"/>
      <c r="AD327" s="652" t="s">
        <v>113</v>
      </c>
      <c r="AE327" s="653">
        <f t="shared" si="5"/>
        <v>1</v>
      </c>
    </row>
    <row r="328" spans="1:31" ht="105" hidden="1" x14ac:dyDescent="0.25">
      <c r="A328" s="608" t="s">
        <v>3684</v>
      </c>
      <c r="B328" s="614" t="s">
        <v>1851</v>
      </c>
      <c r="C328" s="614" t="s">
        <v>1851</v>
      </c>
      <c r="D328" s="619" t="s">
        <v>4492</v>
      </c>
      <c r="E328" s="617" t="s">
        <v>1948</v>
      </c>
      <c r="F328" s="614" t="s">
        <v>1528</v>
      </c>
      <c r="G328" s="609" t="s">
        <v>1453</v>
      </c>
      <c r="H328" s="618">
        <v>75</v>
      </c>
      <c r="I328" s="609">
        <v>45000000000</v>
      </c>
      <c r="J328" s="609" t="s">
        <v>1454</v>
      </c>
      <c r="K328" s="616" t="s">
        <v>1959</v>
      </c>
      <c r="L328" s="785">
        <v>3012770</v>
      </c>
      <c r="M328" s="609" t="s">
        <v>2184</v>
      </c>
      <c r="N328" s="616">
        <v>3012770</v>
      </c>
      <c r="O328" s="612">
        <v>42736</v>
      </c>
      <c r="P328" s="612">
        <v>43070</v>
      </c>
      <c r="Q328" s="609" t="s">
        <v>110</v>
      </c>
      <c r="R328" s="609" t="s">
        <v>113</v>
      </c>
      <c r="S328" s="609" t="s">
        <v>1455</v>
      </c>
      <c r="T328" s="609"/>
      <c r="U328" s="609"/>
      <c r="V328" s="609"/>
      <c r="W328" s="599" t="s">
        <v>73</v>
      </c>
      <c r="X328" s="599">
        <v>2635063350</v>
      </c>
      <c r="Y328" s="599" t="s">
        <v>1960</v>
      </c>
      <c r="Z328" s="616">
        <v>3012770</v>
      </c>
      <c r="AA328" s="609" t="s">
        <v>1458</v>
      </c>
      <c r="AB328" s="642" t="s">
        <v>263</v>
      </c>
      <c r="AC328" s="652"/>
      <c r="AD328" s="652" t="s">
        <v>113</v>
      </c>
      <c r="AE328" s="653">
        <f t="shared" si="5"/>
        <v>1</v>
      </c>
    </row>
    <row r="329" spans="1:31" ht="105" hidden="1" x14ac:dyDescent="0.25">
      <c r="A329" s="608" t="s">
        <v>3685</v>
      </c>
      <c r="B329" s="614" t="s">
        <v>1961</v>
      </c>
      <c r="C329" s="614" t="s">
        <v>1961</v>
      </c>
      <c r="D329" s="619" t="s">
        <v>4491</v>
      </c>
      <c r="E329" s="617" t="s">
        <v>1948</v>
      </c>
      <c r="F329" s="614" t="s">
        <v>1645</v>
      </c>
      <c r="G329" s="609" t="s">
        <v>1646</v>
      </c>
      <c r="H329" s="618">
        <v>50</v>
      </c>
      <c r="I329" s="609">
        <v>45000000000</v>
      </c>
      <c r="J329" s="609" t="s">
        <v>1454</v>
      </c>
      <c r="K329" s="616" t="s">
        <v>1806</v>
      </c>
      <c r="L329" s="785">
        <v>150000</v>
      </c>
      <c r="M329" s="609" t="s">
        <v>2184</v>
      </c>
      <c r="N329" s="616">
        <v>150000</v>
      </c>
      <c r="O329" s="612">
        <v>42736</v>
      </c>
      <c r="P329" s="612">
        <v>43070</v>
      </c>
      <c r="Q329" s="609" t="s">
        <v>110</v>
      </c>
      <c r="R329" s="609" t="s">
        <v>113</v>
      </c>
      <c r="S329" s="609" t="s">
        <v>1455</v>
      </c>
      <c r="T329" s="609"/>
      <c r="U329" s="609"/>
      <c r="V329" s="609"/>
      <c r="W329" s="599" t="s">
        <v>73</v>
      </c>
      <c r="X329" s="599">
        <v>6829000109</v>
      </c>
      <c r="Y329" s="628" t="s">
        <v>1962</v>
      </c>
      <c r="Z329" s="616">
        <v>150000</v>
      </c>
      <c r="AA329" s="609" t="s">
        <v>1458</v>
      </c>
      <c r="AB329" s="642" t="s">
        <v>263</v>
      </c>
      <c r="AC329" s="652"/>
      <c r="AD329" s="652" t="s">
        <v>113</v>
      </c>
      <c r="AE329" s="653">
        <f t="shared" si="5"/>
        <v>1</v>
      </c>
    </row>
    <row r="330" spans="1:31" ht="105" hidden="1" x14ac:dyDescent="0.25">
      <c r="A330" s="608" t="s">
        <v>3686</v>
      </c>
      <c r="B330" s="614" t="s">
        <v>1941</v>
      </c>
      <c r="C330" s="614" t="s">
        <v>1941</v>
      </c>
      <c r="D330" s="619" t="s">
        <v>4490</v>
      </c>
      <c r="E330" s="617" t="s">
        <v>1948</v>
      </c>
      <c r="F330" s="614" t="s">
        <v>1645</v>
      </c>
      <c r="G330" s="609" t="s">
        <v>1646</v>
      </c>
      <c r="H330" s="618">
        <v>33</v>
      </c>
      <c r="I330" s="609">
        <v>45000000000</v>
      </c>
      <c r="J330" s="609" t="s">
        <v>1454</v>
      </c>
      <c r="K330" s="616" t="s">
        <v>1963</v>
      </c>
      <c r="L330" s="785">
        <v>15015000</v>
      </c>
      <c r="M330" s="838" t="s">
        <v>4813</v>
      </c>
      <c r="N330" s="616">
        <v>15015000</v>
      </c>
      <c r="O330" s="612">
        <v>42767</v>
      </c>
      <c r="P330" s="612">
        <v>43070</v>
      </c>
      <c r="Q330" s="609" t="s">
        <v>110</v>
      </c>
      <c r="R330" s="609" t="s">
        <v>113</v>
      </c>
      <c r="S330" s="609" t="s">
        <v>1455</v>
      </c>
      <c r="T330" s="609"/>
      <c r="U330" s="609"/>
      <c r="V330" s="609"/>
      <c r="W330" s="599" t="s">
        <v>73</v>
      </c>
      <c r="X330" s="599" t="s">
        <v>1964</v>
      </c>
      <c r="Y330" s="599" t="s">
        <v>1958</v>
      </c>
      <c r="Z330" s="616">
        <v>15015000</v>
      </c>
      <c r="AA330" s="609" t="s">
        <v>1458</v>
      </c>
      <c r="AB330" s="642" t="s">
        <v>263</v>
      </c>
      <c r="AC330" s="652"/>
      <c r="AD330" s="652" t="s">
        <v>113</v>
      </c>
      <c r="AE330" s="653">
        <f t="shared" si="5"/>
        <v>2</v>
      </c>
    </row>
    <row r="331" spans="1:31" ht="105" hidden="1" x14ac:dyDescent="0.25">
      <c r="A331" s="608" t="s">
        <v>3687</v>
      </c>
      <c r="B331" s="614" t="s">
        <v>1951</v>
      </c>
      <c r="C331" s="614" t="s">
        <v>1951</v>
      </c>
      <c r="D331" s="619" t="s">
        <v>4489</v>
      </c>
      <c r="E331" s="617" t="s">
        <v>1948</v>
      </c>
      <c r="F331" s="614" t="s">
        <v>1528</v>
      </c>
      <c r="G331" s="609" t="s">
        <v>1453</v>
      </c>
      <c r="H331" s="618">
        <v>33</v>
      </c>
      <c r="I331" s="609">
        <v>45000000000</v>
      </c>
      <c r="J331" s="609" t="s">
        <v>1454</v>
      </c>
      <c r="K331" s="616" t="s">
        <v>1719</v>
      </c>
      <c r="L331" s="785">
        <v>250000</v>
      </c>
      <c r="M331" s="609" t="s">
        <v>2184</v>
      </c>
      <c r="N331" s="616">
        <v>250000</v>
      </c>
      <c r="O331" s="612">
        <v>42767</v>
      </c>
      <c r="P331" s="612">
        <v>43070</v>
      </c>
      <c r="Q331" s="609" t="s">
        <v>110</v>
      </c>
      <c r="R331" s="609" t="s">
        <v>113</v>
      </c>
      <c r="S331" s="609" t="s">
        <v>1455</v>
      </c>
      <c r="T331" s="609"/>
      <c r="U331" s="609"/>
      <c r="V331" s="609"/>
      <c r="W331" s="599" t="s">
        <v>73</v>
      </c>
      <c r="X331" s="599">
        <v>7735127006</v>
      </c>
      <c r="Y331" s="599" t="s">
        <v>1953</v>
      </c>
      <c r="Z331" s="616">
        <v>250000</v>
      </c>
      <c r="AA331" s="609" t="s">
        <v>1458</v>
      </c>
      <c r="AB331" s="642" t="s">
        <v>263</v>
      </c>
      <c r="AC331" s="652"/>
      <c r="AD331" s="652" t="s">
        <v>113</v>
      </c>
      <c r="AE331" s="653">
        <f t="shared" si="5"/>
        <v>2</v>
      </c>
    </row>
    <row r="332" spans="1:31" ht="105" hidden="1" x14ac:dyDescent="0.25">
      <c r="A332" s="608" t="s">
        <v>3688</v>
      </c>
      <c r="B332" s="614" t="s">
        <v>1961</v>
      </c>
      <c r="C332" s="614" t="s">
        <v>1961</v>
      </c>
      <c r="D332" s="619" t="s">
        <v>4488</v>
      </c>
      <c r="E332" s="617" t="s">
        <v>1948</v>
      </c>
      <c r="F332" s="614" t="s">
        <v>1587</v>
      </c>
      <c r="G332" s="609" t="s">
        <v>1588</v>
      </c>
      <c r="H332" s="618">
        <v>80</v>
      </c>
      <c r="I332" s="609">
        <v>45000000000</v>
      </c>
      <c r="J332" s="609" t="s">
        <v>1454</v>
      </c>
      <c r="K332" s="616" t="s">
        <v>1965</v>
      </c>
      <c r="L332" s="785">
        <v>184000</v>
      </c>
      <c r="M332" s="609" t="s">
        <v>2184</v>
      </c>
      <c r="N332" s="616">
        <v>184000</v>
      </c>
      <c r="O332" s="612">
        <v>42767</v>
      </c>
      <c r="P332" s="612">
        <v>43070</v>
      </c>
      <c r="Q332" s="609" t="s">
        <v>110</v>
      </c>
      <c r="R332" s="609" t="s">
        <v>113</v>
      </c>
      <c r="S332" s="609" t="s">
        <v>1455</v>
      </c>
      <c r="T332" s="609"/>
      <c r="U332" s="609"/>
      <c r="V332" s="609"/>
      <c r="W332" s="599" t="s">
        <v>73</v>
      </c>
      <c r="X332" s="599">
        <v>6829000109</v>
      </c>
      <c r="Y332" s="628" t="s">
        <v>1966</v>
      </c>
      <c r="Z332" s="616">
        <v>184000</v>
      </c>
      <c r="AA332" s="609" t="s">
        <v>1458</v>
      </c>
      <c r="AB332" s="642" t="s">
        <v>263</v>
      </c>
      <c r="AC332" s="652"/>
      <c r="AD332" s="652" t="s">
        <v>113</v>
      </c>
      <c r="AE332" s="653">
        <f t="shared" si="5"/>
        <v>2</v>
      </c>
    </row>
    <row r="333" spans="1:31" ht="105" hidden="1" x14ac:dyDescent="0.25">
      <c r="A333" s="608" t="s">
        <v>3689</v>
      </c>
      <c r="B333" s="614" t="s">
        <v>1851</v>
      </c>
      <c r="C333" s="614" t="s">
        <v>1851</v>
      </c>
      <c r="D333" s="619" t="s">
        <v>4487</v>
      </c>
      <c r="E333" s="617" t="s">
        <v>1948</v>
      </c>
      <c r="F333" s="614" t="s">
        <v>1587</v>
      </c>
      <c r="G333" s="609" t="s">
        <v>1588</v>
      </c>
      <c r="H333" s="618">
        <v>33</v>
      </c>
      <c r="I333" s="609">
        <v>45000000000</v>
      </c>
      <c r="J333" s="609" t="s">
        <v>1454</v>
      </c>
      <c r="K333" s="616" t="s">
        <v>1967</v>
      </c>
      <c r="L333" s="785">
        <v>345000</v>
      </c>
      <c r="M333" s="609" t="s">
        <v>2184</v>
      </c>
      <c r="N333" s="616">
        <v>345000</v>
      </c>
      <c r="O333" s="612">
        <v>42736</v>
      </c>
      <c r="P333" s="612">
        <v>43070</v>
      </c>
      <c r="Q333" s="609" t="s">
        <v>110</v>
      </c>
      <c r="R333" s="609" t="s">
        <v>113</v>
      </c>
      <c r="S333" s="609" t="s">
        <v>1455</v>
      </c>
      <c r="T333" s="609"/>
      <c r="U333" s="609"/>
      <c r="V333" s="609"/>
      <c r="W333" s="599" t="s">
        <v>73</v>
      </c>
      <c r="X333" s="599">
        <v>7727768951</v>
      </c>
      <c r="Y333" s="627" t="s">
        <v>1950</v>
      </c>
      <c r="Z333" s="616">
        <v>345000</v>
      </c>
      <c r="AA333" s="609" t="s">
        <v>1458</v>
      </c>
      <c r="AB333" s="642" t="s">
        <v>263</v>
      </c>
      <c r="AC333" s="652"/>
      <c r="AD333" s="652" t="s">
        <v>113</v>
      </c>
      <c r="AE333" s="653">
        <f t="shared" si="5"/>
        <v>1</v>
      </c>
    </row>
    <row r="334" spans="1:31" ht="105" hidden="1" x14ac:dyDescent="0.25">
      <c r="A334" s="608" t="s">
        <v>3690</v>
      </c>
      <c r="B334" s="614" t="s">
        <v>1951</v>
      </c>
      <c r="C334" s="614" t="s">
        <v>1951</v>
      </c>
      <c r="D334" s="619" t="s">
        <v>4486</v>
      </c>
      <c r="E334" s="617" t="s">
        <v>1948</v>
      </c>
      <c r="F334" s="614" t="s">
        <v>1587</v>
      </c>
      <c r="G334" s="609" t="s">
        <v>1588</v>
      </c>
      <c r="H334" s="618">
        <v>18</v>
      </c>
      <c r="I334" s="609">
        <v>45000000000</v>
      </c>
      <c r="J334" s="609" t="s">
        <v>1454</v>
      </c>
      <c r="K334" s="616" t="s">
        <v>1968</v>
      </c>
      <c r="L334" s="785">
        <v>291000</v>
      </c>
      <c r="M334" s="609" t="s">
        <v>2184</v>
      </c>
      <c r="N334" s="616">
        <v>291000</v>
      </c>
      <c r="O334" s="612">
        <v>42736</v>
      </c>
      <c r="P334" s="612">
        <v>43070</v>
      </c>
      <c r="Q334" s="609" t="s">
        <v>110</v>
      </c>
      <c r="R334" s="609" t="s">
        <v>113</v>
      </c>
      <c r="S334" s="609" t="s">
        <v>1455</v>
      </c>
      <c r="T334" s="609"/>
      <c r="U334" s="609"/>
      <c r="V334" s="609"/>
      <c r="W334" s="599" t="s">
        <v>73</v>
      </c>
      <c r="X334" s="599">
        <v>7735127006</v>
      </c>
      <c r="Y334" s="599" t="s">
        <v>1953</v>
      </c>
      <c r="Z334" s="616">
        <v>291000</v>
      </c>
      <c r="AA334" s="609" t="s">
        <v>1458</v>
      </c>
      <c r="AB334" s="642" t="s">
        <v>263</v>
      </c>
      <c r="AC334" s="652"/>
      <c r="AD334" s="652" t="s">
        <v>113</v>
      </c>
      <c r="AE334" s="653">
        <f t="shared" si="5"/>
        <v>1</v>
      </c>
    </row>
    <row r="335" spans="1:31" ht="105" hidden="1" x14ac:dyDescent="0.25">
      <c r="A335" s="608" t="s">
        <v>3691</v>
      </c>
      <c r="B335" s="614" t="s">
        <v>1951</v>
      </c>
      <c r="C335" s="614" t="s">
        <v>1951</v>
      </c>
      <c r="D335" s="619" t="s">
        <v>4485</v>
      </c>
      <c r="E335" s="617" t="s">
        <v>1948</v>
      </c>
      <c r="F335" s="614" t="s">
        <v>1528</v>
      </c>
      <c r="G335" s="609" t="s">
        <v>1453</v>
      </c>
      <c r="H335" s="618">
        <v>22</v>
      </c>
      <c r="I335" s="609">
        <v>45000000000</v>
      </c>
      <c r="J335" s="609" t="s">
        <v>1454</v>
      </c>
      <c r="K335" s="616" t="s">
        <v>1969</v>
      </c>
      <c r="L335" s="785">
        <v>356000</v>
      </c>
      <c r="M335" s="609" t="s">
        <v>2184</v>
      </c>
      <c r="N335" s="616">
        <v>356000</v>
      </c>
      <c r="O335" s="612">
        <v>42736</v>
      </c>
      <c r="P335" s="612">
        <v>43070</v>
      </c>
      <c r="Q335" s="609" t="s">
        <v>110</v>
      </c>
      <c r="R335" s="609" t="s">
        <v>113</v>
      </c>
      <c r="S335" s="609" t="s">
        <v>1455</v>
      </c>
      <c r="T335" s="609"/>
      <c r="U335" s="609"/>
      <c r="V335" s="609"/>
      <c r="W335" s="599" t="s">
        <v>73</v>
      </c>
      <c r="X335" s="599">
        <v>7735127006</v>
      </c>
      <c r="Y335" s="599" t="s">
        <v>1953</v>
      </c>
      <c r="Z335" s="616">
        <v>356000</v>
      </c>
      <c r="AA335" s="609" t="s">
        <v>1458</v>
      </c>
      <c r="AB335" s="642" t="s">
        <v>263</v>
      </c>
      <c r="AC335" s="652"/>
      <c r="AD335" s="652" t="s">
        <v>113</v>
      </c>
      <c r="AE335" s="653">
        <f t="shared" si="5"/>
        <v>1</v>
      </c>
    </row>
    <row r="336" spans="1:31" ht="105" hidden="1" x14ac:dyDescent="0.25">
      <c r="A336" s="608" t="s">
        <v>3692</v>
      </c>
      <c r="B336" s="614" t="s">
        <v>1951</v>
      </c>
      <c r="C336" s="614" t="s">
        <v>1951</v>
      </c>
      <c r="D336" s="619" t="s">
        <v>4484</v>
      </c>
      <c r="E336" s="617" t="s">
        <v>1948</v>
      </c>
      <c r="F336" s="614" t="s">
        <v>1528</v>
      </c>
      <c r="G336" s="609" t="s">
        <v>1453</v>
      </c>
      <c r="H336" s="618">
        <v>40</v>
      </c>
      <c r="I336" s="609">
        <v>45000000000</v>
      </c>
      <c r="J336" s="609" t="s">
        <v>1454</v>
      </c>
      <c r="K336" s="616" t="s">
        <v>1970</v>
      </c>
      <c r="L336" s="785">
        <v>647000</v>
      </c>
      <c r="M336" s="609" t="s">
        <v>2184</v>
      </c>
      <c r="N336" s="616">
        <v>647000</v>
      </c>
      <c r="O336" s="612">
        <v>42736</v>
      </c>
      <c r="P336" s="612">
        <v>43070</v>
      </c>
      <c r="Q336" s="609" t="s">
        <v>110</v>
      </c>
      <c r="R336" s="609" t="s">
        <v>113</v>
      </c>
      <c r="S336" s="609" t="s">
        <v>1455</v>
      </c>
      <c r="T336" s="609"/>
      <c r="U336" s="609"/>
      <c r="V336" s="609"/>
      <c r="W336" s="599" t="s">
        <v>73</v>
      </c>
      <c r="X336" s="599">
        <v>7735127006</v>
      </c>
      <c r="Y336" s="599" t="s">
        <v>1953</v>
      </c>
      <c r="Z336" s="616">
        <v>647000</v>
      </c>
      <c r="AA336" s="609" t="s">
        <v>1458</v>
      </c>
      <c r="AB336" s="642" t="s">
        <v>263</v>
      </c>
      <c r="AC336" s="652"/>
      <c r="AD336" s="652" t="s">
        <v>113</v>
      </c>
      <c r="AE336" s="653">
        <f t="shared" si="5"/>
        <v>1</v>
      </c>
    </row>
    <row r="337" spans="1:31" ht="105" hidden="1" x14ac:dyDescent="0.25">
      <c r="A337" s="608" t="s">
        <v>3693</v>
      </c>
      <c r="B337" s="614" t="s">
        <v>1941</v>
      </c>
      <c r="C337" s="614" t="s">
        <v>1941</v>
      </c>
      <c r="D337" s="619" t="s">
        <v>4483</v>
      </c>
      <c r="E337" s="617" t="s">
        <v>1948</v>
      </c>
      <c r="F337" s="614" t="s">
        <v>1587</v>
      </c>
      <c r="G337" s="609" t="s">
        <v>1588</v>
      </c>
      <c r="H337" s="618">
        <v>18</v>
      </c>
      <c r="I337" s="609">
        <v>45000000000</v>
      </c>
      <c r="J337" s="609" t="s">
        <v>1454</v>
      </c>
      <c r="K337" s="616" t="s">
        <v>1971</v>
      </c>
      <c r="L337" s="785">
        <v>1926000</v>
      </c>
      <c r="M337" s="609" t="s">
        <v>2184</v>
      </c>
      <c r="N337" s="616">
        <v>1926000</v>
      </c>
      <c r="O337" s="612">
        <v>42736</v>
      </c>
      <c r="P337" s="612">
        <v>43070</v>
      </c>
      <c r="Q337" s="609" t="s">
        <v>110</v>
      </c>
      <c r="R337" s="609" t="s">
        <v>113</v>
      </c>
      <c r="S337" s="609" t="s">
        <v>1455</v>
      </c>
      <c r="T337" s="609"/>
      <c r="U337" s="609"/>
      <c r="V337" s="609"/>
      <c r="W337" s="599" t="s">
        <v>73</v>
      </c>
      <c r="X337" s="599" t="s">
        <v>1964</v>
      </c>
      <c r="Y337" s="599" t="s">
        <v>1958</v>
      </c>
      <c r="Z337" s="616">
        <v>1926000</v>
      </c>
      <c r="AA337" s="609" t="s">
        <v>1458</v>
      </c>
      <c r="AB337" s="642" t="s">
        <v>263</v>
      </c>
      <c r="AC337" s="652"/>
      <c r="AD337" s="652" t="s">
        <v>113</v>
      </c>
      <c r="AE337" s="653">
        <f t="shared" si="5"/>
        <v>1</v>
      </c>
    </row>
    <row r="338" spans="1:31" ht="105" hidden="1" x14ac:dyDescent="0.25">
      <c r="A338" s="608" t="s">
        <v>3694</v>
      </c>
      <c r="B338" s="614" t="s">
        <v>1941</v>
      </c>
      <c r="C338" s="614" t="s">
        <v>1941</v>
      </c>
      <c r="D338" s="619" t="s">
        <v>4482</v>
      </c>
      <c r="E338" s="617" t="s">
        <v>1948</v>
      </c>
      <c r="F338" s="614" t="s">
        <v>1587</v>
      </c>
      <c r="G338" s="609" t="s">
        <v>1588</v>
      </c>
      <c r="H338" s="618">
        <v>22</v>
      </c>
      <c r="I338" s="609">
        <v>45000000000</v>
      </c>
      <c r="J338" s="609" t="s">
        <v>1454</v>
      </c>
      <c r="K338" s="616" t="s">
        <v>1972</v>
      </c>
      <c r="L338" s="785">
        <v>2354000</v>
      </c>
      <c r="M338" s="609" t="s">
        <v>2184</v>
      </c>
      <c r="N338" s="616">
        <v>2354000</v>
      </c>
      <c r="O338" s="612">
        <v>42736</v>
      </c>
      <c r="P338" s="612">
        <v>43070</v>
      </c>
      <c r="Q338" s="609" t="s">
        <v>108</v>
      </c>
      <c r="R338" s="609" t="s">
        <v>1456</v>
      </c>
      <c r="S338" s="609" t="s">
        <v>1457</v>
      </c>
      <c r="T338" s="609"/>
      <c r="U338" s="609"/>
      <c r="V338" s="609"/>
      <c r="W338" s="609"/>
      <c r="X338" s="609"/>
      <c r="Y338" s="609"/>
      <c r="Z338" s="609"/>
      <c r="AA338" s="609" t="s">
        <v>1458</v>
      </c>
      <c r="AB338" s="642" t="s">
        <v>263</v>
      </c>
      <c r="AC338" s="652"/>
      <c r="AD338" s="652" t="s">
        <v>113</v>
      </c>
      <c r="AE338" s="653">
        <f t="shared" si="5"/>
        <v>1</v>
      </c>
    </row>
    <row r="339" spans="1:31" ht="105" hidden="1" x14ac:dyDescent="0.25">
      <c r="A339" s="608" t="s">
        <v>3695</v>
      </c>
      <c r="B339" s="614" t="s">
        <v>1941</v>
      </c>
      <c r="C339" s="614" t="s">
        <v>1941</v>
      </c>
      <c r="D339" s="619" t="s">
        <v>4481</v>
      </c>
      <c r="E339" s="617" t="s">
        <v>1948</v>
      </c>
      <c r="F339" s="614" t="s">
        <v>1528</v>
      </c>
      <c r="G339" s="609" t="s">
        <v>1453</v>
      </c>
      <c r="H339" s="618">
        <v>40</v>
      </c>
      <c r="I339" s="609">
        <v>45000000000</v>
      </c>
      <c r="J339" s="609" t="s">
        <v>1454</v>
      </c>
      <c r="K339" s="616" t="s">
        <v>3048</v>
      </c>
      <c r="L339" s="785">
        <v>4472720</v>
      </c>
      <c r="M339" s="838" t="s">
        <v>4813</v>
      </c>
      <c r="N339" s="616">
        <v>4472720</v>
      </c>
      <c r="O339" s="612">
        <v>42736</v>
      </c>
      <c r="P339" s="612">
        <v>43070</v>
      </c>
      <c r="Q339" s="609" t="s">
        <v>110</v>
      </c>
      <c r="R339" s="609" t="s">
        <v>113</v>
      </c>
      <c r="S339" s="609" t="s">
        <v>1455</v>
      </c>
      <c r="T339" s="609"/>
      <c r="U339" s="609"/>
      <c r="V339" s="609"/>
      <c r="W339" s="599" t="s">
        <v>73</v>
      </c>
      <c r="X339" s="599" t="s">
        <v>1964</v>
      </c>
      <c r="Y339" s="599" t="s">
        <v>1958</v>
      </c>
      <c r="Z339" s="616">
        <v>4472720</v>
      </c>
      <c r="AA339" s="609" t="s">
        <v>1458</v>
      </c>
      <c r="AB339" s="642" t="s">
        <v>263</v>
      </c>
      <c r="AC339" s="652"/>
      <c r="AD339" s="652" t="s">
        <v>113</v>
      </c>
      <c r="AE339" s="653">
        <f t="shared" si="5"/>
        <v>1</v>
      </c>
    </row>
    <row r="340" spans="1:31" ht="105" hidden="1" x14ac:dyDescent="0.25">
      <c r="A340" s="608" t="s">
        <v>3696</v>
      </c>
      <c r="B340" s="614" t="s">
        <v>1941</v>
      </c>
      <c r="C340" s="614" t="s">
        <v>1941</v>
      </c>
      <c r="D340" s="619" t="s">
        <v>4480</v>
      </c>
      <c r="E340" s="617" t="s">
        <v>1948</v>
      </c>
      <c r="F340" s="614" t="s">
        <v>1528</v>
      </c>
      <c r="G340" s="609" t="s">
        <v>1453</v>
      </c>
      <c r="H340" s="618">
        <v>8</v>
      </c>
      <c r="I340" s="609">
        <v>45000000000</v>
      </c>
      <c r="J340" s="609" t="s">
        <v>1454</v>
      </c>
      <c r="K340" s="616" t="s">
        <v>1973</v>
      </c>
      <c r="L340" s="785">
        <v>632000</v>
      </c>
      <c r="M340" s="609" t="s">
        <v>2184</v>
      </c>
      <c r="N340" s="616">
        <v>632000</v>
      </c>
      <c r="O340" s="612">
        <v>42767</v>
      </c>
      <c r="P340" s="612">
        <v>43070</v>
      </c>
      <c r="Q340" s="609" t="s">
        <v>110</v>
      </c>
      <c r="R340" s="609" t="s">
        <v>113</v>
      </c>
      <c r="S340" s="609" t="s">
        <v>1455</v>
      </c>
      <c r="T340" s="609"/>
      <c r="U340" s="609"/>
      <c r="V340" s="609"/>
      <c r="W340" s="599" t="s">
        <v>73</v>
      </c>
      <c r="X340" s="599" t="s">
        <v>1964</v>
      </c>
      <c r="Y340" s="599" t="s">
        <v>1958</v>
      </c>
      <c r="Z340" s="616">
        <v>632000</v>
      </c>
      <c r="AA340" s="609" t="s">
        <v>1458</v>
      </c>
      <c r="AB340" s="642" t="s">
        <v>263</v>
      </c>
      <c r="AC340" s="652"/>
      <c r="AD340" s="652" t="s">
        <v>113</v>
      </c>
      <c r="AE340" s="653">
        <f t="shared" si="5"/>
        <v>2</v>
      </c>
    </row>
    <row r="341" spans="1:31" ht="105" hidden="1" x14ac:dyDescent="0.25">
      <c r="A341" s="608" t="s">
        <v>3697</v>
      </c>
      <c r="B341" s="614" t="s">
        <v>1590</v>
      </c>
      <c r="C341" s="614" t="s">
        <v>1974</v>
      </c>
      <c r="D341" s="619" t="s">
        <v>4479</v>
      </c>
      <c r="E341" s="617" t="s">
        <v>1975</v>
      </c>
      <c r="F341" s="614" t="s">
        <v>1587</v>
      </c>
      <c r="G341" s="609" t="s">
        <v>1588</v>
      </c>
      <c r="H341" s="618">
        <v>1</v>
      </c>
      <c r="I341" s="609">
        <v>45000000000</v>
      </c>
      <c r="J341" s="609" t="s">
        <v>1454</v>
      </c>
      <c r="K341" s="616" t="s">
        <v>1839</v>
      </c>
      <c r="L341" s="785">
        <v>140000</v>
      </c>
      <c r="M341" s="609" t="s">
        <v>2184</v>
      </c>
      <c r="N341" s="616">
        <v>140000</v>
      </c>
      <c r="O341" s="612">
        <v>43040</v>
      </c>
      <c r="P341" s="612">
        <v>43405</v>
      </c>
      <c r="Q341" s="609" t="s">
        <v>108</v>
      </c>
      <c r="R341" s="609" t="s">
        <v>1456</v>
      </c>
      <c r="S341" s="609" t="s">
        <v>1457</v>
      </c>
      <c r="T341" s="609"/>
      <c r="U341" s="609"/>
      <c r="V341" s="609"/>
      <c r="W341" s="609"/>
      <c r="X341" s="609"/>
      <c r="Y341" s="609"/>
      <c r="Z341" s="609"/>
      <c r="AA341" s="609" t="s">
        <v>1458</v>
      </c>
      <c r="AB341" s="642" t="s">
        <v>263</v>
      </c>
      <c r="AC341" s="652"/>
      <c r="AD341" s="652" t="s">
        <v>113</v>
      </c>
      <c r="AE341" s="653">
        <f t="shared" si="5"/>
        <v>11</v>
      </c>
    </row>
    <row r="342" spans="1:31" ht="105" hidden="1" x14ac:dyDescent="0.25">
      <c r="A342" s="608" t="s">
        <v>3698</v>
      </c>
      <c r="B342" s="614" t="s">
        <v>1976</v>
      </c>
      <c r="C342" s="614" t="s">
        <v>1977</v>
      </c>
      <c r="D342" s="619" t="s">
        <v>4478</v>
      </c>
      <c r="E342" s="617" t="s">
        <v>1978</v>
      </c>
      <c r="F342" s="614" t="s">
        <v>1587</v>
      </c>
      <c r="G342" s="609" t="s">
        <v>1588</v>
      </c>
      <c r="H342" s="618">
        <v>1</v>
      </c>
      <c r="I342" s="609">
        <v>45000000000</v>
      </c>
      <c r="J342" s="609" t="s">
        <v>1454</v>
      </c>
      <c r="K342" s="616" t="s">
        <v>1979</v>
      </c>
      <c r="L342" s="785">
        <v>20000000</v>
      </c>
      <c r="M342" s="609" t="s">
        <v>2184</v>
      </c>
      <c r="N342" s="616">
        <v>20000000</v>
      </c>
      <c r="O342" s="612">
        <v>42736</v>
      </c>
      <c r="P342" s="612">
        <v>43070</v>
      </c>
      <c r="Q342" s="609" t="s">
        <v>100</v>
      </c>
      <c r="R342" s="609" t="s">
        <v>1456</v>
      </c>
      <c r="S342" s="609" t="s">
        <v>1457</v>
      </c>
      <c r="T342" s="609"/>
      <c r="U342" s="609"/>
      <c r="V342" s="609"/>
      <c r="W342" s="609"/>
      <c r="X342" s="609"/>
      <c r="Y342" s="609"/>
      <c r="Z342" s="609"/>
      <c r="AA342" s="609" t="s">
        <v>1458</v>
      </c>
      <c r="AB342" s="642" t="s">
        <v>263</v>
      </c>
      <c r="AC342" s="652"/>
      <c r="AD342" s="652" t="s">
        <v>113</v>
      </c>
      <c r="AE342" s="653">
        <f t="shared" si="5"/>
        <v>1</v>
      </c>
    </row>
    <row r="343" spans="1:31" ht="105" hidden="1" x14ac:dyDescent="0.25">
      <c r="A343" s="608" t="s">
        <v>3699</v>
      </c>
      <c r="B343" s="614" t="s">
        <v>1980</v>
      </c>
      <c r="C343" s="614" t="s">
        <v>1981</v>
      </c>
      <c r="D343" s="619" t="s">
        <v>4477</v>
      </c>
      <c r="E343" s="617" t="s">
        <v>1978</v>
      </c>
      <c r="F343" s="614" t="s">
        <v>1587</v>
      </c>
      <c r="G343" s="609" t="s">
        <v>1588</v>
      </c>
      <c r="H343" s="618">
        <v>1</v>
      </c>
      <c r="I343" s="609">
        <v>45000000000</v>
      </c>
      <c r="J343" s="609" t="s">
        <v>1454</v>
      </c>
      <c r="K343" s="616" t="s">
        <v>1982</v>
      </c>
      <c r="L343" s="785">
        <v>4400000</v>
      </c>
      <c r="M343" s="609" t="s">
        <v>2184</v>
      </c>
      <c r="N343" s="616">
        <v>4400000</v>
      </c>
      <c r="O343" s="612">
        <v>42736</v>
      </c>
      <c r="P343" s="612">
        <v>43070</v>
      </c>
      <c r="Q343" s="609" t="s">
        <v>108</v>
      </c>
      <c r="R343" s="609" t="s">
        <v>1456</v>
      </c>
      <c r="S343" s="609" t="s">
        <v>1457</v>
      </c>
      <c r="T343" s="609"/>
      <c r="U343" s="609"/>
      <c r="V343" s="609"/>
      <c r="W343" s="609"/>
      <c r="X343" s="609"/>
      <c r="Y343" s="609"/>
      <c r="Z343" s="609"/>
      <c r="AA343" s="609" t="s">
        <v>1458</v>
      </c>
      <c r="AB343" s="642" t="s">
        <v>263</v>
      </c>
      <c r="AC343" s="652"/>
      <c r="AD343" s="652" t="s">
        <v>113</v>
      </c>
      <c r="AE343" s="653">
        <f t="shared" si="5"/>
        <v>1</v>
      </c>
    </row>
    <row r="344" spans="1:31" ht="105" hidden="1" x14ac:dyDescent="0.25">
      <c r="A344" s="608" t="s">
        <v>3700</v>
      </c>
      <c r="B344" s="614" t="s">
        <v>1976</v>
      </c>
      <c r="C344" s="614" t="s">
        <v>1977</v>
      </c>
      <c r="D344" s="619" t="s">
        <v>4476</v>
      </c>
      <c r="E344" s="617" t="s">
        <v>1978</v>
      </c>
      <c r="F344" s="614" t="s">
        <v>1587</v>
      </c>
      <c r="G344" s="609" t="s">
        <v>1588</v>
      </c>
      <c r="H344" s="618">
        <v>1</v>
      </c>
      <c r="I344" s="609">
        <v>45000000000</v>
      </c>
      <c r="J344" s="609" t="s">
        <v>1454</v>
      </c>
      <c r="K344" s="616" t="s">
        <v>1983</v>
      </c>
      <c r="L344" s="785">
        <v>450000</v>
      </c>
      <c r="M344" s="609" t="s">
        <v>2184</v>
      </c>
      <c r="N344" s="616">
        <v>450000</v>
      </c>
      <c r="O344" s="612">
        <v>42736</v>
      </c>
      <c r="P344" s="612">
        <v>43070</v>
      </c>
      <c r="Q344" s="609" t="s">
        <v>108</v>
      </c>
      <c r="R344" s="609" t="s">
        <v>1456</v>
      </c>
      <c r="S344" s="609" t="s">
        <v>1457</v>
      </c>
      <c r="T344" s="609"/>
      <c r="U344" s="609"/>
      <c r="V344" s="609"/>
      <c r="W344" s="609"/>
      <c r="X344" s="609"/>
      <c r="Y344" s="609"/>
      <c r="Z344" s="609"/>
      <c r="AA344" s="609" t="s">
        <v>1458</v>
      </c>
      <c r="AB344" s="642" t="s">
        <v>263</v>
      </c>
      <c r="AC344" s="652"/>
      <c r="AD344" s="652" t="s">
        <v>113</v>
      </c>
      <c r="AE344" s="653">
        <f t="shared" si="5"/>
        <v>1</v>
      </c>
    </row>
    <row r="345" spans="1:31" ht="105" hidden="1" x14ac:dyDescent="0.25">
      <c r="A345" s="608" t="s">
        <v>3701</v>
      </c>
      <c r="B345" s="614" t="s">
        <v>1984</v>
      </c>
      <c r="C345" s="614" t="s">
        <v>1981</v>
      </c>
      <c r="D345" s="619" t="s">
        <v>4475</v>
      </c>
      <c r="E345" s="617" t="s">
        <v>1978</v>
      </c>
      <c r="F345" s="614" t="s">
        <v>1587</v>
      </c>
      <c r="G345" s="609" t="s">
        <v>1588</v>
      </c>
      <c r="H345" s="618">
        <v>1</v>
      </c>
      <c r="I345" s="609">
        <v>45000000000</v>
      </c>
      <c r="J345" s="609" t="s">
        <v>1454</v>
      </c>
      <c r="K345" s="616" t="s">
        <v>1839</v>
      </c>
      <c r="L345" s="785">
        <v>140000</v>
      </c>
      <c r="M345" s="609" t="s">
        <v>2184</v>
      </c>
      <c r="N345" s="616">
        <v>140000</v>
      </c>
      <c r="O345" s="612">
        <v>42736</v>
      </c>
      <c r="P345" s="612">
        <v>43070</v>
      </c>
      <c r="Q345" s="609" t="s">
        <v>108</v>
      </c>
      <c r="R345" s="609" t="s">
        <v>1456</v>
      </c>
      <c r="S345" s="609" t="s">
        <v>1457</v>
      </c>
      <c r="T345" s="609"/>
      <c r="U345" s="609"/>
      <c r="V345" s="609"/>
      <c r="W345" s="609"/>
      <c r="X345" s="609"/>
      <c r="Y345" s="609"/>
      <c r="Z345" s="609"/>
      <c r="AA345" s="609" t="s">
        <v>1458</v>
      </c>
      <c r="AB345" s="642" t="s">
        <v>263</v>
      </c>
      <c r="AC345" s="652"/>
      <c r="AD345" s="652" t="s">
        <v>113</v>
      </c>
      <c r="AE345" s="653">
        <f t="shared" si="5"/>
        <v>1</v>
      </c>
    </row>
    <row r="346" spans="1:31" ht="105" hidden="1" x14ac:dyDescent="0.25">
      <c r="A346" s="608" t="s">
        <v>3702</v>
      </c>
      <c r="B346" s="614" t="s">
        <v>1984</v>
      </c>
      <c r="C346" s="614" t="s">
        <v>1985</v>
      </c>
      <c r="D346" s="619" t="s">
        <v>4474</v>
      </c>
      <c r="E346" s="617" t="s">
        <v>1986</v>
      </c>
      <c r="F346" s="614" t="s">
        <v>1587</v>
      </c>
      <c r="G346" s="609" t="s">
        <v>1588</v>
      </c>
      <c r="H346" s="618">
        <v>4</v>
      </c>
      <c r="I346" s="609">
        <v>45000000000</v>
      </c>
      <c r="J346" s="609" t="s">
        <v>1454</v>
      </c>
      <c r="K346" s="616" t="s">
        <v>1616</v>
      </c>
      <c r="L346" s="785">
        <v>200000</v>
      </c>
      <c r="M346" s="609" t="s">
        <v>2184</v>
      </c>
      <c r="N346" s="616">
        <v>200000</v>
      </c>
      <c r="O346" s="612">
        <v>42736</v>
      </c>
      <c r="P346" s="612">
        <v>43070</v>
      </c>
      <c r="Q346" s="609" t="s">
        <v>108</v>
      </c>
      <c r="R346" s="609" t="s">
        <v>1456</v>
      </c>
      <c r="S346" s="609" t="s">
        <v>1457</v>
      </c>
      <c r="T346" s="609"/>
      <c r="U346" s="609"/>
      <c r="V346" s="609"/>
      <c r="W346" s="609"/>
      <c r="X346" s="609"/>
      <c r="Y346" s="609"/>
      <c r="Z346" s="609"/>
      <c r="AA346" s="609" t="s">
        <v>1458</v>
      </c>
      <c r="AB346" s="642" t="s">
        <v>263</v>
      </c>
      <c r="AC346" s="652"/>
      <c r="AD346" s="652" t="s">
        <v>113</v>
      </c>
      <c r="AE346" s="653">
        <f t="shared" si="5"/>
        <v>1</v>
      </c>
    </row>
    <row r="347" spans="1:31" ht="105" hidden="1" x14ac:dyDescent="0.25">
      <c r="A347" s="608" t="s">
        <v>3703</v>
      </c>
      <c r="B347" s="614" t="s">
        <v>1987</v>
      </c>
      <c r="C347" s="614" t="s">
        <v>1988</v>
      </c>
      <c r="D347" s="619" t="s">
        <v>4473</v>
      </c>
      <c r="E347" s="617" t="s">
        <v>1986</v>
      </c>
      <c r="F347" s="614" t="s">
        <v>1528</v>
      </c>
      <c r="G347" s="609" t="s">
        <v>1453</v>
      </c>
      <c r="H347" s="618">
        <v>0.6</v>
      </c>
      <c r="I347" s="609">
        <v>45000000000</v>
      </c>
      <c r="J347" s="609" t="s">
        <v>1454</v>
      </c>
      <c r="K347" s="616" t="s">
        <v>1746</v>
      </c>
      <c r="L347" s="785">
        <v>350000</v>
      </c>
      <c r="M347" s="609" t="s">
        <v>2184</v>
      </c>
      <c r="N347" s="616">
        <v>350000</v>
      </c>
      <c r="O347" s="612">
        <v>42736</v>
      </c>
      <c r="P347" s="612">
        <v>43070</v>
      </c>
      <c r="Q347" s="609" t="s">
        <v>108</v>
      </c>
      <c r="R347" s="609" t="s">
        <v>1456</v>
      </c>
      <c r="S347" s="609" t="s">
        <v>1457</v>
      </c>
      <c r="T347" s="609"/>
      <c r="U347" s="609"/>
      <c r="V347" s="609"/>
      <c r="W347" s="609"/>
      <c r="X347" s="609"/>
      <c r="Y347" s="609"/>
      <c r="Z347" s="609"/>
      <c r="AA347" s="609" t="s">
        <v>1458</v>
      </c>
      <c r="AB347" s="642" t="s">
        <v>263</v>
      </c>
      <c r="AC347" s="652"/>
      <c r="AD347" s="652" t="s">
        <v>113</v>
      </c>
      <c r="AE347" s="653">
        <f t="shared" si="5"/>
        <v>1</v>
      </c>
    </row>
    <row r="348" spans="1:31" ht="105" hidden="1" x14ac:dyDescent="0.25">
      <c r="A348" s="608" t="s">
        <v>3704</v>
      </c>
      <c r="B348" s="614" t="s">
        <v>1984</v>
      </c>
      <c r="C348" s="614" t="s">
        <v>1985</v>
      </c>
      <c r="D348" s="619" t="s">
        <v>4472</v>
      </c>
      <c r="E348" s="617" t="s">
        <v>1978</v>
      </c>
      <c r="F348" s="614" t="s">
        <v>1528</v>
      </c>
      <c r="G348" s="609" t="s">
        <v>1453</v>
      </c>
      <c r="H348" s="618">
        <v>1</v>
      </c>
      <c r="I348" s="609">
        <v>45000000000</v>
      </c>
      <c r="J348" s="609" t="s">
        <v>1454</v>
      </c>
      <c r="K348" s="616" t="s">
        <v>1989</v>
      </c>
      <c r="L348" s="785">
        <v>370889.28</v>
      </c>
      <c r="M348" s="609" t="s">
        <v>2184</v>
      </c>
      <c r="N348" s="616">
        <v>370889.28</v>
      </c>
      <c r="O348" s="612">
        <v>42736</v>
      </c>
      <c r="P348" s="612">
        <v>43070</v>
      </c>
      <c r="Q348" s="609" t="s">
        <v>108</v>
      </c>
      <c r="R348" s="609" t="s">
        <v>1456</v>
      </c>
      <c r="S348" s="609" t="s">
        <v>1457</v>
      </c>
      <c r="T348" s="609"/>
      <c r="U348" s="609"/>
      <c r="V348" s="609"/>
      <c r="W348" s="609"/>
      <c r="X348" s="609"/>
      <c r="Y348" s="609"/>
      <c r="Z348" s="609"/>
      <c r="AA348" s="609" t="s">
        <v>1458</v>
      </c>
      <c r="AB348" s="642" t="s">
        <v>263</v>
      </c>
      <c r="AC348" s="652"/>
      <c r="AD348" s="652" t="s">
        <v>113</v>
      </c>
      <c r="AE348" s="653">
        <f t="shared" si="5"/>
        <v>1</v>
      </c>
    </row>
    <row r="349" spans="1:31" ht="105" hidden="1" x14ac:dyDescent="0.25">
      <c r="A349" s="608" t="s">
        <v>3705</v>
      </c>
      <c r="B349" s="614" t="s">
        <v>1984</v>
      </c>
      <c r="C349" s="614" t="s">
        <v>1985</v>
      </c>
      <c r="D349" s="619" t="s">
        <v>4471</v>
      </c>
      <c r="E349" s="617" t="s">
        <v>1986</v>
      </c>
      <c r="F349" s="614" t="s">
        <v>1528</v>
      </c>
      <c r="G349" s="609" t="s">
        <v>1453</v>
      </c>
      <c r="H349" s="618">
        <v>1</v>
      </c>
      <c r="I349" s="609">
        <v>45000000000</v>
      </c>
      <c r="J349" s="609" t="s">
        <v>1454</v>
      </c>
      <c r="K349" s="616" t="s">
        <v>1616</v>
      </c>
      <c r="L349" s="785">
        <v>200000</v>
      </c>
      <c r="M349" s="609" t="s">
        <v>2184</v>
      </c>
      <c r="N349" s="616">
        <v>200000</v>
      </c>
      <c r="O349" s="612">
        <v>42736</v>
      </c>
      <c r="P349" s="612">
        <v>42887</v>
      </c>
      <c r="Q349" s="609" t="s">
        <v>108</v>
      </c>
      <c r="R349" s="609" t="s">
        <v>1456</v>
      </c>
      <c r="S349" s="609" t="s">
        <v>1457</v>
      </c>
      <c r="T349" s="609"/>
      <c r="U349" s="609"/>
      <c r="V349" s="609"/>
      <c r="W349" s="609"/>
      <c r="X349" s="609"/>
      <c r="Y349" s="609"/>
      <c r="Z349" s="609"/>
      <c r="AA349" s="609" t="s">
        <v>1458</v>
      </c>
      <c r="AB349" s="642" t="s">
        <v>263</v>
      </c>
      <c r="AC349" s="652"/>
      <c r="AD349" s="652" t="s">
        <v>113</v>
      </c>
      <c r="AE349" s="653">
        <f t="shared" si="5"/>
        <v>1</v>
      </c>
    </row>
    <row r="350" spans="1:31" ht="105" hidden="1" x14ac:dyDescent="0.25">
      <c r="A350" s="608" t="s">
        <v>3706</v>
      </c>
      <c r="B350" s="619" t="s">
        <v>1990</v>
      </c>
      <c r="C350" s="619" t="s">
        <v>1991</v>
      </c>
      <c r="D350" s="619" t="s">
        <v>4470</v>
      </c>
      <c r="E350" s="617" t="s">
        <v>1992</v>
      </c>
      <c r="F350" s="614" t="s">
        <v>1528</v>
      </c>
      <c r="G350" s="609" t="s">
        <v>1453</v>
      </c>
      <c r="H350" s="622">
        <v>9</v>
      </c>
      <c r="I350" s="609">
        <v>45000000000</v>
      </c>
      <c r="J350" s="609" t="s">
        <v>1454</v>
      </c>
      <c r="K350" s="616" t="s">
        <v>1993</v>
      </c>
      <c r="L350" s="785">
        <v>850000</v>
      </c>
      <c r="M350" s="609" t="s">
        <v>2184</v>
      </c>
      <c r="N350" s="616">
        <v>850000</v>
      </c>
      <c r="O350" s="612">
        <v>42736</v>
      </c>
      <c r="P350" s="612">
        <v>42795</v>
      </c>
      <c r="Q350" s="609" t="s">
        <v>108</v>
      </c>
      <c r="R350" s="609" t="s">
        <v>1456</v>
      </c>
      <c r="S350" s="609" t="s">
        <v>1457</v>
      </c>
      <c r="T350" s="609"/>
      <c r="U350" s="609"/>
      <c r="V350" s="609"/>
      <c r="W350" s="609"/>
      <c r="X350" s="609"/>
      <c r="Y350" s="609"/>
      <c r="Z350" s="609"/>
      <c r="AA350" s="609" t="s">
        <v>1458</v>
      </c>
      <c r="AB350" s="642" t="s">
        <v>263</v>
      </c>
      <c r="AC350" s="652"/>
      <c r="AD350" s="652" t="s">
        <v>113</v>
      </c>
      <c r="AE350" s="653">
        <f t="shared" si="5"/>
        <v>1</v>
      </c>
    </row>
    <row r="351" spans="1:31" ht="105" hidden="1" x14ac:dyDescent="0.25">
      <c r="A351" s="608" t="s">
        <v>3707</v>
      </c>
      <c r="B351" s="599" t="s">
        <v>1938</v>
      </c>
      <c r="C351" s="599" t="s">
        <v>1994</v>
      </c>
      <c r="D351" s="619" t="s">
        <v>4469</v>
      </c>
      <c r="E351" s="617" t="s">
        <v>1992</v>
      </c>
      <c r="F351" s="614" t="s">
        <v>1528</v>
      </c>
      <c r="G351" s="609" t="s">
        <v>1453</v>
      </c>
      <c r="H351" s="622">
        <v>10</v>
      </c>
      <c r="I351" s="609">
        <v>45000000000</v>
      </c>
      <c r="J351" s="609" t="s">
        <v>1454</v>
      </c>
      <c r="K351" s="616" t="s">
        <v>1692</v>
      </c>
      <c r="L351" s="785">
        <v>3000000</v>
      </c>
      <c r="M351" s="609" t="s">
        <v>2184</v>
      </c>
      <c r="N351" s="616">
        <v>3000000</v>
      </c>
      <c r="O351" s="612">
        <v>42887</v>
      </c>
      <c r="P351" s="612">
        <v>42979</v>
      </c>
      <c r="Q351" s="609" t="s">
        <v>108</v>
      </c>
      <c r="R351" s="609" t="s">
        <v>1456</v>
      </c>
      <c r="S351" s="609" t="s">
        <v>1457</v>
      </c>
      <c r="T351" s="609"/>
      <c r="U351" s="609"/>
      <c r="V351" s="609"/>
      <c r="W351" s="609"/>
      <c r="X351" s="609"/>
      <c r="Y351" s="609"/>
      <c r="Z351" s="609"/>
      <c r="AA351" s="609" t="s">
        <v>1458</v>
      </c>
      <c r="AB351" s="642" t="s">
        <v>263</v>
      </c>
      <c r="AC351" s="652"/>
      <c r="AD351" s="652" t="s">
        <v>113</v>
      </c>
      <c r="AE351" s="653">
        <f t="shared" si="5"/>
        <v>6</v>
      </c>
    </row>
    <row r="352" spans="1:31" ht="105" hidden="1" x14ac:dyDescent="0.25">
      <c r="A352" s="608" t="s">
        <v>3708</v>
      </c>
      <c r="B352" s="614" t="s">
        <v>1995</v>
      </c>
      <c r="C352" s="614" t="s">
        <v>1996</v>
      </c>
      <c r="D352" s="619" t="s">
        <v>4468</v>
      </c>
      <c r="E352" s="617" t="s">
        <v>1997</v>
      </c>
      <c r="F352" s="614" t="s">
        <v>1768</v>
      </c>
      <c r="G352" s="609" t="s">
        <v>1769</v>
      </c>
      <c r="H352" s="618">
        <v>3500</v>
      </c>
      <c r="I352" s="609">
        <v>45000000000</v>
      </c>
      <c r="J352" s="609" t="s">
        <v>1454</v>
      </c>
      <c r="K352" s="616" t="s">
        <v>1998</v>
      </c>
      <c r="L352" s="785">
        <v>205000</v>
      </c>
      <c r="M352" s="609" t="s">
        <v>2184</v>
      </c>
      <c r="N352" s="616">
        <v>205000</v>
      </c>
      <c r="O352" s="612">
        <v>42736</v>
      </c>
      <c r="P352" s="612">
        <v>43100</v>
      </c>
      <c r="Q352" s="609" t="s">
        <v>100</v>
      </c>
      <c r="R352" s="609" t="s">
        <v>1456</v>
      </c>
      <c r="S352" s="609" t="s">
        <v>1457</v>
      </c>
      <c r="T352" s="609"/>
      <c r="U352" s="609"/>
      <c r="V352" s="609"/>
      <c r="W352" s="609"/>
      <c r="X352" s="609"/>
      <c r="Y352" s="609"/>
      <c r="Z352" s="609"/>
      <c r="AA352" s="609" t="s">
        <v>1458</v>
      </c>
      <c r="AB352" s="642" t="s">
        <v>263</v>
      </c>
      <c r="AC352" s="652"/>
      <c r="AD352" s="652" t="s">
        <v>113</v>
      </c>
      <c r="AE352" s="653">
        <f t="shared" si="5"/>
        <v>1</v>
      </c>
    </row>
    <row r="353" spans="1:31" ht="105" hidden="1" x14ac:dyDescent="0.25">
      <c r="A353" s="608" t="s">
        <v>3709</v>
      </c>
      <c r="B353" s="614" t="s">
        <v>1999</v>
      </c>
      <c r="C353" s="614" t="s">
        <v>2000</v>
      </c>
      <c r="D353" s="619" t="s">
        <v>4467</v>
      </c>
      <c r="E353" s="617" t="s">
        <v>2001</v>
      </c>
      <c r="F353" s="614" t="s">
        <v>1528</v>
      </c>
      <c r="G353" s="609" t="s">
        <v>1453</v>
      </c>
      <c r="H353" s="618">
        <v>350</v>
      </c>
      <c r="I353" s="609">
        <v>45000000000</v>
      </c>
      <c r="J353" s="609" t="s">
        <v>1454</v>
      </c>
      <c r="K353" s="616" t="s">
        <v>1637</v>
      </c>
      <c r="L353" s="785">
        <v>1000000</v>
      </c>
      <c r="M353" s="609" t="s">
        <v>2184</v>
      </c>
      <c r="N353" s="616">
        <v>1000000</v>
      </c>
      <c r="O353" s="612">
        <v>42795</v>
      </c>
      <c r="P353" s="612">
        <v>42979</v>
      </c>
      <c r="Q353" s="609" t="s">
        <v>108</v>
      </c>
      <c r="R353" s="609" t="s">
        <v>1456</v>
      </c>
      <c r="S353" s="609" t="s">
        <v>1457</v>
      </c>
      <c r="T353" s="609"/>
      <c r="U353" s="609"/>
      <c r="V353" s="609"/>
      <c r="W353" s="609"/>
      <c r="X353" s="609"/>
      <c r="Y353" s="609"/>
      <c r="Z353" s="609"/>
      <c r="AA353" s="609" t="s">
        <v>1458</v>
      </c>
      <c r="AB353" s="642" t="s">
        <v>263</v>
      </c>
      <c r="AC353" s="652"/>
      <c r="AD353" s="652" t="s">
        <v>113</v>
      </c>
      <c r="AE353" s="653">
        <f t="shared" si="5"/>
        <v>3</v>
      </c>
    </row>
    <row r="354" spans="1:31" ht="105" hidden="1" x14ac:dyDescent="0.25">
      <c r="A354" s="608" t="s">
        <v>3710</v>
      </c>
      <c r="B354" s="614" t="s">
        <v>2002</v>
      </c>
      <c r="C354" s="614" t="s">
        <v>2003</v>
      </c>
      <c r="D354" s="619" t="s">
        <v>4466</v>
      </c>
      <c r="E354" s="617" t="s">
        <v>2004</v>
      </c>
      <c r="F354" s="614" t="s">
        <v>1528</v>
      </c>
      <c r="G354" s="609" t="s">
        <v>1453</v>
      </c>
      <c r="H354" s="618">
        <v>75</v>
      </c>
      <c r="I354" s="609">
        <v>45000000000</v>
      </c>
      <c r="J354" s="609" t="s">
        <v>1454</v>
      </c>
      <c r="K354" s="616" t="s">
        <v>2005</v>
      </c>
      <c r="L354" s="785">
        <v>110000</v>
      </c>
      <c r="M354" s="609" t="s">
        <v>2184</v>
      </c>
      <c r="N354" s="616">
        <v>110000</v>
      </c>
      <c r="O354" s="612">
        <v>42826</v>
      </c>
      <c r="P354" s="612">
        <v>42855</v>
      </c>
      <c r="Q354" s="609" t="s">
        <v>108</v>
      </c>
      <c r="R354" s="609" t="s">
        <v>1456</v>
      </c>
      <c r="S354" s="609" t="s">
        <v>1457</v>
      </c>
      <c r="T354" s="609"/>
      <c r="U354" s="609"/>
      <c r="V354" s="609"/>
      <c r="W354" s="609"/>
      <c r="X354" s="609"/>
      <c r="Y354" s="609"/>
      <c r="Z354" s="609"/>
      <c r="AA354" s="609" t="s">
        <v>1458</v>
      </c>
      <c r="AB354" s="642" t="s">
        <v>263</v>
      </c>
      <c r="AC354" s="652"/>
      <c r="AD354" s="652" t="s">
        <v>113</v>
      </c>
      <c r="AE354" s="653">
        <f t="shared" si="5"/>
        <v>4</v>
      </c>
    </row>
    <row r="355" spans="1:31" ht="105" hidden="1" x14ac:dyDescent="0.25">
      <c r="A355" s="608" t="s">
        <v>3711</v>
      </c>
      <c r="B355" s="614" t="s">
        <v>2002</v>
      </c>
      <c r="C355" s="614" t="s">
        <v>2003</v>
      </c>
      <c r="D355" s="619" t="s">
        <v>4465</v>
      </c>
      <c r="E355" s="617" t="s">
        <v>2004</v>
      </c>
      <c r="F355" s="619" t="s">
        <v>1587</v>
      </c>
      <c r="G355" s="609" t="s">
        <v>1588</v>
      </c>
      <c r="H355" s="618">
        <v>75</v>
      </c>
      <c r="I355" s="609">
        <v>45000000000</v>
      </c>
      <c r="J355" s="609" t="s">
        <v>1454</v>
      </c>
      <c r="K355" s="616" t="s">
        <v>2005</v>
      </c>
      <c r="L355" s="785">
        <v>110000</v>
      </c>
      <c r="M355" s="609" t="s">
        <v>2184</v>
      </c>
      <c r="N355" s="616">
        <v>110000</v>
      </c>
      <c r="O355" s="612">
        <v>43009</v>
      </c>
      <c r="P355" s="612">
        <v>43039</v>
      </c>
      <c r="Q355" s="609" t="s">
        <v>108</v>
      </c>
      <c r="R355" s="609" t="s">
        <v>1456</v>
      </c>
      <c r="S355" s="609" t="s">
        <v>1457</v>
      </c>
      <c r="T355" s="609"/>
      <c r="U355" s="609"/>
      <c r="V355" s="609"/>
      <c r="W355" s="609"/>
      <c r="X355" s="609"/>
      <c r="Y355" s="609"/>
      <c r="Z355" s="609"/>
      <c r="AA355" s="609" t="s">
        <v>1458</v>
      </c>
      <c r="AB355" s="642" t="s">
        <v>263</v>
      </c>
      <c r="AC355" s="652"/>
      <c r="AD355" s="652" t="s">
        <v>113</v>
      </c>
      <c r="AE355" s="653">
        <f t="shared" si="5"/>
        <v>10</v>
      </c>
    </row>
    <row r="356" spans="1:31" ht="105" hidden="1" x14ac:dyDescent="0.25">
      <c r="A356" s="608" t="s">
        <v>3712</v>
      </c>
      <c r="B356" s="614" t="s">
        <v>2006</v>
      </c>
      <c r="C356" s="614" t="s">
        <v>2007</v>
      </c>
      <c r="D356" s="619" t="s">
        <v>4464</v>
      </c>
      <c r="E356" s="617" t="s">
        <v>2008</v>
      </c>
      <c r="F356" s="614" t="s">
        <v>1528</v>
      </c>
      <c r="G356" s="609" t="s">
        <v>1453</v>
      </c>
      <c r="H356" s="618">
        <v>1</v>
      </c>
      <c r="I356" s="609">
        <v>45000000000</v>
      </c>
      <c r="J356" s="609" t="s">
        <v>1454</v>
      </c>
      <c r="K356" s="616" t="s">
        <v>2009</v>
      </c>
      <c r="L356" s="785">
        <v>122000</v>
      </c>
      <c r="M356" s="609" t="s">
        <v>2184</v>
      </c>
      <c r="N356" s="616">
        <v>122000</v>
      </c>
      <c r="O356" s="612">
        <v>42826</v>
      </c>
      <c r="P356" s="612">
        <v>42887</v>
      </c>
      <c r="Q356" s="609" t="s">
        <v>108</v>
      </c>
      <c r="R356" s="609" t="s">
        <v>1456</v>
      </c>
      <c r="S356" s="609" t="s">
        <v>1457</v>
      </c>
      <c r="T356" s="609"/>
      <c r="U356" s="609"/>
      <c r="V356" s="609"/>
      <c r="W356" s="609"/>
      <c r="X356" s="609"/>
      <c r="Y356" s="609"/>
      <c r="Z356" s="609"/>
      <c r="AA356" s="609" t="s">
        <v>1458</v>
      </c>
      <c r="AB356" s="642" t="s">
        <v>263</v>
      </c>
      <c r="AC356" s="652"/>
      <c r="AD356" s="652" t="s">
        <v>113</v>
      </c>
      <c r="AE356" s="653">
        <f t="shared" si="5"/>
        <v>4</v>
      </c>
    </row>
    <row r="357" spans="1:31" ht="105" hidden="1" x14ac:dyDescent="0.25">
      <c r="A357" s="608" t="s">
        <v>3713</v>
      </c>
      <c r="B357" s="614" t="s">
        <v>2010</v>
      </c>
      <c r="C357" s="614" t="s">
        <v>2011</v>
      </c>
      <c r="D357" s="619" t="s">
        <v>4463</v>
      </c>
      <c r="E357" s="617" t="s">
        <v>2012</v>
      </c>
      <c r="F357" s="614" t="s">
        <v>2013</v>
      </c>
      <c r="G357" s="609" t="s">
        <v>2014</v>
      </c>
      <c r="H357" s="618">
        <v>55000</v>
      </c>
      <c r="I357" s="609">
        <v>45000000000</v>
      </c>
      <c r="J357" s="609" t="s">
        <v>1454</v>
      </c>
      <c r="K357" s="616" t="s">
        <v>1698</v>
      </c>
      <c r="L357" s="785">
        <v>120000</v>
      </c>
      <c r="M357" s="609" t="s">
        <v>2184</v>
      </c>
      <c r="N357" s="616">
        <v>120000</v>
      </c>
      <c r="O357" s="612">
        <v>42736</v>
      </c>
      <c r="P357" s="612">
        <v>43100</v>
      </c>
      <c r="Q357" s="609" t="s">
        <v>108</v>
      </c>
      <c r="R357" s="609" t="s">
        <v>1456</v>
      </c>
      <c r="S357" s="609" t="s">
        <v>1457</v>
      </c>
      <c r="T357" s="609"/>
      <c r="U357" s="609"/>
      <c r="V357" s="609"/>
      <c r="W357" s="609"/>
      <c r="X357" s="609"/>
      <c r="Y357" s="609"/>
      <c r="Z357" s="609"/>
      <c r="AA357" s="609" t="s">
        <v>1458</v>
      </c>
      <c r="AB357" s="642" t="s">
        <v>263</v>
      </c>
      <c r="AC357" s="652"/>
      <c r="AD357" s="652" t="s">
        <v>113</v>
      </c>
      <c r="AE357" s="653">
        <f t="shared" si="5"/>
        <v>1</v>
      </c>
    </row>
    <row r="358" spans="1:31" ht="105" hidden="1" x14ac:dyDescent="0.25">
      <c r="A358" s="608" t="s">
        <v>3714</v>
      </c>
      <c r="B358" s="614" t="s">
        <v>2015</v>
      </c>
      <c r="C358" s="614" t="s">
        <v>1611</v>
      </c>
      <c r="D358" s="619" t="s">
        <v>4462</v>
      </c>
      <c r="E358" s="617" t="s">
        <v>2016</v>
      </c>
      <c r="F358" s="614" t="s">
        <v>1528</v>
      </c>
      <c r="G358" s="609" t="s">
        <v>1453</v>
      </c>
      <c r="H358" s="618">
        <v>1</v>
      </c>
      <c r="I358" s="609">
        <v>45000000000</v>
      </c>
      <c r="J358" s="609" t="s">
        <v>1454</v>
      </c>
      <c r="K358" s="616" t="s">
        <v>1746</v>
      </c>
      <c r="L358" s="785">
        <v>350000</v>
      </c>
      <c r="M358" s="609" t="s">
        <v>2184</v>
      </c>
      <c r="N358" s="616">
        <v>350000</v>
      </c>
      <c r="O358" s="612">
        <v>42856</v>
      </c>
      <c r="P358" s="612">
        <v>43040</v>
      </c>
      <c r="Q358" s="609" t="s">
        <v>108</v>
      </c>
      <c r="R358" s="609" t="s">
        <v>1456</v>
      </c>
      <c r="S358" s="609" t="s">
        <v>1457</v>
      </c>
      <c r="T358" s="609"/>
      <c r="U358" s="609"/>
      <c r="V358" s="609"/>
      <c r="W358" s="609"/>
      <c r="X358" s="609"/>
      <c r="Y358" s="609"/>
      <c r="Z358" s="609"/>
      <c r="AA358" s="609" t="s">
        <v>1458</v>
      </c>
      <c r="AB358" s="642" t="s">
        <v>263</v>
      </c>
      <c r="AC358" s="652"/>
      <c r="AD358" s="652" t="s">
        <v>113</v>
      </c>
      <c r="AE358" s="653">
        <f t="shared" si="5"/>
        <v>5</v>
      </c>
    </row>
    <row r="359" spans="1:31" ht="409.5" hidden="1" x14ac:dyDescent="0.25">
      <c r="A359" s="608" t="s">
        <v>3715</v>
      </c>
      <c r="B359" s="614" t="s">
        <v>2017</v>
      </c>
      <c r="C359" s="614" t="s">
        <v>2018</v>
      </c>
      <c r="D359" s="619" t="s">
        <v>4461</v>
      </c>
      <c r="E359" s="617" t="s">
        <v>1518</v>
      </c>
      <c r="F359" s="614" t="s">
        <v>1528</v>
      </c>
      <c r="G359" s="609" t="s">
        <v>1453</v>
      </c>
      <c r="H359" s="618">
        <v>1</v>
      </c>
      <c r="I359" s="609">
        <v>45000000000</v>
      </c>
      <c r="J359" s="609" t="s">
        <v>1454</v>
      </c>
      <c r="K359" s="616" t="s">
        <v>1628</v>
      </c>
      <c r="L359" s="785">
        <v>2000000</v>
      </c>
      <c r="M359" s="609" t="s">
        <v>2184</v>
      </c>
      <c r="N359" s="616">
        <v>2000000</v>
      </c>
      <c r="O359" s="612">
        <v>43040</v>
      </c>
      <c r="P359" s="612">
        <v>43405</v>
      </c>
      <c r="Q359" s="609" t="s">
        <v>108</v>
      </c>
      <c r="R359" s="609" t="s">
        <v>1456</v>
      </c>
      <c r="S359" s="609" t="s">
        <v>1457</v>
      </c>
      <c r="T359" s="609"/>
      <c r="U359" s="609"/>
      <c r="V359" s="609"/>
      <c r="W359" s="609"/>
      <c r="X359" s="609"/>
      <c r="Y359" s="609"/>
      <c r="Z359" s="609"/>
      <c r="AA359" s="609" t="s">
        <v>1458</v>
      </c>
      <c r="AB359" s="642" t="s">
        <v>263</v>
      </c>
      <c r="AC359" s="652"/>
      <c r="AD359" s="652" t="s">
        <v>113</v>
      </c>
      <c r="AE359" s="653">
        <f t="shared" si="5"/>
        <v>11</v>
      </c>
    </row>
    <row r="360" spans="1:31" ht="120" hidden="1" x14ac:dyDescent="0.25">
      <c r="A360" s="608" t="s">
        <v>3716</v>
      </c>
      <c r="B360" s="614" t="s">
        <v>1534</v>
      </c>
      <c r="C360" s="614" t="s">
        <v>1535</v>
      </c>
      <c r="D360" s="619" t="s">
        <v>4460</v>
      </c>
      <c r="E360" s="617" t="s">
        <v>1518</v>
      </c>
      <c r="F360" s="614" t="s">
        <v>1528</v>
      </c>
      <c r="G360" s="609" t="s">
        <v>1453</v>
      </c>
      <c r="H360" s="618">
        <v>1</v>
      </c>
      <c r="I360" s="609">
        <v>45000000000</v>
      </c>
      <c r="J360" s="609" t="s">
        <v>1454</v>
      </c>
      <c r="K360" s="616" t="s">
        <v>1696</v>
      </c>
      <c r="L360" s="785">
        <v>5000000</v>
      </c>
      <c r="M360" s="609" t="s">
        <v>2184</v>
      </c>
      <c r="N360" s="616">
        <v>5000000</v>
      </c>
      <c r="O360" s="612">
        <v>42767</v>
      </c>
      <c r="P360" s="612">
        <v>43070</v>
      </c>
      <c r="Q360" s="609" t="s">
        <v>100</v>
      </c>
      <c r="R360" s="609" t="s">
        <v>1456</v>
      </c>
      <c r="S360" s="609" t="s">
        <v>1457</v>
      </c>
      <c r="T360" s="609"/>
      <c r="U360" s="609"/>
      <c r="V360" s="609"/>
      <c r="W360" s="609"/>
      <c r="X360" s="609"/>
      <c r="Y360" s="609"/>
      <c r="Z360" s="609"/>
      <c r="AA360" s="609" t="s">
        <v>1458</v>
      </c>
      <c r="AB360" s="642" t="s">
        <v>263</v>
      </c>
      <c r="AC360" s="652"/>
      <c r="AD360" s="652" t="s">
        <v>113</v>
      </c>
      <c r="AE360" s="653">
        <f t="shared" si="5"/>
        <v>2</v>
      </c>
    </row>
    <row r="361" spans="1:31" ht="105" hidden="1" x14ac:dyDescent="0.25">
      <c r="A361" s="608" t="s">
        <v>3717</v>
      </c>
      <c r="B361" s="614" t="s">
        <v>1534</v>
      </c>
      <c r="C361" s="614" t="s">
        <v>2019</v>
      </c>
      <c r="D361" s="619" t="s">
        <v>4459</v>
      </c>
      <c r="E361" s="617" t="s">
        <v>1518</v>
      </c>
      <c r="F361" s="614" t="s">
        <v>1528</v>
      </c>
      <c r="G361" s="609" t="s">
        <v>1453</v>
      </c>
      <c r="H361" s="618">
        <v>1</v>
      </c>
      <c r="I361" s="609">
        <v>45000000000</v>
      </c>
      <c r="J361" s="609" t="s">
        <v>1454</v>
      </c>
      <c r="K361" s="616" t="s">
        <v>1628</v>
      </c>
      <c r="L361" s="785">
        <v>2000000</v>
      </c>
      <c r="M361" s="609" t="s">
        <v>2184</v>
      </c>
      <c r="N361" s="616">
        <v>2000000</v>
      </c>
      <c r="O361" s="612">
        <v>42767</v>
      </c>
      <c r="P361" s="612">
        <v>43070</v>
      </c>
      <c r="Q361" s="609" t="s">
        <v>108</v>
      </c>
      <c r="R361" s="609" t="s">
        <v>1456</v>
      </c>
      <c r="S361" s="609" t="s">
        <v>1457</v>
      </c>
      <c r="T361" s="609"/>
      <c r="U361" s="609"/>
      <c r="V361" s="609"/>
      <c r="W361" s="609"/>
      <c r="X361" s="609"/>
      <c r="Y361" s="609"/>
      <c r="Z361" s="609"/>
      <c r="AA361" s="609" t="s">
        <v>1458</v>
      </c>
      <c r="AB361" s="642" t="s">
        <v>263</v>
      </c>
      <c r="AC361" s="652"/>
      <c r="AD361" s="652" t="s">
        <v>113</v>
      </c>
      <c r="AE361" s="653">
        <f t="shared" si="5"/>
        <v>2</v>
      </c>
    </row>
    <row r="362" spans="1:31" ht="105" hidden="1" x14ac:dyDescent="0.25">
      <c r="A362" s="608" t="s">
        <v>3718</v>
      </c>
      <c r="B362" s="614" t="s">
        <v>2017</v>
      </c>
      <c r="C362" s="614" t="s">
        <v>2020</v>
      </c>
      <c r="D362" s="619" t="s">
        <v>4458</v>
      </c>
      <c r="E362" s="617" t="s">
        <v>1518</v>
      </c>
      <c r="F362" s="614" t="s">
        <v>1778</v>
      </c>
      <c r="G362" s="609" t="s">
        <v>1779</v>
      </c>
      <c r="H362" s="618">
        <v>1</v>
      </c>
      <c r="I362" s="609">
        <v>45000000000</v>
      </c>
      <c r="J362" s="609" t="s">
        <v>1454</v>
      </c>
      <c r="K362" s="616" t="s">
        <v>1499</v>
      </c>
      <c r="L362" s="785">
        <v>1500000</v>
      </c>
      <c r="M362" s="609" t="s">
        <v>2184</v>
      </c>
      <c r="N362" s="616">
        <v>1500000</v>
      </c>
      <c r="O362" s="612">
        <v>42767</v>
      </c>
      <c r="P362" s="612">
        <v>43070</v>
      </c>
      <c r="Q362" s="609" t="s">
        <v>108</v>
      </c>
      <c r="R362" s="609" t="s">
        <v>1456</v>
      </c>
      <c r="S362" s="609" t="s">
        <v>1457</v>
      </c>
      <c r="T362" s="609"/>
      <c r="U362" s="609"/>
      <c r="V362" s="609"/>
      <c r="W362" s="609"/>
      <c r="X362" s="609"/>
      <c r="Y362" s="609"/>
      <c r="Z362" s="609"/>
      <c r="AA362" s="609" t="s">
        <v>1458</v>
      </c>
      <c r="AB362" s="642" t="s">
        <v>263</v>
      </c>
      <c r="AC362" s="652"/>
      <c r="AD362" s="652" t="s">
        <v>113</v>
      </c>
      <c r="AE362" s="653">
        <f t="shared" si="5"/>
        <v>2</v>
      </c>
    </row>
    <row r="363" spans="1:31" ht="105" hidden="1" x14ac:dyDescent="0.25">
      <c r="A363" s="608" t="s">
        <v>3719</v>
      </c>
      <c r="B363" s="614" t="s">
        <v>2021</v>
      </c>
      <c r="C363" s="614" t="s">
        <v>2021</v>
      </c>
      <c r="D363" s="619" t="s">
        <v>4457</v>
      </c>
      <c r="E363" s="617" t="s">
        <v>2022</v>
      </c>
      <c r="F363" s="614" t="s">
        <v>1528</v>
      </c>
      <c r="G363" s="609" t="s">
        <v>1453</v>
      </c>
      <c r="H363" s="618">
        <v>1</v>
      </c>
      <c r="I363" s="609">
        <v>45000000000</v>
      </c>
      <c r="J363" s="609" t="s">
        <v>1454</v>
      </c>
      <c r="K363" s="616" t="s">
        <v>1637</v>
      </c>
      <c r="L363" s="785">
        <v>1000000</v>
      </c>
      <c r="M363" s="609" t="s">
        <v>2184</v>
      </c>
      <c r="N363" s="616">
        <v>1000000</v>
      </c>
      <c r="O363" s="612">
        <v>42736</v>
      </c>
      <c r="P363" s="612">
        <v>43070</v>
      </c>
      <c r="Q363" s="609" t="s">
        <v>108</v>
      </c>
      <c r="R363" s="609" t="s">
        <v>1456</v>
      </c>
      <c r="S363" s="609" t="s">
        <v>1457</v>
      </c>
      <c r="T363" s="609"/>
      <c r="U363" s="609"/>
      <c r="V363" s="609"/>
      <c r="W363" s="609"/>
      <c r="X363" s="609"/>
      <c r="Y363" s="609"/>
      <c r="Z363" s="609"/>
      <c r="AA363" s="609" t="s">
        <v>1458</v>
      </c>
      <c r="AB363" s="642" t="s">
        <v>263</v>
      </c>
      <c r="AC363" s="652"/>
      <c r="AD363" s="652" t="s">
        <v>113</v>
      </c>
      <c r="AE363" s="653">
        <f t="shared" si="5"/>
        <v>1</v>
      </c>
    </row>
    <row r="364" spans="1:31" ht="105" hidden="1" x14ac:dyDescent="0.25">
      <c r="A364" s="608" t="s">
        <v>3720</v>
      </c>
      <c r="B364" s="614" t="s">
        <v>2023</v>
      </c>
      <c r="C364" s="614" t="s">
        <v>1951</v>
      </c>
      <c r="D364" s="619" t="s">
        <v>4456</v>
      </c>
      <c r="E364" s="617" t="s">
        <v>2024</v>
      </c>
      <c r="F364" s="614" t="s">
        <v>1528</v>
      </c>
      <c r="G364" s="609" t="s">
        <v>1453</v>
      </c>
      <c r="H364" s="618">
        <v>350</v>
      </c>
      <c r="I364" s="609">
        <v>45000000000</v>
      </c>
      <c r="J364" s="609" t="s">
        <v>1454</v>
      </c>
      <c r="K364" s="616" t="s">
        <v>2025</v>
      </c>
      <c r="L364" s="785">
        <v>216428.87</v>
      </c>
      <c r="M364" s="609" t="s">
        <v>2184</v>
      </c>
      <c r="N364" s="616">
        <v>216428.87</v>
      </c>
      <c r="O364" s="612">
        <v>42736</v>
      </c>
      <c r="P364" s="612">
        <v>43070</v>
      </c>
      <c r="Q364" s="609" t="s">
        <v>108</v>
      </c>
      <c r="R364" s="609" t="s">
        <v>1456</v>
      </c>
      <c r="S364" s="609" t="s">
        <v>1457</v>
      </c>
      <c r="T364" s="609"/>
      <c r="U364" s="609"/>
      <c r="V364" s="609"/>
      <c r="W364" s="609"/>
      <c r="X364" s="609"/>
      <c r="Y364" s="609"/>
      <c r="Z364" s="609"/>
      <c r="AA364" s="609" t="s">
        <v>1458</v>
      </c>
      <c r="AB364" s="642" t="s">
        <v>263</v>
      </c>
      <c r="AC364" s="652"/>
      <c r="AD364" s="652" t="s">
        <v>113</v>
      </c>
      <c r="AE364" s="653">
        <f t="shared" si="5"/>
        <v>1</v>
      </c>
    </row>
    <row r="365" spans="1:31" ht="105" hidden="1" x14ac:dyDescent="0.25">
      <c r="A365" s="608" t="s">
        <v>3721</v>
      </c>
      <c r="B365" s="614" t="s">
        <v>152</v>
      </c>
      <c r="C365" s="614" t="s">
        <v>2026</v>
      </c>
      <c r="D365" s="619" t="s">
        <v>4455</v>
      </c>
      <c r="E365" s="617" t="s">
        <v>2027</v>
      </c>
      <c r="F365" s="614" t="s">
        <v>1528</v>
      </c>
      <c r="G365" s="609" t="s">
        <v>1453</v>
      </c>
      <c r="H365" s="618">
        <v>500</v>
      </c>
      <c r="I365" s="609">
        <v>45000000000</v>
      </c>
      <c r="J365" s="609" t="s">
        <v>1454</v>
      </c>
      <c r="K365" s="616" t="s">
        <v>2028</v>
      </c>
      <c r="L365" s="785">
        <v>483800</v>
      </c>
      <c r="M365" s="609" t="s">
        <v>2184</v>
      </c>
      <c r="N365" s="616">
        <v>483800</v>
      </c>
      <c r="O365" s="612">
        <v>42736</v>
      </c>
      <c r="P365" s="612">
        <v>43070</v>
      </c>
      <c r="Q365" s="609" t="s">
        <v>108</v>
      </c>
      <c r="R365" s="609" t="s">
        <v>1456</v>
      </c>
      <c r="S365" s="609" t="s">
        <v>1457</v>
      </c>
      <c r="T365" s="609"/>
      <c r="U365" s="609"/>
      <c r="V365" s="609"/>
      <c r="W365" s="609"/>
      <c r="X365" s="609"/>
      <c r="Y365" s="609"/>
      <c r="Z365" s="609"/>
      <c r="AA365" s="609" t="s">
        <v>1458</v>
      </c>
      <c r="AB365" s="642" t="s">
        <v>263</v>
      </c>
      <c r="AC365" s="652"/>
      <c r="AD365" s="652" t="s">
        <v>113</v>
      </c>
      <c r="AE365" s="653">
        <f t="shared" si="5"/>
        <v>1</v>
      </c>
    </row>
    <row r="366" spans="1:31" ht="105" hidden="1" x14ac:dyDescent="0.25">
      <c r="A366" s="608" t="s">
        <v>3722</v>
      </c>
      <c r="B366" s="614" t="s">
        <v>301</v>
      </c>
      <c r="C366" s="614" t="s">
        <v>301</v>
      </c>
      <c r="D366" s="619" t="s">
        <v>4454</v>
      </c>
      <c r="E366" s="617" t="s">
        <v>2024</v>
      </c>
      <c r="F366" s="614" t="s">
        <v>1528</v>
      </c>
      <c r="G366" s="609" t="s">
        <v>1453</v>
      </c>
      <c r="H366" s="618">
        <v>6</v>
      </c>
      <c r="I366" s="609">
        <v>45000000000</v>
      </c>
      <c r="J366" s="609" t="s">
        <v>1454</v>
      </c>
      <c r="K366" s="616" t="s">
        <v>2029</v>
      </c>
      <c r="L366" s="785">
        <v>896304</v>
      </c>
      <c r="M366" s="609" t="s">
        <v>2184</v>
      </c>
      <c r="N366" s="616">
        <v>896304</v>
      </c>
      <c r="O366" s="612">
        <v>42736</v>
      </c>
      <c r="P366" s="612">
        <v>43070</v>
      </c>
      <c r="Q366" s="609" t="s">
        <v>108</v>
      </c>
      <c r="R366" s="609" t="s">
        <v>1456</v>
      </c>
      <c r="S366" s="609" t="s">
        <v>1457</v>
      </c>
      <c r="T366" s="609"/>
      <c r="U366" s="609"/>
      <c r="V366" s="609"/>
      <c r="W366" s="609"/>
      <c r="X366" s="609"/>
      <c r="Y366" s="609"/>
      <c r="Z366" s="609"/>
      <c r="AA366" s="609" t="s">
        <v>1458</v>
      </c>
      <c r="AB366" s="642" t="s">
        <v>263</v>
      </c>
      <c r="AC366" s="652"/>
      <c r="AD366" s="652" t="s">
        <v>113</v>
      </c>
      <c r="AE366" s="653">
        <f t="shared" si="5"/>
        <v>1</v>
      </c>
    </row>
    <row r="367" spans="1:31" ht="105" hidden="1" x14ac:dyDescent="0.25">
      <c r="A367" s="608" t="s">
        <v>3723</v>
      </c>
      <c r="B367" s="614" t="s">
        <v>301</v>
      </c>
      <c r="C367" s="614" t="s">
        <v>301</v>
      </c>
      <c r="D367" s="619" t="s">
        <v>4453</v>
      </c>
      <c r="E367" s="617" t="s">
        <v>2024</v>
      </c>
      <c r="F367" s="614" t="s">
        <v>1528</v>
      </c>
      <c r="G367" s="609" t="s">
        <v>1453</v>
      </c>
      <c r="H367" s="618">
        <v>3</v>
      </c>
      <c r="I367" s="609">
        <v>45000000000</v>
      </c>
      <c r="J367" s="609" t="s">
        <v>1454</v>
      </c>
      <c r="K367" s="616" t="s">
        <v>2030</v>
      </c>
      <c r="L367" s="785">
        <v>448152</v>
      </c>
      <c r="M367" s="609" t="s">
        <v>2184</v>
      </c>
      <c r="N367" s="616">
        <v>448152</v>
      </c>
      <c r="O367" s="612">
        <v>42736</v>
      </c>
      <c r="P367" s="612">
        <v>43070</v>
      </c>
      <c r="Q367" s="609" t="s">
        <v>108</v>
      </c>
      <c r="R367" s="609" t="s">
        <v>1456</v>
      </c>
      <c r="S367" s="609" t="s">
        <v>1457</v>
      </c>
      <c r="T367" s="609"/>
      <c r="U367" s="609"/>
      <c r="V367" s="609"/>
      <c r="W367" s="609"/>
      <c r="X367" s="609"/>
      <c r="Y367" s="609"/>
      <c r="Z367" s="609"/>
      <c r="AA367" s="609" t="s">
        <v>1458</v>
      </c>
      <c r="AB367" s="642" t="s">
        <v>263</v>
      </c>
      <c r="AC367" s="652"/>
      <c r="AD367" s="652" t="s">
        <v>113</v>
      </c>
      <c r="AE367" s="653">
        <f t="shared" si="5"/>
        <v>1</v>
      </c>
    </row>
    <row r="368" spans="1:31" ht="105" hidden="1" x14ac:dyDescent="0.25">
      <c r="A368" s="608" t="s">
        <v>3724</v>
      </c>
      <c r="B368" s="614" t="s">
        <v>1585</v>
      </c>
      <c r="C368" s="614" t="s">
        <v>1721</v>
      </c>
      <c r="D368" s="619" t="s">
        <v>4452</v>
      </c>
      <c r="E368" s="617" t="s">
        <v>2024</v>
      </c>
      <c r="F368" s="614" t="s">
        <v>1528</v>
      </c>
      <c r="G368" s="609" t="s">
        <v>1453</v>
      </c>
      <c r="H368" s="618">
        <v>15</v>
      </c>
      <c r="I368" s="609">
        <v>45000000000</v>
      </c>
      <c r="J368" s="609" t="s">
        <v>1454</v>
      </c>
      <c r="K368" s="616" t="s">
        <v>2031</v>
      </c>
      <c r="L368" s="785">
        <v>8843793.9000000004</v>
      </c>
      <c r="M368" s="609" t="s">
        <v>2184</v>
      </c>
      <c r="N368" s="616">
        <v>8843793.9000000004</v>
      </c>
      <c r="O368" s="612">
        <v>42736</v>
      </c>
      <c r="P368" s="612">
        <v>43070</v>
      </c>
      <c r="Q368" s="609" t="s">
        <v>100</v>
      </c>
      <c r="R368" s="609" t="s">
        <v>1456</v>
      </c>
      <c r="S368" s="609" t="s">
        <v>1457</v>
      </c>
      <c r="T368" s="609"/>
      <c r="U368" s="609"/>
      <c r="V368" s="609"/>
      <c r="W368" s="609"/>
      <c r="X368" s="609"/>
      <c r="Y368" s="609"/>
      <c r="Z368" s="609"/>
      <c r="AA368" s="609" t="s">
        <v>1458</v>
      </c>
      <c r="AB368" s="642" t="s">
        <v>263</v>
      </c>
      <c r="AC368" s="652"/>
      <c r="AD368" s="652" t="s">
        <v>113</v>
      </c>
      <c r="AE368" s="653">
        <f t="shared" si="5"/>
        <v>1</v>
      </c>
    </row>
    <row r="369" spans="1:31" ht="105" hidden="1" x14ac:dyDescent="0.25">
      <c r="A369" s="608" t="s">
        <v>3725</v>
      </c>
      <c r="B369" s="614" t="s">
        <v>1585</v>
      </c>
      <c r="C369" s="614" t="s">
        <v>1585</v>
      </c>
      <c r="D369" s="619" t="s">
        <v>4451</v>
      </c>
      <c r="E369" s="617" t="s">
        <v>2024</v>
      </c>
      <c r="F369" s="614" t="s">
        <v>1528</v>
      </c>
      <c r="G369" s="609" t="s">
        <v>1453</v>
      </c>
      <c r="H369" s="618">
        <v>24</v>
      </c>
      <c r="I369" s="609">
        <v>45000000000</v>
      </c>
      <c r="J369" s="609" t="s">
        <v>1454</v>
      </c>
      <c r="K369" s="616" t="s">
        <v>2032</v>
      </c>
      <c r="L369" s="785">
        <v>14150070.24</v>
      </c>
      <c r="M369" s="609" t="s">
        <v>2184</v>
      </c>
      <c r="N369" s="616">
        <v>14150070.24</v>
      </c>
      <c r="O369" s="612">
        <v>42736</v>
      </c>
      <c r="P369" s="612">
        <v>43070</v>
      </c>
      <c r="Q369" s="609" t="s">
        <v>100</v>
      </c>
      <c r="R369" s="609" t="s">
        <v>1456</v>
      </c>
      <c r="S369" s="609" t="s">
        <v>1457</v>
      </c>
      <c r="T369" s="609"/>
      <c r="U369" s="609"/>
      <c r="V369" s="609"/>
      <c r="W369" s="609"/>
      <c r="X369" s="609"/>
      <c r="Y369" s="609"/>
      <c r="Z369" s="609"/>
      <c r="AA369" s="609" t="s">
        <v>1458</v>
      </c>
      <c r="AB369" s="642" t="s">
        <v>263</v>
      </c>
      <c r="AC369" s="652"/>
      <c r="AD369" s="652" t="s">
        <v>113</v>
      </c>
      <c r="AE369" s="653">
        <f t="shared" si="5"/>
        <v>1</v>
      </c>
    </row>
    <row r="370" spans="1:31" ht="105" hidden="1" x14ac:dyDescent="0.25">
      <c r="A370" s="608" t="s">
        <v>3726</v>
      </c>
      <c r="B370" s="614" t="s">
        <v>2033</v>
      </c>
      <c r="C370" s="614" t="s">
        <v>2034</v>
      </c>
      <c r="D370" s="619" t="s">
        <v>4450</v>
      </c>
      <c r="E370" s="617" t="s">
        <v>2024</v>
      </c>
      <c r="F370" s="614" t="s">
        <v>1587</v>
      </c>
      <c r="G370" s="609" t="s">
        <v>1588</v>
      </c>
      <c r="H370" s="618">
        <v>50</v>
      </c>
      <c r="I370" s="609">
        <v>45000000000</v>
      </c>
      <c r="J370" s="609" t="s">
        <v>1454</v>
      </c>
      <c r="K370" s="616" t="s">
        <v>2035</v>
      </c>
      <c r="L370" s="785">
        <v>17726279.5</v>
      </c>
      <c r="M370" s="838" t="s">
        <v>4813</v>
      </c>
      <c r="N370" s="616">
        <v>17726279.5</v>
      </c>
      <c r="O370" s="612">
        <v>42736</v>
      </c>
      <c r="P370" s="612">
        <v>43070</v>
      </c>
      <c r="Q370" s="609" t="s">
        <v>100</v>
      </c>
      <c r="R370" s="609" t="s">
        <v>1456</v>
      </c>
      <c r="S370" s="609" t="s">
        <v>1457</v>
      </c>
      <c r="T370" s="609"/>
      <c r="U370" s="609"/>
      <c r="V370" s="609"/>
      <c r="W370" s="609"/>
      <c r="X370" s="609"/>
      <c r="Y370" s="609"/>
      <c r="Z370" s="609"/>
      <c r="AA370" s="609" t="s">
        <v>1458</v>
      </c>
      <c r="AB370" s="642" t="s">
        <v>263</v>
      </c>
      <c r="AC370" s="652"/>
      <c r="AD370" s="652" t="s">
        <v>113</v>
      </c>
      <c r="AE370" s="653">
        <f t="shared" si="5"/>
        <v>1</v>
      </c>
    </row>
    <row r="371" spans="1:31" ht="105" hidden="1" x14ac:dyDescent="0.25">
      <c r="A371" s="608" t="s">
        <v>3727</v>
      </c>
      <c r="B371" s="614" t="s">
        <v>301</v>
      </c>
      <c r="C371" s="614" t="s">
        <v>301</v>
      </c>
      <c r="D371" s="619" t="s">
        <v>4449</v>
      </c>
      <c r="E371" s="617" t="s">
        <v>2024</v>
      </c>
      <c r="F371" s="614" t="s">
        <v>1528</v>
      </c>
      <c r="G371" s="609" t="s">
        <v>1453</v>
      </c>
      <c r="H371" s="618">
        <v>20</v>
      </c>
      <c r="I371" s="609">
        <v>45000000000</v>
      </c>
      <c r="J371" s="609" t="s">
        <v>1454</v>
      </c>
      <c r="K371" s="616" t="s">
        <v>2036</v>
      </c>
      <c r="L371" s="785">
        <v>12140080</v>
      </c>
      <c r="M371" s="609" t="s">
        <v>2184</v>
      </c>
      <c r="N371" s="616">
        <v>12140080</v>
      </c>
      <c r="O371" s="612">
        <v>42736</v>
      </c>
      <c r="P371" s="612">
        <v>43070</v>
      </c>
      <c r="Q371" s="609" t="s">
        <v>100</v>
      </c>
      <c r="R371" s="609" t="s">
        <v>1456</v>
      </c>
      <c r="S371" s="609" t="s">
        <v>1457</v>
      </c>
      <c r="T371" s="609"/>
      <c r="U371" s="609"/>
      <c r="V371" s="609"/>
      <c r="W371" s="609"/>
      <c r="X371" s="609"/>
      <c r="Y371" s="609"/>
      <c r="Z371" s="609"/>
      <c r="AA371" s="609" t="s">
        <v>1458</v>
      </c>
      <c r="AB371" s="642" t="s">
        <v>263</v>
      </c>
      <c r="AC371" s="652"/>
      <c r="AD371" s="652" t="s">
        <v>113</v>
      </c>
      <c r="AE371" s="653">
        <f t="shared" si="5"/>
        <v>1</v>
      </c>
    </row>
    <row r="372" spans="1:31" ht="105" hidden="1" x14ac:dyDescent="0.25">
      <c r="A372" s="608" t="s">
        <v>3728</v>
      </c>
      <c r="B372" s="614" t="s">
        <v>1576</v>
      </c>
      <c r="C372" s="614" t="s">
        <v>2037</v>
      </c>
      <c r="D372" s="619" t="s">
        <v>4448</v>
      </c>
      <c r="E372" s="617" t="s">
        <v>2024</v>
      </c>
      <c r="F372" s="614" t="s">
        <v>1528</v>
      </c>
      <c r="G372" s="609" t="s">
        <v>1453</v>
      </c>
      <c r="H372" s="618">
        <v>15</v>
      </c>
      <c r="I372" s="609">
        <v>45000000000</v>
      </c>
      <c r="J372" s="609" t="s">
        <v>1454</v>
      </c>
      <c r="K372" s="616" t="s">
        <v>4841</v>
      </c>
      <c r="L372" s="805">
        <v>9569611.1999999993</v>
      </c>
      <c r="M372" s="609" t="s">
        <v>2184</v>
      </c>
      <c r="N372" s="624">
        <v>9569611.1999999993</v>
      </c>
      <c r="O372" s="612">
        <v>42736</v>
      </c>
      <c r="P372" s="612">
        <v>43070</v>
      </c>
      <c r="Q372" s="609" t="s">
        <v>110</v>
      </c>
      <c r="R372" s="609" t="s">
        <v>2174</v>
      </c>
      <c r="S372" s="609" t="s">
        <v>1457</v>
      </c>
      <c r="T372" s="609"/>
      <c r="U372" s="609"/>
      <c r="V372" s="609"/>
      <c r="W372" s="609" t="s">
        <v>2396</v>
      </c>
      <c r="X372" s="609">
        <v>5024022965</v>
      </c>
      <c r="Y372" s="609" t="s">
        <v>1955</v>
      </c>
      <c r="Z372" s="609">
        <v>9452800.5</v>
      </c>
      <c r="AA372" s="609" t="s">
        <v>1458</v>
      </c>
      <c r="AB372" s="642" t="s">
        <v>263</v>
      </c>
      <c r="AC372" s="652"/>
      <c r="AD372" s="652" t="s">
        <v>113</v>
      </c>
      <c r="AE372" s="653">
        <f t="shared" ref="AE372:AE435" si="6">IF(O372=0,,MONTH(O372))</f>
        <v>1</v>
      </c>
    </row>
    <row r="373" spans="1:31" ht="105" hidden="1" x14ac:dyDescent="0.25">
      <c r="A373" s="608" t="s">
        <v>3729</v>
      </c>
      <c r="B373" s="629" t="s">
        <v>1791</v>
      </c>
      <c r="C373" s="614" t="s">
        <v>1791</v>
      </c>
      <c r="D373" s="619" t="s">
        <v>4447</v>
      </c>
      <c r="E373" s="617" t="s">
        <v>2024</v>
      </c>
      <c r="F373" s="614" t="s">
        <v>1587</v>
      </c>
      <c r="G373" s="609" t="s">
        <v>1588</v>
      </c>
      <c r="H373" s="618">
        <v>15</v>
      </c>
      <c r="I373" s="609">
        <v>45000000000</v>
      </c>
      <c r="J373" s="609" t="s">
        <v>1454</v>
      </c>
      <c r="K373" s="616" t="s">
        <v>2038</v>
      </c>
      <c r="L373" s="785">
        <v>685766.4</v>
      </c>
      <c r="M373" s="609" t="s">
        <v>2184</v>
      </c>
      <c r="N373" s="616">
        <v>685766.4</v>
      </c>
      <c r="O373" s="612">
        <v>42736</v>
      </c>
      <c r="P373" s="612">
        <v>43070</v>
      </c>
      <c r="Q373" s="609" t="s">
        <v>108</v>
      </c>
      <c r="R373" s="609" t="s">
        <v>1456</v>
      </c>
      <c r="S373" s="609" t="s">
        <v>1457</v>
      </c>
      <c r="T373" s="609"/>
      <c r="U373" s="609"/>
      <c r="V373" s="609"/>
      <c r="W373" s="609"/>
      <c r="X373" s="609"/>
      <c r="Y373" s="609"/>
      <c r="Z373" s="609"/>
      <c r="AA373" s="609" t="s">
        <v>1458</v>
      </c>
      <c r="AB373" s="642" t="s">
        <v>263</v>
      </c>
      <c r="AC373" s="652"/>
      <c r="AD373" s="652" t="s">
        <v>113</v>
      </c>
      <c r="AE373" s="653">
        <f t="shared" si="6"/>
        <v>1</v>
      </c>
    </row>
    <row r="374" spans="1:31" ht="105" hidden="1" x14ac:dyDescent="0.25">
      <c r="A374" s="608" t="s">
        <v>3730</v>
      </c>
      <c r="B374" s="614" t="s">
        <v>1791</v>
      </c>
      <c r="C374" s="614" t="s">
        <v>1791</v>
      </c>
      <c r="D374" s="619" t="s">
        <v>4446</v>
      </c>
      <c r="E374" s="617" t="s">
        <v>2024</v>
      </c>
      <c r="F374" s="614" t="s">
        <v>1587</v>
      </c>
      <c r="G374" s="609" t="s">
        <v>1588</v>
      </c>
      <c r="H374" s="618">
        <v>22</v>
      </c>
      <c r="I374" s="609">
        <v>45000000000</v>
      </c>
      <c r="J374" s="609" t="s">
        <v>1454</v>
      </c>
      <c r="K374" s="616" t="s">
        <v>2039</v>
      </c>
      <c r="L374" s="785">
        <v>1005790.72</v>
      </c>
      <c r="M374" s="609" t="s">
        <v>2184</v>
      </c>
      <c r="N374" s="616">
        <v>1005790.72</v>
      </c>
      <c r="O374" s="612">
        <v>42736</v>
      </c>
      <c r="P374" s="612">
        <v>43070</v>
      </c>
      <c r="Q374" s="609" t="s">
        <v>108</v>
      </c>
      <c r="R374" s="609" t="s">
        <v>1456</v>
      </c>
      <c r="S374" s="609" t="s">
        <v>1457</v>
      </c>
      <c r="T374" s="609"/>
      <c r="U374" s="609"/>
      <c r="V374" s="609"/>
      <c r="W374" s="609"/>
      <c r="X374" s="609"/>
      <c r="Y374" s="609"/>
      <c r="Z374" s="609"/>
      <c r="AA374" s="609" t="s">
        <v>1458</v>
      </c>
      <c r="AB374" s="642" t="s">
        <v>263</v>
      </c>
      <c r="AC374" s="652"/>
      <c r="AD374" s="652" t="s">
        <v>113</v>
      </c>
      <c r="AE374" s="653">
        <f t="shared" si="6"/>
        <v>1</v>
      </c>
    </row>
    <row r="375" spans="1:31" ht="105" hidden="1" x14ac:dyDescent="0.25">
      <c r="A375" s="608" t="s">
        <v>3731</v>
      </c>
      <c r="B375" s="614" t="s">
        <v>1636</v>
      </c>
      <c r="C375" s="614" t="s">
        <v>2040</v>
      </c>
      <c r="D375" s="619" t="s">
        <v>4445</v>
      </c>
      <c r="E375" s="617" t="s">
        <v>2024</v>
      </c>
      <c r="F375" s="614" t="s">
        <v>1528</v>
      </c>
      <c r="G375" s="609" t="s">
        <v>1453</v>
      </c>
      <c r="H375" s="618">
        <v>30</v>
      </c>
      <c r="I375" s="609">
        <v>45000000000</v>
      </c>
      <c r="J375" s="609" t="s">
        <v>1454</v>
      </c>
      <c r="K375" s="616" t="s">
        <v>2041</v>
      </c>
      <c r="L375" s="785">
        <v>3226166.96</v>
      </c>
      <c r="M375" s="609" t="s">
        <v>2184</v>
      </c>
      <c r="N375" s="616">
        <v>3226166.96</v>
      </c>
      <c r="O375" s="612">
        <v>42736</v>
      </c>
      <c r="P375" s="612">
        <v>43070</v>
      </c>
      <c r="Q375" s="609" t="s">
        <v>108</v>
      </c>
      <c r="R375" s="609" t="s">
        <v>1456</v>
      </c>
      <c r="S375" s="609" t="s">
        <v>1457</v>
      </c>
      <c r="T375" s="609"/>
      <c r="U375" s="609"/>
      <c r="V375" s="609"/>
      <c r="W375" s="609"/>
      <c r="X375" s="609"/>
      <c r="Y375" s="609"/>
      <c r="Z375" s="609"/>
      <c r="AA375" s="609" t="s">
        <v>1458</v>
      </c>
      <c r="AB375" s="642" t="s">
        <v>263</v>
      </c>
      <c r="AC375" s="652"/>
      <c r="AD375" s="652" t="s">
        <v>113</v>
      </c>
      <c r="AE375" s="653">
        <f t="shared" si="6"/>
        <v>1</v>
      </c>
    </row>
    <row r="376" spans="1:31" ht="105" hidden="1" x14ac:dyDescent="0.25">
      <c r="A376" s="608" t="s">
        <v>3732</v>
      </c>
      <c r="B376" s="614" t="s">
        <v>152</v>
      </c>
      <c r="C376" s="614" t="s">
        <v>2042</v>
      </c>
      <c r="D376" s="619" t="s">
        <v>4444</v>
      </c>
      <c r="E376" s="617" t="s">
        <v>2024</v>
      </c>
      <c r="F376" s="614" t="s">
        <v>1528</v>
      </c>
      <c r="G376" s="609" t="s">
        <v>1453</v>
      </c>
      <c r="H376" s="618">
        <v>40</v>
      </c>
      <c r="I376" s="609">
        <v>45000000000</v>
      </c>
      <c r="J376" s="609" t="s">
        <v>1454</v>
      </c>
      <c r="K376" s="616" t="s">
        <v>2043</v>
      </c>
      <c r="L376" s="785">
        <v>544978</v>
      </c>
      <c r="M376" s="609" t="s">
        <v>2184</v>
      </c>
      <c r="N376" s="616">
        <v>544978</v>
      </c>
      <c r="O376" s="612">
        <v>42736</v>
      </c>
      <c r="P376" s="612">
        <v>43070</v>
      </c>
      <c r="Q376" s="609" t="s">
        <v>108</v>
      </c>
      <c r="R376" s="609" t="s">
        <v>1456</v>
      </c>
      <c r="S376" s="609" t="s">
        <v>1457</v>
      </c>
      <c r="T376" s="609"/>
      <c r="U376" s="609"/>
      <c r="V376" s="609"/>
      <c r="W376" s="609"/>
      <c r="X376" s="609"/>
      <c r="Y376" s="609"/>
      <c r="Z376" s="609"/>
      <c r="AA376" s="609" t="s">
        <v>1458</v>
      </c>
      <c r="AB376" s="642" t="s">
        <v>263</v>
      </c>
      <c r="AC376" s="652"/>
      <c r="AD376" s="652" t="s">
        <v>113</v>
      </c>
      <c r="AE376" s="653">
        <f t="shared" si="6"/>
        <v>1</v>
      </c>
    </row>
    <row r="377" spans="1:31" ht="105" hidden="1" x14ac:dyDescent="0.25">
      <c r="A377" s="608" t="s">
        <v>3733</v>
      </c>
      <c r="B377" s="614" t="s">
        <v>2044</v>
      </c>
      <c r="C377" s="614" t="s">
        <v>2045</v>
      </c>
      <c r="D377" s="619" t="s">
        <v>4443</v>
      </c>
      <c r="E377" s="617" t="s">
        <v>2046</v>
      </c>
      <c r="F377" s="614" t="s">
        <v>1528</v>
      </c>
      <c r="G377" s="609" t="s">
        <v>1453</v>
      </c>
      <c r="H377" s="618">
        <v>1</v>
      </c>
      <c r="I377" s="609">
        <v>45000000000</v>
      </c>
      <c r="J377" s="609" t="s">
        <v>1454</v>
      </c>
      <c r="K377" s="616" t="s">
        <v>1605</v>
      </c>
      <c r="L377" s="785">
        <v>100000</v>
      </c>
      <c r="M377" s="609" t="s">
        <v>2184</v>
      </c>
      <c r="N377" s="616">
        <v>100000</v>
      </c>
      <c r="O377" s="612">
        <v>42795</v>
      </c>
      <c r="P377" s="612">
        <v>43100</v>
      </c>
      <c r="Q377" s="609" t="s">
        <v>108</v>
      </c>
      <c r="R377" s="609" t="s">
        <v>1456</v>
      </c>
      <c r="S377" s="609" t="s">
        <v>1457</v>
      </c>
      <c r="T377" s="609"/>
      <c r="U377" s="609"/>
      <c r="V377" s="609"/>
      <c r="W377" s="609"/>
      <c r="X377" s="609"/>
      <c r="Y377" s="609"/>
      <c r="Z377" s="609"/>
      <c r="AA377" s="609" t="s">
        <v>1458</v>
      </c>
      <c r="AB377" s="642" t="s">
        <v>263</v>
      </c>
      <c r="AC377" s="652"/>
      <c r="AD377" s="652" t="s">
        <v>113</v>
      </c>
      <c r="AE377" s="653">
        <f t="shared" si="6"/>
        <v>3</v>
      </c>
    </row>
    <row r="378" spans="1:31" ht="105" hidden="1" x14ac:dyDescent="0.25">
      <c r="A378" s="608" t="s">
        <v>3734</v>
      </c>
      <c r="B378" s="614" t="s">
        <v>1723</v>
      </c>
      <c r="C378" s="614" t="s">
        <v>1531</v>
      </c>
      <c r="D378" s="619" t="s">
        <v>4442</v>
      </c>
      <c r="E378" s="617" t="s">
        <v>1518</v>
      </c>
      <c r="F378" s="614" t="s">
        <v>1528</v>
      </c>
      <c r="G378" s="609" t="s">
        <v>1453</v>
      </c>
      <c r="H378" s="618">
        <v>1</v>
      </c>
      <c r="I378" s="609">
        <v>45000000000</v>
      </c>
      <c r="J378" s="609" t="s">
        <v>1454</v>
      </c>
      <c r="K378" s="616" t="s">
        <v>1691</v>
      </c>
      <c r="L378" s="785">
        <v>1600000</v>
      </c>
      <c r="M378" s="609" t="s">
        <v>2184</v>
      </c>
      <c r="N378" s="616">
        <v>1600000</v>
      </c>
      <c r="O378" s="612">
        <v>42767</v>
      </c>
      <c r="P378" s="612">
        <v>43070</v>
      </c>
      <c r="Q378" s="609" t="s">
        <v>108</v>
      </c>
      <c r="R378" s="609" t="s">
        <v>1456</v>
      </c>
      <c r="S378" s="609" t="s">
        <v>1457</v>
      </c>
      <c r="T378" s="609"/>
      <c r="U378" s="609"/>
      <c r="V378" s="609"/>
      <c r="W378" s="609"/>
      <c r="X378" s="609"/>
      <c r="Y378" s="609"/>
      <c r="Z378" s="609"/>
      <c r="AA378" s="609" t="s">
        <v>1458</v>
      </c>
      <c r="AB378" s="642" t="s">
        <v>263</v>
      </c>
      <c r="AC378" s="652"/>
      <c r="AD378" s="652" t="s">
        <v>113</v>
      </c>
      <c r="AE378" s="653">
        <f t="shared" si="6"/>
        <v>2</v>
      </c>
    </row>
    <row r="379" spans="1:31" ht="105" hidden="1" x14ac:dyDescent="0.25">
      <c r="A379" s="608" t="s">
        <v>3735</v>
      </c>
      <c r="B379" s="614" t="s">
        <v>2047</v>
      </c>
      <c r="C379" s="614" t="s">
        <v>2048</v>
      </c>
      <c r="D379" s="619" t="s">
        <v>4441</v>
      </c>
      <c r="E379" s="617" t="s">
        <v>1518</v>
      </c>
      <c r="F379" s="614" t="s">
        <v>1528</v>
      </c>
      <c r="G379" s="609" t="s">
        <v>1453</v>
      </c>
      <c r="H379" s="618">
        <v>1</v>
      </c>
      <c r="I379" s="609">
        <v>45000000000</v>
      </c>
      <c r="J379" s="609" t="s">
        <v>1454</v>
      </c>
      <c r="K379" s="616" t="s">
        <v>1499</v>
      </c>
      <c r="L379" s="785">
        <v>1500000</v>
      </c>
      <c r="M379" s="609" t="s">
        <v>2184</v>
      </c>
      <c r="N379" s="616">
        <v>1500000</v>
      </c>
      <c r="O379" s="612">
        <v>42767</v>
      </c>
      <c r="P379" s="612">
        <v>43070</v>
      </c>
      <c r="Q379" s="609" t="s">
        <v>108</v>
      </c>
      <c r="R379" s="609" t="s">
        <v>1456</v>
      </c>
      <c r="S379" s="609" t="s">
        <v>1457</v>
      </c>
      <c r="T379" s="609"/>
      <c r="U379" s="609"/>
      <c r="V379" s="609"/>
      <c r="W379" s="609"/>
      <c r="X379" s="609"/>
      <c r="Y379" s="609"/>
      <c r="Z379" s="609"/>
      <c r="AA379" s="609" t="s">
        <v>1458</v>
      </c>
      <c r="AB379" s="642" t="s">
        <v>263</v>
      </c>
      <c r="AC379" s="652"/>
      <c r="AD379" s="652" t="s">
        <v>113</v>
      </c>
      <c r="AE379" s="653">
        <f t="shared" si="6"/>
        <v>2</v>
      </c>
    </row>
    <row r="380" spans="1:31" ht="105" hidden="1" x14ac:dyDescent="0.25">
      <c r="A380" s="608" t="s">
        <v>3736</v>
      </c>
      <c r="B380" s="614" t="s">
        <v>2049</v>
      </c>
      <c r="C380" s="614" t="s">
        <v>2050</v>
      </c>
      <c r="D380" s="619" t="s">
        <v>4440</v>
      </c>
      <c r="E380" s="617" t="s">
        <v>1518</v>
      </c>
      <c r="F380" s="614" t="s">
        <v>1528</v>
      </c>
      <c r="G380" s="609" t="s">
        <v>1453</v>
      </c>
      <c r="H380" s="618">
        <v>1</v>
      </c>
      <c r="I380" s="609">
        <v>45000000000</v>
      </c>
      <c r="J380" s="609" t="s">
        <v>1454</v>
      </c>
      <c r="K380" s="616" t="s">
        <v>1770</v>
      </c>
      <c r="L380" s="785">
        <v>440000</v>
      </c>
      <c r="M380" s="609" t="s">
        <v>2184</v>
      </c>
      <c r="N380" s="616">
        <v>440000</v>
      </c>
      <c r="O380" s="612">
        <v>42767</v>
      </c>
      <c r="P380" s="612">
        <v>43070</v>
      </c>
      <c r="Q380" s="609" t="s">
        <v>108</v>
      </c>
      <c r="R380" s="609" t="s">
        <v>1456</v>
      </c>
      <c r="S380" s="609" t="s">
        <v>1457</v>
      </c>
      <c r="T380" s="609"/>
      <c r="U380" s="609"/>
      <c r="V380" s="609"/>
      <c r="W380" s="609"/>
      <c r="X380" s="609"/>
      <c r="Y380" s="609"/>
      <c r="Z380" s="609"/>
      <c r="AA380" s="609" t="s">
        <v>1458</v>
      </c>
      <c r="AB380" s="642" t="s">
        <v>263</v>
      </c>
      <c r="AC380" s="652"/>
      <c r="AD380" s="652" t="s">
        <v>113</v>
      </c>
      <c r="AE380" s="653">
        <f t="shared" si="6"/>
        <v>2</v>
      </c>
    </row>
    <row r="381" spans="1:31" ht="105" hidden="1" x14ac:dyDescent="0.25">
      <c r="A381" s="608" t="s">
        <v>3737</v>
      </c>
      <c r="B381" s="614" t="s">
        <v>2049</v>
      </c>
      <c r="C381" s="614" t="s">
        <v>2050</v>
      </c>
      <c r="D381" s="619" t="s">
        <v>4439</v>
      </c>
      <c r="E381" s="617" t="s">
        <v>1518</v>
      </c>
      <c r="F381" s="614" t="s">
        <v>1587</v>
      </c>
      <c r="G381" s="609" t="s">
        <v>1588</v>
      </c>
      <c r="H381" s="618">
        <v>1</v>
      </c>
      <c r="I381" s="609">
        <v>45000000000</v>
      </c>
      <c r="J381" s="609" t="s">
        <v>1454</v>
      </c>
      <c r="K381" s="616" t="s">
        <v>1736</v>
      </c>
      <c r="L381" s="785">
        <v>240000</v>
      </c>
      <c r="M381" s="609" t="s">
        <v>2184</v>
      </c>
      <c r="N381" s="616">
        <v>240000</v>
      </c>
      <c r="O381" s="612">
        <v>42767</v>
      </c>
      <c r="P381" s="612">
        <v>43070</v>
      </c>
      <c r="Q381" s="609" t="s">
        <v>108</v>
      </c>
      <c r="R381" s="609" t="s">
        <v>1456</v>
      </c>
      <c r="S381" s="609" t="s">
        <v>1457</v>
      </c>
      <c r="T381" s="609"/>
      <c r="U381" s="609"/>
      <c r="V381" s="609"/>
      <c r="W381" s="609"/>
      <c r="X381" s="609"/>
      <c r="Y381" s="609"/>
      <c r="Z381" s="609"/>
      <c r="AA381" s="609" t="s">
        <v>1458</v>
      </c>
      <c r="AB381" s="642" t="s">
        <v>263</v>
      </c>
      <c r="AC381" s="652"/>
      <c r="AD381" s="652" t="s">
        <v>113</v>
      </c>
      <c r="AE381" s="653">
        <f t="shared" si="6"/>
        <v>2</v>
      </c>
    </row>
    <row r="382" spans="1:31" ht="105" hidden="1" x14ac:dyDescent="0.25">
      <c r="A382" s="608" t="s">
        <v>3738</v>
      </c>
      <c r="B382" s="614" t="s">
        <v>2051</v>
      </c>
      <c r="C382" s="614" t="s">
        <v>2052</v>
      </c>
      <c r="D382" s="619" t="s">
        <v>4438</v>
      </c>
      <c r="E382" s="617" t="s">
        <v>1518</v>
      </c>
      <c r="F382" s="614" t="s">
        <v>1528</v>
      </c>
      <c r="G382" s="609" t="s">
        <v>1453</v>
      </c>
      <c r="H382" s="618">
        <v>1</v>
      </c>
      <c r="I382" s="609">
        <v>45000000000</v>
      </c>
      <c r="J382" s="609" t="s">
        <v>1454</v>
      </c>
      <c r="K382" s="616" t="s">
        <v>2053</v>
      </c>
      <c r="L382" s="785">
        <v>3150000</v>
      </c>
      <c r="M382" s="609" t="s">
        <v>2184</v>
      </c>
      <c r="N382" s="616">
        <v>3150000</v>
      </c>
      <c r="O382" s="612">
        <v>42767</v>
      </c>
      <c r="P382" s="612">
        <v>43070</v>
      </c>
      <c r="Q382" s="609" t="s">
        <v>108</v>
      </c>
      <c r="R382" s="609" t="s">
        <v>1456</v>
      </c>
      <c r="S382" s="609" t="s">
        <v>1457</v>
      </c>
      <c r="T382" s="609"/>
      <c r="U382" s="609"/>
      <c r="V382" s="609"/>
      <c r="W382" s="609"/>
      <c r="X382" s="609"/>
      <c r="Y382" s="609"/>
      <c r="Z382" s="609"/>
      <c r="AA382" s="609" t="s">
        <v>1458</v>
      </c>
      <c r="AB382" s="642" t="s">
        <v>263</v>
      </c>
      <c r="AC382" s="652"/>
      <c r="AD382" s="652" t="s">
        <v>113</v>
      </c>
      <c r="AE382" s="653">
        <f t="shared" si="6"/>
        <v>2</v>
      </c>
    </row>
    <row r="383" spans="1:31" ht="105" hidden="1" x14ac:dyDescent="0.25">
      <c r="A383" s="608" t="s">
        <v>3739</v>
      </c>
      <c r="B383" s="614" t="s">
        <v>1745</v>
      </c>
      <c r="C383" s="614" t="s">
        <v>2054</v>
      </c>
      <c r="D383" s="619" t="s">
        <v>4437</v>
      </c>
      <c r="E383" s="617" t="s">
        <v>1518</v>
      </c>
      <c r="F383" s="614" t="s">
        <v>1528</v>
      </c>
      <c r="G383" s="609" t="s">
        <v>1453</v>
      </c>
      <c r="H383" s="618">
        <v>1</v>
      </c>
      <c r="I383" s="609">
        <v>45000000000</v>
      </c>
      <c r="J383" s="609" t="s">
        <v>1454</v>
      </c>
      <c r="K383" s="616" t="s">
        <v>1872</v>
      </c>
      <c r="L383" s="785">
        <v>210000</v>
      </c>
      <c r="M383" s="609" t="s">
        <v>2184</v>
      </c>
      <c r="N383" s="616">
        <v>210000</v>
      </c>
      <c r="O383" s="612">
        <v>42767</v>
      </c>
      <c r="P383" s="612">
        <v>43070</v>
      </c>
      <c r="Q383" s="609" t="s">
        <v>108</v>
      </c>
      <c r="R383" s="609" t="s">
        <v>1456</v>
      </c>
      <c r="S383" s="609" t="s">
        <v>1457</v>
      </c>
      <c r="T383" s="609"/>
      <c r="U383" s="609"/>
      <c r="V383" s="609"/>
      <c r="W383" s="609"/>
      <c r="X383" s="609"/>
      <c r="Y383" s="609"/>
      <c r="Z383" s="609"/>
      <c r="AA383" s="609" t="s">
        <v>1458</v>
      </c>
      <c r="AB383" s="642" t="s">
        <v>263</v>
      </c>
      <c r="AC383" s="652"/>
      <c r="AD383" s="652" t="s">
        <v>113</v>
      </c>
      <c r="AE383" s="653">
        <f t="shared" si="6"/>
        <v>2</v>
      </c>
    </row>
    <row r="384" spans="1:31" ht="105" hidden="1" x14ac:dyDescent="0.25">
      <c r="A384" s="608" t="s">
        <v>3740</v>
      </c>
      <c r="B384" s="614" t="s">
        <v>2055</v>
      </c>
      <c r="C384" s="614" t="s">
        <v>2056</v>
      </c>
      <c r="D384" s="619" t="s">
        <v>4436</v>
      </c>
      <c r="E384" s="617" t="s">
        <v>1518</v>
      </c>
      <c r="F384" s="614" t="s">
        <v>1528</v>
      </c>
      <c r="G384" s="609" t="s">
        <v>1453</v>
      </c>
      <c r="H384" s="618">
        <v>1</v>
      </c>
      <c r="I384" s="609">
        <v>45000000000</v>
      </c>
      <c r="J384" s="609" t="s">
        <v>1454</v>
      </c>
      <c r="K384" s="616" t="s">
        <v>1686</v>
      </c>
      <c r="L384" s="785">
        <v>600000</v>
      </c>
      <c r="M384" s="609" t="s">
        <v>2184</v>
      </c>
      <c r="N384" s="616">
        <v>600000</v>
      </c>
      <c r="O384" s="612">
        <v>42767</v>
      </c>
      <c r="P384" s="612">
        <v>43070</v>
      </c>
      <c r="Q384" s="609" t="s">
        <v>108</v>
      </c>
      <c r="R384" s="609" t="s">
        <v>1456</v>
      </c>
      <c r="S384" s="609" t="s">
        <v>1457</v>
      </c>
      <c r="T384" s="609"/>
      <c r="U384" s="609"/>
      <c r="V384" s="609"/>
      <c r="W384" s="609"/>
      <c r="X384" s="609"/>
      <c r="Y384" s="609"/>
      <c r="Z384" s="609"/>
      <c r="AA384" s="609" t="s">
        <v>1458</v>
      </c>
      <c r="AB384" s="642" t="s">
        <v>263</v>
      </c>
      <c r="AC384" s="652"/>
      <c r="AD384" s="652" t="s">
        <v>113</v>
      </c>
      <c r="AE384" s="653">
        <f t="shared" si="6"/>
        <v>2</v>
      </c>
    </row>
    <row r="385" spans="1:31" ht="105" hidden="1" x14ac:dyDescent="0.25">
      <c r="A385" s="608" t="s">
        <v>3741</v>
      </c>
      <c r="B385" s="614" t="s">
        <v>1480</v>
      </c>
      <c r="C385" s="614" t="s">
        <v>2057</v>
      </c>
      <c r="D385" s="619" t="s">
        <v>4435</v>
      </c>
      <c r="E385" s="617" t="s">
        <v>1518</v>
      </c>
      <c r="F385" s="614" t="s">
        <v>1528</v>
      </c>
      <c r="G385" s="609" t="s">
        <v>1453</v>
      </c>
      <c r="H385" s="618">
        <v>1</v>
      </c>
      <c r="I385" s="609">
        <v>45000000000</v>
      </c>
      <c r="J385" s="609" t="s">
        <v>1454</v>
      </c>
      <c r="K385" s="616" t="s">
        <v>1686</v>
      </c>
      <c r="L385" s="785">
        <v>600000</v>
      </c>
      <c r="M385" s="609" t="s">
        <v>2184</v>
      </c>
      <c r="N385" s="616">
        <v>600000</v>
      </c>
      <c r="O385" s="612">
        <v>42767</v>
      </c>
      <c r="P385" s="612">
        <v>43070</v>
      </c>
      <c r="Q385" s="609" t="s">
        <v>108</v>
      </c>
      <c r="R385" s="609" t="s">
        <v>1456</v>
      </c>
      <c r="S385" s="609" t="s">
        <v>1457</v>
      </c>
      <c r="T385" s="609"/>
      <c r="U385" s="609"/>
      <c r="V385" s="609"/>
      <c r="W385" s="609"/>
      <c r="X385" s="609"/>
      <c r="Y385" s="609"/>
      <c r="Z385" s="609"/>
      <c r="AA385" s="609" t="s">
        <v>1458</v>
      </c>
      <c r="AB385" s="642" t="s">
        <v>263</v>
      </c>
      <c r="AC385" s="652"/>
      <c r="AD385" s="652" t="s">
        <v>113</v>
      </c>
      <c r="AE385" s="653">
        <f t="shared" si="6"/>
        <v>2</v>
      </c>
    </row>
    <row r="386" spans="1:31" ht="135" hidden="1" x14ac:dyDescent="0.25">
      <c r="A386" s="608" t="s">
        <v>3742</v>
      </c>
      <c r="B386" s="614" t="s">
        <v>2058</v>
      </c>
      <c r="C386" s="614" t="s">
        <v>2059</v>
      </c>
      <c r="D386" s="619" t="s">
        <v>4434</v>
      </c>
      <c r="E386" s="617" t="s">
        <v>1518</v>
      </c>
      <c r="F386" s="614" t="s">
        <v>1528</v>
      </c>
      <c r="G386" s="609" t="s">
        <v>1453</v>
      </c>
      <c r="H386" s="618">
        <v>1</v>
      </c>
      <c r="I386" s="609">
        <v>45000000000</v>
      </c>
      <c r="J386" s="609" t="s">
        <v>1454</v>
      </c>
      <c r="K386" s="616" t="s">
        <v>1979</v>
      </c>
      <c r="L386" s="785">
        <v>20000000</v>
      </c>
      <c r="M386" s="609" t="s">
        <v>2184</v>
      </c>
      <c r="N386" s="616">
        <v>20000000</v>
      </c>
      <c r="O386" s="612">
        <v>42767</v>
      </c>
      <c r="P386" s="612">
        <v>43070</v>
      </c>
      <c r="Q386" s="609" t="s">
        <v>100</v>
      </c>
      <c r="R386" s="609" t="s">
        <v>1456</v>
      </c>
      <c r="S386" s="609" t="s">
        <v>1457</v>
      </c>
      <c r="T386" s="609"/>
      <c r="U386" s="609"/>
      <c r="V386" s="609"/>
      <c r="W386" s="609"/>
      <c r="X386" s="609"/>
      <c r="Y386" s="609"/>
      <c r="Z386" s="609"/>
      <c r="AA386" s="609" t="s">
        <v>1458</v>
      </c>
      <c r="AB386" s="642" t="s">
        <v>263</v>
      </c>
      <c r="AC386" s="652"/>
      <c r="AD386" s="652" t="s">
        <v>113</v>
      </c>
      <c r="AE386" s="653">
        <f t="shared" si="6"/>
        <v>2</v>
      </c>
    </row>
    <row r="387" spans="1:31" ht="105" hidden="1" x14ac:dyDescent="0.25">
      <c r="A387" s="608" t="s">
        <v>3743</v>
      </c>
      <c r="B387" s="614" t="s">
        <v>2060</v>
      </c>
      <c r="C387" s="614" t="s">
        <v>2061</v>
      </c>
      <c r="D387" s="619" t="s">
        <v>4433</v>
      </c>
      <c r="E387" s="617" t="s">
        <v>1518</v>
      </c>
      <c r="F387" s="614" t="s">
        <v>1528</v>
      </c>
      <c r="G387" s="609" t="s">
        <v>1453</v>
      </c>
      <c r="H387" s="618">
        <v>1</v>
      </c>
      <c r="I387" s="609">
        <v>45000000000</v>
      </c>
      <c r="J387" s="609" t="s">
        <v>1454</v>
      </c>
      <c r="K387" s="616" t="s">
        <v>1692</v>
      </c>
      <c r="L387" s="785">
        <v>3000000</v>
      </c>
      <c r="M387" s="609" t="s">
        <v>2184</v>
      </c>
      <c r="N387" s="616">
        <v>3000000</v>
      </c>
      <c r="O387" s="612">
        <v>42767</v>
      </c>
      <c r="P387" s="612">
        <v>43070</v>
      </c>
      <c r="Q387" s="609" t="s">
        <v>108</v>
      </c>
      <c r="R387" s="609" t="s">
        <v>1456</v>
      </c>
      <c r="S387" s="609" t="s">
        <v>1457</v>
      </c>
      <c r="T387" s="609"/>
      <c r="U387" s="609"/>
      <c r="V387" s="609"/>
      <c r="W387" s="609"/>
      <c r="X387" s="609"/>
      <c r="Y387" s="609"/>
      <c r="Z387" s="609"/>
      <c r="AA387" s="609" t="s">
        <v>1458</v>
      </c>
      <c r="AB387" s="642" t="s">
        <v>263</v>
      </c>
      <c r="AC387" s="652"/>
      <c r="AD387" s="652" t="s">
        <v>113</v>
      </c>
      <c r="AE387" s="653">
        <f t="shared" si="6"/>
        <v>2</v>
      </c>
    </row>
    <row r="388" spans="1:31" ht="105" hidden="1" x14ac:dyDescent="0.25">
      <c r="A388" s="608" t="s">
        <v>3744</v>
      </c>
      <c r="B388" s="614" t="s">
        <v>2062</v>
      </c>
      <c r="C388" s="614" t="s">
        <v>2063</v>
      </c>
      <c r="D388" s="619" t="s">
        <v>4432</v>
      </c>
      <c r="E388" s="617" t="s">
        <v>2064</v>
      </c>
      <c r="F388" s="614" t="s">
        <v>1528</v>
      </c>
      <c r="G388" s="609" t="s">
        <v>1453</v>
      </c>
      <c r="H388" s="618">
        <v>1</v>
      </c>
      <c r="I388" s="609">
        <v>45000000000</v>
      </c>
      <c r="J388" s="609" t="s">
        <v>1454</v>
      </c>
      <c r="K388" s="616" t="s">
        <v>4939</v>
      </c>
      <c r="L388" s="785">
        <v>200000</v>
      </c>
      <c r="M388" s="609" t="s">
        <v>2184</v>
      </c>
      <c r="N388" s="616">
        <v>200000</v>
      </c>
      <c r="O388" s="612">
        <v>42767</v>
      </c>
      <c r="P388" s="612">
        <v>42826</v>
      </c>
      <c r="Q388" s="609" t="s">
        <v>110</v>
      </c>
      <c r="R388" s="609" t="s">
        <v>2174</v>
      </c>
      <c r="S388" s="609" t="s">
        <v>1455</v>
      </c>
      <c r="T388" s="609"/>
      <c r="U388" s="609"/>
      <c r="V388" s="609"/>
      <c r="W388" s="609" t="s">
        <v>68</v>
      </c>
      <c r="X388" s="609">
        <v>7731186699</v>
      </c>
      <c r="Y388" s="609" t="s">
        <v>3002</v>
      </c>
      <c r="Z388" s="609">
        <v>200000</v>
      </c>
      <c r="AA388" s="609" t="s">
        <v>1458</v>
      </c>
      <c r="AB388" s="642" t="s">
        <v>263</v>
      </c>
      <c r="AC388" s="652"/>
      <c r="AD388" s="652" t="s">
        <v>113</v>
      </c>
      <c r="AE388" s="653">
        <f t="shared" si="6"/>
        <v>2</v>
      </c>
    </row>
    <row r="389" spans="1:31" ht="105" hidden="1" x14ac:dyDescent="0.25">
      <c r="A389" s="608" t="s">
        <v>3745</v>
      </c>
      <c r="B389" s="614" t="s">
        <v>2065</v>
      </c>
      <c r="C389" s="614" t="s">
        <v>2066</v>
      </c>
      <c r="D389" s="619" t="s">
        <v>4431</v>
      </c>
      <c r="E389" s="617" t="s">
        <v>2067</v>
      </c>
      <c r="F389" s="614" t="s">
        <v>1645</v>
      </c>
      <c r="G389" s="609" t="s">
        <v>1646</v>
      </c>
      <c r="H389" s="618">
        <v>4</v>
      </c>
      <c r="I389" s="609">
        <v>45000000000</v>
      </c>
      <c r="J389" s="609" t="s">
        <v>1454</v>
      </c>
      <c r="K389" s="616" t="s">
        <v>2005</v>
      </c>
      <c r="L389" s="785">
        <v>110000</v>
      </c>
      <c r="M389" s="609" t="s">
        <v>2184</v>
      </c>
      <c r="N389" s="616">
        <v>110000</v>
      </c>
      <c r="O389" s="612">
        <v>42736</v>
      </c>
      <c r="P389" s="612">
        <v>43070</v>
      </c>
      <c r="Q389" s="609" t="s">
        <v>108</v>
      </c>
      <c r="R389" s="609" t="s">
        <v>1456</v>
      </c>
      <c r="S389" s="609" t="s">
        <v>1457</v>
      </c>
      <c r="T389" s="609"/>
      <c r="U389" s="609"/>
      <c r="V389" s="609"/>
      <c r="W389" s="609"/>
      <c r="X389" s="609"/>
      <c r="Y389" s="609"/>
      <c r="Z389" s="609"/>
      <c r="AA389" s="609" t="s">
        <v>1458</v>
      </c>
      <c r="AB389" s="642" t="s">
        <v>263</v>
      </c>
      <c r="AC389" s="652"/>
      <c r="AD389" s="652" t="s">
        <v>113</v>
      </c>
      <c r="AE389" s="653">
        <f t="shared" si="6"/>
        <v>1</v>
      </c>
    </row>
    <row r="390" spans="1:31" ht="105" hidden="1" x14ac:dyDescent="0.25">
      <c r="A390" s="608" t="s">
        <v>3746</v>
      </c>
      <c r="B390" s="614" t="s">
        <v>2068</v>
      </c>
      <c r="C390" s="614" t="s">
        <v>2068</v>
      </c>
      <c r="D390" s="619" t="s">
        <v>4430</v>
      </c>
      <c r="E390" s="617" t="s">
        <v>2069</v>
      </c>
      <c r="F390" s="614" t="s">
        <v>1528</v>
      </c>
      <c r="G390" s="609" t="s">
        <v>1453</v>
      </c>
      <c r="H390" s="618">
        <v>60</v>
      </c>
      <c r="I390" s="609">
        <v>45000000000</v>
      </c>
      <c r="J390" s="609" t="s">
        <v>1454</v>
      </c>
      <c r="K390" s="616" t="s">
        <v>2070</v>
      </c>
      <c r="L390" s="785">
        <v>760000</v>
      </c>
      <c r="M390" s="609" t="s">
        <v>2184</v>
      </c>
      <c r="N390" s="616">
        <v>760000</v>
      </c>
      <c r="O390" s="612">
        <v>42736</v>
      </c>
      <c r="P390" s="612">
        <v>43070</v>
      </c>
      <c r="Q390" s="609" t="s">
        <v>108</v>
      </c>
      <c r="R390" s="609" t="s">
        <v>1456</v>
      </c>
      <c r="S390" s="609" t="s">
        <v>1457</v>
      </c>
      <c r="T390" s="609"/>
      <c r="U390" s="609"/>
      <c r="V390" s="609"/>
      <c r="W390" s="609"/>
      <c r="X390" s="609"/>
      <c r="Y390" s="609"/>
      <c r="Z390" s="609"/>
      <c r="AA390" s="609" t="s">
        <v>1458</v>
      </c>
      <c r="AB390" s="642" t="s">
        <v>263</v>
      </c>
      <c r="AC390" s="652"/>
      <c r="AD390" s="652" t="s">
        <v>113</v>
      </c>
      <c r="AE390" s="653">
        <f t="shared" si="6"/>
        <v>1</v>
      </c>
    </row>
    <row r="391" spans="1:31" ht="105" hidden="1" x14ac:dyDescent="0.25">
      <c r="A391" s="608" t="s">
        <v>3747</v>
      </c>
      <c r="B391" s="614" t="s">
        <v>2068</v>
      </c>
      <c r="C391" s="614" t="s">
        <v>2068</v>
      </c>
      <c r="D391" s="619" t="s">
        <v>4429</v>
      </c>
      <c r="E391" s="617" t="s">
        <v>2069</v>
      </c>
      <c r="F391" s="614" t="s">
        <v>1528</v>
      </c>
      <c r="G391" s="609" t="s">
        <v>1453</v>
      </c>
      <c r="H391" s="618">
        <v>10</v>
      </c>
      <c r="I391" s="609">
        <v>45000000000</v>
      </c>
      <c r="J391" s="609" t="s">
        <v>1454</v>
      </c>
      <c r="K391" s="616" t="s">
        <v>2071</v>
      </c>
      <c r="L391" s="785">
        <v>115000</v>
      </c>
      <c r="M391" s="609" t="s">
        <v>2184</v>
      </c>
      <c r="N391" s="616">
        <v>115000</v>
      </c>
      <c r="O391" s="612">
        <v>42736</v>
      </c>
      <c r="P391" s="612">
        <v>43070</v>
      </c>
      <c r="Q391" s="609" t="s">
        <v>108</v>
      </c>
      <c r="R391" s="609" t="s">
        <v>1456</v>
      </c>
      <c r="S391" s="609" t="s">
        <v>1457</v>
      </c>
      <c r="T391" s="609"/>
      <c r="U391" s="609"/>
      <c r="V391" s="609"/>
      <c r="W391" s="609"/>
      <c r="X391" s="609"/>
      <c r="Y391" s="609"/>
      <c r="Z391" s="609"/>
      <c r="AA391" s="609" t="s">
        <v>1458</v>
      </c>
      <c r="AB391" s="642" t="s">
        <v>263</v>
      </c>
      <c r="AC391" s="652"/>
      <c r="AD391" s="652" t="s">
        <v>113</v>
      </c>
      <c r="AE391" s="653">
        <f t="shared" si="6"/>
        <v>1</v>
      </c>
    </row>
    <row r="392" spans="1:31" ht="105" hidden="1" x14ac:dyDescent="0.25">
      <c r="A392" s="608" t="s">
        <v>3748</v>
      </c>
      <c r="B392" s="614" t="s">
        <v>2068</v>
      </c>
      <c r="C392" s="614" t="s">
        <v>2068</v>
      </c>
      <c r="D392" s="619" t="s">
        <v>4428</v>
      </c>
      <c r="E392" s="617" t="s">
        <v>2072</v>
      </c>
      <c r="F392" s="614" t="s">
        <v>1528</v>
      </c>
      <c r="G392" s="609" t="s">
        <v>1453</v>
      </c>
      <c r="H392" s="618">
        <v>100</v>
      </c>
      <c r="I392" s="609">
        <v>45000000000</v>
      </c>
      <c r="J392" s="609" t="s">
        <v>1454</v>
      </c>
      <c r="K392" s="616" t="s">
        <v>2071</v>
      </c>
      <c r="L392" s="785">
        <v>115000</v>
      </c>
      <c r="M392" s="609" t="s">
        <v>2184</v>
      </c>
      <c r="N392" s="616">
        <v>115000</v>
      </c>
      <c r="O392" s="612">
        <v>42736</v>
      </c>
      <c r="P392" s="612">
        <v>43070</v>
      </c>
      <c r="Q392" s="609" t="s">
        <v>108</v>
      </c>
      <c r="R392" s="609" t="s">
        <v>1456</v>
      </c>
      <c r="S392" s="609" t="s">
        <v>1457</v>
      </c>
      <c r="T392" s="609"/>
      <c r="U392" s="609"/>
      <c r="V392" s="609"/>
      <c r="W392" s="609"/>
      <c r="X392" s="609"/>
      <c r="Y392" s="609"/>
      <c r="Z392" s="609"/>
      <c r="AA392" s="609" t="s">
        <v>1458</v>
      </c>
      <c r="AB392" s="642" t="s">
        <v>263</v>
      </c>
      <c r="AC392" s="652"/>
      <c r="AD392" s="652" t="s">
        <v>113</v>
      </c>
      <c r="AE392" s="653">
        <f t="shared" si="6"/>
        <v>1</v>
      </c>
    </row>
    <row r="393" spans="1:31" ht="105" hidden="1" x14ac:dyDescent="0.25">
      <c r="A393" s="608" t="s">
        <v>3749</v>
      </c>
      <c r="B393" s="614" t="s">
        <v>2068</v>
      </c>
      <c r="C393" s="614" t="s">
        <v>2068</v>
      </c>
      <c r="D393" s="619" t="s">
        <v>4427</v>
      </c>
      <c r="E393" s="617" t="s">
        <v>2069</v>
      </c>
      <c r="F393" s="614" t="s">
        <v>1528</v>
      </c>
      <c r="G393" s="609" t="s">
        <v>1453</v>
      </c>
      <c r="H393" s="618">
        <v>10</v>
      </c>
      <c r="I393" s="609">
        <v>45000000000</v>
      </c>
      <c r="J393" s="609" t="s">
        <v>1454</v>
      </c>
      <c r="K393" s="616" t="s">
        <v>2071</v>
      </c>
      <c r="L393" s="785">
        <v>115000</v>
      </c>
      <c r="M393" s="609" t="s">
        <v>2184</v>
      </c>
      <c r="N393" s="616">
        <v>115000</v>
      </c>
      <c r="O393" s="612">
        <v>42736</v>
      </c>
      <c r="P393" s="612">
        <v>43070</v>
      </c>
      <c r="Q393" s="609" t="s">
        <v>108</v>
      </c>
      <c r="R393" s="609" t="s">
        <v>1456</v>
      </c>
      <c r="S393" s="609" t="s">
        <v>1457</v>
      </c>
      <c r="T393" s="609"/>
      <c r="U393" s="609"/>
      <c r="V393" s="609"/>
      <c r="W393" s="609"/>
      <c r="X393" s="609"/>
      <c r="Y393" s="609"/>
      <c r="Z393" s="609"/>
      <c r="AA393" s="609" t="s">
        <v>1458</v>
      </c>
      <c r="AB393" s="642" t="s">
        <v>263</v>
      </c>
      <c r="AC393" s="652"/>
      <c r="AD393" s="652" t="s">
        <v>113</v>
      </c>
      <c r="AE393" s="653">
        <f t="shared" si="6"/>
        <v>1</v>
      </c>
    </row>
    <row r="394" spans="1:31" ht="105" hidden="1" x14ac:dyDescent="0.25">
      <c r="A394" s="608" t="s">
        <v>3750</v>
      </c>
      <c r="B394" s="614" t="s">
        <v>2068</v>
      </c>
      <c r="C394" s="614" t="s">
        <v>2068</v>
      </c>
      <c r="D394" s="619" t="s">
        <v>4426</v>
      </c>
      <c r="E394" s="617" t="s">
        <v>2069</v>
      </c>
      <c r="F394" s="614" t="s">
        <v>1528</v>
      </c>
      <c r="G394" s="609" t="s">
        <v>1453</v>
      </c>
      <c r="H394" s="618">
        <v>10</v>
      </c>
      <c r="I394" s="609">
        <v>45000000000</v>
      </c>
      <c r="J394" s="609" t="s">
        <v>1454</v>
      </c>
      <c r="K394" s="616" t="s">
        <v>2071</v>
      </c>
      <c r="L394" s="785">
        <v>115000</v>
      </c>
      <c r="M394" s="609" t="s">
        <v>2184</v>
      </c>
      <c r="N394" s="616">
        <v>115000</v>
      </c>
      <c r="O394" s="612">
        <v>42736</v>
      </c>
      <c r="P394" s="612">
        <v>43070</v>
      </c>
      <c r="Q394" s="609" t="s">
        <v>108</v>
      </c>
      <c r="R394" s="609" t="s">
        <v>1456</v>
      </c>
      <c r="S394" s="609" t="s">
        <v>1457</v>
      </c>
      <c r="T394" s="609"/>
      <c r="U394" s="609"/>
      <c r="V394" s="609"/>
      <c r="W394" s="609"/>
      <c r="X394" s="609"/>
      <c r="Y394" s="609"/>
      <c r="Z394" s="609"/>
      <c r="AA394" s="609" t="s">
        <v>1458</v>
      </c>
      <c r="AB394" s="642" t="s">
        <v>263</v>
      </c>
      <c r="AC394" s="652"/>
      <c r="AD394" s="652" t="s">
        <v>113</v>
      </c>
      <c r="AE394" s="653">
        <f t="shared" si="6"/>
        <v>1</v>
      </c>
    </row>
    <row r="395" spans="1:31" ht="105" hidden="1" x14ac:dyDescent="0.25">
      <c r="A395" s="608" t="s">
        <v>3751</v>
      </c>
      <c r="B395" s="601" t="s">
        <v>2073</v>
      </c>
      <c r="C395" s="601" t="s">
        <v>2074</v>
      </c>
      <c r="D395" s="602" t="s">
        <v>4425</v>
      </c>
      <c r="E395" s="602" t="s">
        <v>2456</v>
      </c>
      <c r="F395" s="601" t="s">
        <v>1528</v>
      </c>
      <c r="G395" s="602" t="s">
        <v>2156</v>
      </c>
      <c r="H395" s="603">
        <v>1</v>
      </c>
      <c r="I395" s="609">
        <v>45000000000</v>
      </c>
      <c r="J395" s="609" t="s">
        <v>1454</v>
      </c>
      <c r="K395" s="616" t="s">
        <v>2764</v>
      </c>
      <c r="L395" s="798">
        <v>8353696</v>
      </c>
      <c r="M395" s="609" t="s">
        <v>2184</v>
      </c>
      <c r="N395" s="606" t="s">
        <v>2571</v>
      </c>
      <c r="O395" s="607">
        <v>42736.5</v>
      </c>
      <c r="P395" s="607">
        <v>43070.5</v>
      </c>
      <c r="Q395" s="609" t="s">
        <v>108</v>
      </c>
      <c r="R395" s="609" t="s">
        <v>1456</v>
      </c>
      <c r="S395" s="609" t="s">
        <v>1457</v>
      </c>
      <c r="T395" s="609"/>
      <c r="U395" s="609"/>
      <c r="V395" s="609"/>
      <c r="W395" s="599"/>
      <c r="X395" s="599"/>
      <c r="Y395" s="599"/>
      <c r="Z395" s="599"/>
      <c r="AA395" s="609" t="s">
        <v>1458</v>
      </c>
      <c r="AB395" s="642" t="s">
        <v>630</v>
      </c>
      <c r="AC395" s="652"/>
      <c r="AD395" s="652" t="s">
        <v>112</v>
      </c>
      <c r="AE395" s="653">
        <f t="shared" si="6"/>
        <v>1</v>
      </c>
    </row>
    <row r="396" spans="1:31" ht="105" hidden="1" x14ac:dyDescent="0.25">
      <c r="A396" s="608" t="s">
        <v>3752</v>
      </c>
      <c r="B396" s="601" t="s">
        <v>2073</v>
      </c>
      <c r="C396" s="601" t="s">
        <v>2074</v>
      </c>
      <c r="D396" s="602" t="s">
        <v>4424</v>
      </c>
      <c r="E396" s="602" t="s">
        <v>2075</v>
      </c>
      <c r="F396" s="601" t="s">
        <v>1528</v>
      </c>
      <c r="G396" s="602" t="s">
        <v>2156</v>
      </c>
      <c r="H396" s="603">
        <v>1</v>
      </c>
      <c r="I396" s="609">
        <v>45000000000</v>
      </c>
      <c r="J396" s="609" t="s">
        <v>1454</v>
      </c>
      <c r="K396" s="606" t="s">
        <v>2077</v>
      </c>
      <c r="L396" s="798">
        <v>451296.9</v>
      </c>
      <c r="M396" s="609" t="s">
        <v>2184</v>
      </c>
      <c r="N396" s="606" t="s">
        <v>2572</v>
      </c>
      <c r="O396" s="607">
        <v>42795.5</v>
      </c>
      <c r="P396" s="607">
        <v>43100.5</v>
      </c>
      <c r="Q396" s="599" t="s">
        <v>108</v>
      </c>
      <c r="R396" s="609" t="s">
        <v>1456</v>
      </c>
      <c r="S396" s="609" t="s">
        <v>1457</v>
      </c>
      <c r="T396" s="599"/>
      <c r="U396" s="609"/>
      <c r="V396" s="609"/>
      <c r="W396" s="599"/>
      <c r="X396" s="599"/>
      <c r="Y396" s="599"/>
      <c r="Z396" s="599"/>
      <c r="AA396" s="609" t="s">
        <v>1458</v>
      </c>
      <c r="AB396" s="642" t="s">
        <v>630</v>
      </c>
      <c r="AC396" s="652"/>
      <c r="AD396" s="652" t="s">
        <v>112</v>
      </c>
      <c r="AE396" s="653">
        <f t="shared" si="6"/>
        <v>3</v>
      </c>
    </row>
    <row r="397" spans="1:31" ht="105" hidden="1" x14ac:dyDescent="0.25">
      <c r="A397" s="608" t="s">
        <v>3753</v>
      </c>
      <c r="B397" s="601" t="s">
        <v>2078</v>
      </c>
      <c r="C397" s="601" t="s">
        <v>2078</v>
      </c>
      <c r="D397" s="602" t="s">
        <v>4423</v>
      </c>
      <c r="E397" s="602" t="s">
        <v>2075</v>
      </c>
      <c r="F397" s="601" t="s">
        <v>1528</v>
      </c>
      <c r="G397" s="602" t="s">
        <v>2156</v>
      </c>
      <c r="H397" s="603">
        <v>1</v>
      </c>
      <c r="I397" s="609">
        <v>45000000000</v>
      </c>
      <c r="J397" s="609" t="s">
        <v>1454</v>
      </c>
      <c r="K397" s="606" t="s">
        <v>2076</v>
      </c>
      <c r="L397" s="798">
        <v>1500000</v>
      </c>
      <c r="M397" s="609" t="s">
        <v>2184</v>
      </c>
      <c r="N397" s="606" t="s">
        <v>2275</v>
      </c>
      <c r="O397" s="607">
        <v>42736.5</v>
      </c>
      <c r="P397" s="607">
        <v>43070.5</v>
      </c>
      <c r="Q397" s="599" t="s">
        <v>108</v>
      </c>
      <c r="R397" s="609" t="s">
        <v>1456</v>
      </c>
      <c r="S397" s="609" t="s">
        <v>1457</v>
      </c>
      <c r="T397" s="599"/>
      <c r="U397" s="609"/>
      <c r="V397" s="609"/>
      <c r="W397" s="599"/>
      <c r="X397" s="599"/>
      <c r="Y397" s="599"/>
      <c r="Z397" s="599"/>
      <c r="AA397" s="609" t="s">
        <v>1458</v>
      </c>
      <c r="AB397" s="642" t="s">
        <v>630</v>
      </c>
      <c r="AC397" s="652"/>
      <c r="AD397" s="652" t="s">
        <v>112</v>
      </c>
      <c r="AE397" s="653">
        <f t="shared" si="6"/>
        <v>1</v>
      </c>
    </row>
    <row r="398" spans="1:31" ht="105" hidden="1" x14ac:dyDescent="0.25">
      <c r="A398" s="608" t="s">
        <v>3754</v>
      </c>
      <c r="B398" s="601" t="s">
        <v>2079</v>
      </c>
      <c r="C398" s="601" t="s">
        <v>2080</v>
      </c>
      <c r="D398" s="602" t="s">
        <v>4422</v>
      </c>
      <c r="E398" s="602" t="s">
        <v>2081</v>
      </c>
      <c r="F398" s="601" t="s">
        <v>2082</v>
      </c>
      <c r="G398" s="602" t="s">
        <v>2558</v>
      </c>
      <c r="H398" s="603">
        <v>12000</v>
      </c>
      <c r="I398" s="609">
        <v>45000000000</v>
      </c>
      <c r="J398" s="609" t="s">
        <v>1454</v>
      </c>
      <c r="K398" s="606" t="s">
        <v>2083</v>
      </c>
      <c r="L398" s="798">
        <v>158000</v>
      </c>
      <c r="M398" s="840" t="s">
        <v>4835</v>
      </c>
      <c r="N398" s="606" t="s">
        <v>2573</v>
      </c>
      <c r="O398" s="607">
        <v>42736.5</v>
      </c>
      <c r="P398" s="607">
        <v>42766.5</v>
      </c>
      <c r="Q398" s="599" t="s">
        <v>108</v>
      </c>
      <c r="R398" s="609" t="s">
        <v>1456</v>
      </c>
      <c r="S398" s="609" t="s">
        <v>1457</v>
      </c>
      <c r="T398" s="599"/>
      <c r="U398" s="609"/>
      <c r="V398" s="609"/>
      <c r="W398" s="599"/>
      <c r="X398" s="599"/>
      <c r="Y398" s="599"/>
      <c r="Z398" s="599"/>
      <c r="AA398" s="609" t="s">
        <v>1458</v>
      </c>
      <c r="AB398" s="642" t="s">
        <v>630</v>
      </c>
      <c r="AC398" s="652"/>
      <c r="AD398" s="652" t="s">
        <v>112</v>
      </c>
      <c r="AE398" s="653">
        <f t="shared" si="6"/>
        <v>1</v>
      </c>
    </row>
    <row r="399" spans="1:31" ht="105" hidden="1" x14ac:dyDescent="0.25">
      <c r="A399" s="608" t="s">
        <v>3755</v>
      </c>
      <c r="B399" s="601" t="s">
        <v>2079</v>
      </c>
      <c r="C399" s="601" t="s">
        <v>2080</v>
      </c>
      <c r="D399" s="602" t="s">
        <v>4421</v>
      </c>
      <c r="E399" s="602" t="s">
        <v>2081</v>
      </c>
      <c r="F399" s="601" t="s">
        <v>2082</v>
      </c>
      <c r="G399" s="602" t="s">
        <v>2558</v>
      </c>
      <c r="H399" s="603">
        <v>12000</v>
      </c>
      <c r="I399" s="609">
        <v>45000000000</v>
      </c>
      <c r="J399" s="609" t="s">
        <v>1454</v>
      </c>
      <c r="K399" s="606" t="s">
        <v>2083</v>
      </c>
      <c r="L399" s="798">
        <v>158000</v>
      </c>
      <c r="M399" s="838" t="s">
        <v>4836</v>
      </c>
      <c r="N399" s="606" t="s">
        <v>2573</v>
      </c>
      <c r="O399" s="607">
        <v>42767.5</v>
      </c>
      <c r="P399" s="607">
        <v>42794.5</v>
      </c>
      <c r="Q399" s="599" t="s">
        <v>108</v>
      </c>
      <c r="R399" s="609" t="s">
        <v>1456</v>
      </c>
      <c r="S399" s="609" t="s">
        <v>1457</v>
      </c>
      <c r="T399" s="599"/>
      <c r="U399" s="609"/>
      <c r="V399" s="609"/>
      <c r="W399" s="599"/>
      <c r="X399" s="599"/>
      <c r="Y399" s="599"/>
      <c r="Z399" s="599"/>
      <c r="AA399" s="609" t="s">
        <v>1458</v>
      </c>
      <c r="AB399" s="642" t="s">
        <v>630</v>
      </c>
      <c r="AC399" s="652"/>
      <c r="AD399" s="652" t="s">
        <v>112</v>
      </c>
      <c r="AE399" s="653">
        <f t="shared" si="6"/>
        <v>2</v>
      </c>
    </row>
    <row r="400" spans="1:31" ht="105" hidden="1" x14ac:dyDescent="0.25">
      <c r="A400" s="608" t="s">
        <v>3756</v>
      </c>
      <c r="B400" s="601" t="s">
        <v>2079</v>
      </c>
      <c r="C400" s="601" t="s">
        <v>2080</v>
      </c>
      <c r="D400" s="602" t="s">
        <v>4420</v>
      </c>
      <c r="E400" s="602" t="s">
        <v>2081</v>
      </c>
      <c r="F400" s="601" t="s">
        <v>2082</v>
      </c>
      <c r="G400" s="602" t="s">
        <v>2558</v>
      </c>
      <c r="H400" s="603">
        <v>12000</v>
      </c>
      <c r="I400" s="609">
        <v>45000000000</v>
      </c>
      <c r="J400" s="609" t="s">
        <v>1454</v>
      </c>
      <c r="K400" s="606" t="s">
        <v>6060</v>
      </c>
      <c r="L400" s="841">
        <v>151915</v>
      </c>
      <c r="M400" s="838" t="s">
        <v>4836</v>
      </c>
      <c r="N400" s="606">
        <v>151915</v>
      </c>
      <c r="O400" s="607">
        <v>42795.5</v>
      </c>
      <c r="P400" s="607">
        <v>42825.5</v>
      </c>
      <c r="Q400" s="599" t="s">
        <v>110</v>
      </c>
      <c r="R400" s="609" t="s">
        <v>113</v>
      </c>
      <c r="S400" s="609" t="s">
        <v>1455</v>
      </c>
      <c r="T400" s="599"/>
      <c r="U400" s="609"/>
      <c r="V400" s="609"/>
      <c r="W400" s="599" t="s">
        <v>64</v>
      </c>
      <c r="X400" s="599">
        <v>7710016640</v>
      </c>
      <c r="Y400" s="599" t="s">
        <v>2084</v>
      </c>
      <c r="Z400" s="912">
        <v>151915</v>
      </c>
      <c r="AA400" s="609" t="s">
        <v>1458</v>
      </c>
      <c r="AB400" s="642" t="s">
        <v>630</v>
      </c>
      <c r="AC400" s="652"/>
      <c r="AD400" s="652" t="s">
        <v>112</v>
      </c>
      <c r="AE400" s="653">
        <f t="shared" si="6"/>
        <v>3</v>
      </c>
    </row>
    <row r="401" spans="1:31" ht="105" hidden="1" x14ac:dyDescent="0.25">
      <c r="A401" s="608" t="s">
        <v>3757</v>
      </c>
      <c r="B401" s="601" t="s">
        <v>2079</v>
      </c>
      <c r="C401" s="601" t="s">
        <v>2080</v>
      </c>
      <c r="D401" s="602" t="s">
        <v>4419</v>
      </c>
      <c r="E401" s="602" t="s">
        <v>2081</v>
      </c>
      <c r="F401" s="601" t="s">
        <v>2082</v>
      </c>
      <c r="G401" s="602" t="s">
        <v>2558</v>
      </c>
      <c r="H401" s="603">
        <v>12000</v>
      </c>
      <c r="I401" s="609">
        <v>45000000000</v>
      </c>
      <c r="J401" s="609" t="s">
        <v>1454</v>
      </c>
      <c r="K401" s="606" t="s">
        <v>6050</v>
      </c>
      <c r="L401" s="911">
        <v>153796.4</v>
      </c>
      <c r="M401" s="838" t="s">
        <v>4836</v>
      </c>
      <c r="N401" s="606">
        <v>153796.4</v>
      </c>
      <c r="O401" s="607">
        <v>42826.5</v>
      </c>
      <c r="P401" s="607">
        <v>42855.5</v>
      </c>
      <c r="Q401" s="599" t="s">
        <v>110</v>
      </c>
      <c r="R401" s="609" t="s">
        <v>113</v>
      </c>
      <c r="S401" s="609" t="s">
        <v>1455</v>
      </c>
      <c r="T401" s="599"/>
      <c r="U401" s="609"/>
      <c r="V401" s="609"/>
      <c r="W401" s="599" t="s">
        <v>64</v>
      </c>
      <c r="X401" s="599">
        <v>7710016640</v>
      </c>
      <c r="Y401" s="599" t="s">
        <v>2084</v>
      </c>
      <c r="Z401" s="625">
        <v>153796.4</v>
      </c>
      <c r="AA401" s="609" t="s">
        <v>1458</v>
      </c>
      <c r="AB401" s="642" t="s">
        <v>630</v>
      </c>
      <c r="AC401" s="652"/>
      <c r="AD401" s="652" t="s">
        <v>112</v>
      </c>
      <c r="AE401" s="653">
        <f t="shared" si="6"/>
        <v>4</v>
      </c>
    </row>
    <row r="402" spans="1:31" ht="105" hidden="1" x14ac:dyDescent="0.25">
      <c r="A402" s="608" t="s">
        <v>3758</v>
      </c>
      <c r="B402" s="601" t="s">
        <v>2079</v>
      </c>
      <c r="C402" s="601" t="s">
        <v>2080</v>
      </c>
      <c r="D402" s="602" t="s">
        <v>4418</v>
      </c>
      <c r="E402" s="602" t="s">
        <v>2081</v>
      </c>
      <c r="F402" s="601" t="s">
        <v>2082</v>
      </c>
      <c r="G402" s="602" t="s">
        <v>2558</v>
      </c>
      <c r="H402" s="603">
        <v>12000</v>
      </c>
      <c r="I402" s="609">
        <v>45000000000</v>
      </c>
      <c r="J402" s="609" t="s">
        <v>1454</v>
      </c>
      <c r="K402" s="606" t="s">
        <v>2083</v>
      </c>
      <c r="L402" s="798">
        <v>158000</v>
      </c>
      <c r="M402" s="609" t="s">
        <v>2184</v>
      </c>
      <c r="N402" s="606" t="s">
        <v>2573</v>
      </c>
      <c r="O402" s="607">
        <v>42856.5</v>
      </c>
      <c r="P402" s="607">
        <v>42886.5</v>
      </c>
      <c r="Q402" s="599" t="s">
        <v>108</v>
      </c>
      <c r="R402" s="609" t="s">
        <v>1456</v>
      </c>
      <c r="S402" s="609" t="s">
        <v>1457</v>
      </c>
      <c r="T402" s="599"/>
      <c r="U402" s="609"/>
      <c r="V402" s="609"/>
      <c r="W402" s="599"/>
      <c r="X402" s="599"/>
      <c r="Y402" s="599"/>
      <c r="Z402" s="599"/>
      <c r="AA402" s="609" t="s">
        <v>1458</v>
      </c>
      <c r="AB402" s="642" t="s">
        <v>263</v>
      </c>
      <c r="AC402" s="652"/>
      <c r="AD402" s="652" t="s">
        <v>113</v>
      </c>
      <c r="AE402" s="653">
        <f t="shared" si="6"/>
        <v>5</v>
      </c>
    </row>
    <row r="403" spans="1:31" ht="105" hidden="1" x14ac:dyDescent="0.25">
      <c r="A403" s="608" t="s">
        <v>3759</v>
      </c>
      <c r="B403" s="601" t="s">
        <v>2079</v>
      </c>
      <c r="C403" s="601" t="s">
        <v>2080</v>
      </c>
      <c r="D403" s="602" t="s">
        <v>4417</v>
      </c>
      <c r="E403" s="602" t="s">
        <v>2081</v>
      </c>
      <c r="F403" s="601" t="s">
        <v>2082</v>
      </c>
      <c r="G403" s="602" t="s">
        <v>2558</v>
      </c>
      <c r="H403" s="603">
        <v>12000</v>
      </c>
      <c r="I403" s="609">
        <v>45000000000</v>
      </c>
      <c r="J403" s="609" t="s">
        <v>1454</v>
      </c>
      <c r="K403" s="606" t="s">
        <v>8306</v>
      </c>
      <c r="L403" s="798">
        <v>155007.23000000001</v>
      </c>
      <c r="M403" s="609" t="s">
        <v>2184</v>
      </c>
      <c r="N403" s="606">
        <v>155007.23000000001</v>
      </c>
      <c r="O403" s="607">
        <v>42887.5</v>
      </c>
      <c r="P403" s="607">
        <v>42916.5</v>
      </c>
      <c r="Q403" s="599" t="s">
        <v>110</v>
      </c>
      <c r="R403" s="599" t="s">
        <v>113</v>
      </c>
      <c r="S403" s="609" t="s">
        <v>1455</v>
      </c>
      <c r="T403" s="609"/>
      <c r="U403" s="609"/>
      <c r="V403" s="609"/>
      <c r="W403" s="599" t="s">
        <v>64</v>
      </c>
      <c r="X403" s="599">
        <v>7710016640</v>
      </c>
      <c r="Y403" s="599" t="s">
        <v>2084</v>
      </c>
      <c r="Z403" s="626">
        <v>155007.23000000001</v>
      </c>
      <c r="AA403" s="609" t="s">
        <v>1458</v>
      </c>
      <c r="AB403" s="642" t="s">
        <v>263</v>
      </c>
      <c r="AC403" s="652"/>
      <c r="AD403" s="652" t="s">
        <v>113</v>
      </c>
      <c r="AE403" s="653">
        <f t="shared" si="6"/>
        <v>6</v>
      </c>
    </row>
    <row r="404" spans="1:31" ht="105" hidden="1" x14ac:dyDescent="0.25">
      <c r="A404" s="608" t="s">
        <v>3760</v>
      </c>
      <c r="B404" s="601" t="s">
        <v>2079</v>
      </c>
      <c r="C404" s="601" t="s">
        <v>2080</v>
      </c>
      <c r="D404" s="602" t="s">
        <v>4416</v>
      </c>
      <c r="E404" s="602" t="s">
        <v>2081</v>
      </c>
      <c r="F404" s="601" t="s">
        <v>2082</v>
      </c>
      <c r="G404" s="602" t="s">
        <v>2558</v>
      </c>
      <c r="H404" s="603">
        <v>12000</v>
      </c>
      <c r="I404" s="630">
        <v>45000000000</v>
      </c>
      <c r="J404" s="630" t="s">
        <v>1454</v>
      </c>
      <c r="K404" s="631" t="s">
        <v>6447</v>
      </c>
      <c r="L404" s="798">
        <v>153973.82999999999</v>
      </c>
      <c r="M404" s="609" t="s">
        <v>2184</v>
      </c>
      <c r="N404" s="606">
        <v>153973.82999999999</v>
      </c>
      <c r="O404" s="607">
        <v>42917.5</v>
      </c>
      <c r="P404" s="607">
        <v>42947.5</v>
      </c>
      <c r="Q404" s="600" t="s">
        <v>110</v>
      </c>
      <c r="R404" s="600" t="s">
        <v>113</v>
      </c>
      <c r="S404" s="609" t="s">
        <v>1455</v>
      </c>
      <c r="T404" s="609"/>
      <c r="U404" s="609"/>
      <c r="V404" s="609"/>
      <c r="W404" s="600" t="s">
        <v>64</v>
      </c>
      <c r="X404" s="600">
        <v>7710016640</v>
      </c>
      <c r="Y404" s="600" t="s">
        <v>2084</v>
      </c>
      <c r="Z404" s="605">
        <v>153973.82999999999</v>
      </c>
      <c r="AA404" s="609" t="s">
        <v>1458</v>
      </c>
      <c r="AB404" s="642" t="s">
        <v>263</v>
      </c>
      <c r="AC404" s="652"/>
      <c r="AD404" s="652" t="s">
        <v>113</v>
      </c>
      <c r="AE404" s="653">
        <f t="shared" si="6"/>
        <v>7</v>
      </c>
    </row>
    <row r="405" spans="1:31" ht="105" hidden="1" x14ac:dyDescent="0.25">
      <c r="A405" s="608" t="s">
        <v>3761</v>
      </c>
      <c r="B405" s="601" t="s">
        <v>2079</v>
      </c>
      <c r="C405" s="601" t="s">
        <v>2080</v>
      </c>
      <c r="D405" s="602" t="s">
        <v>4415</v>
      </c>
      <c r="E405" s="602" t="s">
        <v>2081</v>
      </c>
      <c r="F405" s="601" t="s">
        <v>2082</v>
      </c>
      <c r="G405" s="602" t="s">
        <v>2558</v>
      </c>
      <c r="H405" s="603">
        <v>12000</v>
      </c>
      <c r="I405" s="630">
        <v>45000000000</v>
      </c>
      <c r="J405" s="630" t="s">
        <v>1454</v>
      </c>
      <c r="K405" s="631" t="s">
        <v>6846</v>
      </c>
      <c r="L405" s="911">
        <v>151593.07999999999</v>
      </c>
      <c r="M405" s="609" t="s">
        <v>2184</v>
      </c>
      <c r="N405" s="606">
        <v>151593.07999999999</v>
      </c>
      <c r="O405" s="607">
        <v>42948.5</v>
      </c>
      <c r="P405" s="607">
        <v>42978.5</v>
      </c>
      <c r="Q405" s="600" t="s">
        <v>110</v>
      </c>
      <c r="R405" s="600" t="s">
        <v>113</v>
      </c>
      <c r="S405" s="609" t="s">
        <v>1455</v>
      </c>
      <c r="T405" s="609"/>
      <c r="U405" s="609"/>
      <c r="V405" s="609"/>
      <c r="W405" s="600" t="s">
        <v>64</v>
      </c>
      <c r="X405" s="600">
        <v>7710016640</v>
      </c>
      <c r="Y405" s="600" t="s">
        <v>2084</v>
      </c>
      <c r="Z405" s="605">
        <v>151593.07999999999</v>
      </c>
      <c r="AA405" s="609" t="s">
        <v>1458</v>
      </c>
      <c r="AB405" s="642" t="s">
        <v>263</v>
      </c>
      <c r="AC405" s="652"/>
      <c r="AD405" s="652" t="s">
        <v>113</v>
      </c>
      <c r="AE405" s="653">
        <f t="shared" si="6"/>
        <v>8</v>
      </c>
    </row>
    <row r="406" spans="1:31" ht="105" hidden="1" x14ac:dyDescent="0.25">
      <c r="A406" s="608" t="s">
        <v>3762</v>
      </c>
      <c r="B406" s="601" t="s">
        <v>2079</v>
      </c>
      <c r="C406" s="601" t="s">
        <v>2080</v>
      </c>
      <c r="D406" s="602" t="s">
        <v>4414</v>
      </c>
      <c r="E406" s="602" t="s">
        <v>2081</v>
      </c>
      <c r="F406" s="601" t="s">
        <v>2082</v>
      </c>
      <c r="G406" s="602" t="s">
        <v>2558</v>
      </c>
      <c r="H406" s="603">
        <v>12000</v>
      </c>
      <c r="I406" s="630">
        <v>45000000000</v>
      </c>
      <c r="J406" s="630" t="s">
        <v>1454</v>
      </c>
      <c r="K406" s="631" t="s">
        <v>6827</v>
      </c>
      <c r="L406" s="798">
        <v>153744.35</v>
      </c>
      <c r="M406" s="609" t="s">
        <v>1053</v>
      </c>
      <c r="N406" s="606">
        <v>153744.35</v>
      </c>
      <c r="O406" s="607">
        <v>42979.5</v>
      </c>
      <c r="P406" s="607">
        <v>43008.5</v>
      </c>
      <c r="Q406" s="600" t="s">
        <v>110</v>
      </c>
      <c r="R406" s="600" t="s">
        <v>113</v>
      </c>
      <c r="S406" s="609" t="s">
        <v>1455</v>
      </c>
      <c r="T406" s="609"/>
      <c r="U406" s="609"/>
      <c r="V406" s="609"/>
      <c r="W406" s="600" t="s">
        <v>64</v>
      </c>
      <c r="X406" s="600">
        <v>7710016640</v>
      </c>
      <c r="Y406" s="600" t="s">
        <v>2084</v>
      </c>
      <c r="Z406" s="605">
        <v>153744.35</v>
      </c>
      <c r="AA406" s="609" t="s">
        <v>1458</v>
      </c>
      <c r="AB406" s="642" t="s">
        <v>263</v>
      </c>
      <c r="AC406" s="652"/>
      <c r="AD406" s="652" t="s">
        <v>113</v>
      </c>
      <c r="AE406" s="653">
        <f t="shared" si="6"/>
        <v>9</v>
      </c>
    </row>
    <row r="407" spans="1:31" ht="105" hidden="1" x14ac:dyDescent="0.25">
      <c r="A407" s="608" t="s">
        <v>3763</v>
      </c>
      <c r="B407" s="601" t="s">
        <v>2079</v>
      </c>
      <c r="C407" s="601" t="s">
        <v>2080</v>
      </c>
      <c r="D407" s="602" t="s">
        <v>4413</v>
      </c>
      <c r="E407" s="602" t="s">
        <v>2081</v>
      </c>
      <c r="F407" s="601" t="s">
        <v>2082</v>
      </c>
      <c r="G407" s="602" t="s">
        <v>2558</v>
      </c>
      <c r="H407" s="603">
        <v>12000</v>
      </c>
      <c r="I407" s="630">
        <v>45000000000</v>
      </c>
      <c r="J407" s="630" t="s">
        <v>1454</v>
      </c>
      <c r="K407" s="631" t="s">
        <v>7250</v>
      </c>
      <c r="L407" s="798">
        <v>152517.94</v>
      </c>
      <c r="M407" s="609" t="s">
        <v>2184</v>
      </c>
      <c r="N407" s="606">
        <v>152517.94</v>
      </c>
      <c r="O407" s="607">
        <v>43009.5</v>
      </c>
      <c r="P407" s="607">
        <v>43039.5</v>
      </c>
      <c r="Q407" s="600" t="s">
        <v>110</v>
      </c>
      <c r="R407" s="600" t="s">
        <v>113</v>
      </c>
      <c r="S407" s="609" t="s">
        <v>1455</v>
      </c>
      <c r="T407" s="609"/>
      <c r="U407" s="609"/>
      <c r="V407" s="609"/>
      <c r="W407" s="600" t="s">
        <v>64</v>
      </c>
      <c r="X407" s="600">
        <v>7710016640</v>
      </c>
      <c r="Y407" s="600" t="s">
        <v>2084</v>
      </c>
      <c r="Z407" s="605">
        <v>152517.94</v>
      </c>
      <c r="AA407" s="609" t="s">
        <v>1458</v>
      </c>
      <c r="AB407" s="642" t="s">
        <v>263</v>
      </c>
      <c r="AC407" s="652"/>
      <c r="AD407" s="652" t="s">
        <v>113</v>
      </c>
      <c r="AE407" s="653">
        <f t="shared" si="6"/>
        <v>10</v>
      </c>
    </row>
    <row r="408" spans="1:31" ht="105" hidden="1" x14ac:dyDescent="0.25">
      <c r="A408" s="608" t="s">
        <v>3764</v>
      </c>
      <c r="B408" s="601" t="s">
        <v>2079</v>
      </c>
      <c r="C408" s="601" t="s">
        <v>2080</v>
      </c>
      <c r="D408" s="602" t="s">
        <v>4412</v>
      </c>
      <c r="E408" s="602" t="s">
        <v>2081</v>
      </c>
      <c r="F408" s="601" t="s">
        <v>2082</v>
      </c>
      <c r="G408" s="602" t="s">
        <v>2558</v>
      </c>
      <c r="H408" s="603">
        <v>12000</v>
      </c>
      <c r="I408" s="630">
        <v>45000000000</v>
      </c>
      <c r="J408" s="630" t="s">
        <v>1454</v>
      </c>
      <c r="K408" s="631" t="s">
        <v>7651</v>
      </c>
      <c r="L408" s="798">
        <v>154590.13</v>
      </c>
      <c r="M408" s="609" t="s">
        <v>2184</v>
      </c>
      <c r="N408" s="606">
        <v>154590.13</v>
      </c>
      <c r="O408" s="607">
        <v>43040.5</v>
      </c>
      <c r="P408" s="607">
        <v>43069.5</v>
      </c>
      <c r="Q408" s="600" t="s">
        <v>110</v>
      </c>
      <c r="R408" s="600" t="s">
        <v>113</v>
      </c>
      <c r="S408" s="609" t="s">
        <v>1455</v>
      </c>
      <c r="T408" s="609"/>
      <c r="U408" s="609"/>
      <c r="V408" s="609"/>
      <c r="W408" s="600" t="s">
        <v>64</v>
      </c>
      <c r="X408" s="600">
        <v>7710016640</v>
      </c>
      <c r="Y408" s="600" t="s">
        <v>2084</v>
      </c>
      <c r="Z408" s="605">
        <v>154590.13</v>
      </c>
      <c r="AA408" s="609" t="s">
        <v>1458</v>
      </c>
      <c r="AB408" s="642" t="s">
        <v>263</v>
      </c>
      <c r="AC408" s="652"/>
      <c r="AD408" s="652" t="s">
        <v>113</v>
      </c>
      <c r="AE408" s="653">
        <f t="shared" si="6"/>
        <v>11</v>
      </c>
    </row>
    <row r="409" spans="1:31" ht="105" hidden="1" x14ac:dyDescent="0.25">
      <c r="A409" s="608" t="s">
        <v>3765</v>
      </c>
      <c r="B409" s="601" t="s">
        <v>2079</v>
      </c>
      <c r="C409" s="601" t="s">
        <v>2080</v>
      </c>
      <c r="D409" s="602" t="s">
        <v>4411</v>
      </c>
      <c r="E409" s="602" t="s">
        <v>2081</v>
      </c>
      <c r="F409" s="601" t="s">
        <v>2082</v>
      </c>
      <c r="G409" s="602" t="s">
        <v>2558</v>
      </c>
      <c r="H409" s="603">
        <v>12000</v>
      </c>
      <c r="I409" s="630">
        <v>45000000000</v>
      </c>
      <c r="J409" s="630" t="s">
        <v>1454</v>
      </c>
      <c r="K409" s="631" t="s">
        <v>2085</v>
      </c>
      <c r="L409" s="798">
        <v>158000</v>
      </c>
      <c r="M409" s="609" t="s">
        <v>2184</v>
      </c>
      <c r="N409" s="606" t="s">
        <v>2573</v>
      </c>
      <c r="O409" s="607">
        <v>43070.5</v>
      </c>
      <c r="P409" s="607">
        <v>43100.5</v>
      </c>
      <c r="Q409" s="600" t="s">
        <v>110</v>
      </c>
      <c r="R409" s="600" t="s">
        <v>113</v>
      </c>
      <c r="S409" s="609" t="s">
        <v>1455</v>
      </c>
      <c r="T409" s="609"/>
      <c r="U409" s="609"/>
      <c r="V409" s="609"/>
      <c r="W409" s="600" t="s">
        <v>64</v>
      </c>
      <c r="X409" s="600">
        <v>7710016640</v>
      </c>
      <c r="Y409" s="600" t="s">
        <v>2084</v>
      </c>
      <c r="Z409" s="605">
        <v>158000</v>
      </c>
      <c r="AA409" s="609" t="s">
        <v>1458</v>
      </c>
      <c r="AB409" s="642" t="s">
        <v>263</v>
      </c>
      <c r="AC409" s="652"/>
      <c r="AD409" s="652" t="s">
        <v>113</v>
      </c>
      <c r="AE409" s="653">
        <f t="shared" si="6"/>
        <v>12</v>
      </c>
    </row>
    <row r="410" spans="1:31" ht="105" hidden="1" x14ac:dyDescent="0.25">
      <c r="A410" s="608" t="s">
        <v>3766</v>
      </c>
      <c r="B410" s="601" t="s">
        <v>1585</v>
      </c>
      <c r="C410" s="601" t="s">
        <v>1585</v>
      </c>
      <c r="D410" s="602" t="s">
        <v>4410</v>
      </c>
      <c r="E410" s="602" t="s">
        <v>1586</v>
      </c>
      <c r="F410" s="601" t="s">
        <v>1528</v>
      </c>
      <c r="G410" s="602" t="s">
        <v>2156</v>
      </c>
      <c r="H410" s="603">
        <v>177</v>
      </c>
      <c r="I410" s="630">
        <v>45000000000</v>
      </c>
      <c r="J410" s="630" t="s">
        <v>1454</v>
      </c>
      <c r="K410" s="631" t="s">
        <v>3049</v>
      </c>
      <c r="L410" s="798">
        <v>3598384.15</v>
      </c>
      <c r="M410" s="838" t="s">
        <v>4837</v>
      </c>
      <c r="N410" s="606">
        <v>3598384.15</v>
      </c>
      <c r="O410" s="607">
        <v>42826</v>
      </c>
      <c r="P410" s="607">
        <v>42887</v>
      </c>
      <c r="Q410" s="609" t="s">
        <v>108</v>
      </c>
      <c r="R410" s="600" t="s">
        <v>1456</v>
      </c>
      <c r="S410" s="609" t="s">
        <v>1457</v>
      </c>
      <c r="T410" s="609"/>
      <c r="U410" s="609"/>
      <c r="V410" s="609" t="s">
        <v>54</v>
      </c>
      <c r="W410" s="600"/>
      <c r="X410" s="600"/>
      <c r="Y410" s="600"/>
      <c r="Z410" s="605"/>
      <c r="AA410" s="609" t="s">
        <v>1458</v>
      </c>
      <c r="AB410" s="642" t="s">
        <v>5980</v>
      </c>
      <c r="AC410" s="652"/>
      <c r="AD410" s="652" t="s">
        <v>113</v>
      </c>
      <c r="AE410" s="653">
        <f t="shared" si="6"/>
        <v>4</v>
      </c>
    </row>
    <row r="411" spans="1:31" ht="105" hidden="1" x14ac:dyDescent="0.25">
      <c r="A411" s="608" t="s">
        <v>3767</v>
      </c>
      <c r="B411" s="601" t="s">
        <v>1585</v>
      </c>
      <c r="C411" s="601" t="s">
        <v>1585</v>
      </c>
      <c r="D411" s="602" t="s">
        <v>4409</v>
      </c>
      <c r="E411" s="602" t="s">
        <v>1586</v>
      </c>
      <c r="F411" s="601" t="s">
        <v>1528</v>
      </c>
      <c r="G411" s="602" t="s">
        <v>2156</v>
      </c>
      <c r="H411" s="603">
        <v>118</v>
      </c>
      <c r="I411" s="630">
        <v>45000000000</v>
      </c>
      <c r="J411" s="630" t="s">
        <v>1454</v>
      </c>
      <c r="K411" s="631" t="s">
        <v>5979</v>
      </c>
      <c r="L411" s="798">
        <v>4233934</v>
      </c>
      <c r="M411" s="609" t="s">
        <v>2184</v>
      </c>
      <c r="N411" s="606">
        <v>4233934</v>
      </c>
      <c r="O411" s="607">
        <v>42917.5</v>
      </c>
      <c r="P411" s="607">
        <v>43008</v>
      </c>
      <c r="Q411" s="609" t="s">
        <v>108</v>
      </c>
      <c r="R411" s="600" t="s">
        <v>1456</v>
      </c>
      <c r="S411" s="609" t="s">
        <v>1457</v>
      </c>
      <c r="T411" s="609"/>
      <c r="U411" s="609"/>
      <c r="V411" s="609" t="s">
        <v>54</v>
      </c>
      <c r="W411" s="600"/>
      <c r="X411" s="600"/>
      <c r="Y411" s="600"/>
      <c r="Z411" s="605"/>
      <c r="AA411" s="609" t="s">
        <v>1458</v>
      </c>
      <c r="AB411" s="642" t="s">
        <v>5980</v>
      </c>
      <c r="AC411" s="652"/>
      <c r="AD411" s="652" t="s">
        <v>113</v>
      </c>
      <c r="AE411" s="653">
        <f t="shared" si="6"/>
        <v>7</v>
      </c>
    </row>
    <row r="412" spans="1:31" ht="105" hidden="1" x14ac:dyDescent="0.25">
      <c r="A412" s="608" t="s">
        <v>3768</v>
      </c>
      <c r="B412" s="601" t="s">
        <v>1585</v>
      </c>
      <c r="C412" s="601" t="s">
        <v>1585</v>
      </c>
      <c r="D412" s="602" t="s">
        <v>6608</v>
      </c>
      <c r="E412" s="602" t="s">
        <v>1586</v>
      </c>
      <c r="F412" s="601" t="s">
        <v>1528</v>
      </c>
      <c r="G412" s="602" t="s">
        <v>2156</v>
      </c>
      <c r="H412" s="603">
        <v>500</v>
      </c>
      <c r="I412" s="630">
        <v>45000000000</v>
      </c>
      <c r="J412" s="630" t="s">
        <v>1454</v>
      </c>
      <c r="K412" s="631" t="s">
        <v>6609</v>
      </c>
      <c r="L412" s="798">
        <v>3299350.8</v>
      </c>
      <c r="M412" s="609" t="s">
        <v>2184</v>
      </c>
      <c r="N412" s="606">
        <v>3299350.8</v>
      </c>
      <c r="O412" s="607">
        <v>42979</v>
      </c>
      <c r="P412" s="607">
        <v>43040</v>
      </c>
      <c r="Q412" s="609" t="s">
        <v>108</v>
      </c>
      <c r="R412" s="600" t="s">
        <v>1456</v>
      </c>
      <c r="S412" s="609" t="s">
        <v>1457</v>
      </c>
      <c r="T412" s="609"/>
      <c r="U412" s="609"/>
      <c r="V412" s="609" t="s">
        <v>54</v>
      </c>
      <c r="W412" s="600"/>
      <c r="X412" s="600"/>
      <c r="Y412" s="600"/>
      <c r="Z412" s="605"/>
      <c r="AA412" s="609" t="s">
        <v>1458</v>
      </c>
      <c r="AB412" s="642" t="s">
        <v>5980</v>
      </c>
      <c r="AC412" s="652"/>
      <c r="AD412" s="652" t="s">
        <v>113</v>
      </c>
      <c r="AE412" s="653">
        <f t="shared" si="6"/>
        <v>9</v>
      </c>
    </row>
    <row r="413" spans="1:31" ht="105" hidden="1" x14ac:dyDescent="0.25">
      <c r="A413" s="608" t="s">
        <v>3769</v>
      </c>
      <c r="B413" s="1019" t="s">
        <v>7694</v>
      </c>
      <c r="C413" s="1020" t="s">
        <v>7694</v>
      </c>
      <c r="D413" s="602" t="s">
        <v>7695</v>
      </c>
      <c r="E413" s="602" t="s">
        <v>1586</v>
      </c>
      <c r="F413" s="601" t="s">
        <v>1528</v>
      </c>
      <c r="G413" s="602" t="s">
        <v>2156</v>
      </c>
      <c r="H413" s="603">
        <v>473</v>
      </c>
      <c r="I413" s="630">
        <v>45000000000</v>
      </c>
      <c r="J413" s="630" t="s">
        <v>1454</v>
      </c>
      <c r="K413" s="631" t="s">
        <v>8070</v>
      </c>
      <c r="L413" s="798">
        <v>2613985.5699999998</v>
      </c>
      <c r="M413" s="609" t="s">
        <v>2184</v>
      </c>
      <c r="N413" s="606">
        <v>2613985.5699999998</v>
      </c>
      <c r="O413" s="607">
        <v>43070</v>
      </c>
      <c r="P413" s="607">
        <v>43101</v>
      </c>
      <c r="Q413" s="609" t="s">
        <v>108</v>
      </c>
      <c r="R413" s="600" t="s">
        <v>1456</v>
      </c>
      <c r="S413" s="609" t="s">
        <v>1457</v>
      </c>
      <c r="T413" s="609"/>
      <c r="U413" s="609"/>
      <c r="W413" s="600"/>
      <c r="X413" s="600"/>
      <c r="Y413" s="600"/>
      <c r="Z413" s="605"/>
      <c r="AA413" s="609" t="s">
        <v>1458</v>
      </c>
      <c r="AB413" s="642" t="s">
        <v>263</v>
      </c>
      <c r="AC413" s="652"/>
      <c r="AD413" s="652" t="s">
        <v>113</v>
      </c>
      <c r="AE413" s="653">
        <f t="shared" si="6"/>
        <v>12</v>
      </c>
    </row>
    <row r="414" spans="1:31" ht="105" hidden="1" customHeight="1" x14ac:dyDescent="0.25">
      <c r="A414" s="608" t="s">
        <v>3770</v>
      </c>
      <c r="B414" s="601" t="s">
        <v>3116</v>
      </c>
      <c r="C414" s="601" t="s">
        <v>2086</v>
      </c>
      <c r="D414" s="602" t="s">
        <v>4408</v>
      </c>
      <c r="E414" s="602" t="s">
        <v>2087</v>
      </c>
      <c r="F414" s="601" t="s">
        <v>1528</v>
      </c>
      <c r="G414" s="602" t="s">
        <v>2156</v>
      </c>
      <c r="H414" s="603">
        <v>1</v>
      </c>
      <c r="I414" s="630">
        <v>45000000000</v>
      </c>
      <c r="J414" s="630" t="s">
        <v>1454</v>
      </c>
      <c r="K414" s="631" t="s">
        <v>7183</v>
      </c>
      <c r="L414" s="911">
        <v>902652.03</v>
      </c>
      <c r="M414" s="609" t="s">
        <v>2184</v>
      </c>
      <c r="N414" s="606">
        <v>902652.03</v>
      </c>
      <c r="O414" s="607">
        <v>42948</v>
      </c>
      <c r="P414" s="607">
        <v>43008</v>
      </c>
      <c r="Q414" s="609" t="s">
        <v>108</v>
      </c>
      <c r="R414" s="600" t="s">
        <v>1456</v>
      </c>
      <c r="S414" s="609" t="s">
        <v>1457</v>
      </c>
      <c r="T414" s="609"/>
      <c r="U414" s="609"/>
      <c r="V414" s="609" t="s">
        <v>54</v>
      </c>
      <c r="W414" s="600"/>
      <c r="X414" s="600"/>
      <c r="Y414" s="600"/>
      <c r="Z414" s="600"/>
      <c r="AA414" s="609" t="s">
        <v>1458</v>
      </c>
      <c r="AB414" s="642" t="s">
        <v>5980</v>
      </c>
      <c r="AC414" s="652"/>
      <c r="AD414" s="652" t="s">
        <v>113</v>
      </c>
      <c r="AE414" s="653">
        <f t="shared" si="6"/>
        <v>8</v>
      </c>
    </row>
    <row r="415" spans="1:31" ht="105" hidden="1" x14ac:dyDescent="0.25">
      <c r="A415" s="608" t="s">
        <v>3771</v>
      </c>
      <c r="B415" s="601" t="s">
        <v>1585</v>
      </c>
      <c r="C415" s="601" t="s">
        <v>1585</v>
      </c>
      <c r="D415" s="602" t="s">
        <v>4407</v>
      </c>
      <c r="E415" s="602" t="s">
        <v>2088</v>
      </c>
      <c r="F415" s="601"/>
      <c r="G415" s="602" t="str">
        <f>IFERROR(VLOOKUP(F415,'[4]код океи'!$B$2:$C$448,2,1)," ")</f>
        <v xml:space="preserve"> </v>
      </c>
      <c r="H415" s="603"/>
      <c r="I415" s="630">
        <v>45000000000</v>
      </c>
      <c r="J415" s="630" t="s">
        <v>1454</v>
      </c>
      <c r="K415" s="631" t="s">
        <v>2765</v>
      </c>
      <c r="L415" s="798">
        <v>877684.6</v>
      </c>
      <c r="M415" s="838" t="s">
        <v>4837</v>
      </c>
      <c r="N415" s="606" t="s">
        <v>2574</v>
      </c>
      <c r="O415" s="607">
        <v>42787.5</v>
      </c>
      <c r="P415" s="607">
        <v>43190.5</v>
      </c>
      <c r="Q415" s="600" t="s">
        <v>108</v>
      </c>
      <c r="R415" s="600" t="s">
        <v>1456</v>
      </c>
      <c r="S415" s="630" t="s">
        <v>1457</v>
      </c>
      <c r="T415" s="600"/>
      <c r="U415" s="600"/>
      <c r="V415" s="600"/>
      <c r="W415" s="600"/>
      <c r="X415" s="600"/>
      <c r="Y415" s="600"/>
      <c r="Z415" s="600"/>
      <c r="AA415" s="609" t="s">
        <v>1458</v>
      </c>
      <c r="AB415" s="642" t="s">
        <v>263</v>
      </c>
      <c r="AC415" s="652"/>
      <c r="AD415" s="652" t="s">
        <v>113</v>
      </c>
      <c r="AE415" s="653">
        <f t="shared" si="6"/>
        <v>2</v>
      </c>
    </row>
    <row r="416" spans="1:31" ht="105" hidden="1" x14ac:dyDescent="0.25">
      <c r="A416" s="608" t="s">
        <v>3772</v>
      </c>
      <c r="B416" s="601" t="s">
        <v>1590</v>
      </c>
      <c r="C416" s="601" t="s">
        <v>2089</v>
      </c>
      <c r="D416" s="602" t="s">
        <v>4406</v>
      </c>
      <c r="E416" s="602" t="s">
        <v>2090</v>
      </c>
      <c r="F416" s="601" t="s">
        <v>1528</v>
      </c>
      <c r="G416" s="602" t="s">
        <v>2156</v>
      </c>
      <c r="H416" s="603">
        <v>11</v>
      </c>
      <c r="I416" s="630">
        <v>45000000000</v>
      </c>
      <c r="J416" s="630" t="s">
        <v>1454</v>
      </c>
      <c r="K416" s="631" t="s">
        <v>2327</v>
      </c>
      <c r="L416" s="798">
        <v>110000</v>
      </c>
      <c r="M416" s="609" t="s">
        <v>2184</v>
      </c>
      <c r="N416" s="606" t="s">
        <v>2283</v>
      </c>
      <c r="O416" s="607">
        <v>42795.5</v>
      </c>
      <c r="P416" s="607">
        <v>42886.5</v>
      </c>
      <c r="Q416" s="600" t="s">
        <v>108</v>
      </c>
      <c r="R416" s="600" t="s">
        <v>1456</v>
      </c>
      <c r="S416" s="630" t="s">
        <v>1457</v>
      </c>
      <c r="T416" s="600"/>
      <c r="U416" s="600"/>
      <c r="V416" s="600" t="s">
        <v>54</v>
      </c>
      <c r="W416" s="600"/>
      <c r="X416" s="600"/>
      <c r="Y416" s="600"/>
      <c r="Z416" s="600"/>
      <c r="AA416" s="609" t="s">
        <v>1458</v>
      </c>
      <c r="AB416" s="642" t="s">
        <v>5981</v>
      </c>
      <c r="AC416" s="652"/>
      <c r="AD416" s="652" t="s">
        <v>113</v>
      </c>
      <c r="AE416" s="653">
        <f t="shared" si="6"/>
        <v>3</v>
      </c>
    </row>
    <row r="417" spans="1:31" ht="105" hidden="1" x14ac:dyDescent="0.25">
      <c r="A417" s="608" t="s">
        <v>3773</v>
      </c>
      <c r="B417" s="601" t="s">
        <v>2086</v>
      </c>
      <c r="C417" s="601" t="s">
        <v>2086</v>
      </c>
      <c r="D417" s="602" t="s">
        <v>6129</v>
      </c>
      <c r="E417" s="602" t="s">
        <v>2091</v>
      </c>
      <c r="F417" s="601" t="s">
        <v>1528</v>
      </c>
      <c r="G417" s="602" t="s">
        <v>2156</v>
      </c>
      <c r="H417" s="603">
        <v>1</v>
      </c>
      <c r="I417" s="630">
        <v>45000000000</v>
      </c>
      <c r="J417" s="630" t="s">
        <v>1454</v>
      </c>
      <c r="K417" s="631" t="s">
        <v>6130</v>
      </c>
      <c r="L417" s="841">
        <v>3300000</v>
      </c>
      <c r="M417" s="838" t="s">
        <v>4813</v>
      </c>
      <c r="N417" s="606">
        <v>3300000</v>
      </c>
      <c r="O417" s="607">
        <v>42887.5</v>
      </c>
      <c r="P417" s="607">
        <v>43159.5</v>
      </c>
      <c r="Q417" s="600" t="s">
        <v>108</v>
      </c>
      <c r="R417" s="600" t="s">
        <v>1456</v>
      </c>
      <c r="S417" s="630" t="s">
        <v>1457</v>
      </c>
      <c r="T417" s="600"/>
      <c r="U417" s="600"/>
      <c r="V417" s="600"/>
      <c r="W417" s="600"/>
      <c r="X417" s="600"/>
      <c r="Y417" s="600"/>
      <c r="Z417" s="600"/>
      <c r="AA417" s="609" t="s">
        <v>1458</v>
      </c>
      <c r="AB417" s="642" t="s">
        <v>263</v>
      </c>
      <c r="AC417" s="652"/>
      <c r="AD417" s="652" t="s">
        <v>113</v>
      </c>
      <c r="AE417" s="653">
        <f t="shared" si="6"/>
        <v>6</v>
      </c>
    </row>
    <row r="418" spans="1:31" ht="105" hidden="1" x14ac:dyDescent="0.25">
      <c r="A418" s="608" t="s">
        <v>3774</v>
      </c>
      <c r="B418" s="601" t="s">
        <v>1590</v>
      </c>
      <c r="C418" s="601" t="s">
        <v>2089</v>
      </c>
      <c r="D418" s="602" t="s">
        <v>4405</v>
      </c>
      <c r="E418" s="602" t="s">
        <v>1591</v>
      </c>
      <c r="F418" s="601" t="s">
        <v>1528</v>
      </c>
      <c r="G418" s="602" t="s">
        <v>2156</v>
      </c>
      <c r="H418" s="603">
        <v>5</v>
      </c>
      <c r="I418" s="630">
        <v>45000000000</v>
      </c>
      <c r="J418" s="630" t="s">
        <v>1454</v>
      </c>
      <c r="K418" s="631" t="s">
        <v>2766</v>
      </c>
      <c r="L418" s="798">
        <v>590000</v>
      </c>
      <c r="M418" s="609" t="s">
        <v>2184</v>
      </c>
      <c r="N418" s="606" t="s">
        <v>2575</v>
      </c>
      <c r="O418" s="607">
        <v>42795.5</v>
      </c>
      <c r="P418" s="607">
        <v>42886.5</v>
      </c>
      <c r="Q418" s="600" t="s">
        <v>108</v>
      </c>
      <c r="R418" s="600" t="s">
        <v>1456</v>
      </c>
      <c r="S418" s="630" t="s">
        <v>1457</v>
      </c>
      <c r="T418" s="600"/>
      <c r="U418" s="600"/>
      <c r="V418" s="600"/>
      <c r="W418" s="600"/>
      <c r="X418" s="600"/>
      <c r="Y418" s="600"/>
      <c r="Z418" s="600"/>
      <c r="AA418" s="609" t="s">
        <v>1458</v>
      </c>
      <c r="AB418" s="642" t="s">
        <v>263</v>
      </c>
      <c r="AC418" s="652"/>
      <c r="AD418" s="652" t="s">
        <v>113</v>
      </c>
      <c r="AE418" s="653">
        <f t="shared" si="6"/>
        <v>3</v>
      </c>
    </row>
    <row r="419" spans="1:31" ht="105" hidden="1" x14ac:dyDescent="0.25">
      <c r="A419" s="608" t="s">
        <v>3775</v>
      </c>
      <c r="B419" s="601" t="s">
        <v>1590</v>
      </c>
      <c r="C419" s="601" t="s">
        <v>2089</v>
      </c>
      <c r="D419" s="602" t="s">
        <v>4404</v>
      </c>
      <c r="E419" s="602" t="s">
        <v>1591</v>
      </c>
      <c r="F419" s="601" t="s">
        <v>1528</v>
      </c>
      <c r="G419" s="602" t="s">
        <v>2156</v>
      </c>
      <c r="H419" s="603">
        <v>5</v>
      </c>
      <c r="I419" s="630">
        <v>45000000000</v>
      </c>
      <c r="J419" s="630" t="s">
        <v>1454</v>
      </c>
      <c r="K419" s="631" t="s">
        <v>2766</v>
      </c>
      <c r="L419" s="798">
        <v>590000</v>
      </c>
      <c r="M419" s="609" t="s">
        <v>2184</v>
      </c>
      <c r="N419" s="606" t="s">
        <v>2575</v>
      </c>
      <c r="O419" s="607">
        <v>42856.5</v>
      </c>
      <c r="P419" s="607">
        <v>42947.5</v>
      </c>
      <c r="Q419" s="600" t="s">
        <v>108</v>
      </c>
      <c r="R419" s="600" t="s">
        <v>1456</v>
      </c>
      <c r="S419" s="630" t="s">
        <v>1457</v>
      </c>
      <c r="T419" s="600"/>
      <c r="U419" s="600"/>
      <c r="V419" s="600"/>
      <c r="W419" s="600"/>
      <c r="X419" s="600"/>
      <c r="Y419" s="600"/>
      <c r="Z419" s="600"/>
      <c r="AA419" s="609" t="s">
        <v>1458</v>
      </c>
      <c r="AB419" s="642" t="s">
        <v>263</v>
      </c>
      <c r="AC419" s="652"/>
      <c r="AD419" s="652" t="s">
        <v>113</v>
      </c>
      <c r="AE419" s="653">
        <f t="shared" si="6"/>
        <v>5</v>
      </c>
    </row>
    <row r="420" spans="1:31" ht="105" hidden="1" x14ac:dyDescent="0.25">
      <c r="A420" s="608" t="s">
        <v>3776</v>
      </c>
      <c r="B420" s="601" t="s">
        <v>1590</v>
      </c>
      <c r="C420" s="601" t="s">
        <v>2089</v>
      </c>
      <c r="D420" s="602" t="s">
        <v>4403</v>
      </c>
      <c r="E420" s="602" t="s">
        <v>1591</v>
      </c>
      <c r="F420" s="601" t="s">
        <v>1528</v>
      </c>
      <c r="G420" s="602" t="s">
        <v>2156</v>
      </c>
      <c r="H420" s="603">
        <v>5</v>
      </c>
      <c r="I420" s="630">
        <v>45000000000</v>
      </c>
      <c r="J420" s="630" t="s">
        <v>1454</v>
      </c>
      <c r="K420" s="631" t="s">
        <v>2766</v>
      </c>
      <c r="L420" s="798">
        <v>590000</v>
      </c>
      <c r="M420" s="609" t="s">
        <v>2184</v>
      </c>
      <c r="N420" s="606" t="s">
        <v>2575</v>
      </c>
      <c r="O420" s="607">
        <v>42948.5</v>
      </c>
      <c r="P420" s="607">
        <v>43039.5</v>
      </c>
      <c r="Q420" s="600" t="s">
        <v>108</v>
      </c>
      <c r="R420" s="600" t="s">
        <v>1456</v>
      </c>
      <c r="S420" s="630" t="s">
        <v>1457</v>
      </c>
      <c r="T420" s="600"/>
      <c r="U420" s="600"/>
      <c r="V420" s="600" t="s">
        <v>54</v>
      </c>
      <c r="W420" s="600"/>
      <c r="X420" s="600"/>
      <c r="Y420" s="600"/>
      <c r="Z420" s="600"/>
      <c r="AA420" s="609" t="s">
        <v>1458</v>
      </c>
      <c r="AB420" s="642" t="s">
        <v>5980</v>
      </c>
      <c r="AC420" s="652"/>
      <c r="AD420" s="652" t="s">
        <v>113</v>
      </c>
      <c r="AE420" s="653">
        <f t="shared" si="6"/>
        <v>8</v>
      </c>
    </row>
    <row r="421" spans="1:31" ht="105" hidden="1" x14ac:dyDescent="0.25">
      <c r="A421" s="608" t="s">
        <v>3777</v>
      </c>
      <c r="B421" s="601" t="s">
        <v>1585</v>
      </c>
      <c r="C421" s="601" t="s">
        <v>1585</v>
      </c>
      <c r="D421" s="602" t="s">
        <v>7696</v>
      </c>
      <c r="E421" s="602" t="s">
        <v>1586</v>
      </c>
      <c r="F421" s="601" t="s">
        <v>1528</v>
      </c>
      <c r="G421" s="602" t="s">
        <v>2156</v>
      </c>
      <c r="H421" s="603">
        <v>2</v>
      </c>
      <c r="I421" s="630">
        <v>45000000000</v>
      </c>
      <c r="J421" s="630" t="s">
        <v>1454</v>
      </c>
      <c r="K421" s="631" t="s">
        <v>7697</v>
      </c>
      <c r="L421" s="798">
        <v>1109165.8600000001</v>
      </c>
      <c r="M421" s="609" t="s">
        <v>2184</v>
      </c>
      <c r="N421" s="606">
        <v>1109165.8600000001</v>
      </c>
      <c r="O421" s="607">
        <v>43070</v>
      </c>
      <c r="P421" s="607">
        <v>43160</v>
      </c>
      <c r="Q421" s="600" t="s">
        <v>108</v>
      </c>
      <c r="R421" s="600" t="s">
        <v>1456</v>
      </c>
      <c r="S421" s="630" t="s">
        <v>1457</v>
      </c>
      <c r="T421" s="600"/>
      <c r="U421" s="600"/>
      <c r="W421" s="600"/>
      <c r="X421" s="600"/>
      <c r="Y421" s="600"/>
      <c r="Z421" s="600"/>
      <c r="AA421" s="609" t="s">
        <v>1458</v>
      </c>
      <c r="AB421" s="642" t="s">
        <v>263</v>
      </c>
      <c r="AC421" s="652"/>
      <c r="AD421" s="652" t="s">
        <v>113</v>
      </c>
      <c r="AE421" s="653">
        <f t="shared" si="6"/>
        <v>12</v>
      </c>
    </row>
    <row r="422" spans="1:31" ht="105" hidden="1" x14ac:dyDescent="0.25">
      <c r="A422" s="608" t="s">
        <v>3778</v>
      </c>
      <c r="B422" s="601" t="s">
        <v>1590</v>
      </c>
      <c r="C422" s="601" t="s">
        <v>1590</v>
      </c>
      <c r="D422" s="602" t="s">
        <v>4402</v>
      </c>
      <c r="E422" s="602" t="s">
        <v>1591</v>
      </c>
      <c r="F422" s="601" t="s">
        <v>1528</v>
      </c>
      <c r="G422" s="602" t="s">
        <v>2156</v>
      </c>
      <c r="H422" s="603">
        <v>1</v>
      </c>
      <c r="I422" s="630">
        <v>45000000000</v>
      </c>
      <c r="J422" s="630" t="s">
        <v>1454</v>
      </c>
      <c r="K422" s="631" t="s">
        <v>2767</v>
      </c>
      <c r="L422" s="798">
        <v>686000</v>
      </c>
      <c r="M422" s="609" t="s">
        <v>2184</v>
      </c>
      <c r="N422" s="606" t="s">
        <v>2576</v>
      </c>
      <c r="O422" s="607">
        <v>42887.5</v>
      </c>
      <c r="P422" s="607">
        <v>42978.5</v>
      </c>
      <c r="Q422" s="600" t="s">
        <v>108</v>
      </c>
      <c r="R422" s="600" t="s">
        <v>1456</v>
      </c>
      <c r="S422" s="630" t="s">
        <v>1457</v>
      </c>
      <c r="T422" s="600"/>
      <c r="U422" s="600"/>
      <c r="V422" s="600"/>
      <c r="W422" s="600"/>
      <c r="X422" s="600"/>
      <c r="Y422" s="600"/>
      <c r="Z422" s="600"/>
      <c r="AA422" s="609" t="s">
        <v>1458</v>
      </c>
      <c r="AB422" s="642" t="s">
        <v>263</v>
      </c>
      <c r="AC422" s="652"/>
      <c r="AD422" s="652" t="s">
        <v>113</v>
      </c>
      <c r="AE422" s="653">
        <f t="shared" si="6"/>
        <v>6</v>
      </c>
    </row>
    <row r="423" spans="1:31" ht="105" hidden="1" x14ac:dyDescent="0.25">
      <c r="A423" s="608" t="s">
        <v>3779</v>
      </c>
      <c r="B423" s="1020" t="s">
        <v>7694</v>
      </c>
      <c r="C423" s="1020" t="s">
        <v>7694</v>
      </c>
      <c r="D423" s="602" t="s">
        <v>7698</v>
      </c>
      <c r="E423" s="602" t="s">
        <v>1591</v>
      </c>
      <c r="F423" s="601" t="s">
        <v>1528</v>
      </c>
      <c r="G423" s="602" t="s">
        <v>2156</v>
      </c>
      <c r="H423" s="603">
        <v>2</v>
      </c>
      <c r="I423" s="630">
        <v>45000000000</v>
      </c>
      <c r="J423" s="630" t="s">
        <v>1454</v>
      </c>
      <c r="K423" s="631" t="s">
        <v>7699</v>
      </c>
      <c r="L423" s="798">
        <v>1164874.5</v>
      </c>
      <c r="M423" s="609" t="s">
        <v>2184</v>
      </c>
      <c r="N423" s="606">
        <v>1164874.5</v>
      </c>
      <c r="O423" s="607">
        <v>43070</v>
      </c>
      <c r="P423" s="607">
        <v>43132</v>
      </c>
      <c r="Q423" s="600" t="s">
        <v>108</v>
      </c>
      <c r="R423" s="600" t="s">
        <v>1456</v>
      </c>
      <c r="S423" s="630" t="s">
        <v>1457</v>
      </c>
      <c r="T423" s="600"/>
      <c r="U423" s="600"/>
      <c r="W423" s="600"/>
      <c r="X423" s="600"/>
      <c r="Y423" s="600"/>
      <c r="Z423" s="600"/>
      <c r="AA423" s="609" t="s">
        <v>1458</v>
      </c>
      <c r="AB423" s="642" t="s">
        <v>263</v>
      </c>
      <c r="AC423" s="652"/>
      <c r="AD423" s="652" t="s">
        <v>113</v>
      </c>
      <c r="AE423" s="653">
        <f t="shared" si="6"/>
        <v>12</v>
      </c>
    </row>
    <row r="424" spans="1:31" ht="105" hidden="1" x14ac:dyDescent="0.25">
      <c r="A424" s="608" t="s">
        <v>3780</v>
      </c>
      <c r="B424" s="601" t="s">
        <v>2093</v>
      </c>
      <c r="C424" s="601" t="s">
        <v>2094</v>
      </c>
      <c r="D424" s="602" t="s">
        <v>4401</v>
      </c>
      <c r="E424" s="602" t="s">
        <v>1485</v>
      </c>
      <c r="F424" s="601" t="s">
        <v>1528</v>
      </c>
      <c r="G424" s="602" t="s">
        <v>2156</v>
      </c>
      <c r="H424" s="603">
        <v>1</v>
      </c>
      <c r="I424" s="630">
        <v>45000000000</v>
      </c>
      <c r="J424" s="630" t="s">
        <v>1454</v>
      </c>
      <c r="K424" s="631" t="s">
        <v>2768</v>
      </c>
      <c r="L424" s="798">
        <v>718478</v>
      </c>
      <c r="M424" s="609" t="s">
        <v>2184</v>
      </c>
      <c r="N424" s="606" t="s">
        <v>2577</v>
      </c>
      <c r="O424" s="607">
        <v>42736.5</v>
      </c>
      <c r="P424" s="607">
        <v>43100.5</v>
      </c>
      <c r="Q424" s="600" t="s">
        <v>108</v>
      </c>
      <c r="R424" s="600" t="s">
        <v>1456</v>
      </c>
      <c r="S424" s="630" t="s">
        <v>1457</v>
      </c>
      <c r="T424" s="600"/>
      <c r="U424" s="600"/>
      <c r="V424" s="600"/>
      <c r="W424" s="600"/>
      <c r="X424" s="600"/>
      <c r="Y424" s="600"/>
      <c r="Z424" s="600"/>
      <c r="AA424" s="609" t="s">
        <v>1458</v>
      </c>
      <c r="AB424" s="642" t="s">
        <v>263</v>
      </c>
      <c r="AC424" s="652"/>
      <c r="AD424" s="652" t="s">
        <v>113</v>
      </c>
      <c r="AE424" s="653">
        <f t="shared" si="6"/>
        <v>1</v>
      </c>
    </row>
    <row r="425" spans="1:31" ht="105" hidden="1" x14ac:dyDescent="0.25">
      <c r="A425" s="608" t="s">
        <v>3781</v>
      </c>
      <c r="B425" s="601" t="s">
        <v>2095</v>
      </c>
      <c r="C425" s="601" t="s">
        <v>2096</v>
      </c>
      <c r="D425" s="602" t="s">
        <v>5507</v>
      </c>
      <c r="E425" s="602" t="s">
        <v>1485</v>
      </c>
      <c r="F425" s="601" t="s">
        <v>1528</v>
      </c>
      <c r="G425" s="602" t="s">
        <v>2156</v>
      </c>
      <c r="H425" s="603">
        <v>1</v>
      </c>
      <c r="I425" s="630">
        <v>45000000000</v>
      </c>
      <c r="J425" s="630" t="s">
        <v>1454</v>
      </c>
      <c r="K425" s="631" t="s">
        <v>2097</v>
      </c>
      <c r="L425" s="798">
        <v>36000000</v>
      </c>
      <c r="M425" s="609" t="s">
        <v>2184</v>
      </c>
      <c r="N425" s="606" t="s">
        <v>2578</v>
      </c>
      <c r="O425" s="607">
        <v>42736.5</v>
      </c>
      <c r="P425" s="607">
        <v>43100.5</v>
      </c>
      <c r="Q425" s="600" t="s">
        <v>108</v>
      </c>
      <c r="R425" s="600" t="s">
        <v>1456</v>
      </c>
      <c r="S425" s="630" t="s">
        <v>1457</v>
      </c>
      <c r="T425" s="600"/>
      <c r="U425" s="600"/>
      <c r="V425" s="600"/>
      <c r="W425" s="600"/>
      <c r="X425" s="600"/>
      <c r="Y425" s="600"/>
      <c r="Z425" s="600"/>
      <c r="AA425" s="609" t="s">
        <v>1458</v>
      </c>
      <c r="AB425" s="642" t="s">
        <v>263</v>
      </c>
      <c r="AC425" s="652"/>
      <c r="AD425" s="652" t="s">
        <v>113</v>
      </c>
      <c r="AE425" s="653">
        <f t="shared" si="6"/>
        <v>1</v>
      </c>
    </row>
    <row r="426" spans="1:31" ht="105" hidden="1" x14ac:dyDescent="0.25">
      <c r="A426" s="608" t="s">
        <v>3782</v>
      </c>
      <c r="B426" s="601" t="s">
        <v>1793</v>
      </c>
      <c r="C426" s="601" t="s">
        <v>2096</v>
      </c>
      <c r="D426" s="602" t="s">
        <v>5506</v>
      </c>
      <c r="E426" s="602" t="s">
        <v>1485</v>
      </c>
      <c r="F426" s="601" t="s">
        <v>1528</v>
      </c>
      <c r="G426" s="602" t="s">
        <v>2156</v>
      </c>
      <c r="H426" s="603">
        <v>1</v>
      </c>
      <c r="I426" s="630">
        <v>45000000000</v>
      </c>
      <c r="J426" s="630" t="s">
        <v>1454</v>
      </c>
      <c r="K426" s="631" t="s">
        <v>2098</v>
      </c>
      <c r="L426" s="798">
        <v>35000000</v>
      </c>
      <c r="M426" s="609" t="s">
        <v>2184</v>
      </c>
      <c r="N426" s="606" t="s">
        <v>2280</v>
      </c>
      <c r="O426" s="607">
        <v>42736.5</v>
      </c>
      <c r="P426" s="607">
        <v>43100.5</v>
      </c>
      <c r="Q426" s="600" t="s">
        <v>108</v>
      </c>
      <c r="R426" s="600" t="s">
        <v>1456</v>
      </c>
      <c r="S426" s="630" t="s">
        <v>1457</v>
      </c>
      <c r="T426" s="600"/>
      <c r="U426" s="600"/>
      <c r="V426" s="600"/>
      <c r="W426" s="600"/>
      <c r="X426" s="600"/>
      <c r="Y426" s="600"/>
      <c r="Z426" s="600"/>
      <c r="AA426" s="609" t="s">
        <v>1458</v>
      </c>
      <c r="AB426" s="642" t="s">
        <v>263</v>
      </c>
      <c r="AC426" s="652"/>
      <c r="AD426" s="652" t="s">
        <v>113</v>
      </c>
      <c r="AE426" s="653">
        <f t="shared" si="6"/>
        <v>1</v>
      </c>
    </row>
    <row r="427" spans="1:31" ht="105" hidden="1" x14ac:dyDescent="0.25">
      <c r="A427" s="608" t="s">
        <v>3783</v>
      </c>
      <c r="B427" s="601" t="s">
        <v>1793</v>
      </c>
      <c r="C427" s="601" t="s">
        <v>2096</v>
      </c>
      <c r="D427" s="602" t="s">
        <v>5505</v>
      </c>
      <c r="E427" s="602" t="s">
        <v>1485</v>
      </c>
      <c r="F427" s="601" t="s">
        <v>1528</v>
      </c>
      <c r="G427" s="602" t="s">
        <v>2156</v>
      </c>
      <c r="H427" s="603">
        <v>1</v>
      </c>
      <c r="I427" s="630">
        <v>45000000000</v>
      </c>
      <c r="J427" s="630" t="s">
        <v>1454</v>
      </c>
      <c r="K427" s="631" t="s">
        <v>2092</v>
      </c>
      <c r="L427" s="798">
        <v>600000</v>
      </c>
      <c r="M427" s="609" t="s">
        <v>2184</v>
      </c>
      <c r="N427" s="606" t="s">
        <v>2579</v>
      </c>
      <c r="O427" s="607">
        <v>42736.5</v>
      </c>
      <c r="P427" s="607">
        <v>43100.5</v>
      </c>
      <c r="Q427" s="600" t="s">
        <v>108</v>
      </c>
      <c r="R427" s="600" t="s">
        <v>1456</v>
      </c>
      <c r="S427" s="630" t="s">
        <v>1457</v>
      </c>
      <c r="T427" s="600"/>
      <c r="U427" s="600"/>
      <c r="V427" s="600"/>
      <c r="W427" s="600"/>
      <c r="X427" s="600"/>
      <c r="Y427" s="600"/>
      <c r="Z427" s="600"/>
      <c r="AA427" s="609" t="s">
        <v>1458</v>
      </c>
      <c r="AB427" s="642" t="s">
        <v>263</v>
      </c>
      <c r="AC427" s="652"/>
      <c r="AD427" s="652" t="s">
        <v>113</v>
      </c>
      <c r="AE427" s="653">
        <f t="shared" si="6"/>
        <v>1</v>
      </c>
    </row>
    <row r="428" spans="1:31" ht="105" hidden="1" x14ac:dyDescent="0.25">
      <c r="A428" s="608" t="s">
        <v>3784</v>
      </c>
      <c r="B428" s="601" t="s">
        <v>1793</v>
      </c>
      <c r="C428" s="601" t="s">
        <v>2096</v>
      </c>
      <c r="D428" s="602" t="s">
        <v>5504</v>
      </c>
      <c r="E428" s="602" t="s">
        <v>1485</v>
      </c>
      <c r="F428" s="601" t="s">
        <v>1528</v>
      </c>
      <c r="G428" s="602" t="s">
        <v>2156</v>
      </c>
      <c r="H428" s="603">
        <v>1</v>
      </c>
      <c r="I428" s="630">
        <v>45000000000</v>
      </c>
      <c r="J428" s="630" t="s">
        <v>1454</v>
      </c>
      <c r="K428" s="631" t="s">
        <v>2099</v>
      </c>
      <c r="L428" s="798">
        <v>13021400</v>
      </c>
      <c r="M428" s="609" t="s">
        <v>2184</v>
      </c>
      <c r="N428" s="606" t="s">
        <v>2580</v>
      </c>
      <c r="O428" s="607">
        <v>42795</v>
      </c>
      <c r="P428" s="607">
        <v>43100.5</v>
      </c>
      <c r="Q428" s="600" t="s">
        <v>108</v>
      </c>
      <c r="R428" s="600" t="s">
        <v>1456</v>
      </c>
      <c r="S428" s="630" t="s">
        <v>1457</v>
      </c>
      <c r="T428" s="600"/>
      <c r="U428" s="600"/>
      <c r="V428" s="600"/>
      <c r="W428" s="600"/>
      <c r="X428" s="600"/>
      <c r="Y428" s="600"/>
      <c r="Z428" s="600"/>
      <c r="AA428" s="609" t="s">
        <v>1458</v>
      </c>
      <c r="AB428" s="642" t="s">
        <v>263</v>
      </c>
      <c r="AC428" s="652"/>
      <c r="AD428" s="652" t="s">
        <v>113</v>
      </c>
      <c r="AE428" s="653">
        <f t="shared" si="6"/>
        <v>3</v>
      </c>
    </row>
    <row r="429" spans="1:31" ht="105" hidden="1" x14ac:dyDescent="0.25">
      <c r="A429" s="608" t="s">
        <v>3785</v>
      </c>
      <c r="B429" s="601" t="s">
        <v>1793</v>
      </c>
      <c r="C429" s="601" t="s">
        <v>2096</v>
      </c>
      <c r="D429" s="602" t="s">
        <v>5503</v>
      </c>
      <c r="E429" s="602" t="s">
        <v>1485</v>
      </c>
      <c r="F429" s="601" t="s">
        <v>1528</v>
      </c>
      <c r="G429" s="602" t="s">
        <v>2156</v>
      </c>
      <c r="H429" s="603">
        <v>1</v>
      </c>
      <c r="I429" s="630">
        <v>45000000000</v>
      </c>
      <c r="J429" s="630" t="s">
        <v>1454</v>
      </c>
      <c r="K429" s="631" t="s">
        <v>1489</v>
      </c>
      <c r="L429" s="798">
        <v>400000</v>
      </c>
      <c r="M429" s="609" t="s">
        <v>2184</v>
      </c>
      <c r="N429" s="606" t="s">
        <v>2581</v>
      </c>
      <c r="O429" s="607">
        <v>42795</v>
      </c>
      <c r="P429" s="607">
        <v>43100.5</v>
      </c>
      <c r="Q429" s="600" t="s">
        <v>108</v>
      </c>
      <c r="R429" s="600" t="s">
        <v>1456</v>
      </c>
      <c r="S429" s="630" t="s">
        <v>1457</v>
      </c>
      <c r="T429" s="600"/>
      <c r="U429" s="600"/>
      <c r="V429" s="600"/>
      <c r="W429" s="600"/>
      <c r="X429" s="600"/>
      <c r="Y429" s="600"/>
      <c r="Z429" s="600"/>
      <c r="AA429" s="609" t="s">
        <v>1458</v>
      </c>
      <c r="AB429" s="642" t="s">
        <v>263</v>
      </c>
      <c r="AC429" s="652"/>
      <c r="AD429" s="652" t="s">
        <v>113</v>
      </c>
      <c r="AE429" s="653">
        <f t="shared" si="6"/>
        <v>3</v>
      </c>
    </row>
    <row r="430" spans="1:31" ht="105" hidden="1" x14ac:dyDescent="0.25">
      <c r="A430" s="608" t="s">
        <v>3786</v>
      </c>
      <c r="B430" s="601" t="s">
        <v>1793</v>
      </c>
      <c r="C430" s="601" t="s">
        <v>2096</v>
      </c>
      <c r="D430" s="602" t="s">
        <v>5502</v>
      </c>
      <c r="E430" s="602" t="s">
        <v>1485</v>
      </c>
      <c r="F430" s="601" t="s">
        <v>1528</v>
      </c>
      <c r="G430" s="602" t="s">
        <v>2156</v>
      </c>
      <c r="H430" s="603">
        <v>1</v>
      </c>
      <c r="I430" s="630">
        <v>45000000000</v>
      </c>
      <c r="J430" s="630" t="s">
        <v>1454</v>
      </c>
      <c r="K430" s="631" t="s">
        <v>1515</v>
      </c>
      <c r="L430" s="798">
        <v>355000</v>
      </c>
      <c r="M430" s="609" t="s">
        <v>2184</v>
      </c>
      <c r="N430" s="606" t="s">
        <v>2582</v>
      </c>
      <c r="O430" s="607">
        <v>42795</v>
      </c>
      <c r="P430" s="607">
        <v>43100.5</v>
      </c>
      <c r="Q430" s="630" t="s">
        <v>100</v>
      </c>
      <c r="R430" s="600" t="s">
        <v>1456</v>
      </c>
      <c r="S430" s="630" t="s">
        <v>1457</v>
      </c>
      <c r="T430" s="600"/>
      <c r="U430" s="600"/>
      <c r="V430" s="600"/>
      <c r="W430" s="600"/>
      <c r="X430" s="600"/>
      <c r="Y430" s="600"/>
      <c r="Z430" s="600"/>
      <c r="AA430" s="609" t="s">
        <v>1458</v>
      </c>
      <c r="AB430" s="642" t="s">
        <v>263</v>
      </c>
      <c r="AC430" s="652"/>
      <c r="AD430" s="652" t="s">
        <v>113</v>
      </c>
      <c r="AE430" s="653">
        <f t="shared" si="6"/>
        <v>3</v>
      </c>
    </row>
    <row r="431" spans="1:31" ht="105" hidden="1" x14ac:dyDescent="0.25">
      <c r="A431" s="608" t="s">
        <v>3787</v>
      </c>
      <c r="B431" s="601" t="s">
        <v>1793</v>
      </c>
      <c r="C431" s="601" t="s">
        <v>2096</v>
      </c>
      <c r="D431" s="602" t="s">
        <v>5501</v>
      </c>
      <c r="E431" s="602" t="s">
        <v>1485</v>
      </c>
      <c r="F431" s="601" t="s">
        <v>1528</v>
      </c>
      <c r="G431" s="602" t="s">
        <v>2156</v>
      </c>
      <c r="H431" s="603">
        <v>2</v>
      </c>
      <c r="I431" s="630">
        <v>45000000000</v>
      </c>
      <c r="J431" s="630" t="s">
        <v>1454</v>
      </c>
      <c r="K431" s="631" t="s">
        <v>2769</v>
      </c>
      <c r="L431" s="798">
        <v>468000</v>
      </c>
      <c r="M431" s="609" t="s">
        <v>2184</v>
      </c>
      <c r="N431" s="606" t="s">
        <v>2583</v>
      </c>
      <c r="O431" s="607">
        <v>42795</v>
      </c>
      <c r="P431" s="607">
        <v>43100.5</v>
      </c>
      <c r="Q431" s="630" t="s">
        <v>100</v>
      </c>
      <c r="R431" s="600" t="s">
        <v>1456</v>
      </c>
      <c r="S431" s="630" t="s">
        <v>1457</v>
      </c>
      <c r="T431" s="600"/>
      <c r="U431" s="600"/>
      <c r="V431" s="600"/>
      <c r="W431" s="600"/>
      <c r="X431" s="600"/>
      <c r="Y431" s="600"/>
      <c r="Z431" s="600"/>
      <c r="AA431" s="609" t="s">
        <v>1458</v>
      </c>
      <c r="AB431" s="642" t="s">
        <v>263</v>
      </c>
      <c r="AC431" s="652"/>
      <c r="AD431" s="652" t="s">
        <v>113</v>
      </c>
      <c r="AE431" s="653">
        <f t="shared" si="6"/>
        <v>3</v>
      </c>
    </row>
    <row r="432" spans="1:31" ht="105" hidden="1" x14ac:dyDescent="0.25">
      <c r="A432" s="608" t="s">
        <v>3788</v>
      </c>
      <c r="B432" s="601" t="s">
        <v>1793</v>
      </c>
      <c r="C432" s="601" t="s">
        <v>2096</v>
      </c>
      <c r="D432" s="602" t="s">
        <v>5500</v>
      </c>
      <c r="E432" s="602" t="s">
        <v>1485</v>
      </c>
      <c r="F432" s="601" t="s">
        <v>1528</v>
      </c>
      <c r="G432" s="602" t="s">
        <v>2156</v>
      </c>
      <c r="H432" s="603">
        <v>1</v>
      </c>
      <c r="I432" s="630">
        <v>45000000000</v>
      </c>
      <c r="J432" s="630" t="s">
        <v>1454</v>
      </c>
      <c r="K432" s="631" t="s">
        <v>1497</v>
      </c>
      <c r="L432" s="798">
        <v>3500000</v>
      </c>
      <c r="M432" s="609" t="s">
        <v>2184</v>
      </c>
      <c r="N432" s="606" t="s">
        <v>2584</v>
      </c>
      <c r="O432" s="607">
        <v>42887</v>
      </c>
      <c r="P432" s="607">
        <v>43100.5</v>
      </c>
      <c r="Q432" s="630" t="s">
        <v>108</v>
      </c>
      <c r="R432" s="600" t="s">
        <v>1456</v>
      </c>
      <c r="S432" s="630" t="s">
        <v>1457</v>
      </c>
      <c r="T432" s="600"/>
      <c r="U432" s="600"/>
      <c r="V432" s="600"/>
      <c r="W432" s="600"/>
      <c r="X432" s="600"/>
      <c r="Y432" s="600"/>
      <c r="Z432" s="600"/>
      <c r="AA432" s="609" t="s">
        <v>1458</v>
      </c>
      <c r="AB432" s="642" t="s">
        <v>263</v>
      </c>
      <c r="AC432" s="652"/>
      <c r="AD432" s="652" t="s">
        <v>113</v>
      </c>
      <c r="AE432" s="653">
        <f t="shared" si="6"/>
        <v>6</v>
      </c>
    </row>
    <row r="433" spans="1:31" ht="105" hidden="1" x14ac:dyDescent="0.25">
      <c r="A433" s="608" t="s">
        <v>3789</v>
      </c>
      <c r="B433" s="601" t="s">
        <v>1793</v>
      </c>
      <c r="C433" s="601" t="s">
        <v>2096</v>
      </c>
      <c r="D433" s="602" t="s">
        <v>5499</v>
      </c>
      <c r="E433" s="602" t="s">
        <v>1485</v>
      </c>
      <c r="F433" s="601" t="s">
        <v>1528</v>
      </c>
      <c r="G433" s="602" t="s">
        <v>2156</v>
      </c>
      <c r="H433" s="603">
        <v>2</v>
      </c>
      <c r="I433" s="630">
        <v>45000000000</v>
      </c>
      <c r="J433" s="630" t="s">
        <v>1454</v>
      </c>
      <c r="K433" s="631" t="s">
        <v>2770</v>
      </c>
      <c r="L433" s="798">
        <v>2148000</v>
      </c>
      <c r="M433" s="609" t="s">
        <v>2184</v>
      </c>
      <c r="N433" s="606" t="s">
        <v>2585</v>
      </c>
      <c r="O433" s="607">
        <v>42795</v>
      </c>
      <c r="P433" s="607">
        <v>43100.5</v>
      </c>
      <c r="Q433" s="600" t="s">
        <v>100</v>
      </c>
      <c r="R433" s="600" t="s">
        <v>1456</v>
      </c>
      <c r="S433" s="630" t="s">
        <v>1457</v>
      </c>
      <c r="T433" s="600"/>
      <c r="U433" s="600"/>
      <c r="V433" s="600"/>
      <c r="W433" s="600"/>
      <c r="X433" s="600"/>
      <c r="Y433" s="600"/>
      <c r="Z433" s="600"/>
      <c r="AA433" s="609" t="s">
        <v>1458</v>
      </c>
      <c r="AB433" s="642" t="s">
        <v>263</v>
      </c>
      <c r="AC433" s="652"/>
      <c r="AD433" s="652" t="s">
        <v>113</v>
      </c>
      <c r="AE433" s="653">
        <f t="shared" si="6"/>
        <v>3</v>
      </c>
    </row>
    <row r="434" spans="1:31" ht="105" hidden="1" x14ac:dyDescent="0.25">
      <c r="A434" s="608" t="s">
        <v>3790</v>
      </c>
      <c r="B434" s="601" t="s">
        <v>1793</v>
      </c>
      <c r="C434" s="601" t="s">
        <v>2096</v>
      </c>
      <c r="D434" s="602" t="s">
        <v>5498</v>
      </c>
      <c r="E434" s="602" t="s">
        <v>1485</v>
      </c>
      <c r="F434" s="601" t="s">
        <v>1528</v>
      </c>
      <c r="G434" s="602" t="s">
        <v>2156</v>
      </c>
      <c r="H434" s="603">
        <v>1</v>
      </c>
      <c r="I434" s="630">
        <v>45000000000</v>
      </c>
      <c r="J434" s="630" t="s">
        <v>1454</v>
      </c>
      <c r="K434" s="631" t="s">
        <v>1647</v>
      </c>
      <c r="L434" s="798">
        <v>278200</v>
      </c>
      <c r="M434" s="609" t="s">
        <v>2184</v>
      </c>
      <c r="N434" s="606" t="s">
        <v>2586</v>
      </c>
      <c r="O434" s="607">
        <v>42795</v>
      </c>
      <c r="P434" s="607">
        <v>43100.5</v>
      </c>
      <c r="Q434" s="600" t="s">
        <v>108</v>
      </c>
      <c r="R434" s="600" t="s">
        <v>1456</v>
      </c>
      <c r="S434" s="630" t="s">
        <v>1457</v>
      </c>
      <c r="T434" s="600"/>
      <c r="U434" s="600"/>
      <c r="V434" s="600"/>
      <c r="W434" s="600"/>
      <c r="X434" s="600"/>
      <c r="Y434" s="600"/>
      <c r="Z434" s="600"/>
      <c r="AA434" s="609" t="s">
        <v>1458</v>
      </c>
      <c r="AB434" s="642" t="s">
        <v>263</v>
      </c>
      <c r="AC434" s="652"/>
      <c r="AD434" s="652" t="s">
        <v>113</v>
      </c>
      <c r="AE434" s="653">
        <f t="shared" si="6"/>
        <v>3</v>
      </c>
    </row>
    <row r="435" spans="1:31" ht="105" hidden="1" x14ac:dyDescent="0.25">
      <c r="A435" s="608" t="s">
        <v>3791</v>
      </c>
      <c r="B435" s="601" t="s">
        <v>1793</v>
      </c>
      <c r="C435" s="601" t="s">
        <v>2096</v>
      </c>
      <c r="D435" s="602" t="s">
        <v>5497</v>
      </c>
      <c r="E435" s="602" t="s">
        <v>1485</v>
      </c>
      <c r="F435" s="601" t="s">
        <v>1528</v>
      </c>
      <c r="G435" s="602" t="s">
        <v>2156</v>
      </c>
      <c r="H435" s="603">
        <v>1</v>
      </c>
      <c r="I435" s="630">
        <v>45000000000</v>
      </c>
      <c r="J435" s="630" t="s">
        <v>1454</v>
      </c>
      <c r="K435" s="631" t="s">
        <v>2100</v>
      </c>
      <c r="L435" s="798">
        <v>237200</v>
      </c>
      <c r="M435" s="609" t="s">
        <v>2184</v>
      </c>
      <c r="N435" s="606" t="s">
        <v>2587</v>
      </c>
      <c r="O435" s="607">
        <v>42795</v>
      </c>
      <c r="P435" s="607">
        <v>43100.5</v>
      </c>
      <c r="Q435" s="600" t="s">
        <v>108</v>
      </c>
      <c r="R435" s="600" t="s">
        <v>1456</v>
      </c>
      <c r="S435" s="630" t="s">
        <v>1457</v>
      </c>
      <c r="T435" s="600"/>
      <c r="U435" s="600"/>
      <c r="V435" s="600"/>
      <c r="W435" s="600"/>
      <c r="X435" s="600"/>
      <c r="Y435" s="600"/>
      <c r="Z435" s="600"/>
      <c r="AA435" s="609" t="s">
        <v>1458</v>
      </c>
      <c r="AB435" s="642" t="s">
        <v>263</v>
      </c>
      <c r="AC435" s="652"/>
      <c r="AD435" s="652" t="s">
        <v>113</v>
      </c>
      <c r="AE435" s="653">
        <f t="shared" si="6"/>
        <v>3</v>
      </c>
    </row>
    <row r="436" spans="1:31" ht="105" hidden="1" x14ac:dyDescent="0.25">
      <c r="A436" s="608" t="s">
        <v>3792</v>
      </c>
      <c r="B436" s="601" t="s">
        <v>1793</v>
      </c>
      <c r="C436" s="601" t="s">
        <v>2096</v>
      </c>
      <c r="D436" s="602" t="s">
        <v>5496</v>
      </c>
      <c r="E436" s="602" t="s">
        <v>1485</v>
      </c>
      <c r="F436" s="601" t="s">
        <v>1528</v>
      </c>
      <c r="G436" s="602" t="s">
        <v>2156</v>
      </c>
      <c r="H436" s="603">
        <v>2</v>
      </c>
      <c r="I436" s="630">
        <v>45000000000</v>
      </c>
      <c r="J436" s="630" t="s">
        <v>1454</v>
      </c>
      <c r="K436" s="631" t="s">
        <v>2101</v>
      </c>
      <c r="L436" s="798">
        <v>2096400</v>
      </c>
      <c r="M436" s="609" t="s">
        <v>2184</v>
      </c>
      <c r="N436" s="606" t="s">
        <v>2588</v>
      </c>
      <c r="O436" s="607">
        <v>42795</v>
      </c>
      <c r="P436" s="607">
        <v>43100.5</v>
      </c>
      <c r="Q436" s="600" t="s">
        <v>108</v>
      </c>
      <c r="R436" s="600" t="s">
        <v>1456</v>
      </c>
      <c r="S436" s="630" t="s">
        <v>1457</v>
      </c>
      <c r="T436" s="600"/>
      <c r="U436" s="600"/>
      <c r="V436" s="600"/>
      <c r="W436" s="600"/>
      <c r="X436" s="600"/>
      <c r="Y436" s="600"/>
      <c r="Z436" s="600"/>
      <c r="AA436" s="609" t="s">
        <v>1458</v>
      </c>
      <c r="AB436" s="642" t="s">
        <v>263</v>
      </c>
      <c r="AC436" s="652"/>
      <c r="AD436" s="652" t="s">
        <v>113</v>
      </c>
      <c r="AE436" s="653">
        <f t="shared" ref="AE436:AE499" si="7">IF(O436=0,,MONTH(O436))</f>
        <v>3</v>
      </c>
    </row>
    <row r="437" spans="1:31" ht="105" hidden="1" x14ac:dyDescent="0.25">
      <c r="A437" s="608" t="s">
        <v>3793</v>
      </c>
      <c r="B437" s="601" t="s">
        <v>1793</v>
      </c>
      <c r="C437" s="601" t="s">
        <v>2096</v>
      </c>
      <c r="D437" s="602" t="s">
        <v>5495</v>
      </c>
      <c r="E437" s="602" t="s">
        <v>1485</v>
      </c>
      <c r="F437" s="601" t="s">
        <v>1528</v>
      </c>
      <c r="G437" s="602" t="s">
        <v>2156</v>
      </c>
      <c r="H437" s="603">
        <v>1</v>
      </c>
      <c r="I437" s="630">
        <v>45000000000</v>
      </c>
      <c r="J437" s="630" t="s">
        <v>1454</v>
      </c>
      <c r="K437" s="631" t="s">
        <v>2102</v>
      </c>
      <c r="L437" s="798">
        <v>4000000</v>
      </c>
      <c r="M437" s="609" t="s">
        <v>2184</v>
      </c>
      <c r="N437" s="606" t="s">
        <v>2589</v>
      </c>
      <c r="O437" s="607">
        <v>42887.5</v>
      </c>
      <c r="P437" s="607">
        <v>43100.5</v>
      </c>
      <c r="Q437" s="600" t="s">
        <v>108</v>
      </c>
      <c r="R437" s="600" t="s">
        <v>1456</v>
      </c>
      <c r="S437" s="630" t="s">
        <v>1457</v>
      </c>
      <c r="T437" s="600"/>
      <c r="U437" s="600"/>
      <c r="V437" s="600"/>
      <c r="W437" s="600"/>
      <c r="X437" s="600"/>
      <c r="Y437" s="600"/>
      <c r="Z437" s="600"/>
      <c r="AA437" s="609" t="s">
        <v>1458</v>
      </c>
      <c r="AB437" s="642" t="s">
        <v>263</v>
      </c>
      <c r="AC437" s="652"/>
      <c r="AD437" s="652" t="s">
        <v>113</v>
      </c>
      <c r="AE437" s="653">
        <f t="shared" si="7"/>
        <v>6</v>
      </c>
    </row>
    <row r="438" spans="1:31" ht="105" hidden="1" x14ac:dyDescent="0.25">
      <c r="A438" s="608" t="s">
        <v>3794</v>
      </c>
      <c r="B438" s="601" t="s">
        <v>1793</v>
      </c>
      <c r="C438" s="601" t="s">
        <v>2096</v>
      </c>
      <c r="D438" s="602" t="s">
        <v>5494</v>
      </c>
      <c r="E438" s="602" t="s">
        <v>1485</v>
      </c>
      <c r="F438" s="601" t="s">
        <v>1528</v>
      </c>
      <c r="G438" s="602" t="s">
        <v>2156</v>
      </c>
      <c r="H438" s="603">
        <v>1</v>
      </c>
      <c r="I438" s="630">
        <v>45000000000</v>
      </c>
      <c r="J438" s="630" t="s">
        <v>1454</v>
      </c>
      <c r="K438" s="631" t="s">
        <v>2771</v>
      </c>
      <c r="L438" s="798">
        <v>2510000</v>
      </c>
      <c r="M438" s="609" t="s">
        <v>2184</v>
      </c>
      <c r="N438" s="606" t="s">
        <v>2590</v>
      </c>
      <c r="O438" s="607">
        <v>42795</v>
      </c>
      <c r="P438" s="607">
        <v>43100.5</v>
      </c>
      <c r="Q438" s="600" t="s">
        <v>108</v>
      </c>
      <c r="R438" s="600" t="s">
        <v>1456</v>
      </c>
      <c r="S438" s="630" t="s">
        <v>1457</v>
      </c>
      <c r="T438" s="600"/>
      <c r="U438" s="600"/>
      <c r="V438" s="600"/>
      <c r="W438" s="600"/>
      <c r="X438" s="600"/>
      <c r="Y438" s="600"/>
      <c r="Z438" s="600"/>
      <c r="AA438" s="609" t="s">
        <v>1458</v>
      </c>
      <c r="AB438" s="642" t="s">
        <v>263</v>
      </c>
      <c r="AC438" s="652"/>
      <c r="AD438" s="652" t="s">
        <v>113</v>
      </c>
      <c r="AE438" s="653">
        <f t="shared" si="7"/>
        <v>3</v>
      </c>
    </row>
    <row r="439" spans="1:31" ht="105" hidden="1" x14ac:dyDescent="0.25">
      <c r="A439" s="608" t="s">
        <v>3795</v>
      </c>
      <c r="B439" s="601" t="s">
        <v>1793</v>
      </c>
      <c r="C439" s="601" t="s">
        <v>2096</v>
      </c>
      <c r="D439" s="602" t="s">
        <v>5493</v>
      </c>
      <c r="E439" s="602" t="s">
        <v>1485</v>
      </c>
      <c r="F439" s="601" t="s">
        <v>1528</v>
      </c>
      <c r="G439" s="602" t="s">
        <v>2156</v>
      </c>
      <c r="H439" s="603">
        <v>1</v>
      </c>
      <c r="I439" s="630">
        <v>45000000000</v>
      </c>
      <c r="J439" s="630" t="s">
        <v>1454</v>
      </c>
      <c r="K439" s="631" t="s">
        <v>2005</v>
      </c>
      <c r="L439" s="798">
        <v>110000</v>
      </c>
      <c r="M439" s="609" t="s">
        <v>2184</v>
      </c>
      <c r="N439" s="606" t="s">
        <v>2283</v>
      </c>
      <c r="O439" s="607">
        <v>42795</v>
      </c>
      <c r="P439" s="607">
        <v>43100.5</v>
      </c>
      <c r="Q439" s="600" t="s">
        <v>108</v>
      </c>
      <c r="R439" s="600" t="s">
        <v>1456</v>
      </c>
      <c r="S439" s="630" t="s">
        <v>1457</v>
      </c>
      <c r="T439" s="600"/>
      <c r="U439" s="600"/>
      <c r="V439" s="600"/>
      <c r="W439" s="600"/>
      <c r="X439" s="600"/>
      <c r="Y439" s="600"/>
      <c r="Z439" s="600"/>
      <c r="AA439" s="609" t="s">
        <v>1458</v>
      </c>
      <c r="AB439" s="642" t="s">
        <v>263</v>
      </c>
      <c r="AC439" s="652"/>
      <c r="AD439" s="652" t="s">
        <v>113</v>
      </c>
      <c r="AE439" s="653">
        <f t="shared" si="7"/>
        <v>3</v>
      </c>
    </row>
    <row r="440" spans="1:31" ht="105" hidden="1" x14ac:dyDescent="0.25">
      <c r="A440" s="608" t="s">
        <v>3796</v>
      </c>
      <c r="B440" s="601" t="s">
        <v>1793</v>
      </c>
      <c r="C440" s="601" t="s">
        <v>2096</v>
      </c>
      <c r="D440" s="602" t="s">
        <v>5492</v>
      </c>
      <c r="E440" s="602" t="s">
        <v>1485</v>
      </c>
      <c r="F440" s="601" t="s">
        <v>1528</v>
      </c>
      <c r="G440" s="602" t="s">
        <v>2156</v>
      </c>
      <c r="H440" s="603">
        <v>3</v>
      </c>
      <c r="I440" s="630">
        <v>45000000000</v>
      </c>
      <c r="J440" s="630" t="s">
        <v>1454</v>
      </c>
      <c r="K440" s="631" t="s">
        <v>2103</v>
      </c>
      <c r="L440" s="798">
        <v>540600</v>
      </c>
      <c r="M440" s="609" t="s">
        <v>2184</v>
      </c>
      <c r="N440" s="606" t="s">
        <v>2591</v>
      </c>
      <c r="O440" s="607">
        <v>42795</v>
      </c>
      <c r="P440" s="607">
        <v>43100.5</v>
      </c>
      <c r="Q440" s="600" t="s">
        <v>108</v>
      </c>
      <c r="R440" s="600" t="s">
        <v>1456</v>
      </c>
      <c r="S440" s="630" t="s">
        <v>1457</v>
      </c>
      <c r="T440" s="600"/>
      <c r="U440" s="600"/>
      <c r="V440" s="600"/>
      <c r="W440" s="600"/>
      <c r="X440" s="600"/>
      <c r="Y440" s="600"/>
      <c r="Z440" s="600"/>
      <c r="AA440" s="609" t="s">
        <v>1458</v>
      </c>
      <c r="AB440" s="642" t="s">
        <v>263</v>
      </c>
      <c r="AC440" s="652"/>
      <c r="AD440" s="652" t="s">
        <v>113</v>
      </c>
      <c r="AE440" s="653">
        <f t="shared" si="7"/>
        <v>3</v>
      </c>
    </row>
    <row r="441" spans="1:31" ht="105" hidden="1" x14ac:dyDescent="0.25">
      <c r="A441" s="608" t="s">
        <v>3797</v>
      </c>
      <c r="B441" s="601" t="s">
        <v>1793</v>
      </c>
      <c r="C441" s="601" t="s">
        <v>2096</v>
      </c>
      <c r="D441" s="602" t="s">
        <v>5491</v>
      </c>
      <c r="E441" s="602" t="s">
        <v>1485</v>
      </c>
      <c r="F441" s="601" t="s">
        <v>1528</v>
      </c>
      <c r="G441" s="602" t="s">
        <v>2156</v>
      </c>
      <c r="H441" s="603">
        <v>1</v>
      </c>
      <c r="I441" s="630">
        <v>45000000000</v>
      </c>
      <c r="J441" s="630" t="s">
        <v>1454</v>
      </c>
      <c r="K441" s="631" t="s">
        <v>5944</v>
      </c>
      <c r="L441" s="841">
        <v>1500000</v>
      </c>
      <c r="M441" s="609" t="s">
        <v>2184</v>
      </c>
      <c r="N441" s="606">
        <v>1500000</v>
      </c>
      <c r="O441" s="607">
        <v>42887</v>
      </c>
      <c r="P441" s="607">
        <v>43100.5</v>
      </c>
      <c r="Q441" s="600" t="s">
        <v>108</v>
      </c>
      <c r="R441" s="600" t="s">
        <v>1456</v>
      </c>
      <c r="S441" s="630" t="s">
        <v>1457</v>
      </c>
      <c r="T441" s="600"/>
      <c r="U441" s="600"/>
      <c r="V441" s="600"/>
      <c r="W441" s="600"/>
      <c r="X441" s="600"/>
      <c r="Y441" s="600"/>
      <c r="Z441" s="600"/>
      <c r="AA441" s="609" t="s">
        <v>1458</v>
      </c>
      <c r="AB441" s="642" t="s">
        <v>263</v>
      </c>
      <c r="AC441" s="652"/>
      <c r="AD441" s="652" t="s">
        <v>113</v>
      </c>
      <c r="AE441" s="653">
        <f t="shared" si="7"/>
        <v>6</v>
      </c>
    </row>
    <row r="442" spans="1:31" ht="105" hidden="1" x14ac:dyDescent="0.25">
      <c r="A442" s="608" t="s">
        <v>3798</v>
      </c>
      <c r="B442" s="601" t="s">
        <v>1793</v>
      </c>
      <c r="C442" s="601" t="s">
        <v>2096</v>
      </c>
      <c r="D442" s="602" t="s">
        <v>5490</v>
      </c>
      <c r="E442" s="602" t="s">
        <v>1485</v>
      </c>
      <c r="F442" s="601" t="s">
        <v>1528</v>
      </c>
      <c r="G442" s="602" t="s">
        <v>2156</v>
      </c>
      <c r="H442" s="603">
        <v>1</v>
      </c>
      <c r="I442" s="630">
        <v>45000000000</v>
      </c>
      <c r="J442" s="630" t="s">
        <v>1454</v>
      </c>
      <c r="K442" s="631" t="s">
        <v>5950</v>
      </c>
      <c r="L442" s="841">
        <v>627800</v>
      </c>
      <c r="M442" s="609" t="s">
        <v>2184</v>
      </c>
      <c r="N442" s="606">
        <v>627800</v>
      </c>
      <c r="O442" s="607">
        <v>42887</v>
      </c>
      <c r="P442" s="607">
        <v>43100.5</v>
      </c>
      <c r="Q442" s="600" t="s">
        <v>108</v>
      </c>
      <c r="R442" s="600" t="s">
        <v>1456</v>
      </c>
      <c r="S442" s="630" t="s">
        <v>1457</v>
      </c>
      <c r="T442" s="600"/>
      <c r="U442" s="600"/>
      <c r="V442" s="600"/>
      <c r="W442" s="600"/>
      <c r="X442" s="600"/>
      <c r="Y442" s="600"/>
      <c r="Z442" s="600"/>
      <c r="AA442" s="609" t="s">
        <v>1458</v>
      </c>
      <c r="AB442" s="642" t="s">
        <v>263</v>
      </c>
      <c r="AC442" s="652"/>
      <c r="AD442" s="652" t="s">
        <v>113</v>
      </c>
      <c r="AE442" s="653">
        <f t="shared" si="7"/>
        <v>6</v>
      </c>
    </row>
    <row r="443" spans="1:31" ht="105" hidden="1" x14ac:dyDescent="0.25">
      <c r="A443" s="608" t="s">
        <v>3799</v>
      </c>
      <c r="B443" s="601" t="s">
        <v>1793</v>
      </c>
      <c r="C443" s="601" t="s">
        <v>2096</v>
      </c>
      <c r="D443" s="602" t="s">
        <v>4400</v>
      </c>
      <c r="E443" s="602" t="s">
        <v>1485</v>
      </c>
      <c r="F443" s="601" t="s">
        <v>1528</v>
      </c>
      <c r="G443" s="602" t="s">
        <v>2156</v>
      </c>
      <c r="H443" s="603">
        <v>1</v>
      </c>
      <c r="I443" s="630">
        <v>45000000000</v>
      </c>
      <c r="J443" s="630" t="s">
        <v>1454</v>
      </c>
      <c r="K443" s="631" t="s">
        <v>2772</v>
      </c>
      <c r="L443" s="798">
        <v>1800000</v>
      </c>
      <c r="M443" s="609" t="s">
        <v>2184</v>
      </c>
      <c r="N443" s="606" t="s">
        <v>2592</v>
      </c>
      <c r="O443" s="607">
        <v>42736.5</v>
      </c>
      <c r="P443" s="607">
        <v>43100.5</v>
      </c>
      <c r="Q443" s="600" t="s">
        <v>108</v>
      </c>
      <c r="R443" s="600" t="s">
        <v>1456</v>
      </c>
      <c r="S443" s="630" t="s">
        <v>1457</v>
      </c>
      <c r="T443" s="600"/>
      <c r="U443" s="600"/>
      <c r="V443" s="600"/>
      <c r="W443" s="600"/>
      <c r="X443" s="600"/>
      <c r="Y443" s="600"/>
      <c r="Z443" s="600"/>
      <c r="AA443" s="609" t="s">
        <v>1458</v>
      </c>
      <c r="AB443" s="642" t="s">
        <v>263</v>
      </c>
      <c r="AC443" s="652"/>
      <c r="AD443" s="652" t="s">
        <v>113</v>
      </c>
      <c r="AE443" s="653">
        <f t="shared" si="7"/>
        <v>1</v>
      </c>
    </row>
    <row r="444" spans="1:31" ht="105" hidden="1" x14ac:dyDescent="0.25">
      <c r="A444" s="608" t="s">
        <v>3800</v>
      </c>
      <c r="B444" s="601" t="s">
        <v>1793</v>
      </c>
      <c r="C444" s="601" t="s">
        <v>2096</v>
      </c>
      <c r="D444" s="602" t="s">
        <v>5489</v>
      </c>
      <c r="E444" s="602" t="s">
        <v>1485</v>
      </c>
      <c r="F444" s="601" t="s">
        <v>1528</v>
      </c>
      <c r="G444" s="602" t="s">
        <v>2156</v>
      </c>
      <c r="H444" s="603">
        <v>1</v>
      </c>
      <c r="I444" s="630">
        <v>45000000000</v>
      </c>
      <c r="J444" s="630" t="s">
        <v>1454</v>
      </c>
      <c r="K444" s="631" t="s">
        <v>1570</v>
      </c>
      <c r="L444" s="798">
        <v>13000000</v>
      </c>
      <c r="M444" s="609" t="s">
        <v>2184</v>
      </c>
      <c r="N444" s="606" t="s">
        <v>2593</v>
      </c>
      <c r="O444" s="607">
        <v>42736.5</v>
      </c>
      <c r="P444" s="607">
        <v>43100.5</v>
      </c>
      <c r="Q444" s="600" t="s">
        <v>108</v>
      </c>
      <c r="R444" s="600" t="s">
        <v>1456</v>
      </c>
      <c r="S444" s="630" t="s">
        <v>1457</v>
      </c>
      <c r="T444" s="600"/>
      <c r="U444" s="600"/>
      <c r="V444" s="600"/>
      <c r="W444" s="600"/>
      <c r="X444" s="600"/>
      <c r="Y444" s="600"/>
      <c r="Z444" s="600"/>
      <c r="AA444" s="609" t="s">
        <v>1458</v>
      </c>
      <c r="AB444" s="642" t="s">
        <v>263</v>
      </c>
      <c r="AC444" s="652"/>
      <c r="AD444" s="652" t="s">
        <v>113</v>
      </c>
      <c r="AE444" s="653">
        <f t="shared" si="7"/>
        <v>1</v>
      </c>
    </row>
    <row r="445" spans="1:31" ht="105" hidden="1" x14ac:dyDescent="0.25">
      <c r="A445" s="608" t="s">
        <v>3801</v>
      </c>
      <c r="B445" s="601" t="s">
        <v>1793</v>
      </c>
      <c r="C445" s="601" t="s">
        <v>2096</v>
      </c>
      <c r="D445" s="602" t="s">
        <v>5488</v>
      </c>
      <c r="E445" s="602" t="s">
        <v>1485</v>
      </c>
      <c r="F445" s="601" t="s">
        <v>1587</v>
      </c>
      <c r="G445" s="602" t="s">
        <v>2256</v>
      </c>
      <c r="H445" s="603">
        <v>1</v>
      </c>
      <c r="I445" s="630">
        <v>45000000000</v>
      </c>
      <c r="J445" s="630" t="s">
        <v>1454</v>
      </c>
      <c r="K445" s="631" t="s">
        <v>2104</v>
      </c>
      <c r="L445" s="798">
        <v>1250000</v>
      </c>
      <c r="M445" s="609" t="s">
        <v>2184</v>
      </c>
      <c r="N445" s="606" t="s">
        <v>2594</v>
      </c>
      <c r="O445" s="607">
        <v>42736.5</v>
      </c>
      <c r="P445" s="607">
        <v>43100.5</v>
      </c>
      <c r="Q445" s="600" t="s">
        <v>108</v>
      </c>
      <c r="R445" s="600" t="s">
        <v>1456</v>
      </c>
      <c r="S445" s="630" t="s">
        <v>1457</v>
      </c>
      <c r="T445" s="600"/>
      <c r="U445" s="600"/>
      <c r="V445" s="600"/>
      <c r="W445" s="600"/>
      <c r="X445" s="600"/>
      <c r="Y445" s="600"/>
      <c r="Z445" s="600"/>
      <c r="AA445" s="609" t="s">
        <v>1458</v>
      </c>
      <c r="AB445" s="642" t="s">
        <v>263</v>
      </c>
      <c r="AC445" s="652"/>
      <c r="AD445" s="652" t="s">
        <v>113</v>
      </c>
      <c r="AE445" s="653">
        <f t="shared" si="7"/>
        <v>1</v>
      </c>
    </row>
    <row r="446" spans="1:31" ht="105" hidden="1" x14ac:dyDescent="0.25">
      <c r="A446" s="608" t="s">
        <v>3802</v>
      </c>
      <c r="B446" s="601" t="s">
        <v>1793</v>
      </c>
      <c r="C446" s="601" t="s">
        <v>2096</v>
      </c>
      <c r="D446" s="602" t="s">
        <v>5487</v>
      </c>
      <c r="E446" s="602" t="s">
        <v>1485</v>
      </c>
      <c r="F446" s="601" t="s">
        <v>1528</v>
      </c>
      <c r="G446" s="602" t="s">
        <v>2156</v>
      </c>
      <c r="H446" s="603">
        <v>1</v>
      </c>
      <c r="I446" s="630">
        <v>45000000000</v>
      </c>
      <c r="J446" s="630" t="s">
        <v>1454</v>
      </c>
      <c r="K446" s="631" t="s">
        <v>2773</v>
      </c>
      <c r="L446" s="798">
        <v>30990000</v>
      </c>
      <c r="M446" s="609" t="s">
        <v>2184</v>
      </c>
      <c r="N446" s="606" t="s">
        <v>2595</v>
      </c>
      <c r="O446" s="607">
        <v>42736.5</v>
      </c>
      <c r="P446" s="607">
        <v>43100.5</v>
      </c>
      <c r="Q446" s="600" t="s">
        <v>108</v>
      </c>
      <c r="R446" s="600" t="s">
        <v>1456</v>
      </c>
      <c r="S446" s="630" t="s">
        <v>1457</v>
      </c>
      <c r="T446" s="600"/>
      <c r="U446" s="600"/>
      <c r="V446" s="600"/>
      <c r="W446" s="600"/>
      <c r="X446" s="600"/>
      <c r="Y446" s="600"/>
      <c r="Z446" s="600"/>
      <c r="AA446" s="609" t="s">
        <v>1458</v>
      </c>
      <c r="AB446" s="642" t="s">
        <v>263</v>
      </c>
      <c r="AC446" s="652"/>
      <c r="AD446" s="652" t="s">
        <v>113</v>
      </c>
      <c r="AE446" s="653">
        <f t="shared" si="7"/>
        <v>1</v>
      </c>
    </row>
    <row r="447" spans="1:31" ht="105" hidden="1" x14ac:dyDescent="0.25">
      <c r="A447" s="608" t="s">
        <v>3803</v>
      </c>
      <c r="B447" s="601" t="s">
        <v>1793</v>
      </c>
      <c r="C447" s="601" t="s">
        <v>2096</v>
      </c>
      <c r="D447" s="602" t="s">
        <v>5486</v>
      </c>
      <c r="E447" s="602" t="s">
        <v>1485</v>
      </c>
      <c r="F447" s="601" t="s">
        <v>1528</v>
      </c>
      <c r="G447" s="602" t="s">
        <v>2156</v>
      </c>
      <c r="H447" s="603">
        <v>1</v>
      </c>
      <c r="I447" s="630">
        <v>45000000000</v>
      </c>
      <c r="J447" s="630" t="s">
        <v>1454</v>
      </c>
      <c r="K447" s="631" t="s">
        <v>2774</v>
      </c>
      <c r="L447" s="798">
        <v>11000000</v>
      </c>
      <c r="M447" s="609" t="s">
        <v>2184</v>
      </c>
      <c r="N447" s="606" t="s">
        <v>2596</v>
      </c>
      <c r="O447" s="607">
        <v>42736.5</v>
      </c>
      <c r="P447" s="607">
        <v>43100.5</v>
      </c>
      <c r="Q447" s="600" t="s">
        <v>108</v>
      </c>
      <c r="R447" s="600" t="s">
        <v>1456</v>
      </c>
      <c r="S447" s="630" t="s">
        <v>1457</v>
      </c>
      <c r="T447" s="600"/>
      <c r="U447" s="600"/>
      <c r="V447" s="600"/>
      <c r="W447" s="600"/>
      <c r="X447" s="600"/>
      <c r="Y447" s="600"/>
      <c r="Z447" s="600"/>
      <c r="AA447" s="609" t="s">
        <v>1458</v>
      </c>
      <c r="AB447" s="642" t="s">
        <v>263</v>
      </c>
      <c r="AC447" s="652"/>
      <c r="AD447" s="652" t="s">
        <v>113</v>
      </c>
      <c r="AE447" s="653">
        <f t="shared" si="7"/>
        <v>1</v>
      </c>
    </row>
    <row r="448" spans="1:31" ht="105" hidden="1" x14ac:dyDescent="0.25">
      <c r="A448" s="608" t="s">
        <v>3804</v>
      </c>
      <c r="B448" s="601" t="s">
        <v>1793</v>
      </c>
      <c r="C448" s="601" t="s">
        <v>2096</v>
      </c>
      <c r="D448" s="602" t="s">
        <v>5485</v>
      </c>
      <c r="E448" s="602" t="s">
        <v>1485</v>
      </c>
      <c r="F448" s="601" t="s">
        <v>1528</v>
      </c>
      <c r="G448" s="602" t="s">
        <v>2156</v>
      </c>
      <c r="H448" s="603">
        <v>1</v>
      </c>
      <c r="I448" s="630">
        <v>45000000000</v>
      </c>
      <c r="J448" s="630" t="s">
        <v>1454</v>
      </c>
      <c r="K448" s="631" t="s">
        <v>1511</v>
      </c>
      <c r="L448" s="798">
        <v>290000</v>
      </c>
      <c r="M448" s="609" t="s">
        <v>2184</v>
      </c>
      <c r="N448" s="606" t="s">
        <v>2597</v>
      </c>
      <c r="O448" s="607">
        <v>42736.5</v>
      </c>
      <c r="P448" s="607">
        <v>43100.5</v>
      </c>
      <c r="Q448" s="600" t="s">
        <v>108</v>
      </c>
      <c r="R448" s="600" t="s">
        <v>1456</v>
      </c>
      <c r="S448" s="630" t="s">
        <v>1457</v>
      </c>
      <c r="T448" s="600"/>
      <c r="U448" s="600"/>
      <c r="V448" s="600"/>
      <c r="W448" s="600"/>
      <c r="X448" s="600"/>
      <c r="Y448" s="600"/>
      <c r="Z448" s="600"/>
      <c r="AA448" s="609" t="s">
        <v>1458</v>
      </c>
      <c r="AB448" s="642" t="s">
        <v>263</v>
      </c>
      <c r="AC448" s="652"/>
      <c r="AD448" s="652" t="s">
        <v>113</v>
      </c>
      <c r="AE448" s="653">
        <f t="shared" si="7"/>
        <v>1</v>
      </c>
    </row>
    <row r="449" spans="1:31" ht="105" hidden="1" x14ac:dyDescent="0.25">
      <c r="A449" s="608" t="s">
        <v>3805</v>
      </c>
      <c r="B449" s="601" t="s">
        <v>1793</v>
      </c>
      <c r="C449" s="601" t="s">
        <v>2096</v>
      </c>
      <c r="D449" s="602" t="s">
        <v>5484</v>
      </c>
      <c r="E449" s="602" t="s">
        <v>1485</v>
      </c>
      <c r="F449" s="601" t="s">
        <v>1528</v>
      </c>
      <c r="G449" s="602" t="s">
        <v>2156</v>
      </c>
      <c r="H449" s="603">
        <v>1</v>
      </c>
      <c r="I449" s="630">
        <v>45000000000</v>
      </c>
      <c r="J449" s="630" t="s">
        <v>1454</v>
      </c>
      <c r="K449" s="631" t="s">
        <v>1691</v>
      </c>
      <c r="L449" s="798">
        <v>1600000</v>
      </c>
      <c r="M449" s="609" t="s">
        <v>2184</v>
      </c>
      <c r="N449" s="606" t="s">
        <v>2598</v>
      </c>
      <c r="O449" s="607">
        <v>42736.5</v>
      </c>
      <c r="P449" s="607">
        <v>43100.5</v>
      </c>
      <c r="Q449" s="630" t="s">
        <v>100</v>
      </c>
      <c r="R449" s="600" t="s">
        <v>1456</v>
      </c>
      <c r="S449" s="630" t="s">
        <v>1457</v>
      </c>
      <c r="T449" s="600"/>
      <c r="U449" s="600"/>
      <c r="V449" s="600"/>
      <c r="W449" s="600"/>
      <c r="X449" s="600"/>
      <c r="Y449" s="600"/>
      <c r="Z449" s="600"/>
      <c r="AA449" s="609" t="s">
        <v>1458</v>
      </c>
      <c r="AB449" s="642" t="s">
        <v>263</v>
      </c>
      <c r="AC449" s="652"/>
      <c r="AD449" s="652" t="s">
        <v>113</v>
      </c>
      <c r="AE449" s="653">
        <f t="shared" si="7"/>
        <v>1</v>
      </c>
    </row>
    <row r="450" spans="1:31" ht="105" hidden="1" x14ac:dyDescent="0.25">
      <c r="A450" s="608" t="s">
        <v>3806</v>
      </c>
      <c r="B450" s="601" t="s">
        <v>1793</v>
      </c>
      <c r="C450" s="601" t="s">
        <v>2096</v>
      </c>
      <c r="D450" s="602" t="s">
        <v>5483</v>
      </c>
      <c r="E450" s="602" t="s">
        <v>1485</v>
      </c>
      <c r="F450" s="601" t="s">
        <v>1528</v>
      </c>
      <c r="G450" s="602" t="s">
        <v>2156</v>
      </c>
      <c r="H450" s="603">
        <v>1</v>
      </c>
      <c r="I450" s="630">
        <v>45000000000</v>
      </c>
      <c r="J450" s="630" t="s">
        <v>1454</v>
      </c>
      <c r="K450" s="631" t="s">
        <v>1691</v>
      </c>
      <c r="L450" s="798">
        <v>1600000</v>
      </c>
      <c r="M450" s="609" t="s">
        <v>2184</v>
      </c>
      <c r="N450" s="606" t="s">
        <v>2598</v>
      </c>
      <c r="O450" s="607">
        <v>42736.5</v>
      </c>
      <c r="P450" s="607">
        <v>43100.5</v>
      </c>
      <c r="Q450" s="600" t="s">
        <v>108</v>
      </c>
      <c r="R450" s="600" t="s">
        <v>1456</v>
      </c>
      <c r="S450" s="630" t="s">
        <v>1457</v>
      </c>
      <c r="T450" s="600"/>
      <c r="U450" s="600"/>
      <c r="V450" s="600"/>
      <c r="W450" s="600"/>
      <c r="X450" s="600"/>
      <c r="Y450" s="600"/>
      <c r="Z450" s="600"/>
      <c r="AA450" s="609" t="s">
        <v>1458</v>
      </c>
      <c r="AB450" s="642" t="s">
        <v>263</v>
      </c>
      <c r="AC450" s="652"/>
      <c r="AD450" s="652" t="s">
        <v>113</v>
      </c>
      <c r="AE450" s="653">
        <f t="shared" si="7"/>
        <v>1</v>
      </c>
    </row>
    <row r="451" spans="1:31" ht="105" hidden="1" x14ac:dyDescent="0.25">
      <c r="A451" s="608" t="s">
        <v>3807</v>
      </c>
      <c r="B451" s="601" t="s">
        <v>1793</v>
      </c>
      <c r="C451" s="601" t="s">
        <v>2096</v>
      </c>
      <c r="D451" s="602" t="s">
        <v>5482</v>
      </c>
      <c r="E451" s="602" t="s">
        <v>1485</v>
      </c>
      <c r="F451" s="601" t="s">
        <v>1528</v>
      </c>
      <c r="G451" s="602" t="s">
        <v>2156</v>
      </c>
      <c r="H451" s="603">
        <v>1</v>
      </c>
      <c r="I451" s="630">
        <v>45000000000</v>
      </c>
      <c r="J451" s="630" t="s">
        <v>1454</v>
      </c>
      <c r="K451" s="631" t="s">
        <v>1511</v>
      </c>
      <c r="L451" s="798">
        <v>290000</v>
      </c>
      <c r="M451" s="609" t="s">
        <v>2184</v>
      </c>
      <c r="N451" s="606" t="s">
        <v>2597</v>
      </c>
      <c r="O451" s="607">
        <v>42736.5</v>
      </c>
      <c r="P451" s="607">
        <v>43100.5</v>
      </c>
      <c r="Q451" s="630" t="s">
        <v>100</v>
      </c>
      <c r="R451" s="600" t="s">
        <v>1456</v>
      </c>
      <c r="S451" s="630" t="s">
        <v>1457</v>
      </c>
      <c r="T451" s="600"/>
      <c r="U451" s="600"/>
      <c r="V451" s="600"/>
      <c r="W451" s="600"/>
      <c r="X451" s="600"/>
      <c r="Y451" s="600"/>
      <c r="Z451" s="600"/>
      <c r="AA451" s="609" t="s">
        <v>1458</v>
      </c>
      <c r="AB451" s="642" t="s">
        <v>263</v>
      </c>
      <c r="AC451" s="652"/>
      <c r="AD451" s="652" t="s">
        <v>113</v>
      </c>
      <c r="AE451" s="653">
        <f t="shared" si="7"/>
        <v>1</v>
      </c>
    </row>
    <row r="452" spans="1:31" ht="105" hidden="1" x14ac:dyDescent="0.25">
      <c r="A452" s="608" t="s">
        <v>3808</v>
      </c>
      <c r="B452" s="601" t="s">
        <v>1793</v>
      </c>
      <c r="C452" s="601" t="s">
        <v>2096</v>
      </c>
      <c r="D452" s="602" t="s">
        <v>5481</v>
      </c>
      <c r="E452" s="602" t="s">
        <v>1485</v>
      </c>
      <c r="F452" s="601" t="s">
        <v>1528</v>
      </c>
      <c r="G452" s="602" t="s">
        <v>2156</v>
      </c>
      <c r="H452" s="603">
        <v>1</v>
      </c>
      <c r="I452" s="630">
        <v>45000000000</v>
      </c>
      <c r="J452" s="630" t="s">
        <v>1454</v>
      </c>
      <c r="K452" s="606" t="s">
        <v>2775</v>
      </c>
      <c r="L452" s="798">
        <v>31000000</v>
      </c>
      <c r="M452" s="609" t="s">
        <v>2184</v>
      </c>
      <c r="N452" s="606" t="s">
        <v>2599</v>
      </c>
      <c r="O452" s="607">
        <v>42736.5</v>
      </c>
      <c r="P452" s="607">
        <v>43100.5</v>
      </c>
      <c r="Q452" s="630" t="s">
        <v>100</v>
      </c>
      <c r="R452" s="600" t="s">
        <v>1456</v>
      </c>
      <c r="S452" s="630" t="s">
        <v>1457</v>
      </c>
      <c r="T452" s="600"/>
      <c r="U452" s="600"/>
      <c r="V452" s="600"/>
      <c r="W452" s="600"/>
      <c r="X452" s="600"/>
      <c r="Y452" s="600"/>
      <c r="Z452" s="600"/>
      <c r="AA452" s="609" t="s">
        <v>1458</v>
      </c>
      <c r="AB452" s="642" t="s">
        <v>263</v>
      </c>
      <c r="AC452" s="652"/>
      <c r="AD452" s="652" t="s">
        <v>113</v>
      </c>
      <c r="AE452" s="653">
        <f t="shared" si="7"/>
        <v>1</v>
      </c>
    </row>
    <row r="453" spans="1:31" ht="105" hidden="1" x14ac:dyDescent="0.25">
      <c r="A453" s="608" t="s">
        <v>3809</v>
      </c>
      <c r="B453" s="601" t="s">
        <v>1793</v>
      </c>
      <c r="C453" s="601" t="s">
        <v>2096</v>
      </c>
      <c r="D453" s="602" t="s">
        <v>5480</v>
      </c>
      <c r="E453" s="602" t="s">
        <v>1485</v>
      </c>
      <c r="F453" s="601" t="s">
        <v>1528</v>
      </c>
      <c r="G453" s="602" t="s">
        <v>2156</v>
      </c>
      <c r="H453" s="603">
        <v>1</v>
      </c>
      <c r="I453" s="630">
        <v>45000000000</v>
      </c>
      <c r="J453" s="630" t="s">
        <v>1454</v>
      </c>
      <c r="K453" s="631" t="s">
        <v>2105</v>
      </c>
      <c r="L453" s="798">
        <v>17300000</v>
      </c>
      <c r="M453" s="609" t="s">
        <v>2184</v>
      </c>
      <c r="N453" s="606" t="s">
        <v>2600</v>
      </c>
      <c r="O453" s="607">
        <v>42736.5</v>
      </c>
      <c r="P453" s="607">
        <v>43100.5</v>
      </c>
      <c r="Q453" s="600" t="s">
        <v>108</v>
      </c>
      <c r="R453" s="600" t="s">
        <v>1456</v>
      </c>
      <c r="S453" s="630" t="s">
        <v>1457</v>
      </c>
      <c r="T453" s="600"/>
      <c r="U453" s="600"/>
      <c r="V453" s="600"/>
      <c r="W453" s="600"/>
      <c r="X453" s="600"/>
      <c r="Y453" s="600"/>
      <c r="Z453" s="600"/>
      <c r="AA453" s="609" t="s">
        <v>1458</v>
      </c>
      <c r="AB453" s="642" t="s">
        <v>263</v>
      </c>
      <c r="AC453" s="652"/>
      <c r="AD453" s="652" t="s">
        <v>113</v>
      </c>
      <c r="AE453" s="653">
        <f t="shared" si="7"/>
        <v>1</v>
      </c>
    </row>
    <row r="454" spans="1:31" ht="105" hidden="1" x14ac:dyDescent="0.25">
      <c r="A454" s="608" t="s">
        <v>3810</v>
      </c>
      <c r="B454" s="601" t="s">
        <v>1793</v>
      </c>
      <c r="C454" s="601" t="s">
        <v>2096</v>
      </c>
      <c r="D454" s="602" t="s">
        <v>5479</v>
      </c>
      <c r="E454" s="602" t="s">
        <v>1485</v>
      </c>
      <c r="F454" s="601" t="s">
        <v>1528</v>
      </c>
      <c r="G454" s="602" t="s">
        <v>2156</v>
      </c>
      <c r="H454" s="603">
        <v>3</v>
      </c>
      <c r="I454" s="630">
        <v>45000000000</v>
      </c>
      <c r="J454" s="630" t="s">
        <v>1454</v>
      </c>
      <c r="K454" s="631" t="s">
        <v>2542</v>
      </c>
      <c r="L454" s="798">
        <v>105000</v>
      </c>
      <c r="M454" s="609" t="s">
        <v>2184</v>
      </c>
      <c r="N454" s="606" t="s">
        <v>2601</v>
      </c>
      <c r="O454" s="607">
        <v>42736.5</v>
      </c>
      <c r="P454" s="607">
        <v>43100.5</v>
      </c>
      <c r="Q454" s="600" t="s">
        <v>108</v>
      </c>
      <c r="R454" s="600" t="s">
        <v>1456</v>
      </c>
      <c r="S454" s="630" t="s">
        <v>1457</v>
      </c>
      <c r="T454" s="600"/>
      <c r="U454" s="600"/>
      <c r="V454" s="600"/>
      <c r="W454" s="600"/>
      <c r="X454" s="600"/>
      <c r="Y454" s="600"/>
      <c r="Z454" s="600"/>
      <c r="AA454" s="609" t="s">
        <v>1458</v>
      </c>
      <c r="AB454" s="642" t="s">
        <v>263</v>
      </c>
      <c r="AC454" s="652"/>
      <c r="AD454" s="652" t="s">
        <v>113</v>
      </c>
      <c r="AE454" s="653">
        <f t="shared" si="7"/>
        <v>1</v>
      </c>
    </row>
    <row r="455" spans="1:31" ht="105" hidden="1" x14ac:dyDescent="0.25">
      <c r="A455" s="608" t="s">
        <v>3811</v>
      </c>
      <c r="B455" s="601" t="s">
        <v>1793</v>
      </c>
      <c r="C455" s="601" t="s">
        <v>2096</v>
      </c>
      <c r="D455" s="602" t="s">
        <v>5478</v>
      </c>
      <c r="E455" s="602" t="s">
        <v>1485</v>
      </c>
      <c r="F455" s="601" t="s">
        <v>1528</v>
      </c>
      <c r="G455" s="602" t="s">
        <v>2156</v>
      </c>
      <c r="H455" s="603">
        <v>5</v>
      </c>
      <c r="I455" s="630">
        <v>45000000000</v>
      </c>
      <c r="J455" s="630" t="s">
        <v>1454</v>
      </c>
      <c r="K455" s="631" t="s">
        <v>2106</v>
      </c>
      <c r="L455" s="798">
        <v>157530</v>
      </c>
      <c r="M455" s="609" t="s">
        <v>2184</v>
      </c>
      <c r="N455" s="606" t="s">
        <v>2602</v>
      </c>
      <c r="O455" s="607">
        <v>42736.5</v>
      </c>
      <c r="P455" s="607">
        <v>43100.5</v>
      </c>
      <c r="Q455" s="600" t="s">
        <v>108</v>
      </c>
      <c r="R455" s="600" t="s">
        <v>1456</v>
      </c>
      <c r="S455" s="630" t="s">
        <v>1457</v>
      </c>
      <c r="T455" s="600"/>
      <c r="U455" s="600"/>
      <c r="V455" s="600"/>
      <c r="W455" s="600"/>
      <c r="X455" s="600"/>
      <c r="Y455" s="600"/>
      <c r="Z455" s="600"/>
      <c r="AA455" s="609" t="s">
        <v>1458</v>
      </c>
      <c r="AB455" s="642" t="s">
        <v>263</v>
      </c>
      <c r="AC455" s="652"/>
      <c r="AD455" s="652" t="s">
        <v>113</v>
      </c>
      <c r="AE455" s="653">
        <f t="shared" si="7"/>
        <v>1</v>
      </c>
    </row>
    <row r="456" spans="1:31" ht="105" hidden="1" x14ac:dyDescent="0.25">
      <c r="A456" s="608" t="s">
        <v>3812</v>
      </c>
      <c r="B456" s="601" t="s">
        <v>1793</v>
      </c>
      <c r="C456" s="601" t="s">
        <v>2096</v>
      </c>
      <c r="D456" s="602" t="s">
        <v>5477</v>
      </c>
      <c r="E456" s="602" t="s">
        <v>1485</v>
      </c>
      <c r="F456" s="601" t="s">
        <v>1528</v>
      </c>
      <c r="G456" s="602" t="s">
        <v>2156</v>
      </c>
      <c r="H456" s="603">
        <v>7</v>
      </c>
      <c r="I456" s="630">
        <v>45000000000</v>
      </c>
      <c r="J456" s="630" t="s">
        <v>1454</v>
      </c>
      <c r="K456" s="631" t="s">
        <v>2107</v>
      </c>
      <c r="L456" s="798">
        <v>212000</v>
      </c>
      <c r="M456" s="609" t="s">
        <v>2184</v>
      </c>
      <c r="N456" s="606" t="s">
        <v>2603</v>
      </c>
      <c r="O456" s="607">
        <v>42736.5</v>
      </c>
      <c r="P456" s="607">
        <v>43100.5</v>
      </c>
      <c r="Q456" s="600" t="s">
        <v>108</v>
      </c>
      <c r="R456" s="600" t="s">
        <v>1456</v>
      </c>
      <c r="S456" s="630" t="s">
        <v>1457</v>
      </c>
      <c r="T456" s="600"/>
      <c r="U456" s="600"/>
      <c r="V456" s="600"/>
      <c r="W456" s="600"/>
      <c r="X456" s="600"/>
      <c r="Y456" s="600"/>
      <c r="Z456" s="600"/>
      <c r="AA456" s="609" t="s">
        <v>1458</v>
      </c>
      <c r="AB456" s="642" t="s">
        <v>263</v>
      </c>
      <c r="AC456" s="652"/>
      <c r="AD456" s="652" t="s">
        <v>113</v>
      </c>
      <c r="AE456" s="653">
        <f t="shared" si="7"/>
        <v>1</v>
      </c>
    </row>
    <row r="457" spans="1:31" ht="105" hidden="1" x14ac:dyDescent="0.25">
      <c r="A457" s="608" t="s">
        <v>3813</v>
      </c>
      <c r="B457" s="601" t="s">
        <v>1793</v>
      </c>
      <c r="C457" s="601" t="s">
        <v>2096</v>
      </c>
      <c r="D457" s="602" t="s">
        <v>5476</v>
      </c>
      <c r="E457" s="602" t="s">
        <v>1485</v>
      </c>
      <c r="F457" s="601" t="s">
        <v>1528</v>
      </c>
      <c r="G457" s="602" t="s">
        <v>2156</v>
      </c>
      <c r="H457" s="603">
        <v>1</v>
      </c>
      <c r="I457" s="630">
        <v>45000000000</v>
      </c>
      <c r="J457" s="630" t="s">
        <v>1454</v>
      </c>
      <c r="K457" s="631" t="s">
        <v>1746</v>
      </c>
      <c r="L457" s="798">
        <v>350000</v>
      </c>
      <c r="M457" s="609" t="s">
        <v>2184</v>
      </c>
      <c r="N457" s="606" t="s">
        <v>2604</v>
      </c>
      <c r="O457" s="607">
        <v>42736.5</v>
      </c>
      <c r="P457" s="607">
        <v>43100.5</v>
      </c>
      <c r="Q457" s="630" t="s">
        <v>100</v>
      </c>
      <c r="R457" s="600" t="s">
        <v>1456</v>
      </c>
      <c r="S457" s="630" t="s">
        <v>1457</v>
      </c>
      <c r="T457" s="600"/>
      <c r="U457" s="600"/>
      <c r="V457" s="600"/>
      <c r="W457" s="600"/>
      <c r="X457" s="600"/>
      <c r="Y457" s="600"/>
      <c r="Z457" s="600"/>
      <c r="AA457" s="609" t="s">
        <v>1458</v>
      </c>
      <c r="AB457" s="642" t="s">
        <v>263</v>
      </c>
      <c r="AC457" s="652"/>
      <c r="AD457" s="652" t="s">
        <v>113</v>
      </c>
      <c r="AE457" s="653">
        <f t="shared" si="7"/>
        <v>1</v>
      </c>
    </row>
    <row r="458" spans="1:31" ht="105" hidden="1" x14ac:dyDescent="0.25">
      <c r="A458" s="608" t="s">
        <v>3814</v>
      </c>
      <c r="B458" s="601" t="s">
        <v>1793</v>
      </c>
      <c r="C458" s="601" t="s">
        <v>2096</v>
      </c>
      <c r="D458" s="602" t="s">
        <v>5475</v>
      </c>
      <c r="E458" s="602" t="s">
        <v>1485</v>
      </c>
      <c r="F458" s="601" t="s">
        <v>1528</v>
      </c>
      <c r="G458" s="602" t="s">
        <v>2156</v>
      </c>
      <c r="H458" s="603">
        <v>1</v>
      </c>
      <c r="I458" s="630">
        <v>45000000000</v>
      </c>
      <c r="J458" s="630" t="s">
        <v>1454</v>
      </c>
      <c r="K458" s="631" t="s">
        <v>2108</v>
      </c>
      <c r="L458" s="798">
        <v>5388116</v>
      </c>
      <c r="M458" s="609" t="s">
        <v>2184</v>
      </c>
      <c r="N458" s="606" t="s">
        <v>2605</v>
      </c>
      <c r="O458" s="607">
        <v>42736.5</v>
      </c>
      <c r="P458" s="607">
        <v>43100.5</v>
      </c>
      <c r="Q458" s="630" t="s">
        <v>100</v>
      </c>
      <c r="R458" s="600" t="s">
        <v>1456</v>
      </c>
      <c r="S458" s="630" t="s">
        <v>1457</v>
      </c>
      <c r="T458" s="600"/>
      <c r="U458" s="600"/>
      <c r="V458" s="600"/>
      <c r="W458" s="600"/>
      <c r="X458" s="600"/>
      <c r="Y458" s="600"/>
      <c r="Z458" s="600"/>
      <c r="AA458" s="609" t="s">
        <v>1458</v>
      </c>
      <c r="AB458" s="642" t="s">
        <v>263</v>
      </c>
      <c r="AC458" s="652"/>
      <c r="AD458" s="652" t="s">
        <v>113</v>
      </c>
      <c r="AE458" s="653">
        <f t="shared" si="7"/>
        <v>1</v>
      </c>
    </row>
    <row r="459" spans="1:31" ht="105" hidden="1" x14ac:dyDescent="0.25">
      <c r="A459" s="608" t="s">
        <v>3815</v>
      </c>
      <c r="B459" s="601" t="s">
        <v>1793</v>
      </c>
      <c r="C459" s="601" t="s">
        <v>2096</v>
      </c>
      <c r="D459" s="602" t="s">
        <v>5474</v>
      </c>
      <c r="E459" s="602" t="s">
        <v>1485</v>
      </c>
      <c r="F459" s="601" t="s">
        <v>1528</v>
      </c>
      <c r="G459" s="602" t="s">
        <v>2156</v>
      </c>
      <c r="H459" s="603">
        <v>5</v>
      </c>
      <c r="I459" s="630">
        <v>45000000000</v>
      </c>
      <c r="J459" s="630" t="s">
        <v>1454</v>
      </c>
      <c r="K459" s="631" t="s">
        <v>2776</v>
      </c>
      <c r="L459" s="798">
        <v>225000</v>
      </c>
      <c r="M459" s="609" t="s">
        <v>2184</v>
      </c>
      <c r="N459" s="606" t="s">
        <v>2606</v>
      </c>
      <c r="O459" s="607">
        <v>42736.5</v>
      </c>
      <c r="P459" s="607">
        <v>43100.5</v>
      </c>
      <c r="Q459" s="600" t="s">
        <v>108</v>
      </c>
      <c r="R459" s="600" t="s">
        <v>1456</v>
      </c>
      <c r="S459" s="630" t="s">
        <v>1457</v>
      </c>
      <c r="T459" s="600"/>
      <c r="U459" s="600"/>
      <c r="V459" s="600"/>
      <c r="W459" s="600"/>
      <c r="X459" s="600"/>
      <c r="Y459" s="600"/>
      <c r="Z459" s="600"/>
      <c r="AA459" s="609" t="s">
        <v>1458</v>
      </c>
      <c r="AB459" s="642" t="s">
        <v>263</v>
      </c>
      <c r="AC459" s="652"/>
      <c r="AD459" s="652" t="s">
        <v>113</v>
      </c>
      <c r="AE459" s="653">
        <f t="shared" si="7"/>
        <v>1</v>
      </c>
    </row>
    <row r="460" spans="1:31" ht="105" hidden="1" x14ac:dyDescent="0.25">
      <c r="A460" s="608" t="s">
        <v>3816</v>
      </c>
      <c r="B460" s="601" t="s">
        <v>1793</v>
      </c>
      <c r="C460" s="601" t="s">
        <v>2096</v>
      </c>
      <c r="D460" s="602" t="s">
        <v>5473</v>
      </c>
      <c r="E460" s="602" t="s">
        <v>1485</v>
      </c>
      <c r="F460" s="601" t="s">
        <v>1528</v>
      </c>
      <c r="G460" s="602" t="s">
        <v>2156</v>
      </c>
      <c r="H460" s="603">
        <v>2</v>
      </c>
      <c r="I460" s="630">
        <v>45000000000</v>
      </c>
      <c r="J460" s="630" t="s">
        <v>1454</v>
      </c>
      <c r="K460" s="631" t="s">
        <v>2777</v>
      </c>
      <c r="L460" s="798">
        <v>452200</v>
      </c>
      <c r="M460" s="609" t="s">
        <v>2184</v>
      </c>
      <c r="N460" s="606" t="s">
        <v>2607</v>
      </c>
      <c r="O460" s="607">
        <v>42736.5</v>
      </c>
      <c r="P460" s="607">
        <v>43100.5</v>
      </c>
      <c r="Q460" s="600" t="s">
        <v>108</v>
      </c>
      <c r="R460" s="600" t="s">
        <v>1456</v>
      </c>
      <c r="S460" s="630" t="s">
        <v>1457</v>
      </c>
      <c r="T460" s="600"/>
      <c r="U460" s="600"/>
      <c r="V460" s="600"/>
      <c r="W460" s="600"/>
      <c r="X460" s="600"/>
      <c r="Y460" s="600"/>
      <c r="Z460" s="600"/>
      <c r="AA460" s="609" t="s">
        <v>1458</v>
      </c>
      <c r="AB460" s="642" t="s">
        <v>263</v>
      </c>
      <c r="AC460" s="652"/>
      <c r="AD460" s="652" t="s">
        <v>113</v>
      </c>
      <c r="AE460" s="653">
        <f t="shared" si="7"/>
        <v>1</v>
      </c>
    </row>
    <row r="461" spans="1:31" ht="105" hidden="1" x14ac:dyDescent="0.25">
      <c r="A461" s="608" t="s">
        <v>3817</v>
      </c>
      <c r="B461" s="601" t="s">
        <v>1793</v>
      </c>
      <c r="C461" s="601" t="s">
        <v>2096</v>
      </c>
      <c r="D461" s="602" t="s">
        <v>5472</v>
      </c>
      <c r="E461" s="602" t="s">
        <v>1485</v>
      </c>
      <c r="F461" s="601" t="s">
        <v>1528</v>
      </c>
      <c r="G461" s="602" t="s">
        <v>2156</v>
      </c>
      <c r="H461" s="603">
        <v>2</v>
      </c>
      <c r="I461" s="630">
        <v>45000000000</v>
      </c>
      <c r="J461" s="630" t="s">
        <v>1454</v>
      </c>
      <c r="K461" s="631" t="s">
        <v>2109</v>
      </c>
      <c r="L461" s="798">
        <v>1137266</v>
      </c>
      <c r="M461" s="609" t="s">
        <v>2184</v>
      </c>
      <c r="N461" s="606" t="s">
        <v>2608</v>
      </c>
      <c r="O461" s="607">
        <v>42736.5</v>
      </c>
      <c r="P461" s="607">
        <v>43100.5</v>
      </c>
      <c r="Q461" s="600" t="s">
        <v>108</v>
      </c>
      <c r="R461" s="600" t="s">
        <v>1456</v>
      </c>
      <c r="S461" s="630" t="s">
        <v>1457</v>
      </c>
      <c r="T461" s="600"/>
      <c r="U461" s="600"/>
      <c r="V461" s="600"/>
      <c r="W461" s="600"/>
      <c r="X461" s="600"/>
      <c r="Y461" s="600"/>
      <c r="Z461" s="600"/>
      <c r="AA461" s="609" t="s">
        <v>1458</v>
      </c>
      <c r="AB461" s="642" t="s">
        <v>263</v>
      </c>
      <c r="AC461" s="652"/>
      <c r="AD461" s="652" t="s">
        <v>113</v>
      </c>
      <c r="AE461" s="653">
        <f t="shared" si="7"/>
        <v>1</v>
      </c>
    </row>
    <row r="462" spans="1:31" ht="105" hidden="1" x14ac:dyDescent="0.25">
      <c r="A462" s="608" t="s">
        <v>3818</v>
      </c>
      <c r="B462" s="601" t="s">
        <v>1793</v>
      </c>
      <c r="C462" s="601" t="s">
        <v>2096</v>
      </c>
      <c r="D462" s="602" t="s">
        <v>5471</v>
      </c>
      <c r="E462" s="602" t="s">
        <v>1485</v>
      </c>
      <c r="F462" s="601" t="s">
        <v>1528</v>
      </c>
      <c r="G462" s="602" t="s">
        <v>2156</v>
      </c>
      <c r="H462" s="603">
        <v>6</v>
      </c>
      <c r="I462" s="630">
        <v>45000000000</v>
      </c>
      <c r="J462" s="630" t="s">
        <v>1454</v>
      </c>
      <c r="K462" s="631" t="s">
        <v>2778</v>
      </c>
      <c r="L462" s="798">
        <v>1416000</v>
      </c>
      <c r="M462" s="609" t="s">
        <v>2184</v>
      </c>
      <c r="N462" s="606" t="s">
        <v>2609</v>
      </c>
      <c r="O462" s="607">
        <v>42736.5</v>
      </c>
      <c r="P462" s="607">
        <v>43100.5</v>
      </c>
      <c r="Q462" s="600" t="s">
        <v>108</v>
      </c>
      <c r="R462" s="600" t="s">
        <v>1456</v>
      </c>
      <c r="S462" s="630" t="s">
        <v>1457</v>
      </c>
      <c r="T462" s="600"/>
      <c r="U462" s="600"/>
      <c r="V462" s="600"/>
      <c r="W462" s="600"/>
      <c r="X462" s="600"/>
      <c r="Y462" s="600"/>
      <c r="Z462" s="600"/>
      <c r="AA462" s="609" t="s">
        <v>1458</v>
      </c>
      <c r="AB462" s="642" t="s">
        <v>263</v>
      </c>
      <c r="AC462" s="652"/>
      <c r="AD462" s="652" t="s">
        <v>113</v>
      </c>
      <c r="AE462" s="653">
        <f t="shared" si="7"/>
        <v>1</v>
      </c>
    </row>
    <row r="463" spans="1:31" ht="105" hidden="1" x14ac:dyDescent="0.25">
      <c r="A463" s="608" t="s">
        <v>3819</v>
      </c>
      <c r="B463" s="601" t="s">
        <v>1793</v>
      </c>
      <c r="C463" s="601" t="s">
        <v>2096</v>
      </c>
      <c r="D463" s="602" t="s">
        <v>5470</v>
      </c>
      <c r="E463" s="602" t="s">
        <v>1485</v>
      </c>
      <c r="F463" s="601" t="s">
        <v>1528</v>
      </c>
      <c r="G463" s="602" t="s">
        <v>2156</v>
      </c>
      <c r="H463" s="603">
        <v>3</v>
      </c>
      <c r="I463" s="630">
        <v>45000000000</v>
      </c>
      <c r="J463" s="630" t="s">
        <v>1454</v>
      </c>
      <c r="K463" s="631" t="s">
        <v>2779</v>
      </c>
      <c r="L463" s="798">
        <v>591180</v>
      </c>
      <c r="M463" s="609" t="s">
        <v>2184</v>
      </c>
      <c r="N463" s="606" t="s">
        <v>2610</v>
      </c>
      <c r="O463" s="607">
        <v>42736.5</v>
      </c>
      <c r="P463" s="607">
        <v>43100.5</v>
      </c>
      <c r="Q463" s="630" t="s">
        <v>100</v>
      </c>
      <c r="R463" s="600" t="s">
        <v>1456</v>
      </c>
      <c r="S463" s="630" t="s">
        <v>1457</v>
      </c>
      <c r="T463" s="600"/>
      <c r="U463" s="600"/>
      <c r="V463" s="600"/>
      <c r="W463" s="600"/>
      <c r="X463" s="600"/>
      <c r="Y463" s="600"/>
      <c r="Z463" s="600"/>
      <c r="AA463" s="609" t="s">
        <v>1458</v>
      </c>
      <c r="AB463" s="642" t="s">
        <v>263</v>
      </c>
      <c r="AC463" s="652"/>
      <c r="AD463" s="652" t="s">
        <v>113</v>
      </c>
      <c r="AE463" s="653">
        <f t="shared" si="7"/>
        <v>1</v>
      </c>
    </row>
    <row r="464" spans="1:31" ht="105" hidden="1" x14ac:dyDescent="0.25">
      <c r="A464" s="608" t="s">
        <v>3820</v>
      </c>
      <c r="B464" s="601" t="s">
        <v>1793</v>
      </c>
      <c r="C464" s="601" t="s">
        <v>2096</v>
      </c>
      <c r="D464" s="602" t="s">
        <v>5469</v>
      </c>
      <c r="E464" s="602" t="s">
        <v>1485</v>
      </c>
      <c r="F464" s="601" t="s">
        <v>1528</v>
      </c>
      <c r="G464" s="602" t="s">
        <v>2156</v>
      </c>
      <c r="H464" s="603">
        <v>6</v>
      </c>
      <c r="I464" s="630">
        <v>45000000000</v>
      </c>
      <c r="J464" s="630" t="s">
        <v>1454</v>
      </c>
      <c r="K464" s="631" t="s">
        <v>2780</v>
      </c>
      <c r="L464" s="798">
        <v>259140</v>
      </c>
      <c r="M464" s="609" t="s">
        <v>2184</v>
      </c>
      <c r="N464" s="606" t="s">
        <v>2611</v>
      </c>
      <c r="O464" s="607">
        <v>42736.5</v>
      </c>
      <c r="P464" s="607">
        <v>43100.5</v>
      </c>
      <c r="Q464" s="600" t="s">
        <v>108</v>
      </c>
      <c r="R464" s="600" t="s">
        <v>1456</v>
      </c>
      <c r="S464" s="630" t="s">
        <v>1457</v>
      </c>
      <c r="T464" s="600"/>
      <c r="U464" s="600"/>
      <c r="V464" s="600"/>
      <c r="W464" s="600"/>
      <c r="X464" s="600"/>
      <c r="Y464" s="600"/>
      <c r="Z464" s="600"/>
      <c r="AA464" s="609" t="s">
        <v>1458</v>
      </c>
      <c r="AB464" s="642" t="s">
        <v>263</v>
      </c>
      <c r="AC464" s="652"/>
      <c r="AD464" s="652" t="s">
        <v>113</v>
      </c>
      <c r="AE464" s="653">
        <f t="shared" si="7"/>
        <v>1</v>
      </c>
    </row>
    <row r="465" spans="1:31" ht="105" hidden="1" x14ac:dyDescent="0.25">
      <c r="A465" s="608" t="s">
        <v>3821</v>
      </c>
      <c r="B465" s="601" t="s">
        <v>1793</v>
      </c>
      <c r="C465" s="601" t="s">
        <v>2096</v>
      </c>
      <c r="D465" s="602" t="s">
        <v>5468</v>
      </c>
      <c r="E465" s="602" t="s">
        <v>1485</v>
      </c>
      <c r="F465" s="601" t="s">
        <v>1528</v>
      </c>
      <c r="G465" s="602" t="s">
        <v>2156</v>
      </c>
      <c r="H465" s="603">
        <v>1</v>
      </c>
      <c r="I465" s="630">
        <v>45000000000</v>
      </c>
      <c r="J465" s="630" t="s">
        <v>1454</v>
      </c>
      <c r="K465" s="631" t="s">
        <v>2781</v>
      </c>
      <c r="L465" s="798">
        <v>991122</v>
      </c>
      <c r="M465" s="609" t="s">
        <v>2184</v>
      </c>
      <c r="N465" s="606" t="s">
        <v>2612</v>
      </c>
      <c r="O465" s="607">
        <v>42736.5</v>
      </c>
      <c r="P465" s="607">
        <v>43100.5</v>
      </c>
      <c r="Q465" s="600" t="s">
        <v>108</v>
      </c>
      <c r="R465" s="600" t="s">
        <v>1456</v>
      </c>
      <c r="S465" s="630" t="s">
        <v>1457</v>
      </c>
      <c r="T465" s="600"/>
      <c r="U465" s="600"/>
      <c r="V465" s="600"/>
      <c r="W465" s="600"/>
      <c r="X465" s="600"/>
      <c r="Y465" s="600"/>
      <c r="Z465" s="600"/>
      <c r="AA465" s="609" t="s">
        <v>1458</v>
      </c>
      <c r="AB465" s="642" t="s">
        <v>263</v>
      </c>
      <c r="AC465" s="652"/>
      <c r="AD465" s="652" t="s">
        <v>113</v>
      </c>
      <c r="AE465" s="653">
        <f t="shared" si="7"/>
        <v>1</v>
      </c>
    </row>
    <row r="466" spans="1:31" ht="105" hidden="1" x14ac:dyDescent="0.25">
      <c r="A466" s="608" t="s">
        <v>3822</v>
      </c>
      <c r="B466" s="601" t="s">
        <v>1793</v>
      </c>
      <c r="C466" s="601" t="s">
        <v>2096</v>
      </c>
      <c r="D466" s="602" t="s">
        <v>5467</v>
      </c>
      <c r="E466" s="602" t="s">
        <v>1485</v>
      </c>
      <c r="F466" s="601" t="s">
        <v>1528</v>
      </c>
      <c r="G466" s="602" t="s">
        <v>2156</v>
      </c>
      <c r="H466" s="603">
        <v>5</v>
      </c>
      <c r="I466" s="630">
        <v>45000000000</v>
      </c>
      <c r="J466" s="630" t="s">
        <v>1454</v>
      </c>
      <c r="K466" s="631" t="s">
        <v>2782</v>
      </c>
      <c r="L466" s="798">
        <v>268800</v>
      </c>
      <c r="M466" s="609" t="s">
        <v>2184</v>
      </c>
      <c r="N466" s="606" t="s">
        <v>2613</v>
      </c>
      <c r="O466" s="607">
        <v>42736.5</v>
      </c>
      <c r="P466" s="607">
        <v>43100.5</v>
      </c>
      <c r="Q466" s="600" t="s">
        <v>108</v>
      </c>
      <c r="R466" s="600" t="s">
        <v>1456</v>
      </c>
      <c r="S466" s="630" t="s">
        <v>1457</v>
      </c>
      <c r="T466" s="600"/>
      <c r="U466" s="600"/>
      <c r="V466" s="600"/>
      <c r="W466" s="600"/>
      <c r="X466" s="600"/>
      <c r="Y466" s="600"/>
      <c r="Z466" s="600"/>
      <c r="AA466" s="609" t="s">
        <v>1458</v>
      </c>
      <c r="AB466" s="642" t="s">
        <v>263</v>
      </c>
      <c r="AC466" s="652"/>
      <c r="AD466" s="652" t="s">
        <v>113</v>
      </c>
      <c r="AE466" s="653">
        <f t="shared" si="7"/>
        <v>1</v>
      </c>
    </row>
    <row r="467" spans="1:31" ht="105" hidden="1" x14ac:dyDescent="0.25">
      <c r="A467" s="608" t="s">
        <v>3823</v>
      </c>
      <c r="B467" s="601" t="s">
        <v>1793</v>
      </c>
      <c r="C467" s="601" t="s">
        <v>2096</v>
      </c>
      <c r="D467" s="602" t="s">
        <v>5466</v>
      </c>
      <c r="E467" s="602" t="s">
        <v>1485</v>
      </c>
      <c r="F467" s="601" t="s">
        <v>1528</v>
      </c>
      <c r="G467" s="602" t="s">
        <v>2156</v>
      </c>
      <c r="H467" s="603">
        <v>1</v>
      </c>
      <c r="I467" s="630">
        <v>45000000000</v>
      </c>
      <c r="J467" s="630" t="s">
        <v>1454</v>
      </c>
      <c r="K467" s="631" t="s">
        <v>1497</v>
      </c>
      <c r="L467" s="798">
        <v>3500000</v>
      </c>
      <c r="M467" s="609" t="s">
        <v>2184</v>
      </c>
      <c r="N467" s="606" t="s">
        <v>2584</v>
      </c>
      <c r="O467" s="607">
        <v>42736.5</v>
      </c>
      <c r="P467" s="607">
        <v>43100.5</v>
      </c>
      <c r="Q467" s="600" t="s">
        <v>108</v>
      </c>
      <c r="R467" s="600" t="s">
        <v>1456</v>
      </c>
      <c r="S467" s="630" t="s">
        <v>1457</v>
      </c>
      <c r="T467" s="600"/>
      <c r="U467" s="600"/>
      <c r="V467" s="600"/>
      <c r="W467" s="600"/>
      <c r="X467" s="600"/>
      <c r="Y467" s="600"/>
      <c r="Z467" s="600"/>
      <c r="AA467" s="609" t="s">
        <v>1458</v>
      </c>
      <c r="AB467" s="642" t="s">
        <v>263</v>
      </c>
      <c r="AC467" s="652"/>
      <c r="AD467" s="652" t="s">
        <v>113</v>
      </c>
      <c r="AE467" s="653">
        <f t="shared" si="7"/>
        <v>1</v>
      </c>
    </row>
    <row r="468" spans="1:31" ht="105" hidden="1" x14ac:dyDescent="0.25">
      <c r="A468" s="608" t="s">
        <v>3824</v>
      </c>
      <c r="B468" s="601" t="s">
        <v>1793</v>
      </c>
      <c r="C468" s="601" t="s">
        <v>2096</v>
      </c>
      <c r="D468" s="602" t="s">
        <v>5465</v>
      </c>
      <c r="E468" s="602" t="s">
        <v>1485</v>
      </c>
      <c r="F468" s="601" t="s">
        <v>1528</v>
      </c>
      <c r="G468" s="602" t="s">
        <v>2156</v>
      </c>
      <c r="H468" s="603">
        <v>1</v>
      </c>
      <c r="I468" s="630">
        <v>45000000000</v>
      </c>
      <c r="J468" s="630" t="s">
        <v>1454</v>
      </c>
      <c r="K468" s="631" t="s">
        <v>2110</v>
      </c>
      <c r="L468" s="798">
        <v>10734066</v>
      </c>
      <c r="M468" s="609" t="s">
        <v>2184</v>
      </c>
      <c r="N468" s="606" t="s">
        <v>2614</v>
      </c>
      <c r="O468" s="607">
        <v>42736.5</v>
      </c>
      <c r="P468" s="607">
        <v>43100.5</v>
      </c>
      <c r="Q468" s="600" t="s">
        <v>108</v>
      </c>
      <c r="R468" s="600" t="s">
        <v>1456</v>
      </c>
      <c r="S468" s="630" t="s">
        <v>1457</v>
      </c>
      <c r="T468" s="600"/>
      <c r="U468" s="600"/>
      <c r="V468" s="600"/>
      <c r="W468" s="600"/>
      <c r="X468" s="600"/>
      <c r="Y468" s="600"/>
      <c r="Z468" s="600"/>
      <c r="AA468" s="609" t="s">
        <v>1458</v>
      </c>
      <c r="AB468" s="642" t="s">
        <v>263</v>
      </c>
      <c r="AC468" s="652"/>
      <c r="AD468" s="652" t="s">
        <v>113</v>
      </c>
      <c r="AE468" s="653">
        <f t="shared" si="7"/>
        <v>1</v>
      </c>
    </row>
    <row r="469" spans="1:31" ht="105" hidden="1" x14ac:dyDescent="0.25">
      <c r="A469" s="608" t="s">
        <v>3825</v>
      </c>
      <c r="B469" s="601" t="s">
        <v>1793</v>
      </c>
      <c r="C469" s="601" t="s">
        <v>2096</v>
      </c>
      <c r="D469" s="602" t="s">
        <v>5464</v>
      </c>
      <c r="E469" s="602" t="s">
        <v>1485</v>
      </c>
      <c r="F469" s="601" t="s">
        <v>1528</v>
      </c>
      <c r="G469" s="602" t="s">
        <v>2156</v>
      </c>
      <c r="H469" s="603">
        <v>1</v>
      </c>
      <c r="I469" s="630">
        <v>45000000000</v>
      </c>
      <c r="J469" s="630" t="s">
        <v>1454</v>
      </c>
      <c r="K469" s="631" t="s">
        <v>2498</v>
      </c>
      <c r="L469" s="798">
        <v>6200000</v>
      </c>
      <c r="M469" s="609" t="s">
        <v>2184</v>
      </c>
      <c r="N469" s="606" t="s">
        <v>2493</v>
      </c>
      <c r="O469" s="607">
        <v>42736.5</v>
      </c>
      <c r="P469" s="607">
        <v>43100.5</v>
      </c>
      <c r="Q469" s="600" t="s">
        <v>108</v>
      </c>
      <c r="R469" s="600" t="s">
        <v>1456</v>
      </c>
      <c r="S469" s="630" t="s">
        <v>1457</v>
      </c>
      <c r="T469" s="600"/>
      <c r="U469" s="600"/>
      <c r="V469" s="600"/>
      <c r="W469" s="600"/>
      <c r="X469" s="600"/>
      <c r="Y469" s="600"/>
      <c r="Z469" s="600"/>
      <c r="AA469" s="609" t="s">
        <v>1458</v>
      </c>
      <c r="AB469" s="642" t="s">
        <v>263</v>
      </c>
      <c r="AC469" s="652"/>
      <c r="AD469" s="652" t="s">
        <v>113</v>
      </c>
      <c r="AE469" s="653">
        <f t="shared" si="7"/>
        <v>1</v>
      </c>
    </row>
    <row r="470" spans="1:31" ht="105" hidden="1" x14ac:dyDescent="0.25">
      <c r="A470" s="608" t="s">
        <v>3826</v>
      </c>
      <c r="B470" s="601" t="s">
        <v>1793</v>
      </c>
      <c r="C470" s="601" t="s">
        <v>2096</v>
      </c>
      <c r="D470" s="602" t="s">
        <v>5463</v>
      </c>
      <c r="E470" s="602" t="s">
        <v>1485</v>
      </c>
      <c r="F470" s="601" t="s">
        <v>1528</v>
      </c>
      <c r="G470" s="602" t="s">
        <v>2156</v>
      </c>
      <c r="H470" s="603">
        <v>1</v>
      </c>
      <c r="I470" s="630">
        <v>45000000000</v>
      </c>
      <c r="J470" s="630" t="s">
        <v>1454</v>
      </c>
      <c r="K470" s="631" t="s">
        <v>2783</v>
      </c>
      <c r="L470" s="798">
        <v>4000000</v>
      </c>
      <c r="M470" s="609" t="s">
        <v>2184</v>
      </c>
      <c r="N470" s="606" t="s">
        <v>2589</v>
      </c>
      <c r="O470" s="607">
        <v>42736.5</v>
      </c>
      <c r="P470" s="607">
        <v>43100.5</v>
      </c>
      <c r="Q470" s="600" t="s">
        <v>108</v>
      </c>
      <c r="R470" s="600" t="s">
        <v>1456</v>
      </c>
      <c r="S470" s="630" t="s">
        <v>1457</v>
      </c>
      <c r="T470" s="600"/>
      <c r="U470" s="600"/>
      <c r="V470" s="600"/>
      <c r="W470" s="600"/>
      <c r="X470" s="600"/>
      <c r="Y470" s="600"/>
      <c r="Z470" s="600"/>
      <c r="AA470" s="609" t="s">
        <v>1458</v>
      </c>
      <c r="AB470" s="642" t="s">
        <v>263</v>
      </c>
      <c r="AC470" s="652"/>
      <c r="AD470" s="652" t="s">
        <v>113</v>
      </c>
      <c r="AE470" s="653">
        <f t="shared" si="7"/>
        <v>1</v>
      </c>
    </row>
    <row r="471" spans="1:31" ht="105" hidden="1" x14ac:dyDescent="0.25">
      <c r="A471" s="608" t="s">
        <v>3827</v>
      </c>
      <c r="B471" s="601" t="s">
        <v>1976</v>
      </c>
      <c r="C471" s="601" t="s">
        <v>2111</v>
      </c>
      <c r="D471" s="602" t="s">
        <v>4399</v>
      </c>
      <c r="E471" s="602" t="s">
        <v>2112</v>
      </c>
      <c r="F471" s="601" t="s">
        <v>2113</v>
      </c>
      <c r="G471" s="602" t="s">
        <v>2559</v>
      </c>
      <c r="H471" s="603">
        <v>1</v>
      </c>
      <c r="I471" s="630">
        <v>45000000000</v>
      </c>
      <c r="J471" s="630" t="s">
        <v>1454</v>
      </c>
      <c r="K471" s="631" t="s">
        <v>2784</v>
      </c>
      <c r="L471" s="798">
        <v>14000000</v>
      </c>
      <c r="M471" s="609" t="s">
        <v>2184</v>
      </c>
      <c r="N471" s="606" t="s">
        <v>2615</v>
      </c>
      <c r="O471" s="607">
        <v>42736.5</v>
      </c>
      <c r="P471" s="607">
        <v>43100.5</v>
      </c>
      <c r="Q471" s="600" t="s">
        <v>108</v>
      </c>
      <c r="R471" s="600" t="s">
        <v>1456</v>
      </c>
      <c r="S471" s="630" t="s">
        <v>1457</v>
      </c>
      <c r="T471" s="600"/>
      <c r="U471" s="600"/>
      <c r="V471" s="600"/>
      <c r="W471" s="600"/>
      <c r="X471" s="600"/>
      <c r="Y471" s="600"/>
      <c r="Z471" s="600"/>
      <c r="AA471" s="609" t="s">
        <v>1458</v>
      </c>
      <c r="AB471" s="642" t="s">
        <v>263</v>
      </c>
      <c r="AC471" s="652"/>
      <c r="AD471" s="652" t="s">
        <v>113</v>
      </c>
      <c r="AE471" s="653">
        <f t="shared" si="7"/>
        <v>1</v>
      </c>
    </row>
    <row r="472" spans="1:31" ht="105" hidden="1" x14ac:dyDescent="0.25">
      <c r="A472" s="608" t="s">
        <v>3828</v>
      </c>
      <c r="B472" s="601" t="s">
        <v>1976</v>
      </c>
      <c r="C472" s="601" t="s">
        <v>2111</v>
      </c>
      <c r="D472" s="602" t="s">
        <v>4398</v>
      </c>
      <c r="E472" s="602" t="s">
        <v>2112</v>
      </c>
      <c r="F472" s="601" t="s">
        <v>2113</v>
      </c>
      <c r="G472" s="602" t="s">
        <v>2559</v>
      </c>
      <c r="H472" s="603">
        <v>1</v>
      </c>
      <c r="I472" s="630">
        <v>45000000000</v>
      </c>
      <c r="J472" s="630" t="s">
        <v>1454</v>
      </c>
      <c r="K472" s="631" t="s">
        <v>2784</v>
      </c>
      <c r="L472" s="798">
        <v>14000000</v>
      </c>
      <c r="M472" s="609" t="s">
        <v>2184</v>
      </c>
      <c r="N472" s="606" t="s">
        <v>2615</v>
      </c>
      <c r="O472" s="607">
        <v>42736.5</v>
      </c>
      <c r="P472" s="607">
        <v>43100.5</v>
      </c>
      <c r="Q472" s="600" t="s">
        <v>108</v>
      </c>
      <c r="R472" s="600" t="s">
        <v>1456</v>
      </c>
      <c r="S472" s="630" t="s">
        <v>1457</v>
      </c>
      <c r="T472" s="600"/>
      <c r="U472" s="600"/>
      <c r="V472" s="600"/>
      <c r="W472" s="600"/>
      <c r="X472" s="600"/>
      <c r="Y472" s="600"/>
      <c r="Z472" s="600"/>
      <c r="AA472" s="609" t="s">
        <v>1458</v>
      </c>
      <c r="AB472" s="642" t="s">
        <v>263</v>
      </c>
      <c r="AC472" s="652"/>
      <c r="AD472" s="652" t="s">
        <v>113</v>
      </c>
      <c r="AE472" s="653">
        <f t="shared" si="7"/>
        <v>1</v>
      </c>
    </row>
    <row r="473" spans="1:31" ht="105" hidden="1" x14ac:dyDescent="0.25">
      <c r="A473" s="608" t="s">
        <v>3829</v>
      </c>
      <c r="B473" s="601" t="s">
        <v>1590</v>
      </c>
      <c r="C473" s="601" t="s">
        <v>1974</v>
      </c>
      <c r="D473" s="602" t="s">
        <v>4397</v>
      </c>
      <c r="E473" s="602" t="s">
        <v>1975</v>
      </c>
      <c r="F473" s="601" t="s">
        <v>1528</v>
      </c>
      <c r="G473" s="602" t="s">
        <v>2156</v>
      </c>
      <c r="H473" s="603">
        <v>1</v>
      </c>
      <c r="I473" s="630">
        <v>45000000000</v>
      </c>
      <c r="J473" s="630" t="s">
        <v>1454</v>
      </c>
      <c r="K473" s="631" t="s">
        <v>2785</v>
      </c>
      <c r="L473" s="798">
        <v>140000</v>
      </c>
      <c r="M473" s="609" t="s">
        <v>2184</v>
      </c>
      <c r="N473" s="606" t="s">
        <v>2616</v>
      </c>
      <c r="O473" s="607">
        <v>43040.5</v>
      </c>
      <c r="P473" s="607">
        <v>43100.5</v>
      </c>
      <c r="Q473" s="600" t="s">
        <v>100</v>
      </c>
      <c r="R473" s="600" t="s">
        <v>1456</v>
      </c>
      <c r="S473" s="630" t="s">
        <v>1457</v>
      </c>
      <c r="T473" s="600"/>
      <c r="U473" s="600"/>
      <c r="V473" s="600"/>
      <c r="W473" s="600"/>
      <c r="X473" s="600"/>
      <c r="Y473" s="600"/>
      <c r="Z473" s="600"/>
      <c r="AA473" s="609" t="s">
        <v>1458</v>
      </c>
      <c r="AB473" s="642" t="s">
        <v>263</v>
      </c>
      <c r="AC473" s="652"/>
      <c r="AD473" s="652" t="s">
        <v>113</v>
      </c>
      <c r="AE473" s="653">
        <f t="shared" si="7"/>
        <v>11</v>
      </c>
    </row>
    <row r="474" spans="1:31" ht="105" hidden="1" x14ac:dyDescent="0.25">
      <c r="A474" s="608" t="s">
        <v>3830</v>
      </c>
      <c r="B474" s="601" t="s">
        <v>1984</v>
      </c>
      <c r="C474" s="601" t="s">
        <v>1985</v>
      </c>
      <c r="D474" s="602" t="s">
        <v>4396</v>
      </c>
      <c r="E474" s="602" t="s">
        <v>1986</v>
      </c>
      <c r="F474" s="601" t="s">
        <v>1528</v>
      </c>
      <c r="G474" s="602" t="s">
        <v>2156</v>
      </c>
      <c r="H474" s="603">
        <v>4</v>
      </c>
      <c r="I474" s="630">
        <v>45000000000</v>
      </c>
      <c r="J474" s="630" t="s">
        <v>1454</v>
      </c>
      <c r="K474" s="631" t="s">
        <v>1550</v>
      </c>
      <c r="L474" s="798">
        <v>200000</v>
      </c>
      <c r="M474" s="609" t="s">
        <v>2184</v>
      </c>
      <c r="N474" s="606" t="s">
        <v>2284</v>
      </c>
      <c r="O474" s="607">
        <v>42736.5</v>
      </c>
      <c r="P474" s="607">
        <v>43100.5</v>
      </c>
      <c r="Q474" s="600" t="s">
        <v>100</v>
      </c>
      <c r="R474" s="600" t="s">
        <v>1456</v>
      </c>
      <c r="S474" s="630" t="s">
        <v>1457</v>
      </c>
      <c r="T474" s="600"/>
      <c r="U474" s="600"/>
      <c r="V474" s="600"/>
      <c r="W474" s="600"/>
      <c r="X474" s="600"/>
      <c r="Y474" s="600"/>
      <c r="Z474" s="600"/>
      <c r="AA474" s="609" t="s">
        <v>1458</v>
      </c>
      <c r="AB474" s="642" t="s">
        <v>263</v>
      </c>
      <c r="AC474" s="652"/>
      <c r="AD474" s="652" t="s">
        <v>113</v>
      </c>
      <c r="AE474" s="653">
        <f t="shared" si="7"/>
        <v>1</v>
      </c>
    </row>
    <row r="475" spans="1:31" ht="105" hidden="1" x14ac:dyDescent="0.25">
      <c r="A475" s="608" t="s">
        <v>3831</v>
      </c>
      <c r="B475" s="601" t="s">
        <v>2044</v>
      </c>
      <c r="C475" s="601" t="s">
        <v>2115</v>
      </c>
      <c r="D475" s="602" t="s">
        <v>4395</v>
      </c>
      <c r="E475" s="602" t="s">
        <v>2046</v>
      </c>
      <c r="F475" s="601" t="s">
        <v>1528</v>
      </c>
      <c r="G475" s="602" t="s">
        <v>2156</v>
      </c>
      <c r="H475" s="603">
        <v>1</v>
      </c>
      <c r="I475" s="630">
        <v>45000000000</v>
      </c>
      <c r="J475" s="630" t="s">
        <v>1454</v>
      </c>
      <c r="K475" s="631" t="s">
        <v>2786</v>
      </c>
      <c r="L475" s="798">
        <v>3358138.4</v>
      </c>
      <c r="M475" s="609" t="s">
        <v>2184</v>
      </c>
      <c r="N475" s="606" t="s">
        <v>2617</v>
      </c>
      <c r="O475" s="607">
        <v>42736.5</v>
      </c>
      <c r="P475" s="607">
        <v>43100.5</v>
      </c>
      <c r="Q475" s="600" t="s">
        <v>100</v>
      </c>
      <c r="R475" s="600" t="s">
        <v>1456</v>
      </c>
      <c r="S475" s="630" t="s">
        <v>1457</v>
      </c>
      <c r="T475" s="600"/>
      <c r="U475" s="600"/>
      <c r="V475" s="600"/>
      <c r="W475" s="600"/>
      <c r="X475" s="600"/>
      <c r="Y475" s="600"/>
      <c r="Z475" s="600"/>
      <c r="AA475" s="609" t="s">
        <v>1458</v>
      </c>
      <c r="AB475" s="642" t="s">
        <v>263</v>
      </c>
      <c r="AC475" s="652"/>
      <c r="AD475" s="652" t="s">
        <v>113</v>
      </c>
      <c r="AE475" s="653">
        <f t="shared" si="7"/>
        <v>1</v>
      </c>
    </row>
    <row r="476" spans="1:31" ht="105" hidden="1" x14ac:dyDescent="0.25">
      <c r="A476" s="608" t="s">
        <v>3832</v>
      </c>
      <c r="B476" s="601" t="s">
        <v>1480</v>
      </c>
      <c r="C476" s="601" t="s">
        <v>2116</v>
      </c>
      <c r="D476" s="602" t="s">
        <v>4394</v>
      </c>
      <c r="E476" s="602" t="s">
        <v>2117</v>
      </c>
      <c r="F476" s="601" t="s">
        <v>1528</v>
      </c>
      <c r="G476" s="602" t="s">
        <v>2156</v>
      </c>
      <c r="H476" s="603">
        <v>1</v>
      </c>
      <c r="I476" s="604">
        <v>45000000000</v>
      </c>
      <c r="J476" s="599" t="s">
        <v>1454</v>
      </c>
      <c r="K476" s="616" t="s">
        <v>2787</v>
      </c>
      <c r="L476" s="798">
        <v>1572350</v>
      </c>
      <c r="M476" s="609" t="s">
        <v>2184</v>
      </c>
      <c r="N476" s="606" t="s">
        <v>2618</v>
      </c>
      <c r="O476" s="607">
        <v>42736.5</v>
      </c>
      <c r="P476" s="607">
        <v>43100.5</v>
      </c>
      <c r="Q476" s="609" t="s">
        <v>108</v>
      </c>
      <c r="R476" s="599" t="s">
        <v>1456</v>
      </c>
      <c r="S476" s="609" t="s">
        <v>1457</v>
      </c>
      <c r="T476" s="599"/>
      <c r="U476" s="599"/>
      <c r="V476" s="609"/>
      <c r="W476" s="599"/>
      <c r="X476" s="599"/>
      <c r="Y476" s="599"/>
      <c r="Z476" s="616"/>
      <c r="AA476" s="609" t="s">
        <v>1458</v>
      </c>
      <c r="AB476" s="642" t="s">
        <v>263</v>
      </c>
      <c r="AC476" s="652"/>
      <c r="AD476" s="652" t="s">
        <v>113</v>
      </c>
      <c r="AE476" s="653">
        <f t="shared" si="7"/>
        <v>1</v>
      </c>
    </row>
    <row r="477" spans="1:31" ht="105" hidden="1" x14ac:dyDescent="0.25">
      <c r="A477" s="608" t="s">
        <v>3833</v>
      </c>
      <c r="B477" s="601" t="s">
        <v>153</v>
      </c>
      <c r="C477" s="601" t="s">
        <v>153</v>
      </c>
      <c r="D477" s="602" t="s">
        <v>5461</v>
      </c>
      <c r="E477" s="602" t="s">
        <v>1518</v>
      </c>
      <c r="F477" s="601" t="s">
        <v>1528</v>
      </c>
      <c r="G477" s="602" t="s">
        <v>2156</v>
      </c>
      <c r="H477" s="603">
        <v>1</v>
      </c>
      <c r="I477" s="604">
        <v>45000000000</v>
      </c>
      <c r="J477" s="599" t="s">
        <v>1454</v>
      </c>
      <c r="K477" s="616" t="s">
        <v>1530</v>
      </c>
      <c r="L477" s="798">
        <v>800000</v>
      </c>
      <c r="M477" s="609" t="s">
        <v>2184</v>
      </c>
      <c r="N477" s="606" t="s">
        <v>2619</v>
      </c>
      <c r="O477" s="607">
        <v>42736.5</v>
      </c>
      <c r="P477" s="607">
        <v>43100.5</v>
      </c>
      <c r="Q477" s="609" t="s">
        <v>108</v>
      </c>
      <c r="R477" s="599" t="s">
        <v>1456</v>
      </c>
      <c r="S477" s="609" t="s">
        <v>1457</v>
      </c>
      <c r="T477" s="599"/>
      <c r="U477" s="599"/>
      <c r="V477" s="599"/>
      <c r="W477" s="599"/>
      <c r="X477" s="599"/>
      <c r="Y477" s="599"/>
      <c r="Z477" s="616"/>
      <c r="AA477" s="609" t="s">
        <v>1458</v>
      </c>
      <c r="AB477" s="642" t="s">
        <v>263</v>
      </c>
      <c r="AC477" s="652"/>
      <c r="AD477" s="652" t="s">
        <v>113</v>
      </c>
      <c r="AE477" s="653">
        <f t="shared" si="7"/>
        <v>1</v>
      </c>
    </row>
    <row r="478" spans="1:31" ht="105" hidden="1" x14ac:dyDescent="0.25">
      <c r="A478" s="608" t="s">
        <v>3834</v>
      </c>
      <c r="B478" s="601" t="s">
        <v>2044</v>
      </c>
      <c r="C478" s="601" t="s">
        <v>2115</v>
      </c>
      <c r="D478" s="602" t="s">
        <v>5460</v>
      </c>
      <c r="E478" s="602" t="s">
        <v>1518</v>
      </c>
      <c r="F478" s="601" t="s">
        <v>1528</v>
      </c>
      <c r="G478" s="602" t="s">
        <v>2156</v>
      </c>
      <c r="H478" s="603">
        <v>3</v>
      </c>
      <c r="I478" s="604">
        <v>45000000000</v>
      </c>
      <c r="J478" s="599" t="s">
        <v>1454</v>
      </c>
      <c r="K478" s="616" t="s">
        <v>2788</v>
      </c>
      <c r="L478" s="798">
        <v>8500000</v>
      </c>
      <c r="M478" s="609" t="s">
        <v>2184</v>
      </c>
      <c r="N478" s="606" t="s">
        <v>2620</v>
      </c>
      <c r="O478" s="607">
        <v>42767.5</v>
      </c>
      <c r="P478" s="607">
        <v>43100.5</v>
      </c>
      <c r="Q478" s="599" t="s">
        <v>108</v>
      </c>
      <c r="R478" s="599" t="s">
        <v>1456</v>
      </c>
      <c r="S478" s="599" t="s">
        <v>1457</v>
      </c>
      <c r="T478" s="599"/>
      <c r="U478" s="599"/>
      <c r="V478" s="599"/>
      <c r="W478" s="599"/>
      <c r="X478" s="599"/>
      <c r="Y478" s="599"/>
      <c r="Z478" s="599"/>
      <c r="AA478" s="609" t="s">
        <v>1458</v>
      </c>
      <c r="AB478" s="642" t="s">
        <v>263</v>
      </c>
      <c r="AC478" s="652"/>
      <c r="AD478" s="652" t="s">
        <v>113</v>
      </c>
      <c r="AE478" s="653">
        <f t="shared" si="7"/>
        <v>2</v>
      </c>
    </row>
    <row r="479" spans="1:31" ht="105" hidden="1" x14ac:dyDescent="0.25">
      <c r="A479" s="608" t="s">
        <v>3835</v>
      </c>
      <c r="B479" s="601" t="s">
        <v>2118</v>
      </c>
      <c r="C479" s="601" t="s">
        <v>2118</v>
      </c>
      <c r="D479" s="602" t="s">
        <v>5462</v>
      </c>
      <c r="E479" s="602" t="s">
        <v>2119</v>
      </c>
      <c r="F479" s="601" t="s">
        <v>1778</v>
      </c>
      <c r="G479" s="602" t="s">
        <v>2560</v>
      </c>
      <c r="H479" s="603">
        <v>1050</v>
      </c>
      <c r="I479" s="604">
        <v>45000000000</v>
      </c>
      <c r="J479" s="599" t="s">
        <v>1454</v>
      </c>
      <c r="K479" s="616" t="s">
        <v>2326</v>
      </c>
      <c r="L479" s="798">
        <v>3000000</v>
      </c>
      <c r="M479" s="609" t="s">
        <v>2184</v>
      </c>
      <c r="N479" s="606" t="s">
        <v>2271</v>
      </c>
      <c r="O479" s="607">
        <v>42887.5</v>
      </c>
      <c r="P479" s="607">
        <v>43100.5</v>
      </c>
      <c r="Q479" s="599" t="s">
        <v>108</v>
      </c>
      <c r="R479" s="599" t="s">
        <v>1456</v>
      </c>
      <c r="S479" s="599" t="s">
        <v>1457</v>
      </c>
      <c r="T479" s="599"/>
      <c r="U479" s="599"/>
      <c r="V479" s="599"/>
      <c r="W479" s="599"/>
      <c r="X479" s="599"/>
      <c r="Y479" s="599"/>
      <c r="Z479" s="599"/>
      <c r="AA479" s="609" t="s">
        <v>1458</v>
      </c>
      <c r="AB479" s="642" t="s">
        <v>263</v>
      </c>
      <c r="AC479" s="652"/>
      <c r="AD479" s="652" t="s">
        <v>113</v>
      </c>
      <c r="AE479" s="653">
        <f t="shared" si="7"/>
        <v>6</v>
      </c>
    </row>
    <row r="480" spans="1:31" ht="105" hidden="1" x14ac:dyDescent="0.25">
      <c r="A480" s="608" t="s">
        <v>3836</v>
      </c>
      <c r="B480" s="601" t="s">
        <v>2118</v>
      </c>
      <c r="C480" s="601" t="s">
        <v>2118</v>
      </c>
      <c r="D480" s="602" t="s">
        <v>5459</v>
      </c>
      <c r="E480" s="602" t="s">
        <v>2119</v>
      </c>
      <c r="F480" s="601" t="s">
        <v>1778</v>
      </c>
      <c r="G480" s="602" t="s">
        <v>2560</v>
      </c>
      <c r="H480" s="603">
        <v>160</v>
      </c>
      <c r="I480" s="604">
        <v>45000000000</v>
      </c>
      <c r="J480" s="599" t="s">
        <v>1454</v>
      </c>
      <c r="K480" s="616" t="s">
        <v>1479</v>
      </c>
      <c r="L480" s="798">
        <v>1500000</v>
      </c>
      <c r="M480" s="609" t="s">
        <v>2184</v>
      </c>
      <c r="N480" s="606" t="s">
        <v>2275</v>
      </c>
      <c r="O480" s="607">
        <v>42856.5</v>
      </c>
      <c r="P480" s="607">
        <v>43100.5</v>
      </c>
      <c r="Q480" s="599" t="s">
        <v>108</v>
      </c>
      <c r="R480" s="599" t="s">
        <v>1456</v>
      </c>
      <c r="S480" s="599" t="s">
        <v>1457</v>
      </c>
      <c r="T480" s="599"/>
      <c r="U480" s="599"/>
      <c r="V480" s="599"/>
      <c r="W480" s="599"/>
      <c r="X480" s="599"/>
      <c r="Y480" s="599"/>
      <c r="Z480" s="599"/>
      <c r="AA480" s="609" t="s">
        <v>1458</v>
      </c>
      <c r="AB480" s="642" t="s">
        <v>263</v>
      </c>
      <c r="AC480" s="652"/>
      <c r="AD480" s="652" t="s">
        <v>113</v>
      </c>
      <c r="AE480" s="653">
        <f t="shared" si="7"/>
        <v>5</v>
      </c>
    </row>
    <row r="481" spans="1:31" ht="105" hidden="1" x14ac:dyDescent="0.25">
      <c r="A481" s="608" t="s">
        <v>3837</v>
      </c>
      <c r="B481" s="601" t="s">
        <v>2120</v>
      </c>
      <c r="C481" s="601" t="s">
        <v>2121</v>
      </c>
      <c r="D481" s="602" t="s">
        <v>5458</v>
      </c>
      <c r="E481" s="602" t="s">
        <v>2119</v>
      </c>
      <c r="F481" s="601" t="s">
        <v>1528</v>
      </c>
      <c r="G481" s="602" t="s">
        <v>2156</v>
      </c>
      <c r="H481" s="603">
        <v>15</v>
      </c>
      <c r="I481" s="604">
        <v>45000000000</v>
      </c>
      <c r="J481" s="599" t="s">
        <v>1454</v>
      </c>
      <c r="K481" s="616" t="s">
        <v>1529</v>
      </c>
      <c r="L481" s="798">
        <v>600000</v>
      </c>
      <c r="M481" s="838" t="s">
        <v>4825</v>
      </c>
      <c r="N481" s="606" t="s">
        <v>2579</v>
      </c>
      <c r="O481" s="607">
        <v>42767.5</v>
      </c>
      <c r="P481" s="607">
        <v>43100.5</v>
      </c>
      <c r="Q481" s="599" t="s">
        <v>108</v>
      </c>
      <c r="R481" s="599" t="s">
        <v>1456</v>
      </c>
      <c r="S481" s="599" t="s">
        <v>1457</v>
      </c>
      <c r="T481" s="599"/>
      <c r="U481" s="599"/>
      <c r="V481" s="599"/>
      <c r="W481" s="599"/>
      <c r="X481" s="599"/>
      <c r="Y481" s="599"/>
      <c r="Z481" s="599"/>
      <c r="AA481" s="609" t="s">
        <v>1458</v>
      </c>
      <c r="AB481" s="642" t="s">
        <v>263</v>
      </c>
      <c r="AC481" s="652"/>
      <c r="AD481" s="652" t="s">
        <v>113</v>
      </c>
      <c r="AE481" s="653">
        <f t="shared" si="7"/>
        <v>2</v>
      </c>
    </row>
    <row r="482" spans="1:31" ht="105" hidden="1" x14ac:dyDescent="0.25">
      <c r="A482" s="608" t="s">
        <v>3838</v>
      </c>
      <c r="B482" s="601" t="s">
        <v>1593</v>
      </c>
      <c r="C482" s="601" t="s">
        <v>1593</v>
      </c>
      <c r="D482" s="602" t="s">
        <v>5457</v>
      </c>
      <c r="E482" s="602" t="s">
        <v>2119</v>
      </c>
      <c r="F482" s="601" t="s">
        <v>1528</v>
      </c>
      <c r="G482" s="602" t="s">
        <v>2156</v>
      </c>
      <c r="H482" s="603">
        <v>5</v>
      </c>
      <c r="I482" s="604">
        <v>45000000000</v>
      </c>
      <c r="J482" s="599" t="s">
        <v>1454</v>
      </c>
      <c r="K482" s="616" t="s">
        <v>1561</v>
      </c>
      <c r="L482" s="798">
        <v>500000</v>
      </c>
      <c r="M482" s="609" t="s">
        <v>2184</v>
      </c>
      <c r="N482" s="606" t="s">
        <v>2621</v>
      </c>
      <c r="O482" s="607">
        <v>42856.5</v>
      </c>
      <c r="P482" s="607">
        <v>43100.5</v>
      </c>
      <c r="Q482" s="599" t="s">
        <v>108</v>
      </c>
      <c r="R482" s="599" t="s">
        <v>1456</v>
      </c>
      <c r="S482" s="599" t="s">
        <v>1457</v>
      </c>
      <c r="T482" s="599"/>
      <c r="U482" s="599"/>
      <c r="V482" s="599"/>
      <c r="W482" s="599"/>
      <c r="X482" s="599"/>
      <c r="Y482" s="599"/>
      <c r="Z482" s="599"/>
      <c r="AA482" s="609" t="s">
        <v>1458</v>
      </c>
      <c r="AB482" s="642" t="s">
        <v>263</v>
      </c>
      <c r="AC482" s="652"/>
      <c r="AD482" s="652" t="s">
        <v>113</v>
      </c>
      <c r="AE482" s="653">
        <f t="shared" si="7"/>
        <v>5</v>
      </c>
    </row>
    <row r="483" spans="1:31" ht="105" hidden="1" x14ac:dyDescent="0.25">
      <c r="A483" s="608" t="s">
        <v>3839</v>
      </c>
      <c r="B483" s="601" t="s">
        <v>2118</v>
      </c>
      <c r="C483" s="601" t="s">
        <v>2118</v>
      </c>
      <c r="D483" s="602" t="s">
        <v>4393</v>
      </c>
      <c r="E483" s="602" t="s">
        <v>2119</v>
      </c>
      <c r="F483" s="601" t="s">
        <v>1778</v>
      </c>
      <c r="G483" s="602" t="s">
        <v>2560</v>
      </c>
      <c r="H483" s="603">
        <v>320</v>
      </c>
      <c r="I483" s="604">
        <v>45000000000</v>
      </c>
      <c r="J483" s="599" t="s">
        <v>1454</v>
      </c>
      <c r="K483" s="616" t="s">
        <v>2789</v>
      </c>
      <c r="L483" s="798">
        <v>9000000</v>
      </c>
      <c r="M483" s="609" t="s">
        <v>2184</v>
      </c>
      <c r="N483" s="606" t="s">
        <v>2622</v>
      </c>
      <c r="O483" s="607">
        <v>42887.5</v>
      </c>
      <c r="P483" s="607">
        <v>43100.5</v>
      </c>
      <c r="Q483" s="599" t="s">
        <v>100</v>
      </c>
      <c r="R483" s="599" t="s">
        <v>1456</v>
      </c>
      <c r="S483" s="599" t="s">
        <v>1457</v>
      </c>
      <c r="T483" s="599"/>
      <c r="U483" s="599"/>
      <c r="V483" s="599"/>
      <c r="W483" s="599"/>
      <c r="X483" s="599"/>
      <c r="Y483" s="599"/>
      <c r="Z483" s="599"/>
      <c r="AA483" s="609" t="s">
        <v>1458</v>
      </c>
      <c r="AB483" s="642" t="s">
        <v>263</v>
      </c>
      <c r="AC483" s="652"/>
      <c r="AD483" s="652" t="s">
        <v>113</v>
      </c>
      <c r="AE483" s="653">
        <f t="shared" si="7"/>
        <v>6</v>
      </c>
    </row>
    <row r="484" spans="1:31" ht="105" hidden="1" x14ac:dyDescent="0.25">
      <c r="A484" s="608" t="s">
        <v>3840</v>
      </c>
      <c r="B484" s="601" t="s">
        <v>2118</v>
      </c>
      <c r="C484" s="601" t="s">
        <v>2118</v>
      </c>
      <c r="D484" s="602" t="s">
        <v>5456</v>
      </c>
      <c r="E484" s="602" t="s">
        <v>2119</v>
      </c>
      <c r="F484" s="601" t="s">
        <v>1587</v>
      </c>
      <c r="G484" s="602" t="s">
        <v>2256</v>
      </c>
      <c r="H484" s="603">
        <v>1</v>
      </c>
      <c r="I484" s="604">
        <v>45000000000</v>
      </c>
      <c r="J484" s="599" t="s">
        <v>1454</v>
      </c>
      <c r="K484" s="616" t="s">
        <v>2328</v>
      </c>
      <c r="L484" s="798">
        <v>2500000</v>
      </c>
      <c r="M484" s="609" t="s">
        <v>2184</v>
      </c>
      <c r="N484" s="606" t="s">
        <v>2287</v>
      </c>
      <c r="O484" s="607">
        <v>42917.5</v>
      </c>
      <c r="P484" s="607">
        <v>43100.5</v>
      </c>
      <c r="Q484" s="599" t="s">
        <v>100</v>
      </c>
      <c r="R484" s="599" t="s">
        <v>1456</v>
      </c>
      <c r="S484" s="599" t="s">
        <v>1457</v>
      </c>
      <c r="T484" s="599"/>
      <c r="U484" s="599"/>
      <c r="V484" s="599"/>
      <c r="W484" s="599"/>
      <c r="X484" s="599"/>
      <c r="Y484" s="599"/>
      <c r="Z484" s="599"/>
      <c r="AA484" s="609" t="s">
        <v>1458</v>
      </c>
      <c r="AB484" s="642" t="s">
        <v>263</v>
      </c>
      <c r="AC484" s="652"/>
      <c r="AD484" s="652" t="s">
        <v>113</v>
      </c>
      <c r="AE484" s="653">
        <f t="shared" si="7"/>
        <v>7</v>
      </c>
    </row>
    <row r="485" spans="1:31" ht="105" hidden="1" x14ac:dyDescent="0.25">
      <c r="A485" s="608" t="s">
        <v>3841</v>
      </c>
      <c r="B485" s="601" t="s">
        <v>2118</v>
      </c>
      <c r="C485" s="601" t="s">
        <v>2118</v>
      </c>
      <c r="D485" s="602" t="s">
        <v>5455</v>
      </c>
      <c r="E485" s="602" t="s">
        <v>2119</v>
      </c>
      <c r="F485" s="601" t="s">
        <v>1778</v>
      </c>
      <c r="G485" s="602" t="s">
        <v>2560</v>
      </c>
      <c r="H485" s="603">
        <v>50</v>
      </c>
      <c r="I485" s="604">
        <v>45000000000</v>
      </c>
      <c r="J485" s="599" t="s">
        <v>1454</v>
      </c>
      <c r="K485" s="616" t="s">
        <v>2790</v>
      </c>
      <c r="L485" s="798">
        <v>980000</v>
      </c>
      <c r="M485" s="609" t="s">
        <v>2184</v>
      </c>
      <c r="N485" s="606" t="s">
        <v>2623</v>
      </c>
      <c r="O485" s="607">
        <v>42887.5</v>
      </c>
      <c r="P485" s="607">
        <v>43100.5</v>
      </c>
      <c r="Q485" s="599" t="s">
        <v>108</v>
      </c>
      <c r="R485" s="599" t="s">
        <v>1456</v>
      </c>
      <c r="S485" s="599" t="s">
        <v>1457</v>
      </c>
      <c r="T485" s="599"/>
      <c r="U485" s="599"/>
      <c r="V485" s="599"/>
      <c r="W485" s="599"/>
      <c r="X485" s="599"/>
      <c r="Y485" s="599"/>
      <c r="Z485" s="599"/>
      <c r="AA485" s="609" t="s">
        <v>1458</v>
      </c>
      <c r="AB485" s="642" t="s">
        <v>263</v>
      </c>
      <c r="AC485" s="652"/>
      <c r="AD485" s="652" t="s">
        <v>113</v>
      </c>
      <c r="AE485" s="653">
        <f t="shared" si="7"/>
        <v>6</v>
      </c>
    </row>
    <row r="486" spans="1:31" ht="105" hidden="1" x14ac:dyDescent="0.25">
      <c r="A486" s="608" t="s">
        <v>3842</v>
      </c>
      <c r="B486" s="601" t="s">
        <v>2118</v>
      </c>
      <c r="C486" s="601" t="s">
        <v>2118</v>
      </c>
      <c r="D486" s="602" t="s">
        <v>5454</v>
      </c>
      <c r="E486" s="602" t="s">
        <v>2119</v>
      </c>
      <c r="F486" s="601" t="s">
        <v>1778</v>
      </c>
      <c r="G486" s="602" t="s">
        <v>2560</v>
      </c>
      <c r="H486" s="603">
        <v>360</v>
      </c>
      <c r="I486" s="604">
        <v>45000000000</v>
      </c>
      <c r="J486" s="599" t="s">
        <v>1454</v>
      </c>
      <c r="K486" s="616" t="s">
        <v>2783</v>
      </c>
      <c r="L486" s="798">
        <v>4000000</v>
      </c>
      <c r="M486" s="609" t="s">
        <v>2184</v>
      </c>
      <c r="N486" s="606" t="s">
        <v>2589</v>
      </c>
      <c r="O486" s="607">
        <v>42767.5</v>
      </c>
      <c r="P486" s="607">
        <v>43100.5</v>
      </c>
      <c r="Q486" s="599" t="s">
        <v>108</v>
      </c>
      <c r="R486" s="599" t="s">
        <v>1456</v>
      </c>
      <c r="S486" s="599" t="s">
        <v>1457</v>
      </c>
      <c r="T486" s="599"/>
      <c r="U486" s="599"/>
      <c r="V486" s="599"/>
      <c r="W486" s="599"/>
      <c r="X486" s="599"/>
      <c r="Y486" s="599"/>
      <c r="Z486" s="599"/>
      <c r="AA486" s="609" t="s">
        <v>1458</v>
      </c>
      <c r="AB486" s="642" t="s">
        <v>263</v>
      </c>
      <c r="AC486" s="652"/>
      <c r="AD486" s="652" t="s">
        <v>113</v>
      </c>
      <c r="AE486" s="653">
        <f t="shared" si="7"/>
        <v>2</v>
      </c>
    </row>
    <row r="487" spans="1:31" ht="105" hidden="1" x14ac:dyDescent="0.25">
      <c r="A487" s="608" t="s">
        <v>3843</v>
      </c>
      <c r="B487" s="601" t="s">
        <v>2120</v>
      </c>
      <c r="C487" s="601" t="s">
        <v>2121</v>
      </c>
      <c r="D487" s="602" t="s">
        <v>5453</v>
      </c>
      <c r="E487" s="602" t="s">
        <v>2119</v>
      </c>
      <c r="F487" s="601" t="s">
        <v>1528</v>
      </c>
      <c r="G487" s="602" t="s">
        <v>2156</v>
      </c>
      <c r="H487" s="603">
        <v>20</v>
      </c>
      <c r="I487" s="604">
        <v>45000000000</v>
      </c>
      <c r="J487" s="599" t="s">
        <v>1454</v>
      </c>
      <c r="K487" s="616" t="s">
        <v>2791</v>
      </c>
      <c r="L487" s="798">
        <v>850000</v>
      </c>
      <c r="M487" s="609" t="s">
        <v>2184</v>
      </c>
      <c r="N487" s="606" t="s">
        <v>2624</v>
      </c>
      <c r="O487" s="607">
        <v>42736.5</v>
      </c>
      <c r="P487" s="607">
        <v>43100.5</v>
      </c>
      <c r="Q487" s="599" t="s">
        <v>108</v>
      </c>
      <c r="R487" s="599" t="s">
        <v>1456</v>
      </c>
      <c r="S487" s="599" t="s">
        <v>1457</v>
      </c>
      <c r="T487" s="599"/>
      <c r="U487" s="599"/>
      <c r="V487" s="599"/>
      <c r="W487" s="599"/>
      <c r="X487" s="599"/>
      <c r="Y487" s="599"/>
      <c r="Z487" s="599"/>
      <c r="AA487" s="609" t="s">
        <v>1458</v>
      </c>
      <c r="AB487" s="642" t="s">
        <v>263</v>
      </c>
      <c r="AC487" s="652"/>
      <c r="AD487" s="652" t="s">
        <v>113</v>
      </c>
      <c r="AE487" s="653">
        <f t="shared" si="7"/>
        <v>1</v>
      </c>
    </row>
    <row r="488" spans="1:31" ht="105" hidden="1" x14ac:dyDescent="0.25">
      <c r="A488" s="608" t="s">
        <v>3844</v>
      </c>
      <c r="B488" s="601" t="s">
        <v>2122</v>
      </c>
      <c r="C488" s="601" t="s">
        <v>2123</v>
      </c>
      <c r="D488" s="602" t="s">
        <v>5452</v>
      </c>
      <c r="E488" s="602" t="s">
        <v>1518</v>
      </c>
      <c r="F488" s="601" t="s">
        <v>1528</v>
      </c>
      <c r="G488" s="602" t="s">
        <v>2156</v>
      </c>
      <c r="H488" s="603">
        <v>1</v>
      </c>
      <c r="I488" s="604">
        <v>45000000000</v>
      </c>
      <c r="J488" s="599" t="s">
        <v>1454</v>
      </c>
      <c r="K488" s="616" t="s">
        <v>1529</v>
      </c>
      <c r="L488" s="798">
        <v>600000</v>
      </c>
      <c r="M488" s="609" t="s">
        <v>2184</v>
      </c>
      <c r="N488" s="606" t="s">
        <v>2579</v>
      </c>
      <c r="O488" s="607">
        <v>42736.5</v>
      </c>
      <c r="P488" s="607">
        <v>43100.5</v>
      </c>
      <c r="Q488" s="599" t="s">
        <v>100</v>
      </c>
      <c r="R488" s="599" t="s">
        <v>1456</v>
      </c>
      <c r="S488" s="599" t="s">
        <v>1457</v>
      </c>
      <c r="T488" s="599"/>
      <c r="U488" s="599"/>
      <c r="V488" s="599"/>
      <c r="W488" s="599"/>
      <c r="X488" s="599"/>
      <c r="Y488" s="599"/>
      <c r="Z488" s="599"/>
      <c r="AA488" s="609" t="s">
        <v>1458</v>
      </c>
      <c r="AB488" s="642" t="s">
        <v>263</v>
      </c>
      <c r="AC488" s="652"/>
      <c r="AD488" s="652" t="s">
        <v>113</v>
      </c>
      <c r="AE488" s="653">
        <f t="shared" si="7"/>
        <v>1</v>
      </c>
    </row>
    <row r="489" spans="1:31" ht="105" hidden="1" x14ac:dyDescent="0.25">
      <c r="A489" s="608" t="s">
        <v>3845</v>
      </c>
      <c r="B489" s="601" t="s">
        <v>2122</v>
      </c>
      <c r="C489" s="601" t="s">
        <v>2123</v>
      </c>
      <c r="D489" s="602" t="s">
        <v>5451</v>
      </c>
      <c r="E489" s="602" t="s">
        <v>1518</v>
      </c>
      <c r="F489" s="601" t="s">
        <v>1528</v>
      </c>
      <c r="G489" s="602" t="s">
        <v>2156</v>
      </c>
      <c r="H489" s="603">
        <v>3</v>
      </c>
      <c r="I489" s="604">
        <v>45000000000</v>
      </c>
      <c r="J489" s="599" t="s">
        <v>1454</v>
      </c>
      <c r="K489" s="616" t="s">
        <v>1524</v>
      </c>
      <c r="L489" s="798">
        <v>450000</v>
      </c>
      <c r="M489" s="609" t="s">
        <v>2184</v>
      </c>
      <c r="N489" s="606" t="s">
        <v>2625</v>
      </c>
      <c r="O489" s="607">
        <v>42736.5</v>
      </c>
      <c r="P489" s="607">
        <v>43100.5</v>
      </c>
      <c r="Q489" s="599" t="s">
        <v>108</v>
      </c>
      <c r="R489" s="599" t="s">
        <v>1456</v>
      </c>
      <c r="S489" s="599" t="s">
        <v>1457</v>
      </c>
      <c r="T489" s="599"/>
      <c r="U489" s="599"/>
      <c r="V489" s="599"/>
      <c r="W489" s="599"/>
      <c r="X489" s="599"/>
      <c r="Y489" s="599"/>
      <c r="Z489" s="599"/>
      <c r="AA489" s="609" t="s">
        <v>1458</v>
      </c>
      <c r="AB489" s="642" t="s">
        <v>263</v>
      </c>
      <c r="AC489" s="652"/>
      <c r="AD489" s="652" t="s">
        <v>113</v>
      </c>
      <c r="AE489" s="653">
        <f t="shared" si="7"/>
        <v>1</v>
      </c>
    </row>
    <row r="490" spans="1:31" ht="105" hidden="1" x14ac:dyDescent="0.25">
      <c r="A490" s="608" t="s">
        <v>3846</v>
      </c>
      <c r="B490" s="601" t="s">
        <v>2060</v>
      </c>
      <c r="C490" s="601" t="s">
        <v>2061</v>
      </c>
      <c r="D490" s="602" t="s">
        <v>5450</v>
      </c>
      <c r="E490" s="602" t="s">
        <v>1518</v>
      </c>
      <c r="F490" s="601" t="s">
        <v>1528</v>
      </c>
      <c r="G490" s="602" t="s">
        <v>2156</v>
      </c>
      <c r="H490" s="603">
        <v>1</v>
      </c>
      <c r="I490" s="604">
        <v>45000000000</v>
      </c>
      <c r="J490" s="599" t="s">
        <v>1454</v>
      </c>
      <c r="K490" s="616" t="s">
        <v>2792</v>
      </c>
      <c r="L490" s="798">
        <v>390000</v>
      </c>
      <c r="M490" s="609" t="s">
        <v>2184</v>
      </c>
      <c r="N490" s="606" t="s">
        <v>2626</v>
      </c>
      <c r="O490" s="607">
        <v>42736.5</v>
      </c>
      <c r="P490" s="607">
        <v>43100.5</v>
      </c>
      <c r="Q490" s="599" t="s">
        <v>108</v>
      </c>
      <c r="R490" s="599" t="s">
        <v>1456</v>
      </c>
      <c r="S490" s="599" t="s">
        <v>1457</v>
      </c>
      <c r="T490" s="599"/>
      <c r="U490" s="599"/>
      <c r="V490" s="599"/>
      <c r="W490" s="599"/>
      <c r="X490" s="599"/>
      <c r="Y490" s="599"/>
      <c r="Z490" s="599"/>
      <c r="AA490" s="609" t="s">
        <v>1458</v>
      </c>
      <c r="AB490" s="642" t="s">
        <v>263</v>
      </c>
      <c r="AC490" s="652"/>
      <c r="AD490" s="652" t="s">
        <v>113</v>
      </c>
      <c r="AE490" s="653">
        <f t="shared" si="7"/>
        <v>1</v>
      </c>
    </row>
    <row r="491" spans="1:31" ht="105" hidden="1" x14ac:dyDescent="0.25">
      <c r="A491" s="608" t="s">
        <v>3847</v>
      </c>
      <c r="B491" s="601" t="s">
        <v>2060</v>
      </c>
      <c r="C491" s="601" t="s">
        <v>2061</v>
      </c>
      <c r="D491" s="602" t="s">
        <v>5449</v>
      </c>
      <c r="E491" s="602" t="s">
        <v>1518</v>
      </c>
      <c r="F491" s="601" t="s">
        <v>1528</v>
      </c>
      <c r="G491" s="602" t="s">
        <v>2156</v>
      </c>
      <c r="H491" s="603">
        <v>1</v>
      </c>
      <c r="I491" s="604">
        <v>45000000000</v>
      </c>
      <c r="J491" s="599" t="s">
        <v>1454</v>
      </c>
      <c r="K491" s="616" t="s">
        <v>1489</v>
      </c>
      <c r="L491" s="798">
        <v>400000</v>
      </c>
      <c r="M491" s="609" t="s">
        <v>2184</v>
      </c>
      <c r="N491" s="606" t="s">
        <v>2581</v>
      </c>
      <c r="O491" s="607">
        <v>42736.5</v>
      </c>
      <c r="P491" s="607">
        <v>43100.5</v>
      </c>
      <c r="Q491" s="599" t="s">
        <v>108</v>
      </c>
      <c r="R491" s="599" t="s">
        <v>1456</v>
      </c>
      <c r="S491" s="599" t="s">
        <v>1457</v>
      </c>
      <c r="T491" s="599"/>
      <c r="U491" s="599"/>
      <c r="V491" s="599"/>
      <c r="W491" s="599"/>
      <c r="X491" s="599"/>
      <c r="Y491" s="599"/>
      <c r="Z491" s="599"/>
      <c r="AA491" s="609" t="s">
        <v>1458</v>
      </c>
      <c r="AB491" s="642" t="s">
        <v>263</v>
      </c>
      <c r="AC491" s="652"/>
      <c r="AD491" s="652" t="s">
        <v>113</v>
      </c>
      <c r="AE491" s="653">
        <f t="shared" si="7"/>
        <v>1</v>
      </c>
    </row>
    <row r="492" spans="1:31" ht="105" hidden="1" x14ac:dyDescent="0.25">
      <c r="A492" s="608" t="s">
        <v>3848</v>
      </c>
      <c r="B492" s="601" t="s">
        <v>1793</v>
      </c>
      <c r="C492" s="601" t="s">
        <v>2124</v>
      </c>
      <c r="D492" s="602" t="s">
        <v>5448</v>
      </c>
      <c r="E492" s="602" t="s">
        <v>1582</v>
      </c>
      <c r="F492" s="601" t="s">
        <v>1528</v>
      </c>
      <c r="G492" s="602" t="s">
        <v>2156</v>
      </c>
      <c r="H492" s="603">
        <v>1</v>
      </c>
      <c r="I492" s="604">
        <v>45000000000</v>
      </c>
      <c r="J492" s="599" t="s">
        <v>1454</v>
      </c>
      <c r="K492" s="616" t="s">
        <v>2793</v>
      </c>
      <c r="L492" s="798">
        <v>53295533.5</v>
      </c>
      <c r="M492" s="609" t="s">
        <v>2184</v>
      </c>
      <c r="N492" s="606" t="s">
        <v>2627</v>
      </c>
      <c r="O492" s="607">
        <v>42736.5</v>
      </c>
      <c r="P492" s="607">
        <v>43070.5</v>
      </c>
      <c r="Q492" s="599" t="s">
        <v>108</v>
      </c>
      <c r="R492" s="599" t="s">
        <v>1456</v>
      </c>
      <c r="S492" s="599" t="s">
        <v>1457</v>
      </c>
      <c r="T492" s="599"/>
      <c r="U492" s="599"/>
      <c r="V492" s="599"/>
      <c r="W492" s="599"/>
      <c r="X492" s="599"/>
      <c r="Y492" s="599"/>
      <c r="Z492" s="599"/>
      <c r="AA492" s="609" t="s">
        <v>1458</v>
      </c>
      <c r="AB492" s="642" t="s">
        <v>263</v>
      </c>
      <c r="AC492" s="652"/>
      <c r="AD492" s="652" t="s">
        <v>113</v>
      </c>
      <c r="AE492" s="653">
        <f t="shared" si="7"/>
        <v>1</v>
      </c>
    </row>
    <row r="493" spans="1:31" ht="150" hidden="1" x14ac:dyDescent="0.25">
      <c r="A493" s="608" t="s">
        <v>3849</v>
      </c>
      <c r="B493" s="601" t="s">
        <v>1793</v>
      </c>
      <c r="C493" s="601" t="s">
        <v>2124</v>
      </c>
      <c r="D493" s="656" t="s">
        <v>5447</v>
      </c>
      <c r="E493" s="602" t="s">
        <v>1582</v>
      </c>
      <c r="F493" s="601" t="s">
        <v>1528</v>
      </c>
      <c r="G493" s="602" t="s">
        <v>2156</v>
      </c>
      <c r="H493" s="603">
        <v>1</v>
      </c>
      <c r="I493" s="604">
        <v>45000000000</v>
      </c>
      <c r="J493" s="599" t="s">
        <v>1454</v>
      </c>
      <c r="K493" s="616" t="s">
        <v>2794</v>
      </c>
      <c r="L493" s="798">
        <v>20500000</v>
      </c>
      <c r="M493" s="609" t="s">
        <v>2184</v>
      </c>
      <c r="N493" s="606" t="s">
        <v>2628</v>
      </c>
      <c r="O493" s="607">
        <v>42736.5</v>
      </c>
      <c r="P493" s="607">
        <v>43070.5</v>
      </c>
      <c r="Q493" s="599" t="s">
        <v>108</v>
      </c>
      <c r="R493" s="599" t="s">
        <v>1456</v>
      </c>
      <c r="S493" s="599" t="s">
        <v>1457</v>
      </c>
      <c r="T493" s="599"/>
      <c r="U493" s="599"/>
      <c r="V493" s="599"/>
      <c r="W493" s="599"/>
      <c r="X493" s="599"/>
      <c r="Y493" s="599"/>
      <c r="Z493" s="599"/>
      <c r="AA493" s="609" t="s">
        <v>1458</v>
      </c>
      <c r="AB493" s="642" t="s">
        <v>263</v>
      </c>
      <c r="AC493" s="652"/>
      <c r="AD493" s="652" t="s">
        <v>113</v>
      </c>
      <c r="AE493" s="653">
        <f t="shared" si="7"/>
        <v>1</v>
      </c>
    </row>
    <row r="494" spans="1:31" ht="105" hidden="1" x14ac:dyDescent="0.25">
      <c r="A494" s="608" t="s">
        <v>3850</v>
      </c>
      <c r="B494" s="601" t="s">
        <v>1793</v>
      </c>
      <c r="C494" s="601" t="s">
        <v>2124</v>
      </c>
      <c r="D494" s="602" t="s">
        <v>5446</v>
      </c>
      <c r="E494" s="602" t="s">
        <v>1582</v>
      </c>
      <c r="F494" s="601" t="s">
        <v>1528</v>
      </c>
      <c r="G494" s="602" t="s">
        <v>2156</v>
      </c>
      <c r="H494" s="603">
        <v>6</v>
      </c>
      <c r="I494" s="604">
        <v>45000000000</v>
      </c>
      <c r="J494" s="599" t="s">
        <v>1454</v>
      </c>
      <c r="K494" s="616" t="s">
        <v>2795</v>
      </c>
      <c r="L494" s="798">
        <v>57196427.490000002</v>
      </c>
      <c r="M494" s="609" t="s">
        <v>2184</v>
      </c>
      <c r="N494" s="606" t="s">
        <v>2629</v>
      </c>
      <c r="O494" s="607">
        <v>42736.5</v>
      </c>
      <c r="P494" s="607">
        <v>43070.5</v>
      </c>
      <c r="Q494" s="599" t="s">
        <v>108</v>
      </c>
      <c r="R494" s="599" t="s">
        <v>1456</v>
      </c>
      <c r="S494" s="599" t="s">
        <v>1457</v>
      </c>
      <c r="T494" s="599"/>
      <c r="U494" s="599"/>
      <c r="V494" s="599"/>
      <c r="W494" s="599"/>
      <c r="X494" s="599"/>
      <c r="Y494" s="599"/>
      <c r="Z494" s="599"/>
      <c r="AA494" s="609" t="s">
        <v>1458</v>
      </c>
      <c r="AB494" s="642" t="s">
        <v>263</v>
      </c>
      <c r="AC494" s="652"/>
      <c r="AD494" s="652" t="s">
        <v>113</v>
      </c>
      <c r="AE494" s="653">
        <f t="shared" si="7"/>
        <v>1</v>
      </c>
    </row>
    <row r="495" spans="1:31" ht="105" hidden="1" x14ac:dyDescent="0.25">
      <c r="A495" s="608" t="s">
        <v>3851</v>
      </c>
      <c r="B495" s="601" t="s">
        <v>1793</v>
      </c>
      <c r="C495" s="601" t="s">
        <v>2124</v>
      </c>
      <c r="D495" s="656" t="s">
        <v>4392</v>
      </c>
      <c r="E495" s="602" t="s">
        <v>1582</v>
      </c>
      <c r="F495" s="601" t="s">
        <v>1528</v>
      </c>
      <c r="G495" s="602" t="s">
        <v>2156</v>
      </c>
      <c r="H495" s="603">
        <v>2</v>
      </c>
      <c r="I495" s="604">
        <v>45000000000</v>
      </c>
      <c r="J495" s="599" t="s">
        <v>1454</v>
      </c>
      <c r="K495" s="616" t="s">
        <v>2796</v>
      </c>
      <c r="L495" s="798">
        <v>168892803.97</v>
      </c>
      <c r="M495" s="609" t="s">
        <v>2184</v>
      </c>
      <c r="N495" s="606" t="s">
        <v>2630</v>
      </c>
      <c r="O495" s="607">
        <v>42736.5</v>
      </c>
      <c r="P495" s="607">
        <v>43070.5</v>
      </c>
      <c r="Q495" s="599" t="s">
        <v>108</v>
      </c>
      <c r="R495" s="599" t="s">
        <v>1456</v>
      </c>
      <c r="S495" s="599" t="s">
        <v>1457</v>
      </c>
      <c r="T495" s="599"/>
      <c r="U495" s="599"/>
      <c r="V495" s="599"/>
      <c r="W495" s="599"/>
      <c r="X495" s="599"/>
      <c r="Y495" s="599"/>
      <c r="Z495" s="599"/>
      <c r="AA495" s="609" t="s">
        <v>1458</v>
      </c>
      <c r="AB495" s="642" t="s">
        <v>263</v>
      </c>
      <c r="AC495" s="652"/>
      <c r="AD495" s="652" t="s">
        <v>113</v>
      </c>
      <c r="AE495" s="653">
        <f t="shared" si="7"/>
        <v>1</v>
      </c>
    </row>
    <row r="496" spans="1:31" ht="165" hidden="1" x14ac:dyDescent="0.25">
      <c r="A496" s="608" t="s">
        <v>3852</v>
      </c>
      <c r="B496" s="601" t="s">
        <v>1793</v>
      </c>
      <c r="C496" s="601" t="s">
        <v>2124</v>
      </c>
      <c r="D496" s="656" t="s">
        <v>5445</v>
      </c>
      <c r="E496" s="602" t="s">
        <v>1582</v>
      </c>
      <c r="F496" s="601" t="s">
        <v>1528</v>
      </c>
      <c r="G496" s="602" t="s">
        <v>2156</v>
      </c>
      <c r="H496" s="603">
        <v>1</v>
      </c>
      <c r="I496" s="604">
        <v>45000000000</v>
      </c>
      <c r="J496" s="599" t="s">
        <v>1454</v>
      </c>
      <c r="K496" s="616" t="s">
        <v>2797</v>
      </c>
      <c r="L496" s="798">
        <v>20682481.390000001</v>
      </c>
      <c r="M496" s="609" t="s">
        <v>2184</v>
      </c>
      <c r="N496" s="606" t="s">
        <v>2631</v>
      </c>
      <c r="O496" s="607">
        <v>42736.5</v>
      </c>
      <c r="P496" s="607">
        <v>43070.5</v>
      </c>
      <c r="Q496" s="599" t="s">
        <v>108</v>
      </c>
      <c r="R496" s="599" t="s">
        <v>1456</v>
      </c>
      <c r="S496" s="599" t="s">
        <v>1457</v>
      </c>
      <c r="T496" s="599"/>
      <c r="U496" s="599"/>
      <c r="V496" s="599"/>
      <c r="W496" s="599"/>
      <c r="X496" s="599"/>
      <c r="Y496" s="599"/>
      <c r="Z496" s="599"/>
      <c r="AA496" s="609" t="s">
        <v>1458</v>
      </c>
      <c r="AB496" s="642" t="s">
        <v>263</v>
      </c>
      <c r="AC496" s="652"/>
      <c r="AD496" s="652" t="s">
        <v>113</v>
      </c>
      <c r="AE496" s="653">
        <f t="shared" si="7"/>
        <v>1</v>
      </c>
    </row>
    <row r="497" spans="1:31" ht="105" hidden="1" x14ac:dyDescent="0.25">
      <c r="A497" s="608" t="s">
        <v>3853</v>
      </c>
      <c r="B497" s="601" t="s">
        <v>1793</v>
      </c>
      <c r="C497" s="601" t="s">
        <v>2125</v>
      </c>
      <c r="D497" s="602" t="s">
        <v>5444</v>
      </c>
      <c r="E497" s="602" t="s">
        <v>1582</v>
      </c>
      <c r="F497" s="601" t="s">
        <v>1528</v>
      </c>
      <c r="G497" s="602" t="s">
        <v>2156</v>
      </c>
      <c r="H497" s="603">
        <v>1</v>
      </c>
      <c r="I497" s="604">
        <v>45000000000</v>
      </c>
      <c r="J497" s="599" t="s">
        <v>1454</v>
      </c>
      <c r="K497" s="632" t="s">
        <v>2798</v>
      </c>
      <c r="L497" s="798">
        <v>2658000</v>
      </c>
      <c r="M497" s="609" t="s">
        <v>2184</v>
      </c>
      <c r="N497" s="606" t="s">
        <v>2632</v>
      </c>
      <c r="O497" s="607">
        <v>42736.5</v>
      </c>
      <c r="P497" s="607">
        <v>43070.5</v>
      </c>
      <c r="Q497" s="599" t="s">
        <v>100</v>
      </c>
      <c r="R497" s="599" t="s">
        <v>1456</v>
      </c>
      <c r="S497" s="609" t="s">
        <v>1457</v>
      </c>
      <c r="T497" s="599"/>
      <c r="U497" s="599"/>
      <c r="V497" s="599"/>
      <c r="W497" s="599"/>
      <c r="X497" s="599"/>
      <c r="Y497" s="599"/>
      <c r="Z497" s="599"/>
      <c r="AA497" s="609" t="s">
        <v>1458</v>
      </c>
      <c r="AB497" s="642" t="s">
        <v>263</v>
      </c>
      <c r="AC497" s="652"/>
      <c r="AD497" s="652" t="s">
        <v>113</v>
      </c>
      <c r="AE497" s="653">
        <f t="shared" si="7"/>
        <v>1</v>
      </c>
    </row>
    <row r="498" spans="1:31" ht="105" hidden="1" x14ac:dyDescent="0.25">
      <c r="A498" s="608" t="s">
        <v>3854</v>
      </c>
      <c r="B498" s="601" t="s">
        <v>1571</v>
      </c>
      <c r="C498" s="601" t="s">
        <v>2126</v>
      </c>
      <c r="D498" s="602" t="s">
        <v>5443</v>
      </c>
      <c r="E498" s="602" t="s">
        <v>1582</v>
      </c>
      <c r="F498" s="601" t="s">
        <v>1528</v>
      </c>
      <c r="G498" s="602" t="s">
        <v>2156</v>
      </c>
      <c r="H498" s="603">
        <v>22</v>
      </c>
      <c r="I498" s="604">
        <v>45000000000</v>
      </c>
      <c r="J498" s="599" t="s">
        <v>1454</v>
      </c>
      <c r="K498" s="632" t="s">
        <v>2799</v>
      </c>
      <c r="L498" s="798">
        <v>474199.55</v>
      </c>
      <c r="M498" s="609" t="s">
        <v>2184</v>
      </c>
      <c r="N498" s="606" t="s">
        <v>2633</v>
      </c>
      <c r="O498" s="607">
        <v>42736.5</v>
      </c>
      <c r="P498" s="607">
        <v>43070.5</v>
      </c>
      <c r="Q498" s="599" t="s">
        <v>100</v>
      </c>
      <c r="R498" s="609" t="s">
        <v>1456</v>
      </c>
      <c r="S498" s="609" t="s">
        <v>1457</v>
      </c>
      <c r="T498" s="599"/>
      <c r="U498" s="599"/>
      <c r="V498" s="599"/>
      <c r="W498" s="599"/>
      <c r="X498" s="599"/>
      <c r="Y498" s="599"/>
      <c r="Z498" s="599"/>
      <c r="AA498" s="609" t="s">
        <v>1458</v>
      </c>
      <c r="AB498" s="642" t="s">
        <v>263</v>
      </c>
      <c r="AC498" s="652"/>
      <c r="AD498" s="652" t="s">
        <v>113</v>
      </c>
      <c r="AE498" s="653">
        <f t="shared" si="7"/>
        <v>1</v>
      </c>
    </row>
    <row r="499" spans="1:31" ht="105" hidden="1" x14ac:dyDescent="0.25">
      <c r="A499" s="608" t="s">
        <v>3855</v>
      </c>
      <c r="B499" s="601" t="s">
        <v>1793</v>
      </c>
      <c r="C499" s="601" t="s">
        <v>2125</v>
      </c>
      <c r="D499" s="602" t="s">
        <v>5442</v>
      </c>
      <c r="E499" s="602" t="s">
        <v>1582</v>
      </c>
      <c r="F499" s="601" t="s">
        <v>1528</v>
      </c>
      <c r="G499" s="602" t="s">
        <v>2156</v>
      </c>
      <c r="H499" s="603">
        <v>1</v>
      </c>
      <c r="I499" s="604">
        <v>45000000000</v>
      </c>
      <c r="J499" s="599" t="s">
        <v>1454</v>
      </c>
      <c r="K499" s="632" t="s">
        <v>2800</v>
      </c>
      <c r="L499" s="798">
        <v>2564119.11</v>
      </c>
      <c r="M499" s="609" t="s">
        <v>2184</v>
      </c>
      <c r="N499" s="606" t="s">
        <v>2634</v>
      </c>
      <c r="O499" s="607">
        <v>42736.5</v>
      </c>
      <c r="P499" s="607">
        <v>43070.5</v>
      </c>
      <c r="Q499" s="599" t="s">
        <v>100</v>
      </c>
      <c r="R499" s="609" t="s">
        <v>1456</v>
      </c>
      <c r="S499" s="609" t="s">
        <v>1457</v>
      </c>
      <c r="T499" s="599"/>
      <c r="U499" s="599"/>
      <c r="V499" s="599"/>
      <c r="W499" s="599"/>
      <c r="X499" s="599"/>
      <c r="Y499" s="599"/>
      <c r="Z499" s="599"/>
      <c r="AA499" s="609" t="s">
        <v>1458</v>
      </c>
      <c r="AB499" s="642" t="s">
        <v>263</v>
      </c>
      <c r="AC499" s="652"/>
      <c r="AD499" s="652" t="s">
        <v>113</v>
      </c>
      <c r="AE499" s="653">
        <f t="shared" si="7"/>
        <v>1</v>
      </c>
    </row>
    <row r="500" spans="1:31" ht="105" hidden="1" x14ac:dyDescent="0.25">
      <c r="A500" s="608" t="s">
        <v>3856</v>
      </c>
      <c r="B500" s="601" t="s">
        <v>1822</v>
      </c>
      <c r="C500" s="601" t="s">
        <v>2127</v>
      </c>
      <c r="D500" s="602" t="s">
        <v>5441</v>
      </c>
      <c r="E500" s="602" t="s">
        <v>1582</v>
      </c>
      <c r="F500" s="601" t="s">
        <v>1528</v>
      </c>
      <c r="G500" s="602" t="s">
        <v>2156</v>
      </c>
      <c r="H500" s="603">
        <v>5</v>
      </c>
      <c r="I500" s="604">
        <v>45000000000</v>
      </c>
      <c r="J500" s="599" t="s">
        <v>1454</v>
      </c>
      <c r="K500" s="632" t="s">
        <v>2801</v>
      </c>
      <c r="L500" s="798">
        <v>6311889</v>
      </c>
      <c r="M500" s="609" t="s">
        <v>2184</v>
      </c>
      <c r="N500" s="606" t="s">
        <v>2635</v>
      </c>
      <c r="O500" s="607">
        <v>42736.5</v>
      </c>
      <c r="P500" s="607">
        <v>43070.5</v>
      </c>
      <c r="Q500" s="599" t="s">
        <v>100</v>
      </c>
      <c r="R500" s="609" t="s">
        <v>1456</v>
      </c>
      <c r="S500" s="609" t="s">
        <v>1457</v>
      </c>
      <c r="T500" s="599"/>
      <c r="U500" s="599"/>
      <c r="V500" s="599"/>
      <c r="W500" s="599"/>
      <c r="X500" s="599"/>
      <c r="Y500" s="599"/>
      <c r="Z500" s="599"/>
      <c r="AA500" s="609" t="s">
        <v>1458</v>
      </c>
      <c r="AB500" s="642" t="s">
        <v>263</v>
      </c>
      <c r="AC500" s="652"/>
      <c r="AD500" s="652" t="s">
        <v>113</v>
      </c>
      <c r="AE500" s="653">
        <f t="shared" ref="AE500:AE563" si="8">IF(O500=0,,MONTH(O500))</f>
        <v>1</v>
      </c>
    </row>
    <row r="501" spans="1:31" ht="105" hidden="1" x14ac:dyDescent="0.25">
      <c r="A501" s="608" t="s">
        <v>3857</v>
      </c>
      <c r="B501" s="601" t="s">
        <v>1793</v>
      </c>
      <c r="C501" s="601" t="s">
        <v>1794</v>
      </c>
      <c r="D501" s="602" t="s">
        <v>5440</v>
      </c>
      <c r="E501" s="602" t="s">
        <v>1582</v>
      </c>
      <c r="F501" s="601" t="s">
        <v>1528</v>
      </c>
      <c r="G501" s="602" t="s">
        <v>2156</v>
      </c>
      <c r="H501" s="603">
        <v>2</v>
      </c>
      <c r="I501" s="604">
        <v>45000000000</v>
      </c>
      <c r="J501" s="599" t="s">
        <v>1454</v>
      </c>
      <c r="K501" s="632" t="s">
        <v>2802</v>
      </c>
      <c r="L501" s="798">
        <v>214562</v>
      </c>
      <c r="M501" s="609" t="s">
        <v>2184</v>
      </c>
      <c r="N501" s="606" t="s">
        <v>2636</v>
      </c>
      <c r="O501" s="607">
        <v>42736.5</v>
      </c>
      <c r="P501" s="607">
        <v>43070.5</v>
      </c>
      <c r="Q501" s="599" t="s">
        <v>100</v>
      </c>
      <c r="R501" s="609" t="s">
        <v>1456</v>
      </c>
      <c r="S501" s="609" t="s">
        <v>1457</v>
      </c>
      <c r="T501" s="599"/>
      <c r="U501" s="599"/>
      <c r="V501" s="599"/>
      <c r="W501" s="599"/>
      <c r="X501" s="599"/>
      <c r="Y501" s="599"/>
      <c r="Z501" s="599"/>
      <c r="AA501" s="609" t="s">
        <v>1458</v>
      </c>
      <c r="AB501" s="642" t="s">
        <v>263</v>
      </c>
      <c r="AC501" s="652"/>
      <c r="AD501" s="652" t="s">
        <v>113</v>
      </c>
      <c r="AE501" s="653">
        <f t="shared" si="8"/>
        <v>1</v>
      </c>
    </row>
    <row r="502" spans="1:31" ht="105" hidden="1" x14ac:dyDescent="0.25">
      <c r="A502" s="608" t="s">
        <v>3858</v>
      </c>
      <c r="B502" s="601" t="s">
        <v>1793</v>
      </c>
      <c r="C502" s="601" t="s">
        <v>1794</v>
      </c>
      <c r="D502" s="602" t="s">
        <v>5439</v>
      </c>
      <c r="E502" s="602" t="s">
        <v>1582</v>
      </c>
      <c r="F502" s="601" t="s">
        <v>1528</v>
      </c>
      <c r="G502" s="602" t="s">
        <v>2156</v>
      </c>
      <c r="H502" s="603">
        <v>10</v>
      </c>
      <c r="I502" s="604">
        <v>45000000000</v>
      </c>
      <c r="J502" s="599" t="s">
        <v>1454</v>
      </c>
      <c r="K502" s="632" t="s">
        <v>2128</v>
      </c>
      <c r="L502" s="798">
        <v>198053.33</v>
      </c>
      <c r="M502" s="609" t="s">
        <v>2184</v>
      </c>
      <c r="N502" s="606" t="s">
        <v>2637</v>
      </c>
      <c r="O502" s="607">
        <v>42736.5</v>
      </c>
      <c r="P502" s="607">
        <v>43070.5</v>
      </c>
      <c r="Q502" s="599" t="s">
        <v>108</v>
      </c>
      <c r="R502" s="609" t="s">
        <v>1456</v>
      </c>
      <c r="S502" s="609" t="s">
        <v>1457</v>
      </c>
      <c r="T502" s="599"/>
      <c r="U502" s="599"/>
      <c r="V502" s="599"/>
      <c r="W502" s="599"/>
      <c r="X502" s="599"/>
      <c r="Y502" s="599"/>
      <c r="Z502" s="599"/>
      <c r="AA502" s="609" t="s">
        <v>1458</v>
      </c>
      <c r="AB502" s="642" t="s">
        <v>263</v>
      </c>
      <c r="AC502" s="652"/>
      <c r="AD502" s="652" t="s">
        <v>113</v>
      </c>
      <c r="AE502" s="653">
        <f t="shared" si="8"/>
        <v>1</v>
      </c>
    </row>
    <row r="503" spans="1:31" ht="105" hidden="1" x14ac:dyDescent="0.25">
      <c r="A503" s="608" t="s">
        <v>3859</v>
      </c>
      <c r="B503" s="601" t="s">
        <v>1793</v>
      </c>
      <c r="C503" s="601" t="s">
        <v>2124</v>
      </c>
      <c r="D503" s="602" t="s">
        <v>5438</v>
      </c>
      <c r="E503" s="602" t="s">
        <v>1582</v>
      </c>
      <c r="F503" s="601" t="s">
        <v>1528</v>
      </c>
      <c r="G503" s="602" t="s">
        <v>2156</v>
      </c>
      <c r="H503" s="603">
        <v>1</v>
      </c>
      <c r="I503" s="604">
        <v>45000000000</v>
      </c>
      <c r="J503" s="599" t="s">
        <v>1454</v>
      </c>
      <c r="K503" s="632" t="s">
        <v>2803</v>
      </c>
      <c r="L503" s="798">
        <v>2357537</v>
      </c>
      <c r="M503" s="609" t="s">
        <v>2184</v>
      </c>
      <c r="N503" s="606" t="s">
        <v>2638</v>
      </c>
      <c r="O503" s="607">
        <v>42736.5</v>
      </c>
      <c r="P503" s="607">
        <v>43070.5</v>
      </c>
      <c r="Q503" s="599" t="s">
        <v>108</v>
      </c>
      <c r="R503" s="609" t="s">
        <v>1456</v>
      </c>
      <c r="S503" s="609" t="s">
        <v>1457</v>
      </c>
      <c r="T503" s="599"/>
      <c r="U503" s="599"/>
      <c r="V503" s="599"/>
      <c r="W503" s="599"/>
      <c r="X503" s="599"/>
      <c r="Y503" s="599"/>
      <c r="Z503" s="599"/>
      <c r="AA503" s="609" t="s">
        <v>1458</v>
      </c>
      <c r="AB503" s="642" t="s">
        <v>263</v>
      </c>
      <c r="AC503" s="652"/>
      <c r="AD503" s="652" t="s">
        <v>113</v>
      </c>
      <c r="AE503" s="653">
        <f t="shared" si="8"/>
        <v>1</v>
      </c>
    </row>
    <row r="504" spans="1:31" ht="105" hidden="1" x14ac:dyDescent="0.25">
      <c r="A504" s="608" t="s">
        <v>3860</v>
      </c>
      <c r="B504" s="601" t="s">
        <v>1571</v>
      </c>
      <c r="C504" s="601" t="s">
        <v>2126</v>
      </c>
      <c r="D504" s="602" t="s">
        <v>5437</v>
      </c>
      <c r="E504" s="602" t="s">
        <v>1582</v>
      </c>
      <c r="F504" s="601" t="s">
        <v>1528</v>
      </c>
      <c r="G504" s="602" t="s">
        <v>2156</v>
      </c>
      <c r="H504" s="603">
        <v>16</v>
      </c>
      <c r="I504" s="604">
        <v>45000000000</v>
      </c>
      <c r="J504" s="599" t="s">
        <v>1454</v>
      </c>
      <c r="K504" s="632" t="s">
        <v>2804</v>
      </c>
      <c r="L504" s="798">
        <v>432064</v>
      </c>
      <c r="M504" s="609" t="s">
        <v>2184</v>
      </c>
      <c r="N504" s="606" t="s">
        <v>2639</v>
      </c>
      <c r="O504" s="607">
        <v>42736.5</v>
      </c>
      <c r="P504" s="607">
        <v>43070.5</v>
      </c>
      <c r="Q504" s="599" t="s">
        <v>108</v>
      </c>
      <c r="R504" s="609" t="s">
        <v>1456</v>
      </c>
      <c r="S504" s="609" t="s">
        <v>1457</v>
      </c>
      <c r="T504" s="599"/>
      <c r="U504" s="599"/>
      <c r="V504" s="599"/>
      <c r="W504" s="599"/>
      <c r="X504" s="599"/>
      <c r="Y504" s="599"/>
      <c r="Z504" s="599"/>
      <c r="AA504" s="609" t="s">
        <v>1458</v>
      </c>
      <c r="AB504" s="642" t="s">
        <v>263</v>
      </c>
      <c r="AC504" s="652"/>
      <c r="AD504" s="652" t="s">
        <v>113</v>
      </c>
      <c r="AE504" s="653">
        <f t="shared" si="8"/>
        <v>1</v>
      </c>
    </row>
    <row r="505" spans="1:31" ht="105" hidden="1" x14ac:dyDescent="0.25">
      <c r="A505" s="608" t="s">
        <v>3861</v>
      </c>
      <c r="B505" s="601" t="s">
        <v>1571</v>
      </c>
      <c r="C505" s="601" t="s">
        <v>2126</v>
      </c>
      <c r="D505" s="602" t="s">
        <v>5436</v>
      </c>
      <c r="E505" s="602" t="s">
        <v>1582</v>
      </c>
      <c r="F505" s="601" t="s">
        <v>1528</v>
      </c>
      <c r="G505" s="602" t="s">
        <v>2156</v>
      </c>
      <c r="H505" s="603">
        <v>1</v>
      </c>
      <c r="I505" s="604">
        <v>45000000000</v>
      </c>
      <c r="J505" s="599" t="s">
        <v>1454</v>
      </c>
      <c r="K505" s="632" t="s">
        <v>2805</v>
      </c>
      <c r="L505" s="798">
        <v>157419.4</v>
      </c>
      <c r="M505" s="609" t="s">
        <v>2184</v>
      </c>
      <c r="N505" s="606" t="s">
        <v>2640</v>
      </c>
      <c r="O505" s="607">
        <v>42736.5</v>
      </c>
      <c r="P505" s="607">
        <v>43070.5</v>
      </c>
      <c r="Q505" s="599" t="s">
        <v>100</v>
      </c>
      <c r="R505" s="609" t="s">
        <v>1456</v>
      </c>
      <c r="S505" s="609" t="s">
        <v>1457</v>
      </c>
      <c r="T505" s="599"/>
      <c r="U505" s="599"/>
      <c r="V505" s="599"/>
      <c r="W505" s="599"/>
      <c r="X505" s="599"/>
      <c r="Y505" s="599"/>
      <c r="Z505" s="599"/>
      <c r="AA505" s="609" t="s">
        <v>1458</v>
      </c>
      <c r="AB505" s="642" t="s">
        <v>263</v>
      </c>
      <c r="AC505" s="652"/>
      <c r="AD505" s="652" t="s">
        <v>113</v>
      </c>
      <c r="AE505" s="653">
        <f t="shared" si="8"/>
        <v>1</v>
      </c>
    </row>
    <row r="506" spans="1:31" ht="105" hidden="1" x14ac:dyDescent="0.25">
      <c r="A506" s="608" t="s">
        <v>3862</v>
      </c>
      <c r="B506" s="601" t="s">
        <v>1571</v>
      </c>
      <c r="C506" s="601" t="s">
        <v>2126</v>
      </c>
      <c r="D506" s="602" t="s">
        <v>5435</v>
      </c>
      <c r="E506" s="602" t="s">
        <v>1582</v>
      </c>
      <c r="F506" s="601" t="s">
        <v>1528</v>
      </c>
      <c r="G506" s="602" t="s">
        <v>2156</v>
      </c>
      <c r="H506" s="603">
        <v>2</v>
      </c>
      <c r="I506" s="604">
        <v>45000000000</v>
      </c>
      <c r="J506" s="599" t="s">
        <v>1454</v>
      </c>
      <c r="K506" s="632" t="s">
        <v>2806</v>
      </c>
      <c r="L506" s="798">
        <v>8262933.3300000001</v>
      </c>
      <c r="M506" s="609" t="s">
        <v>2184</v>
      </c>
      <c r="N506" s="606" t="s">
        <v>2641</v>
      </c>
      <c r="O506" s="607">
        <v>42736.5</v>
      </c>
      <c r="P506" s="607">
        <v>43070.5</v>
      </c>
      <c r="Q506" s="599" t="s">
        <v>108</v>
      </c>
      <c r="R506" s="609" t="s">
        <v>1456</v>
      </c>
      <c r="S506" s="609" t="s">
        <v>1457</v>
      </c>
      <c r="T506" s="599"/>
      <c r="U506" s="599"/>
      <c r="V506" s="599"/>
      <c r="W506" s="599"/>
      <c r="X506" s="599"/>
      <c r="Y506" s="599"/>
      <c r="Z506" s="599"/>
      <c r="AA506" s="609" t="s">
        <v>1458</v>
      </c>
      <c r="AB506" s="642" t="s">
        <v>263</v>
      </c>
      <c r="AC506" s="652"/>
      <c r="AD506" s="652" t="s">
        <v>113</v>
      </c>
      <c r="AE506" s="653">
        <f t="shared" si="8"/>
        <v>1</v>
      </c>
    </row>
    <row r="507" spans="1:31" ht="105" hidden="1" x14ac:dyDescent="0.25">
      <c r="A507" s="608" t="s">
        <v>3863</v>
      </c>
      <c r="B507" s="601" t="s">
        <v>1793</v>
      </c>
      <c r="C507" s="601" t="s">
        <v>1794</v>
      </c>
      <c r="D507" s="602" t="s">
        <v>5434</v>
      </c>
      <c r="E507" s="602" t="s">
        <v>1582</v>
      </c>
      <c r="F507" s="601" t="s">
        <v>1528</v>
      </c>
      <c r="G507" s="602" t="s">
        <v>2156</v>
      </c>
      <c r="H507" s="603">
        <v>25</v>
      </c>
      <c r="I507" s="604">
        <v>45000000000</v>
      </c>
      <c r="J507" s="599" t="s">
        <v>1454</v>
      </c>
      <c r="K507" s="632" t="s">
        <v>2807</v>
      </c>
      <c r="L507" s="798">
        <v>26690662.5</v>
      </c>
      <c r="M507" s="609" t="s">
        <v>2184</v>
      </c>
      <c r="N507" s="606" t="s">
        <v>2642</v>
      </c>
      <c r="O507" s="607">
        <v>42736.5</v>
      </c>
      <c r="P507" s="607">
        <v>43070.5</v>
      </c>
      <c r="Q507" s="599" t="s">
        <v>108</v>
      </c>
      <c r="R507" s="609" t="s">
        <v>1456</v>
      </c>
      <c r="S507" s="609" t="s">
        <v>1457</v>
      </c>
      <c r="T507" s="599"/>
      <c r="U507" s="599"/>
      <c r="V507" s="599"/>
      <c r="W507" s="599"/>
      <c r="X507" s="599"/>
      <c r="Y507" s="599"/>
      <c r="Z507" s="599"/>
      <c r="AA507" s="609" t="s">
        <v>1458</v>
      </c>
      <c r="AB507" s="642" t="s">
        <v>263</v>
      </c>
      <c r="AC507" s="652"/>
      <c r="AD507" s="652" t="s">
        <v>113</v>
      </c>
      <c r="AE507" s="653">
        <f t="shared" si="8"/>
        <v>1</v>
      </c>
    </row>
    <row r="508" spans="1:31" ht="105" hidden="1" x14ac:dyDescent="0.25">
      <c r="A508" s="608" t="s">
        <v>3864</v>
      </c>
      <c r="B508" s="601" t="s">
        <v>1793</v>
      </c>
      <c r="C508" s="601" t="s">
        <v>1794</v>
      </c>
      <c r="D508" s="602" t="s">
        <v>5433</v>
      </c>
      <c r="E508" s="602" t="s">
        <v>1582</v>
      </c>
      <c r="F508" s="601" t="s">
        <v>1528</v>
      </c>
      <c r="G508" s="602" t="s">
        <v>2156</v>
      </c>
      <c r="H508" s="603">
        <v>6</v>
      </c>
      <c r="I508" s="604">
        <v>45000000000</v>
      </c>
      <c r="J508" s="599" t="s">
        <v>1454</v>
      </c>
      <c r="K508" s="632" t="s">
        <v>2808</v>
      </c>
      <c r="L508" s="798">
        <v>198570</v>
      </c>
      <c r="M508" s="609" t="s">
        <v>2184</v>
      </c>
      <c r="N508" s="606" t="s">
        <v>2643</v>
      </c>
      <c r="O508" s="607">
        <v>42736.5</v>
      </c>
      <c r="P508" s="607">
        <v>43070.5</v>
      </c>
      <c r="Q508" s="599" t="s">
        <v>108</v>
      </c>
      <c r="R508" s="609" t="s">
        <v>1456</v>
      </c>
      <c r="S508" s="609" t="s">
        <v>1457</v>
      </c>
      <c r="T508" s="599"/>
      <c r="U508" s="599"/>
      <c r="V508" s="599"/>
      <c r="W508" s="599"/>
      <c r="X508" s="599"/>
      <c r="Y508" s="599"/>
      <c r="Z508" s="599"/>
      <c r="AA508" s="609" t="s">
        <v>1458</v>
      </c>
      <c r="AB508" s="642" t="s">
        <v>263</v>
      </c>
      <c r="AC508" s="652"/>
      <c r="AD508" s="652" t="s">
        <v>113</v>
      </c>
      <c r="AE508" s="653">
        <f t="shared" si="8"/>
        <v>1</v>
      </c>
    </row>
    <row r="509" spans="1:31" ht="105" hidden="1" x14ac:dyDescent="0.25">
      <c r="A509" s="608" t="s">
        <v>3865</v>
      </c>
      <c r="B509" s="601" t="s">
        <v>1822</v>
      </c>
      <c r="C509" s="601" t="s">
        <v>2127</v>
      </c>
      <c r="D509" s="602" t="s">
        <v>5432</v>
      </c>
      <c r="E509" s="602" t="s">
        <v>1582</v>
      </c>
      <c r="F509" s="601" t="s">
        <v>1528</v>
      </c>
      <c r="G509" s="602" t="s">
        <v>2156</v>
      </c>
      <c r="H509" s="603">
        <v>1</v>
      </c>
      <c r="I509" s="604">
        <v>45000000000</v>
      </c>
      <c r="J509" s="599" t="s">
        <v>1454</v>
      </c>
      <c r="K509" s="632" t="s">
        <v>2809</v>
      </c>
      <c r="L509" s="798">
        <v>9192650</v>
      </c>
      <c r="M509" s="609" t="s">
        <v>2184</v>
      </c>
      <c r="N509" s="606" t="s">
        <v>2644</v>
      </c>
      <c r="O509" s="607">
        <v>42736.5</v>
      </c>
      <c r="P509" s="607">
        <v>43070.5</v>
      </c>
      <c r="Q509" s="599" t="s">
        <v>108</v>
      </c>
      <c r="R509" s="609" t="s">
        <v>1456</v>
      </c>
      <c r="S509" s="609" t="s">
        <v>1457</v>
      </c>
      <c r="T509" s="599"/>
      <c r="U509" s="599"/>
      <c r="V509" s="599"/>
      <c r="W509" s="599"/>
      <c r="X509" s="599"/>
      <c r="Y509" s="599"/>
      <c r="Z509" s="599"/>
      <c r="AA509" s="609" t="s">
        <v>1458</v>
      </c>
      <c r="AB509" s="642" t="s">
        <v>263</v>
      </c>
      <c r="AC509" s="652"/>
      <c r="AD509" s="652" t="s">
        <v>113</v>
      </c>
      <c r="AE509" s="653">
        <f t="shared" si="8"/>
        <v>1</v>
      </c>
    </row>
    <row r="510" spans="1:31" ht="105" hidden="1" x14ac:dyDescent="0.25">
      <c r="A510" s="608" t="s">
        <v>3866</v>
      </c>
      <c r="B510" s="601" t="s">
        <v>1793</v>
      </c>
      <c r="C510" s="601" t="s">
        <v>1794</v>
      </c>
      <c r="D510" s="602" t="s">
        <v>5431</v>
      </c>
      <c r="E510" s="602" t="s">
        <v>1582</v>
      </c>
      <c r="F510" s="601" t="s">
        <v>1528</v>
      </c>
      <c r="G510" s="602" t="s">
        <v>2156</v>
      </c>
      <c r="H510" s="603">
        <v>9</v>
      </c>
      <c r="I510" s="604">
        <v>45000000000</v>
      </c>
      <c r="J510" s="599" t="s">
        <v>1454</v>
      </c>
      <c r="K510" s="632" t="s">
        <v>2810</v>
      </c>
      <c r="L510" s="798">
        <v>504000</v>
      </c>
      <c r="M510" s="609" t="s">
        <v>2184</v>
      </c>
      <c r="N510" s="606" t="s">
        <v>2645</v>
      </c>
      <c r="O510" s="607">
        <v>42736.5</v>
      </c>
      <c r="P510" s="607">
        <v>43070.5</v>
      </c>
      <c r="Q510" s="599" t="s">
        <v>108</v>
      </c>
      <c r="R510" s="609" t="s">
        <v>1456</v>
      </c>
      <c r="S510" s="609" t="s">
        <v>1457</v>
      </c>
      <c r="T510" s="599"/>
      <c r="U510" s="599"/>
      <c r="V510" s="599"/>
      <c r="W510" s="599"/>
      <c r="X510" s="599"/>
      <c r="Y510" s="599"/>
      <c r="Z510" s="599"/>
      <c r="AA510" s="609" t="s">
        <v>1458</v>
      </c>
      <c r="AB510" s="642" t="s">
        <v>263</v>
      </c>
      <c r="AC510" s="652"/>
      <c r="AD510" s="652" t="s">
        <v>113</v>
      </c>
      <c r="AE510" s="653">
        <f t="shared" si="8"/>
        <v>1</v>
      </c>
    </row>
    <row r="511" spans="1:31" ht="105" hidden="1" x14ac:dyDescent="0.25">
      <c r="A511" s="608" t="s">
        <v>3867</v>
      </c>
      <c r="B511" s="601" t="s">
        <v>1793</v>
      </c>
      <c r="C511" s="601" t="s">
        <v>1794</v>
      </c>
      <c r="D511" s="602" t="s">
        <v>5430</v>
      </c>
      <c r="E511" s="602" t="s">
        <v>1582</v>
      </c>
      <c r="F511" s="601" t="s">
        <v>1528</v>
      </c>
      <c r="G511" s="602" t="s">
        <v>2156</v>
      </c>
      <c r="H511" s="603">
        <v>14</v>
      </c>
      <c r="I511" s="604">
        <v>45000000000</v>
      </c>
      <c r="J511" s="599" t="s">
        <v>1454</v>
      </c>
      <c r="K511" s="632" t="s">
        <v>2811</v>
      </c>
      <c r="L511" s="798">
        <v>2216951.33</v>
      </c>
      <c r="M511" s="609" t="s">
        <v>2184</v>
      </c>
      <c r="N511" s="606" t="s">
        <v>2646</v>
      </c>
      <c r="O511" s="607">
        <v>42736.5</v>
      </c>
      <c r="P511" s="607">
        <v>43070.5</v>
      </c>
      <c r="Q511" s="599" t="s">
        <v>100</v>
      </c>
      <c r="R511" s="609" t="s">
        <v>1456</v>
      </c>
      <c r="S511" s="609" t="s">
        <v>1457</v>
      </c>
      <c r="T511" s="599"/>
      <c r="U511" s="599"/>
      <c r="V511" s="599"/>
      <c r="W511" s="599"/>
      <c r="X511" s="599"/>
      <c r="Y511" s="599"/>
      <c r="Z511" s="599"/>
      <c r="AA511" s="609" t="s">
        <v>1458</v>
      </c>
      <c r="AB511" s="642" t="s">
        <v>263</v>
      </c>
      <c r="AC511" s="652"/>
      <c r="AD511" s="652" t="s">
        <v>113</v>
      </c>
      <c r="AE511" s="653">
        <f t="shared" si="8"/>
        <v>1</v>
      </c>
    </row>
    <row r="512" spans="1:31" ht="105" hidden="1" x14ac:dyDescent="0.25">
      <c r="A512" s="608" t="s">
        <v>3868</v>
      </c>
      <c r="B512" s="601" t="s">
        <v>2549</v>
      </c>
      <c r="C512" s="601" t="s">
        <v>2129</v>
      </c>
      <c r="D512" s="602" t="s">
        <v>4391</v>
      </c>
      <c r="E512" s="602" t="s">
        <v>1582</v>
      </c>
      <c r="F512" s="601" t="s">
        <v>1528</v>
      </c>
      <c r="G512" s="602" t="s">
        <v>2156</v>
      </c>
      <c r="H512" s="603">
        <v>1</v>
      </c>
      <c r="I512" s="604">
        <v>45000000000</v>
      </c>
      <c r="J512" s="599" t="s">
        <v>1454</v>
      </c>
      <c r="K512" s="632" t="s">
        <v>2812</v>
      </c>
      <c r="L512" s="798">
        <v>533300</v>
      </c>
      <c r="M512" s="609" t="s">
        <v>2184</v>
      </c>
      <c r="N512" s="606" t="s">
        <v>2647</v>
      </c>
      <c r="O512" s="607">
        <v>42736.5</v>
      </c>
      <c r="P512" s="607">
        <v>43070.5</v>
      </c>
      <c r="Q512" s="599" t="s">
        <v>100</v>
      </c>
      <c r="R512" s="609" t="s">
        <v>1456</v>
      </c>
      <c r="S512" s="609" t="s">
        <v>1457</v>
      </c>
      <c r="T512" s="599"/>
      <c r="U512" s="599"/>
      <c r="V512" s="599"/>
      <c r="W512" s="599"/>
      <c r="X512" s="599"/>
      <c r="Y512" s="599"/>
      <c r="Z512" s="599"/>
      <c r="AA512" s="609" t="s">
        <v>1458</v>
      </c>
      <c r="AB512" s="642" t="s">
        <v>263</v>
      </c>
      <c r="AC512" s="652"/>
      <c r="AD512" s="652" t="s">
        <v>113</v>
      </c>
      <c r="AE512" s="653">
        <f t="shared" si="8"/>
        <v>1</v>
      </c>
    </row>
    <row r="513" spans="1:31" ht="105" hidden="1" x14ac:dyDescent="0.25">
      <c r="A513" s="608" t="s">
        <v>3869</v>
      </c>
      <c r="B513" s="601" t="s">
        <v>2549</v>
      </c>
      <c r="C513" s="601" t="s">
        <v>2129</v>
      </c>
      <c r="D513" s="602" t="s">
        <v>5429</v>
      </c>
      <c r="E513" s="602" t="s">
        <v>1582</v>
      </c>
      <c r="F513" s="601" t="s">
        <v>1528</v>
      </c>
      <c r="G513" s="602" t="s">
        <v>2156</v>
      </c>
      <c r="H513" s="603">
        <v>1</v>
      </c>
      <c r="I513" s="604">
        <v>45000000000</v>
      </c>
      <c r="J513" s="599" t="s">
        <v>1454</v>
      </c>
      <c r="K513" s="632" t="s">
        <v>2813</v>
      </c>
      <c r="L513" s="798">
        <v>514200</v>
      </c>
      <c r="M513" s="609" t="s">
        <v>2184</v>
      </c>
      <c r="N513" s="606" t="s">
        <v>2648</v>
      </c>
      <c r="O513" s="607">
        <v>42736.5</v>
      </c>
      <c r="P513" s="607">
        <v>43070.5</v>
      </c>
      <c r="Q513" s="599" t="s">
        <v>108</v>
      </c>
      <c r="R513" s="609" t="s">
        <v>1456</v>
      </c>
      <c r="S513" s="609" t="s">
        <v>1457</v>
      </c>
      <c r="T513" s="599"/>
      <c r="U513" s="599"/>
      <c r="V513" s="599"/>
      <c r="W513" s="599"/>
      <c r="X513" s="599"/>
      <c r="Y513" s="599"/>
      <c r="Z513" s="599"/>
      <c r="AA513" s="609" t="s">
        <v>1458</v>
      </c>
      <c r="AB513" s="642" t="s">
        <v>263</v>
      </c>
      <c r="AC513" s="652"/>
      <c r="AD513" s="652" t="s">
        <v>113</v>
      </c>
      <c r="AE513" s="653">
        <f t="shared" si="8"/>
        <v>1</v>
      </c>
    </row>
    <row r="514" spans="1:31" ht="105" hidden="1" x14ac:dyDescent="0.25">
      <c r="A514" s="608" t="s">
        <v>3870</v>
      </c>
      <c r="B514" s="601" t="s">
        <v>2549</v>
      </c>
      <c r="C514" s="601" t="s">
        <v>2129</v>
      </c>
      <c r="D514" s="602" t="s">
        <v>5428</v>
      </c>
      <c r="E514" s="602" t="s">
        <v>1582</v>
      </c>
      <c r="F514" s="601" t="s">
        <v>1528</v>
      </c>
      <c r="G514" s="602" t="s">
        <v>2156</v>
      </c>
      <c r="H514" s="603">
        <v>1</v>
      </c>
      <c r="I514" s="604">
        <v>45000000000</v>
      </c>
      <c r="J514" s="599" t="s">
        <v>1454</v>
      </c>
      <c r="K514" s="632" t="s">
        <v>2130</v>
      </c>
      <c r="L514" s="798">
        <v>1231400</v>
      </c>
      <c r="M514" s="609" t="s">
        <v>2184</v>
      </c>
      <c r="N514" s="606" t="s">
        <v>2649</v>
      </c>
      <c r="O514" s="607">
        <v>42736.5</v>
      </c>
      <c r="P514" s="607">
        <v>43070.5</v>
      </c>
      <c r="Q514" s="599" t="s">
        <v>100</v>
      </c>
      <c r="R514" s="609" t="s">
        <v>1456</v>
      </c>
      <c r="S514" s="609" t="s">
        <v>1457</v>
      </c>
      <c r="T514" s="599"/>
      <c r="U514" s="599"/>
      <c r="V514" s="599"/>
      <c r="W514" s="599"/>
      <c r="X514" s="599"/>
      <c r="Y514" s="599"/>
      <c r="Z514" s="599"/>
      <c r="AA514" s="609" t="s">
        <v>1458</v>
      </c>
      <c r="AB514" s="642" t="s">
        <v>263</v>
      </c>
      <c r="AC514" s="652"/>
      <c r="AD514" s="652" t="s">
        <v>113</v>
      </c>
      <c r="AE514" s="653">
        <f t="shared" si="8"/>
        <v>1</v>
      </c>
    </row>
    <row r="515" spans="1:31" ht="105" hidden="1" x14ac:dyDescent="0.25">
      <c r="A515" s="608" t="s">
        <v>3871</v>
      </c>
      <c r="B515" s="601" t="s">
        <v>2549</v>
      </c>
      <c r="C515" s="601" t="s">
        <v>2129</v>
      </c>
      <c r="D515" s="602" t="s">
        <v>5427</v>
      </c>
      <c r="E515" s="602" t="s">
        <v>1582</v>
      </c>
      <c r="F515" s="601" t="s">
        <v>1528</v>
      </c>
      <c r="G515" s="602" t="s">
        <v>2156</v>
      </c>
      <c r="H515" s="603">
        <v>1</v>
      </c>
      <c r="I515" s="604">
        <v>45000000000</v>
      </c>
      <c r="J515" s="599" t="s">
        <v>1454</v>
      </c>
      <c r="K515" s="632" t="s">
        <v>2999</v>
      </c>
      <c r="L515" s="798">
        <v>740050</v>
      </c>
      <c r="M515" s="609" t="s">
        <v>2184</v>
      </c>
      <c r="N515" s="606" t="s">
        <v>2650</v>
      </c>
      <c r="O515" s="607">
        <v>42736.5</v>
      </c>
      <c r="P515" s="607">
        <v>43070.5</v>
      </c>
      <c r="Q515" s="599" t="s">
        <v>108</v>
      </c>
      <c r="R515" s="609" t="s">
        <v>1456</v>
      </c>
      <c r="S515" s="609" t="s">
        <v>1457</v>
      </c>
      <c r="T515" s="599"/>
      <c r="U515" s="599"/>
      <c r="V515" s="599"/>
      <c r="W515" s="599"/>
      <c r="X515" s="599"/>
      <c r="Y515" s="599"/>
      <c r="Z515" s="599"/>
      <c r="AA515" s="609" t="s">
        <v>1458</v>
      </c>
      <c r="AB515" s="642" t="s">
        <v>263</v>
      </c>
      <c r="AC515" s="652"/>
      <c r="AD515" s="652" t="s">
        <v>113</v>
      </c>
      <c r="AE515" s="653">
        <f t="shared" si="8"/>
        <v>1</v>
      </c>
    </row>
    <row r="516" spans="1:31" ht="105" hidden="1" x14ac:dyDescent="0.25">
      <c r="A516" s="608" t="s">
        <v>3872</v>
      </c>
      <c r="B516" s="601" t="s">
        <v>2549</v>
      </c>
      <c r="C516" s="601" t="s">
        <v>2129</v>
      </c>
      <c r="D516" s="602" t="s">
        <v>5426</v>
      </c>
      <c r="E516" s="602" t="s">
        <v>1582</v>
      </c>
      <c r="F516" s="601" t="s">
        <v>1528</v>
      </c>
      <c r="G516" s="602" t="s">
        <v>2156</v>
      </c>
      <c r="H516" s="603">
        <v>1</v>
      </c>
      <c r="I516" s="604">
        <v>45000000000</v>
      </c>
      <c r="J516" s="599" t="s">
        <v>1454</v>
      </c>
      <c r="K516" s="632" t="s">
        <v>2814</v>
      </c>
      <c r="L516" s="798">
        <v>868800</v>
      </c>
      <c r="M516" s="609" t="s">
        <v>2184</v>
      </c>
      <c r="N516" s="606" t="s">
        <v>2651</v>
      </c>
      <c r="O516" s="607">
        <v>42736.5</v>
      </c>
      <c r="P516" s="607">
        <v>43070.5</v>
      </c>
      <c r="Q516" s="599" t="s">
        <v>108</v>
      </c>
      <c r="R516" s="609" t="s">
        <v>1456</v>
      </c>
      <c r="S516" s="609" t="s">
        <v>1457</v>
      </c>
      <c r="T516" s="599"/>
      <c r="U516" s="599"/>
      <c r="V516" s="599"/>
      <c r="W516" s="599"/>
      <c r="X516" s="599"/>
      <c r="Y516" s="599"/>
      <c r="Z516" s="599"/>
      <c r="AA516" s="609" t="s">
        <v>1458</v>
      </c>
      <c r="AB516" s="642" t="s">
        <v>263</v>
      </c>
      <c r="AC516" s="652"/>
      <c r="AD516" s="652" t="s">
        <v>113</v>
      </c>
      <c r="AE516" s="653">
        <f t="shared" si="8"/>
        <v>1</v>
      </c>
    </row>
    <row r="517" spans="1:31" ht="105" hidden="1" x14ac:dyDescent="0.25">
      <c r="A517" s="608" t="s">
        <v>3873</v>
      </c>
      <c r="B517" s="601" t="s">
        <v>2549</v>
      </c>
      <c r="C517" s="601" t="s">
        <v>2129</v>
      </c>
      <c r="D517" s="602" t="s">
        <v>5425</v>
      </c>
      <c r="E517" s="602" t="s">
        <v>1582</v>
      </c>
      <c r="F517" s="601" t="s">
        <v>1528</v>
      </c>
      <c r="G517" s="602" t="s">
        <v>2156</v>
      </c>
      <c r="H517" s="603">
        <v>1</v>
      </c>
      <c r="I517" s="604">
        <v>45000000000</v>
      </c>
      <c r="J517" s="599" t="s">
        <v>1454</v>
      </c>
      <c r="K517" s="632" t="s">
        <v>2815</v>
      </c>
      <c r="L517" s="798">
        <v>1459600</v>
      </c>
      <c r="M517" s="609" t="s">
        <v>2184</v>
      </c>
      <c r="N517" s="606" t="s">
        <v>2652</v>
      </c>
      <c r="O517" s="607">
        <v>42736.5</v>
      </c>
      <c r="P517" s="607">
        <v>43070.5</v>
      </c>
      <c r="Q517" s="599" t="s">
        <v>108</v>
      </c>
      <c r="R517" s="609" t="s">
        <v>1456</v>
      </c>
      <c r="S517" s="609" t="s">
        <v>1457</v>
      </c>
      <c r="T517" s="599"/>
      <c r="U517" s="599"/>
      <c r="V517" s="599"/>
      <c r="W517" s="599"/>
      <c r="X517" s="599"/>
      <c r="Y517" s="599"/>
      <c r="Z517" s="599"/>
      <c r="AA517" s="609" t="s">
        <v>1458</v>
      </c>
      <c r="AB517" s="642" t="s">
        <v>263</v>
      </c>
      <c r="AC517" s="652"/>
      <c r="AD517" s="652" t="s">
        <v>113</v>
      </c>
      <c r="AE517" s="653">
        <f t="shared" si="8"/>
        <v>1</v>
      </c>
    </row>
    <row r="518" spans="1:31" ht="105" hidden="1" x14ac:dyDescent="0.25">
      <c r="A518" s="608" t="s">
        <v>3874</v>
      </c>
      <c r="B518" s="601" t="s">
        <v>2549</v>
      </c>
      <c r="C518" s="601" t="s">
        <v>2129</v>
      </c>
      <c r="D518" s="602" t="s">
        <v>5424</v>
      </c>
      <c r="E518" s="602" t="s">
        <v>1582</v>
      </c>
      <c r="F518" s="601" t="s">
        <v>1528</v>
      </c>
      <c r="G518" s="602" t="s">
        <v>2156</v>
      </c>
      <c r="H518" s="603">
        <v>1</v>
      </c>
      <c r="I518" s="604">
        <v>45000000000</v>
      </c>
      <c r="J518" s="599" t="s">
        <v>1454</v>
      </c>
      <c r="K518" s="632" t="s">
        <v>2816</v>
      </c>
      <c r="L518" s="798">
        <v>1653833.33</v>
      </c>
      <c r="M518" s="609" t="s">
        <v>2184</v>
      </c>
      <c r="N518" s="606" t="s">
        <v>2653</v>
      </c>
      <c r="O518" s="607">
        <v>42736.5</v>
      </c>
      <c r="P518" s="607">
        <v>43070.5</v>
      </c>
      <c r="Q518" s="599" t="s">
        <v>108</v>
      </c>
      <c r="R518" s="609" t="s">
        <v>1456</v>
      </c>
      <c r="S518" s="609" t="s">
        <v>1457</v>
      </c>
      <c r="T518" s="599"/>
      <c r="U518" s="599"/>
      <c r="V518" s="599"/>
      <c r="W518" s="599"/>
      <c r="X518" s="599"/>
      <c r="Y518" s="599"/>
      <c r="Z518" s="599"/>
      <c r="AA518" s="609" t="s">
        <v>1458</v>
      </c>
      <c r="AB518" s="642" t="s">
        <v>263</v>
      </c>
      <c r="AC518" s="652"/>
      <c r="AD518" s="652" t="s">
        <v>113</v>
      </c>
      <c r="AE518" s="653">
        <f t="shared" si="8"/>
        <v>1</v>
      </c>
    </row>
    <row r="519" spans="1:31" ht="105" hidden="1" x14ac:dyDescent="0.25">
      <c r="A519" s="608" t="s">
        <v>3875</v>
      </c>
      <c r="B519" s="601" t="s">
        <v>2549</v>
      </c>
      <c r="C519" s="601" t="s">
        <v>2129</v>
      </c>
      <c r="D519" s="602" t="s">
        <v>5423</v>
      </c>
      <c r="E519" s="602" t="s">
        <v>1582</v>
      </c>
      <c r="F519" s="601" t="s">
        <v>1528</v>
      </c>
      <c r="G519" s="602" t="s">
        <v>2156</v>
      </c>
      <c r="H519" s="603">
        <v>1</v>
      </c>
      <c r="I519" s="604">
        <v>45000000000</v>
      </c>
      <c r="J519" s="599" t="s">
        <v>1454</v>
      </c>
      <c r="K519" s="632" t="s">
        <v>2817</v>
      </c>
      <c r="L519" s="798">
        <v>1080000</v>
      </c>
      <c r="M519" s="609" t="s">
        <v>2184</v>
      </c>
      <c r="N519" s="606" t="s">
        <v>2654</v>
      </c>
      <c r="O519" s="607">
        <v>42736.5</v>
      </c>
      <c r="P519" s="607">
        <v>43070.5</v>
      </c>
      <c r="Q519" s="599" t="s">
        <v>108</v>
      </c>
      <c r="R519" s="609" t="s">
        <v>1456</v>
      </c>
      <c r="S519" s="609" t="s">
        <v>1457</v>
      </c>
      <c r="T519" s="599"/>
      <c r="U519" s="599"/>
      <c r="V519" s="599"/>
      <c r="W519" s="599"/>
      <c r="X519" s="599"/>
      <c r="Y519" s="599"/>
      <c r="Z519" s="599"/>
      <c r="AA519" s="609" t="s">
        <v>1458</v>
      </c>
      <c r="AB519" s="642" t="s">
        <v>263</v>
      </c>
      <c r="AC519" s="652"/>
      <c r="AD519" s="652" t="s">
        <v>113</v>
      </c>
      <c r="AE519" s="653">
        <f t="shared" si="8"/>
        <v>1</v>
      </c>
    </row>
    <row r="520" spans="1:31" ht="105" hidden="1" x14ac:dyDescent="0.25">
      <c r="A520" s="608" t="s">
        <v>3876</v>
      </c>
      <c r="B520" s="601" t="s">
        <v>2549</v>
      </c>
      <c r="C520" s="601" t="s">
        <v>2129</v>
      </c>
      <c r="D520" s="602" t="s">
        <v>5422</v>
      </c>
      <c r="E520" s="602" t="s">
        <v>1582</v>
      </c>
      <c r="F520" s="601" t="s">
        <v>1528</v>
      </c>
      <c r="G520" s="602" t="s">
        <v>2156</v>
      </c>
      <c r="H520" s="603">
        <v>1</v>
      </c>
      <c r="I520" s="604">
        <v>45000000000</v>
      </c>
      <c r="J520" s="599" t="s">
        <v>1454</v>
      </c>
      <c r="K520" s="632" t="s">
        <v>2818</v>
      </c>
      <c r="L520" s="798">
        <v>254500</v>
      </c>
      <c r="M520" s="609" t="s">
        <v>2184</v>
      </c>
      <c r="N520" s="606" t="s">
        <v>2655</v>
      </c>
      <c r="O520" s="607">
        <v>42736.5</v>
      </c>
      <c r="P520" s="607">
        <v>43070.5</v>
      </c>
      <c r="Q520" s="599" t="s">
        <v>108</v>
      </c>
      <c r="R520" s="609" t="s">
        <v>1456</v>
      </c>
      <c r="S520" s="609" t="s">
        <v>1457</v>
      </c>
      <c r="T520" s="599"/>
      <c r="U520" s="599"/>
      <c r="V520" s="599"/>
      <c r="W520" s="599"/>
      <c r="X520" s="599"/>
      <c r="Y520" s="599"/>
      <c r="Z520" s="599"/>
      <c r="AA520" s="609" t="s">
        <v>1458</v>
      </c>
      <c r="AB520" s="642" t="s">
        <v>263</v>
      </c>
      <c r="AC520" s="652"/>
      <c r="AD520" s="652" t="s">
        <v>113</v>
      </c>
      <c r="AE520" s="653">
        <f t="shared" si="8"/>
        <v>1</v>
      </c>
    </row>
    <row r="521" spans="1:31" ht="105" hidden="1" x14ac:dyDescent="0.25">
      <c r="A521" s="608" t="s">
        <v>3877</v>
      </c>
      <c r="B521" s="601" t="s">
        <v>2549</v>
      </c>
      <c r="C521" s="601" t="s">
        <v>2129</v>
      </c>
      <c r="D521" s="602" t="s">
        <v>5421</v>
      </c>
      <c r="E521" s="602" t="s">
        <v>1582</v>
      </c>
      <c r="F521" s="601" t="s">
        <v>1528</v>
      </c>
      <c r="G521" s="602" t="s">
        <v>2156</v>
      </c>
      <c r="H521" s="603">
        <v>1</v>
      </c>
      <c r="I521" s="604">
        <v>45000000000</v>
      </c>
      <c r="J521" s="599" t="s">
        <v>1454</v>
      </c>
      <c r="K521" s="632" t="s">
        <v>2819</v>
      </c>
      <c r="L521" s="798">
        <v>1170900</v>
      </c>
      <c r="M521" s="609" t="s">
        <v>2184</v>
      </c>
      <c r="N521" s="606" t="s">
        <v>2656</v>
      </c>
      <c r="O521" s="607">
        <v>42736.5</v>
      </c>
      <c r="P521" s="607">
        <v>43070.5</v>
      </c>
      <c r="Q521" s="599" t="s">
        <v>108</v>
      </c>
      <c r="R521" s="609" t="s">
        <v>1456</v>
      </c>
      <c r="S521" s="609" t="s">
        <v>1457</v>
      </c>
      <c r="T521" s="599"/>
      <c r="U521" s="599"/>
      <c r="V521" s="599"/>
      <c r="W521" s="599"/>
      <c r="X521" s="599"/>
      <c r="Y521" s="599"/>
      <c r="Z521" s="599"/>
      <c r="AA521" s="609" t="s">
        <v>1458</v>
      </c>
      <c r="AB521" s="642" t="s">
        <v>263</v>
      </c>
      <c r="AC521" s="652"/>
      <c r="AD521" s="652" t="s">
        <v>113</v>
      </c>
      <c r="AE521" s="653">
        <f t="shared" si="8"/>
        <v>1</v>
      </c>
    </row>
    <row r="522" spans="1:31" ht="105" hidden="1" x14ac:dyDescent="0.25">
      <c r="A522" s="608" t="s">
        <v>3878</v>
      </c>
      <c r="B522" s="601" t="s">
        <v>2549</v>
      </c>
      <c r="C522" s="601" t="s">
        <v>2129</v>
      </c>
      <c r="D522" s="602" t="s">
        <v>5420</v>
      </c>
      <c r="E522" s="602" t="s">
        <v>1582</v>
      </c>
      <c r="F522" s="601" t="s">
        <v>1528</v>
      </c>
      <c r="G522" s="602" t="s">
        <v>2156</v>
      </c>
      <c r="H522" s="603">
        <v>1</v>
      </c>
      <c r="I522" s="604">
        <v>45000000000</v>
      </c>
      <c r="J522" s="599" t="s">
        <v>1454</v>
      </c>
      <c r="K522" s="632" t="s">
        <v>2820</v>
      </c>
      <c r="L522" s="798">
        <v>413000</v>
      </c>
      <c r="M522" s="609" t="s">
        <v>2184</v>
      </c>
      <c r="N522" s="606" t="s">
        <v>2657</v>
      </c>
      <c r="O522" s="607">
        <v>42736.5</v>
      </c>
      <c r="P522" s="607">
        <v>43070.5</v>
      </c>
      <c r="Q522" s="599" t="s">
        <v>108</v>
      </c>
      <c r="R522" s="609" t="s">
        <v>1456</v>
      </c>
      <c r="S522" s="609" t="s">
        <v>1457</v>
      </c>
      <c r="T522" s="599"/>
      <c r="U522" s="599"/>
      <c r="V522" s="599"/>
      <c r="W522" s="599"/>
      <c r="X522" s="599"/>
      <c r="Y522" s="599"/>
      <c r="Z522" s="599"/>
      <c r="AA522" s="609" t="s">
        <v>1458</v>
      </c>
      <c r="AB522" s="642" t="s">
        <v>263</v>
      </c>
      <c r="AC522" s="652"/>
      <c r="AD522" s="652" t="s">
        <v>113</v>
      </c>
      <c r="AE522" s="653">
        <f t="shared" si="8"/>
        <v>1</v>
      </c>
    </row>
    <row r="523" spans="1:31" ht="210" hidden="1" x14ac:dyDescent="0.25">
      <c r="A523" s="608" t="s">
        <v>3879</v>
      </c>
      <c r="B523" s="601" t="s">
        <v>2549</v>
      </c>
      <c r="C523" s="601" t="s">
        <v>2129</v>
      </c>
      <c r="D523" s="656" t="s">
        <v>5419</v>
      </c>
      <c r="E523" s="602" t="s">
        <v>1582</v>
      </c>
      <c r="F523" s="601" t="s">
        <v>1528</v>
      </c>
      <c r="G523" s="602" t="s">
        <v>2156</v>
      </c>
      <c r="H523" s="603">
        <v>1</v>
      </c>
      <c r="I523" s="604">
        <v>45000000000</v>
      </c>
      <c r="J523" s="599" t="s">
        <v>1454</v>
      </c>
      <c r="K523" s="632" t="s">
        <v>2821</v>
      </c>
      <c r="L523" s="798">
        <v>4230569</v>
      </c>
      <c r="M523" s="609" t="s">
        <v>2184</v>
      </c>
      <c r="N523" s="606" t="s">
        <v>2658</v>
      </c>
      <c r="O523" s="607">
        <v>42736.5</v>
      </c>
      <c r="P523" s="607">
        <v>43070.5</v>
      </c>
      <c r="Q523" s="599" t="s">
        <v>108</v>
      </c>
      <c r="R523" s="609" t="s">
        <v>1456</v>
      </c>
      <c r="S523" s="609" t="s">
        <v>1457</v>
      </c>
      <c r="T523" s="599"/>
      <c r="U523" s="599"/>
      <c r="V523" s="599"/>
      <c r="W523" s="599"/>
      <c r="X523" s="599"/>
      <c r="Y523" s="599"/>
      <c r="Z523" s="599"/>
      <c r="AA523" s="609" t="s">
        <v>1458</v>
      </c>
      <c r="AB523" s="642" t="s">
        <v>263</v>
      </c>
      <c r="AC523" s="652"/>
      <c r="AD523" s="652" t="s">
        <v>113</v>
      </c>
      <c r="AE523" s="653">
        <f t="shared" si="8"/>
        <v>1</v>
      </c>
    </row>
    <row r="524" spans="1:31" ht="105" hidden="1" x14ac:dyDescent="0.25">
      <c r="A524" s="608" t="s">
        <v>3880</v>
      </c>
      <c r="B524" s="601" t="s">
        <v>2549</v>
      </c>
      <c r="C524" s="601" t="s">
        <v>2129</v>
      </c>
      <c r="D524" s="602" t="s">
        <v>4390</v>
      </c>
      <c r="E524" s="602" t="s">
        <v>1582</v>
      </c>
      <c r="F524" s="601" t="s">
        <v>1528</v>
      </c>
      <c r="G524" s="602" t="s">
        <v>2156</v>
      </c>
      <c r="H524" s="603">
        <v>1</v>
      </c>
      <c r="I524" s="604">
        <v>45000000000</v>
      </c>
      <c r="J524" s="599" t="s">
        <v>1454</v>
      </c>
      <c r="K524" s="632" t="s">
        <v>1514</v>
      </c>
      <c r="L524" s="798">
        <v>320000</v>
      </c>
      <c r="M524" s="609" t="s">
        <v>2184</v>
      </c>
      <c r="N524" s="606" t="s">
        <v>2659</v>
      </c>
      <c r="O524" s="607">
        <v>42736.5</v>
      </c>
      <c r="P524" s="607">
        <v>43070.5</v>
      </c>
      <c r="Q524" s="599" t="s">
        <v>108</v>
      </c>
      <c r="R524" s="609" t="s">
        <v>1456</v>
      </c>
      <c r="S524" s="609" t="s">
        <v>1457</v>
      </c>
      <c r="T524" s="599"/>
      <c r="U524" s="599"/>
      <c r="V524" s="599"/>
      <c r="W524" s="599"/>
      <c r="X524" s="599"/>
      <c r="Y524" s="599"/>
      <c r="Z524" s="599"/>
      <c r="AA524" s="609" t="s">
        <v>1458</v>
      </c>
      <c r="AB524" s="642" t="s">
        <v>263</v>
      </c>
      <c r="AC524" s="652"/>
      <c r="AD524" s="652" t="s">
        <v>113</v>
      </c>
      <c r="AE524" s="653">
        <f t="shared" si="8"/>
        <v>1</v>
      </c>
    </row>
    <row r="525" spans="1:31" ht="105" hidden="1" x14ac:dyDescent="0.25">
      <c r="A525" s="608" t="s">
        <v>3881</v>
      </c>
      <c r="B525" s="601" t="s">
        <v>2549</v>
      </c>
      <c r="C525" s="601" t="s">
        <v>2129</v>
      </c>
      <c r="D525" s="602" t="s">
        <v>5418</v>
      </c>
      <c r="E525" s="602" t="s">
        <v>1582</v>
      </c>
      <c r="F525" s="601" t="s">
        <v>1528</v>
      </c>
      <c r="G525" s="602" t="s">
        <v>2156</v>
      </c>
      <c r="H525" s="603">
        <v>1</v>
      </c>
      <c r="I525" s="604">
        <v>45000000000</v>
      </c>
      <c r="J525" s="599" t="s">
        <v>1454</v>
      </c>
      <c r="K525" s="632" t="s">
        <v>2822</v>
      </c>
      <c r="L525" s="798">
        <v>1278759.71</v>
      </c>
      <c r="M525" s="609" t="s">
        <v>2184</v>
      </c>
      <c r="N525" s="606" t="s">
        <v>2660</v>
      </c>
      <c r="O525" s="607">
        <v>42736.5</v>
      </c>
      <c r="P525" s="607">
        <v>43070.5</v>
      </c>
      <c r="Q525" s="599" t="s">
        <v>108</v>
      </c>
      <c r="R525" s="609" t="s">
        <v>1456</v>
      </c>
      <c r="S525" s="609" t="s">
        <v>1457</v>
      </c>
      <c r="T525" s="599"/>
      <c r="U525" s="599"/>
      <c r="V525" s="599"/>
      <c r="W525" s="599"/>
      <c r="X525" s="599"/>
      <c r="Y525" s="599"/>
      <c r="Z525" s="599"/>
      <c r="AA525" s="609" t="s">
        <v>1458</v>
      </c>
      <c r="AB525" s="642" t="s">
        <v>263</v>
      </c>
      <c r="AC525" s="652"/>
      <c r="AD525" s="652" t="s">
        <v>113</v>
      </c>
      <c r="AE525" s="653">
        <f t="shared" si="8"/>
        <v>1</v>
      </c>
    </row>
    <row r="526" spans="1:31" ht="105" hidden="1" x14ac:dyDescent="0.25">
      <c r="A526" s="608" t="s">
        <v>3882</v>
      </c>
      <c r="B526" s="601" t="s">
        <v>1822</v>
      </c>
      <c r="C526" s="601" t="s">
        <v>2127</v>
      </c>
      <c r="D526" s="602" t="s">
        <v>5417</v>
      </c>
      <c r="E526" s="602" t="s">
        <v>1582</v>
      </c>
      <c r="F526" s="601" t="s">
        <v>1528</v>
      </c>
      <c r="G526" s="602" t="s">
        <v>2156</v>
      </c>
      <c r="H526" s="603">
        <v>1</v>
      </c>
      <c r="I526" s="604">
        <v>45000000000</v>
      </c>
      <c r="J526" s="599" t="s">
        <v>1454</v>
      </c>
      <c r="K526" s="632" t="s">
        <v>2823</v>
      </c>
      <c r="L526" s="798">
        <v>103440</v>
      </c>
      <c r="M526" s="609" t="s">
        <v>2184</v>
      </c>
      <c r="N526" s="606" t="s">
        <v>2661</v>
      </c>
      <c r="O526" s="607">
        <v>42736.5</v>
      </c>
      <c r="P526" s="607">
        <v>43070.5</v>
      </c>
      <c r="Q526" s="599" t="s">
        <v>108</v>
      </c>
      <c r="R526" s="609" t="s">
        <v>1456</v>
      </c>
      <c r="S526" s="609" t="s">
        <v>1457</v>
      </c>
      <c r="T526" s="599"/>
      <c r="U526" s="599"/>
      <c r="V526" s="599"/>
      <c r="W526" s="599"/>
      <c r="X526" s="599"/>
      <c r="Y526" s="599"/>
      <c r="Z526" s="599"/>
      <c r="AA526" s="609" t="s">
        <v>1458</v>
      </c>
      <c r="AB526" s="642" t="s">
        <v>263</v>
      </c>
      <c r="AC526" s="652"/>
      <c r="AD526" s="652" t="s">
        <v>113</v>
      </c>
      <c r="AE526" s="653">
        <f t="shared" si="8"/>
        <v>1</v>
      </c>
    </row>
    <row r="527" spans="1:31" ht="105" hidden="1" x14ac:dyDescent="0.25">
      <c r="A527" s="608" t="s">
        <v>3883</v>
      </c>
      <c r="B527" s="601" t="s">
        <v>2131</v>
      </c>
      <c r="C527" s="601" t="s">
        <v>2132</v>
      </c>
      <c r="D527" s="602" t="s">
        <v>5416</v>
      </c>
      <c r="E527" s="602" t="s">
        <v>1582</v>
      </c>
      <c r="F527" s="601" t="s">
        <v>1528</v>
      </c>
      <c r="G527" s="602" t="s">
        <v>2156</v>
      </c>
      <c r="H527" s="603">
        <v>2</v>
      </c>
      <c r="I527" s="604">
        <v>45000000000</v>
      </c>
      <c r="J527" s="599" t="s">
        <v>1454</v>
      </c>
      <c r="K527" s="632" t="s">
        <v>2824</v>
      </c>
      <c r="L527" s="798">
        <v>107998.42</v>
      </c>
      <c r="M527" s="609" t="s">
        <v>2184</v>
      </c>
      <c r="N527" s="606" t="s">
        <v>2662</v>
      </c>
      <c r="O527" s="607">
        <v>42736.5</v>
      </c>
      <c r="P527" s="607">
        <v>43070.5</v>
      </c>
      <c r="Q527" s="599" t="s">
        <v>108</v>
      </c>
      <c r="R527" s="609" t="s">
        <v>1456</v>
      </c>
      <c r="S527" s="609" t="s">
        <v>1457</v>
      </c>
      <c r="T527" s="599"/>
      <c r="U527" s="599"/>
      <c r="V527" s="599"/>
      <c r="W527" s="599"/>
      <c r="X527" s="599"/>
      <c r="Y527" s="599"/>
      <c r="Z527" s="599"/>
      <c r="AA527" s="609" t="s">
        <v>1458</v>
      </c>
      <c r="AB527" s="642" t="s">
        <v>263</v>
      </c>
      <c r="AC527" s="652"/>
      <c r="AD527" s="652" t="s">
        <v>113</v>
      </c>
      <c r="AE527" s="653">
        <f t="shared" si="8"/>
        <v>1</v>
      </c>
    </row>
    <row r="528" spans="1:31" ht="105" hidden="1" x14ac:dyDescent="0.25">
      <c r="A528" s="608" t="s">
        <v>3884</v>
      </c>
      <c r="B528" s="601" t="s">
        <v>1571</v>
      </c>
      <c r="C528" s="601" t="s">
        <v>2126</v>
      </c>
      <c r="D528" s="602" t="s">
        <v>5415</v>
      </c>
      <c r="E528" s="602" t="s">
        <v>1582</v>
      </c>
      <c r="F528" s="601" t="s">
        <v>1528</v>
      </c>
      <c r="G528" s="602" t="s">
        <v>2156</v>
      </c>
      <c r="H528" s="603">
        <v>10</v>
      </c>
      <c r="I528" s="604">
        <v>45000000000</v>
      </c>
      <c r="J528" s="599" t="s">
        <v>1454</v>
      </c>
      <c r="K528" s="632" t="s">
        <v>2825</v>
      </c>
      <c r="L528" s="798">
        <v>168718.7</v>
      </c>
      <c r="M528" s="609" t="s">
        <v>2184</v>
      </c>
      <c r="N528" s="606" t="s">
        <v>2663</v>
      </c>
      <c r="O528" s="607">
        <v>42736.5</v>
      </c>
      <c r="P528" s="607">
        <v>43070.5</v>
      </c>
      <c r="Q528" s="599" t="s">
        <v>108</v>
      </c>
      <c r="R528" s="609" t="s">
        <v>1456</v>
      </c>
      <c r="S528" s="609" t="s">
        <v>1457</v>
      </c>
      <c r="T528" s="599"/>
      <c r="U528" s="599"/>
      <c r="V528" s="599"/>
      <c r="W528" s="599"/>
      <c r="X528" s="599"/>
      <c r="Y528" s="599"/>
      <c r="Z528" s="599"/>
      <c r="AA528" s="609" t="s">
        <v>1458</v>
      </c>
      <c r="AB528" s="642" t="s">
        <v>263</v>
      </c>
      <c r="AC528" s="652"/>
      <c r="AD528" s="652" t="s">
        <v>113</v>
      </c>
      <c r="AE528" s="653">
        <f t="shared" si="8"/>
        <v>1</v>
      </c>
    </row>
    <row r="529" spans="1:31" ht="105" hidden="1" x14ac:dyDescent="0.25">
      <c r="A529" s="608" t="s">
        <v>3885</v>
      </c>
      <c r="B529" s="601" t="s">
        <v>1793</v>
      </c>
      <c r="C529" s="601" t="s">
        <v>1794</v>
      </c>
      <c r="D529" s="602" t="s">
        <v>5414</v>
      </c>
      <c r="E529" s="602" t="s">
        <v>1582</v>
      </c>
      <c r="F529" s="601" t="s">
        <v>1528</v>
      </c>
      <c r="G529" s="602" t="s">
        <v>2156</v>
      </c>
      <c r="H529" s="603">
        <v>2</v>
      </c>
      <c r="I529" s="604">
        <v>45000000000</v>
      </c>
      <c r="J529" s="599" t="s">
        <v>1454</v>
      </c>
      <c r="K529" s="632" t="s">
        <v>2826</v>
      </c>
      <c r="L529" s="798">
        <v>450026</v>
      </c>
      <c r="M529" s="609" t="s">
        <v>2184</v>
      </c>
      <c r="N529" s="606" t="s">
        <v>2664</v>
      </c>
      <c r="O529" s="607">
        <v>42736.5</v>
      </c>
      <c r="P529" s="607">
        <v>43070.5</v>
      </c>
      <c r="Q529" s="599" t="s">
        <v>108</v>
      </c>
      <c r="R529" s="609" t="s">
        <v>1456</v>
      </c>
      <c r="S529" s="609" t="s">
        <v>1457</v>
      </c>
      <c r="T529" s="599"/>
      <c r="U529" s="599"/>
      <c r="V529" s="599"/>
      <c r="W529" s="599"/>
      <c r="X529" s="599"/>
      <c r="Y529" s="599"/>
      <c r="Z529" s="599"/>
      <c r="AA529" s="609" t="s">
        <v>1458</v>
      </c>
      <c r="AB529" s="642" t="s">
        <v>263</v>
      </c>
      <c r="AC529" s="652"/>
      <c r="AD529" s="652" t="s">
        <v>113</v>
      </c>
      <c r="AE529" s="653">
        <f t="shared" si="8"/>
        <v>1</v>
      </c>
    </row>
    <row r="530" spans="1:31" ht="105" hidden="1" x14ac:dyDescent="0.25">
      <c r="A530" s="608" t="s">
        <v>3886</v>
      </c>
      <c r="B530" s="601" t="s">
        <v>1793</v>
      </c>
      <c r="C530" s="601" t="s">
        <v>1794</v>
      </c>
      <c r="D530" s="602" t="s">
        <v>5413</v>
      </c>
      <c r="E530" s="602" t="s">
        <v>1582</v>
      </c>
      <c r="F530" s="601" t="s">
        <v>1528</v>
      </c>
      <c r="G530" s="602" t="s">
        <v>2156</v>
      </c>
      <c r="H530" s="603">
        <v>14</v>
      </c>
      <c r="I530" s="604">
        <v>45000000000</v>
      </c>
      <c r="J530" s="599" t="s">
        <v>1454</v>
      </c>
      <c r="K530" s="632" t="s">
        <v>2133</v>
      </c>
      <c r="L530" s="798">
        <v>19576200</v>
      </c>
      <c r="M530" s="609" t="s">
        <v>2184</v>
      </c>
      <c r="N530" s="606" t="s">
        <v>2665</v>
      </c>
      <c r="O530" s="607">
        <v>42736.5</v>
      </c>
      <c r="P530" s="607">
        <v>43070.5</v>
      </c>
      <c r="Q530" s="599" t="s">
        <v>108</v>
      </c>
      <c r="R530" s="609" t="s">
        <v>1456</v>
      </c>
      <c r="S530" s="609" t="s">
        <v>1457</v>
      </c>
      <c r="T530" s="599"/>
      <c r="U530" s="599"/>
      <c r="V530" s="599"/>
      <c r="W530" s="599"/>
      <c r="X530" s="599"/>
      <c r="Y530" s="599"/>
      <c r="Z530" s="599"/>
      <c r="AA530" s="609" t="s">
        <v>1458</v>
      </c>
      <c r="AB530" s="642" t="s">
        <v>263</v>
      </c>
      <c r="AC530" s="652"/>
      <c r="AD530" s="652" t="s">
        <v>113</v>
      </c>
      <c r="AE530" s="653">
        <f t="shared" si="8"/>
        <v>1</v>
      </c>
    </row>
    <row r="531" spans="1:31" ht="105" hidden="1" x14ac:dyDescent="0.25">
      <c r="A531" s="608" t="s">
        <v>3887</v>
      </c>
      <c r="B531" s="601" t="s">
        <v>2134</v>
      </c>
      <c r="C531" s="601" t="s">
        <v>2135</v>
      </c>
      <c r="D531" s="602" t="s">
        <v>5412</v>
      </c>
      <c r="E531" s="602" t="s">
        <v>1582</v>
      </c>
      <c r="F531" s="601" t="s">
        <v>1528</v>
      </c>
      <c r="G531" s="602" t="s">
        <v>2156</v>
      </c>
      <c r="H531" s="603">
        <v>1</v>
      </c>
      <c r="I531" s="604">
        <v>45000000000</v>
      </c>
      <c r="J531" s="599" t="s">
        <v>1454</v>
      </c>
      <c r="K531" s="632" t="s">
        <v>2136</v>
      </c>
      <c r="L531" s="798">
        <v>2868133.33</v>
      </c>
      <c r="M531" s="609" t="s">
        <v>2184</v>
      </c>
      <c r="N531" s="606" t="s">
        <v>2666</v>
      </c>
      <c r="O531" s="607">
        <v>42736.5</v>
      </c>
      <c r="P531" s="607">
        <v>43070.5</v>
      </c>
      <c r="Q531" s="599" t="s">
        <v>108</v>
      </c>
      <c r="R531" s="609" t="s">
        <v>1456</v>
      </c>
      <c r="S531" s="609" t="s">
        <v>1457</v>
      </c>
      <c r="T531" s="599"/>
      <c r="U531" s="599"/>
      <c r="V531" s="599"/>
      <c r="W531" s="599"/>
      <c r="X531" s="599"/>
      <c r="Y531" s="599"/>
      <c r="Z531" s="599"/>
      <c r="AA531" s="609" t="s">
        <v>1458</v>
      </c>
      <c r="AB531" s="642" t="s">
        <v>263</v>
      </c>
      <c r="AC531" s="652"/>
      <c r="AD531" s="652" t="s">
        <v>113</v>
      </c>
      <c r="AE531" s="653">
        <f t="shared" si="8"/>
        <v>1</v>
      </c>
    </row>
    <row r="532" spans="1:31" ht="105" hidden="1" x14ac:dyDescent="0.25">
      <c r="A532" s="608" t="s">
        <v>3888</v>
      </c>
      <c r="B532" s="601" t="s">
        <v>1571</v>
      </c>
      <c r="C532" s="601" t="s">
        <v>2126</v>
      </c>
      <c r="D532" s="602" t="s">
        <v>5411</v>
      </c>
      <c r="E532" s="602" t="s">
        <v>1582</v>
      </c>
      <c r="F532" s="601" t="s">
        <v>1528</v>
      </c>
      <c r="G532" s="602" t="s">
        <v>2156</v>
      </c>
      <c r="H532" s="603">
        <v>3</v>
      </c>
      <c r="I532" s="604">
        <v>45000000000</v>
      </c>
      <c r="J532" s="599" t="s">
        <v>1454</v>
      </c>
      <c r="K532" s="632" t="s">
        <v>2827</v>
      </c>
      <c r="L532" s="798">
        <v>123033</v>
      </c>
      <c r="M532" s="609" t="s">
        <v>2184</v>
      </c>
      <c r="N532" s="606" t="s">
        <v>2667</v>
      </c>
      <c r="O532" s="607">
        <v>42736.5</v>
      </c>
      <c r="P532" s="607">
        <v>43070.5</v>
      </c>
      <c r="Q532" s="599" t="s">
        <v>108</v>
      </c>
      <c r="R532" s="609" t="s">
        <v>1456</v>
      </c>
      <c r="S532" s="609" t="s">
        <v>1457</v>
      </c>
      <c r="T532" s="599"/>
      <c r="U532" s="599"/>
      <c r="V532" s="599"/>
      <c r="W532" s="599"/>
      <c r="X532" s="599"/>
      <c r="Y532" s="599"/>
      <c r="Z532" s="599"/>
      <c r="AA532" s="609" t="s">
        <v>1458</v>
      </c>
      <c r="AB532" s="642" t="s">
        <v>263</v>
      </c>
      <c r="AC532" s="652"/>
      <c r="AD532" s="652" t="s">
        <v>113</v>
      </c>
      <c r="AE532" s="653">
        <f t="shared" si="8"/>
        <v>1</v>
      </c>
    </row>
    <row r="533" spans="1:31" ht="105" hidden="1" x14ac:dyDescent="0.25">
      <c r="A533" s="608" t="s">
        <v>3889</v>
      </c>
      <c r="B533" s="601" t="s">
        <v>1571</v>
      </c>
      <c r="C533" s="601" t="s">
        <v>2126</v>
      </c>
      <c r="D533" s="602" t="s">
        <v>5410</v>
      </c>
      <c r="E533" s="602" t="s">
        <v>1582</v>
      </c>
      <c r="F533" s="601" t="s">
        <v>1528</v>
      </c>
      <c r="G533" s="602" t="s">
        <v>2156</v>
      </c>
      <c r="H533" s="603">
        <v>19</v>
      </c>
      <c r="I533" s="604">
        <v>45000000000</v>
      </c>
      <c r="J533" s="599" t="s">
        <v>1454</v>
      </c>
      <c r="K533" s="632" t="s">
        <v>2137</v>
      </c>
      <c r="L533" s="798">
        <v>268681.28000000003</v>
      </c>
      <c r="M533" s="609" t="s">
        <v>2184</v>
      </c>
      <c r="N533" s="606" t="s">
        <v>2668</v>
      </c>
      <c r="O533" s="607">
        <v>42736.5</v>
      </c>
      <c r="P533" s="607">
        <v>43070.5</v>
      </c>
      <c r="Q533" s="599" t="s">
        <v>108</v>
      </c>
      <c r="R533" s="609" t="s">
        <v>1456</v>
      </c>
      <c r="S533" s="609" t="s">
        <v>1457</v>
      </c>
      <c r="T533" s="599"/>
      <c r="U533" s="599"/>
      <c r="V533" s="599"/>
      <c r="W533" s="599"/>
      <c r="X533" s="599"/>
      <c r="Y533" s="599"/>
      <c r="Z533" s="599"/>
      <c r="AA533" s="609" t="s">
        <v>1458</v>
      </c>
      <c r="AB533" s="642" t="s">
        <v>263</v>
      </c>
      <c r="AC533" s="652"/>
      <c r="AD533" s="652" t="s">
        <v>113</v>
      </c>
      <c r="AE533" s="653">
        <f t="shared" si="8"/>
        <v>1</v>
      </c>
    </row>
    <row r="534" spans="1:31" ht="105" hidden="1" x14ac:dyDescent="0.25">
      <c r="A534" s="608" t="s">
        <v>3890</v>
      </c>
      <c r="B534" s="601" t="s">
        <v>1571</v>
      </c>
      <c r="C534" s="601" t="s">
        <v>2126</v>
      </c>
      <c r="D534" s="602" t="s">
        <v>5409</v>
      </c>
      <c r="E534" s="602" t="s">
        <v>1582</v>
      </c>
      <c r="F534" s="601" t="s">
        <v>1528</v>
      </c>
      <c r="G534" s="602" t="s">
        <v>2156</v>
      </c>
      <c r="H534" s="603">
        <v>6</v>
      </c>
      <c r="I534" s="604">
        <v>45000000000</v>
      </c>
      <c r="J534" s="599" t="s">
        <v>1454</v>
      </c>
      <c r="K534" s="632" t="s">
        <v>2828</v>
      </c>
      <c r="L534" s="798">
        <v>205692</v>
      </c>
      <c r="M534" s="609" t="s">
        <v>2184</v>
      </c>
      <c r="N534" s="606" t="s">
        <v>2669</v>
      </c>
      <c r="O534" s="607">
        <v>42736.5</v>
      </c>
      <c r="P534" s="607">
        <v>43070.5</v>
      </c>
      <c r="Q534" s="599" t="s">
        <v>108</v>
      </c>
      <c r="R534" s="609" t="s">
        <v>1456</v>
      </c>
      <c r="S534" s="609" t="s">
        <v>1457</v>
      </c>
      <c r="T534" s="599"/>
      <c r="U534" s="599"/>
      <c r="V534" s="599"/>
      <c r="W534" s="599"/>
      <c r="X534" s="599"/>
      <c r="Y534" s="599"/>
      <c r="Z534" s="599"/>
      <c r="AA534" s="609" t="s">
        <v>1458</v>
      </c>
      <c r="AB534" s="642" t="s">
        <v>263</v>
      </c>
      <c r="AC534" s="652"/>
      <c r="AD534" s="652" t="s">
        <v>113</v>
      </c>
      <c r="AE534" s="653">
        <f t="shared" si="8"/>
        <v>1</v>
      </c>
    </row>
    <row r="535" spans="1:31" ht="105" hidden="1" x14ac:dyDescent="0.25">
      <c r="A535" s="608" t="s">
        <v>3891</v>
      </c>
      <c r="B535" s="601" t="s">
        <v>1571</v>
      </c>
      <c r="C535" s="601" t="s">
        <v>2126</v>
      </c>
      <c r="D535" s="602" t="s">
        <v>5408</v>
      </c>
      <c r="E535" s="602" t="s">
        <v>1582</v>
      </c>
      <c r="F535" s="601" t="s">
        <v>1528</v>
      </c>
      <c r="G535" s="602" t="s">
        <v>2156</v>
      </c>
      <c r="H535" s="603">
        <v>22</v>
      </c>
      <c r="I535" s="604">
        <v>45000000000</v>
      </c>
      <c r="J535" s="599" t="s">
        <v>1454</v>
      </c>
      <c r="K535" s="632" t="s">
        <v>2829</v>
      </c>
      <c r="L535" s="798">
        <v>549582</v>
      </c>
      <c r="M535" s="609" t="s">
        <v>2184</v>
      </c>
      <c r="N535" s="606" t="s">
        <v>2670</v>
      </c>
      <c r="O535" s="607">
        <v>42736.5</v>
      </c>
      <c r="P535" s="607">
        <v>43070.5</v>
      </c>
      <c r="Q535" s="599" t="s">
        <v>100</v>
      </c>
      <c r="R535" s="609" t="s">
        <v>1456</v>
      </c>
      <c r="S535" s="609" t="s">
        <v>1457</v>
      </c>
      <c r="T535" s="599"/>
      <c r="U535" s="599"/>
      <c r="V535" s="599"/>
      <c r="W535" s="599"/>
      <c r="X535" s="599"/>
      <c r="Y535" s="599"/>
      <c r="Z535" s="599"/>
      <c r="AA535" s="609" t="s">
        <v>1458</v>
      </c>
      <c r="AB535" s="642" t="s">
        <v>263</v>
      </c>
      <c r="AC535" s="652"/>
      <c r="AD535" s="652" t="s">
        <v>113</v>
      </c>
      <c r="AE535" s="653">
        <f t="shared" si="8"/>
        <v>1</v>
      </c>
    </row>
    <row r="536" spans="1:31" ht="105" hidden="1" x14ac:dyDescent="0.25">
      <c r="A536" s="608" t="s">
        <v>3892</v>
      </c>
      <c r="B536" s="601" t="s">
        <v>1571</v>
      </c>
      <c r="C536" s="601" t="s">
        <v>2126</v>
      </c>
      <c r="D536" s="660" t="s">
        <v>5407</v>
      </c>
      <c r="E536" s="602" t="s">
        <v>1582</v>
      </c>
      <c r="F536" s="601" t="s">
        <v>1528</v>
      </c>
      <c r="G536" s="602" t="s">
        <v>2156</v>
      </c>
      <c r="H536" s="603">
        <v>16</v>
      </c>
      <c r="I536" s="604">
        <v>45000000000</v>
      </c>
      <c r="J536" s="599" t="s">
        <v>1454</v>
      </c>
      <c r="K536" s="632" t="s">
        <v>2830</v>
      </c>
      <c r="L536" s="798">
        <v>568800</v>
      </c>
      <c r="M536" s="609" t="s">
        <v>2184</v>
      </c>
      <c r="N536" s="606" t="s">
        <v>2671</v>
      </c>
      <c r="O536" s="607">
        <v>42736.5</v>
      </c>
      <c r="P536" s="607">
        <v>43070.5</v>
      </c>
      <c r="Q536" s="599" t="s">
        <v>108</v>
      </c>
      <c r="R536" s="609" t="s">
        <v>1456</v>
      </c>
      <c r="S536" s="609" t="s">
        <v>1457</v>
      </c>
      <c r="T536" s="599"/>
      <c r="U536" s="599"/>
      <c r="V536" s="599"/>
      <c r="W536" s="599"/>
      <c r="X536" s="599"/>
      <c r="Y536" s="599"/>
      <c r="Z536" s="599"/>
      <c r="AA536" s="609" t="s">
        <v>1458</v>
      </c>
      <c r="AB536" s="642" t="s">
        <v>263</v>
      </c>
      <c r="AC536" s="652"/>
      <c r="AD536" s="652" t="s">
        <v>113</v>
      </c>
      <c r="AE536" s="653">
        <f t="shared" si="8"/>
        <v>1</v>
      </c>
    </row>
    <row r="537" spans="1:31" ht="105" hidden="1" x14ac:dyDescent="0.25">
      <c r="A537" s="608" t="s">
        <v>3893</v>
      </c>
      <c r="B537" s="601" t="s">
        <v>2211</v>
      </c>
      <c r="C537" s="601" t="s">
        <v>2211</v>
      </c>
      <c r="D537" s="602" t="s">
        <v>5406</v>
      </c>
      <c r="E537" s="602" t="s">
        <v>1582</v>
      </c>
      <c r="F537" s="601" t="s">
        <v>1528</v>
      </c>
      <c r="G537" s="602" t="s">
        <v>2156</v>
      </c>
      <c r="H537" s="603">
        <v>4</v>
      </c>
      <c r="I537" s="604">
        <v>45000000000</v>
      </c>
      <c r="J537" s="599" t="s">
        <v>1454</v>
      </c>
      <c r="K537" s="632" t="s">
        <v>2138</v>
      </c>
      <c r="L537" s="798">
        <v>313569.26</v>
      </c>
      <c r="M537" s="609" t="s">
        <v>2184</v>
      </c>
      <c r="N537" s="606" t="s">
        <v>2672</v>
      </c>
      <c r="O537" s="607">
        <v>42736.5</v>
      </c>
      <c r="P537" s="607">
        <v>43070.5</v>
      </c>
      <c r="Q537" s="599" t="s">
        <v>108</v>
      </c>
      <c r="R537" s="609" t="s">
        <v>1456</v>
      </c>
      <c r="S537" s="609" t="s">
        <v>1457</v>
      </c>
      <c r="T537" s="599"/>
      <c r="U537" s="599"/>
      <c r="V537" s="599"/>
      <c r="W537" s="599"/>
      <c r="X537" s="599"/>
      <c r="Y537" s="599"/>
      <c r="Z537" s="599"/>
      <c r="AA537" s="609" t="s">
        <v>1458</v>
      </c>
      <c r="AB537" s="642" t="s">
        <v>263</v>
      </c>
      <c r="AC537" s="652"/>
      <c r="AD537" s="652" t="s">
        <v>113</v>
      </c>
      <c r="AE537" s="653">
        <f t="shared" si="8"/>
        <v>1</v>
      </c>
    </row>
    <row r="538" spans="1:31" ht="105" hidden="1" x14ac:dyDescent="0.25">
      <c r="A538" s="608" t="s">
        <v>3894</v>
      </c>
      <c r="B538" s="601" t="s">
        <v>1571</v>
      </c>
      <c r="C538" s="601" t="s">
        <v>2126</v>
      </c>
      <c r="D538" s="602" t="s">
        <v>5405</v>
      </c>
      <c r="E538" s="602" t="s">
        <v>1582</v>
      </c>
      <c r="F538" s="601" t="s">
        <v>1528</v>
      </c>
      <c r="G538" s="602" t="s">
        <v>2156</v>
      </c>
      <c r="H538" s="603">
        <v>73</v>
      </c>
      <c r="I538" s="604">
        <v>45000000000</v>
      </c>
      <c r="J538" s="599" t="s">
        <v>1454</v>
      </c>
      <c r="K538" s="632" t="s">
        <v>2831</v>
      </c>
      <c r="L538" s="798">
        <v>361350</v>
      </c>
      <c r="M538" s="609" t="s">
        <v>2184</v>
      </c>
      <c r="N538" s="606" t="s">
        <v>2673</v>
      </c>
      <c r="O538" s="607">
        <v>42736.5</v>
      </c>
      <c r="P538" s="607">
        <v>43070.5</v>
      </c>
      <c r="Q538" s="599" t="s">
        <v>108</v>
      </c>
      <c r="R538" s="609" t="s">
        <v>1456</v>
      </c>
      <c r="S538" s="609" t="s">
        <v>1457</v>
      </c>
      <c r="T538" s="599"/>
      <c r="U538" s="599"/>
      <c r="V538" s="599"/>
      <c r="W538" s="599"/>
      <c r="X538" s="599"/>
      <c r="Y538" s="599"/>
      <c r="Z538" s="599"/>
      <c r="AA538" s="609" t="s">
        <v>1458</v>
      </c>
      <c r="AB538" s="642" t="s">
        <v>263</v>
      </c>
      <c r="AC538" s="652"/>
      <c r="AD538" s="652" t="s">
        <v>113</v>
      </c>
      <c r="AE538" s="653">
        <f t="shared" si="8"/>
        <v>1</v>
      </c>
    </row>
    <row r="539" spans="1:31" ht="105" hidden="1" x14ac:dyDescent="0.25">
      <c r="A539" s="608" t="s">
        <v>3895</v>
      </c>
      <c r="B539" s="601" t="s">
        <v>1571</v>
      </c>
      <c r="C539" s="601" t="s">
        <v>2126</v>
      </c>
      <c r="D539" s="602" t="s">
        <v>5404</v>
      </c>
      <c r="E539" s="602" t="s">
        <v>1582</v>
      </c>
      <c r="F539" s="601" t="s">
        <v>1528</v>
      </c>
      <c r="G539" s="602" t="s">
        <v>2156</v>
      </c>
      <c r="H539" s="603">
        <v>33</v>
      </c>
      <c r="I539" s="604">
        <v>45000000000</v>
      </c>
      <c r="J539" s="599" t="s">
        <v>1454</v>
      </c>
      <c r="K539" s="632" t="s">
        <v>2832</v>
      </c>
      <c r="L539" s="798">
        <v>136372.5</v>
      </c>
      <c r="M539" s="609" t="s">
        <v>2184</v>
      </c>
      <c r="N539" s="606" t="s">
        <v>2674</v>
      </c>
      <c r="O539" s="607">
        <v>42736.5</v>
      </c>
      <c r="P539" s="607">
        <v>43070.5</v>
      </c>
      <c r="Q539" s="599" t="s">
        <v>108</v>
      </c>
      <c r="R539" s="609" t="s">
        <v>1456</v>
      </c>
      <c r="S539" s="609" t="s">
        <v>1457</v>
      </c>
      <c r="T539" s="599"/>
      <c r="U539" s="599"/>
      <c r="V539" s="599"/>
      <c r="W539" s="599"/>
      <c r="X539" s="599"/>
      <c r="Y539" s="599"/>
      <c r="Z539" s="599"/>
      <c r="AA539" s="609" t="s">
        <v>1458</v>
      </c>
      <c r="AB539" s="642" t="s">
        <v>263</v>
      </c>
      <c r="AC539" s="652"/>
      <c r="AD539" s="652" t="s">
        <v>113</v>
      </c>
      <c r="AE539" s="653">
        <f t="shared" si="8"/>
        <v>1</v>
      </c>
    </row>
    <row r="540" spans="1:31" ht="105" hidden="1" x14ac:dyDescent="0.25">
      <c r="A540" s="608" t="s">
        <v>3896</v>
      </c>
      <c r="B540" s="601" t="s">
        <v>1571</v>
      </c>
      <c r="C540" s="601" t="s">
        <v>2126</v>
      </c>
      <c r="D540" s="602" t="s">
        <v>5403</v>
      </c>
      <c r="E540" s="602" t="s">
        <v>1582</v>
      </c>
      <c r="F540" s="601" t="s">
        <v>1528</v>
      </c>
      <c r="G540" s="602" t="s">
        <v>2156</v>
      </c>
      <c r="H540" s="603">
        <v>12</v>
      </c>
      <c r="I540" s="604">
        <v>45000000000</v>
      </c>
      <c r="J540" s="599" t="s">
        <v>1454</v>
      </c>
      <c r="K540" s="632" t="s">
        <v>2139</v>
      </c>
      <c r="L540" s="798">
        <v>211392</v>
      </c>
      <c r="M540" s="609" t="s">
        <v>2184</v>
      </c>
      <c r="N540" s="606" t="s">
        <v>2675</v>
      </c>
      <c r="O540" s="607">
        <v>42736.5</v>
      </c>
      <c r="P540" s="607">
        <v>43070.5</v>
      </c>
      <c r="Q540" s="599" t="s">
        <v>108</v>
      </c>
      <c r="R540" s="609" t="s">
        <v>1456</v>
      </c>
      <c r="S540" s="609" t="s">
        <v>1457</v>
      </c>
      <c r="T540" s="599"/>
      <c r="U540" s="599"/>
      <c r="V540" s="599"/>
      <c r="W540" s="599"/>
      <c r="X540" s="599"/>
      <c r="Y540" s="599"/>
      <c r="Z540" s="599"/>
      <c r="AA540" s="609" t="s">
        <v>1458</v>
      </c>
      <c r="AB540" s="642" t="s">
        <v>263</v>
      </c>
      <c r="AC540" s="652"/>
      <c r="AD540" s="652" t="s">
        <v>113</v>
      </c>
      <c r="AE540" s="653">
        <f t="shared" si="8"/>
        <v>1</v>
      </c>
    </row>
    <row r="541" spans="1:31" ht="105" hidden="1" x14ac:dyDescent="0.25">
      <c r="A541" s="608" t="s">
        <v>3897</v>
      </c>
      <c r="B541" s="601" t="s">
        <v>1571</v>
      </c>
      <c r="C541" s="601" t="s">
        <v>2126</v>
      </c>
      <c r="D541" s="602" t="s">
        <v>5402</v>
      </c>
      <c r="E541" s="602" t="s">
        <v>1582</v>
      </c>
      <c r="F541" s="601" t="s">
        <v>1528</v>
      </c>
      <c r="G541" s="602" t="s">
        <v>2156</v>
      </c>
      <c r="H541" s="603">
        <v>1</v>
      </c>
      <c r="I541" s="604">
        <v>45000000000</v>
      </c>
      <c r="J541" s="599" t="s">
        <v>1454</v>
      </c>
      <c r="K541" s="632" t="s">
        <v>2833</v>
      </c>
      <c r="L541" s="798">
        <v>29197838.350000001</v>
      </c>
      <c r="M541" s="609" t="s">
        <v>2184</v>
      </c>
      <c r="N541" s="606" t="s">
        <v>2676</v>
      </c>
      <c r="O541" s="607">
        <v>42736.5</v>
      </c>
      <c r="P541" s="607">
        <v>43070.5</v>
      </c>
      <c r="Q541" s="599" t="s">
        <v>108</v>
      </c>
      <c r="R541" s="609" t="s">
        <v>1456</v>
      </c>
      <c r="S541" s="609" t="s">
        <v>1457</v>
      </c>
      <c r="T541" s="599"/>
      <c r="U541" s="599"/>
      <c r="V541" s="599"/>
      <c r="W541" s="599"/>
      <c r="X541" s="599"/>
      <c r="Y541" s="599"/>
      <c r="Z541" s="599"/>
      <c r="AA541" s="609" t="s">
        <v>1458</v>
      </c>
      <c r="AB541" s="642" t="s">
        <v>263</v>
      </c>
      <c r="AC541" s="652"/>
      <c r="AD541" s="652" t="s">
        <v>113</v>
      </c>
      <c r="AE541" s="653">
        <f t="shared" si="8"/>
        <v>1</v>
      </c>
    </row>
    <row r="542" spans="1:31" ht="105" hidden="1" x14ac:dyDescent="0.25">
      <c r="A542" s="608" t="s">
        <v>3898</v>
      </c>
      <c r="B542" s="601" t="s">
        <v>1571</v>
      </c>
      <c r="C542" s="601" t="s">
        <v>2126</v>
      </c>
      <c r="D542" s="602" t="s">
        <v>5401</v>
      </c>
      <c r="E542" s="602" t="s">
        <v>1582</v>
      </c>
      <c r="F542" s="601" t="s">
        <v>1528</v>
      </c>
      <c r="G542" s="602" t="s">
        <v>2156</v>
      </c>
      <c r="H542" s="603">
        <v>1</v>
      </c>
      <c r="I542" s="604">
        <v>45000000000</v>
      </c>
      <c r="J542" s="599" t="s">
        <v>1454</v>
      </c>
      <c r="K542" s="632" t="s">
        <v>2834</v>
      </c>
      <c r="L542" s="798">
        <v>30783937.02</v>
      </c>
      <c r="M542" s="609" t="s">
        <v>2184</v>
      </c>
      <c r="N542" s="606" t="s">
        <v>2677</v>
      </c>
      <c r="O542" s="607">
        <v>42736.5</v>
      </c>
      <c r="P542" s="607">
        <v>43070.5</v>
      </c>
      <c r="Q542" s="599" t="s">
        <v>108</v>
      </c>
      <c r="R542" s="609" t="s">
        <v>1456</v>
      </c>
      <c r="S542" s="609" t="s">
        <v>1457</v>
      </c>
      <c r="T542" s="599"/>
      <c r="U542" s="599"/>
      <c r="V542" s="599"/>
      <c r="W542" s="599"/>
      <c r="X542" s="599"/>
      <c r="Y542" s="599"/>
      <c r="Z542" s="599"/>
      <c r="AA542" s="609" t="s">
        <v>1458</v>
      </c>
      <c r="AB542" s="642" t="s">
        <v>263</v>
      </c>
      <c r="AC542" s="652"/>
      <c r="AD542" s="652" t="s">
        <v>113</v>
      </c>
      <c r="AE542" s="653">
        <f t="shared" si="8"/>
        <v>1</v>
      </c>
    </row>
    <row r="543" spans="1:31" ht="105" hidden="1" x14ac:dyDescent="0.25">
      <c r="A543" s="608" t="s">
        <v>3899</v>
      </c>
      <c r="B543" s="601" t="s">
        <v>2131</v>
      </c>
      <c r="C543" s="601" t="s">
        <v>2140</v>
      </c>
      <c r="D543" s="602" t="s">
        <v>5400</v>
      </c>
      <c r="E543" s="602" t="s">
        <v>1582</v>
      </c>
      <c r="F543" s="601" t="s">
        <v>1528</v>
      </c>
      <c r="G543" s="602" t="s">
        <v>2156</v>
      </c>
      <c r="H543" s="603">
        <v>1</v>
      </c>
      <c r="I543" s="604">
        <v>45000000000</v>
      </c>
      <c r="J543" s="599" t="s">
        <v>1454</v>
      </c>
      <c r="K543" s="632" t="s">
        <v>2835</v>
      </c>
      <c r="L543" s="798">
        <v>115640</v>
      </c>
      <c r="M543" s="609" t="s">
        <v>2184</v>
      </c>
      <c r="N543" s="606" t="s">
        <v>2678</v>
      </c>
      <c r="O543" s="607">
        <v>42736.5</v>
      </c>
      <c r="P543" s="607">
        <v>43070.5</v>
      </c>
      <c r="Q543" s="599" t="s">
        <v>108</v>
      </c>
      <c r="R543" s="609" t="s">
        <v>1456</v>
      </c>
      <c r="S543" s="609" t="s">
        <v>1457</v>
      </c>
      <c r="T543" s="599"/>
      <c r="U543" s="599"/>
      <c r="V543" s="599"/>
      <c r="W543" s="599"/>
      <c r="X543" s="599"/>
      <c r="Y543" s="599"/>
      <c r="Z543" s="599"/>
      <c r="AA543" s="609" t="s">
        <v>1458</v>
      </c>
      <c r="AB543" s="642" t="s">
        <v>263</v>
      </c>
      <c r="AC543" s="652"/>
      <c r="AD543" s="652" t="s">
        <v>113</v>
      </c>
      <c r="AE543" s="653">
        <f t="shared" si="8"/>
        <v>1</v>
      </c>
    </row>
    <row r="544" spans="1:31" ht="105" hidden="1" x14ac:dyDescent="0.25">
      <c r="A544" s="608" t="s">
        <v>3900</v>
      </c>
      <c r="B544" s="601" t="s">
        <v>1571</v>
      </c>
      <c r="C544" s="601" t="s">
        <v>2126</v>
      </c>
      <c r="D544" s="602" t="s">
        <v>5399</v>
      </c>
      <c r="E544" s="602" t="s">
        <v>1582</v>
      </c>
      <c r="F544" s="601" t="s">
        <v>1528</v>
      </c>
      <c r="G544" s="602" t="s">
        <v>2156</v>
      </c>
      <c r="H544" s="603">
        <v>4</v>
      </c>
      <c r="I544" s="604">
        <v>45000000000</v>
      </c>
      <c r="J544" s="599" t="s">
        <v>1454</v>
      </c>
      <c r="K544" s="632" t="s">
        <v>2836</v>
      </c>
      <c r="L544" s="798">
        <v>107108</v>
      </c>
      <c r="M544" s="609" t="s">
        <v>2184</v>
      </c>
      <c r="N544" s="606" t="s">
        <v>2679</v>
      </c>
      <c r="O544" s="607">
        <v>42736.5</v>
      </c>
      <c r="P544" s="607">
        <v>43070.5</v>
      </c>
      <c r="Q544" s="599" t="s">
        <v>108</v>
      </c>
      <c r="R544" s="609" t="s">
        <v>1456</v>
      </c>
      <c r="S544" s="609" t="s">
        <v>1457</v>
      </c>
      <c r="T544" s="599"/>
      <c r="U544" s="599"/>
      <c r="V544" s="599"/>
      <c r="W544" s="599"/>
      <c r="X544" s="599"/>
      <c r="Y544" s="599"/>
      <c r="Z544" s="599"/>
      <c r="AA544" s="609" t="s">
        <v>1458</v>
      </c>
      <c r="AB544" s="642" t="s">
        <v>263</v>
      </c>
      <c r="AC544" s="652"/>
      <c r="AD544" s="652" t="s">
        <v>113</v>
      </c>
      <c r="AE544" s="653">
        <f t="shared" si="8"/>
        <v>1</v>
      </c>
    </row>
    <row r="545" spans="1:31" ht="105" hidden="1" x14ac:dyDescent="0.25">
      <c r="A545" s="608" t="s">
        <v>3901</v>
      </c>
      <c r="B545" s="601" t="s">
        <v>1571</v>
      </c>
      <c r="C545" s="601" t="s">
        <v>2126</v>
      </c>
      <c r="D545" s="602" t="s">
        <v>5398</v>
      </c>
      <c r="E545" s="602" t="s">
        <v>1582</v>
      </c>
      <c r="F545" s="601" t="s">
        <v>1528</v>
      </c>
      <c r="G545" s="602" t="s">
        <v>2156</v>
      </c>
      <c r="H545" s="603">
        <v>25</v>
      </c>
      <c r="I545" s="604">
        <v>45000000000</v>
      </c>
      <c r="J545" s="599" t="s">
        <v>1454</v>
      </c>
      <c r="K545" s="632" t="s">
        <v>2837</v>
      </c>
      <c r="L545" s="798">
        <v>275087.5</v>
      </c>
      <c r="M545" s="609" t="s">
        <v>2184</v>
      </c>
      <c r="N545" s="606" t="s">
        <v>2680</v>
      </c>
      <c r="O545" s="607">
        <v>42736.5</v>
      </c>
      <c r="P545" s="607">
        <v>43070.5</v>
      </c>
      <c r="Q545" s="599" t="s">
        <v>108</v>
      </c>
      <c r="R545" s="609" t="s">
        <v>1456</v>
      </c>
      <c r="S545" s="609" t="s">
        <v>1457</v>
      </c>
      <c r="T545" s="599"/>
      <c r="U545" s="599"/>
      <c r="V545" s="599"/>
      <c r="W545" s="599"/>
      <c r="X545" s="599"/>
      <c r="Y545" s="599"/>
      <c r="Z545" s="599"/>
      <c r="AA545" s="609" t="s">
        <v>1458</v>
      </c>
      <c r="AB545" s="642" t="s">
        <v>263</v>
      </c>
      <c r="AC545" s="652"/>
      <c r="AD545" s="652" t="s">
        <v>113</v>
      </c>
      <c r="AE545" s="653">
        <f t="shared" si="8"/>
        <v>1</v>
      </c>
    </row>
    <row r="546" spans="1:31" ht="105" hidden="1" x14ac:dyDescent="0.25">
      <c r="A546" s="608" t="s">
        <v>3902</v>
      </c>
      <c r="B546" s="601" t="s">
        <v>2131</v>
      </c>
      <c r="C546" s="601" t="s">
        <v>2140</v>
      </c>
      <c r="D546" s="602" t="s">
        <v>5397</v>
      </c>
      <c r="E546" s="602" t="s">
        <v>1582</v>
      </c>
      <c r="F546" s="601" t="s">
        <v>1528</v>
      </c>
      <c r="G546" s="602" t="s">
        <v>2156</v>
      </c>
      <c r="H546" s="603">
        <v>1</v>
      </c>
      <c r="I546" s="604">
        <v>45000000000</v>
      </c>
      <c r="J546" s="599" t="s">
        <v>1454</v>
      </c>
      <c r="K546" s="632" t="s">
        <v>2838</v>
      </c>
      <c r="L546" s="798">
        <v>110719</v>
      </c>
      <c r="M546" s="609" t="s">
        <v>2184</v>
      </c>
      <c r="N546" s="606" t="s">
        <v>2681</v>
      </c>
      <c r="O546" s="607">
        <v>42736.5</v>
      </c>
      <c r="P546" s="607">
        <v>43070.5</v>
      </c>
      <c r="Q546" s="599" t="s">
        <v>100</v>
      </c>
      <c r="R546" s="609" t="s">
        <v>1456</v>
      </c>
      <c r="S546" s="609" t="s">
        <v>1457</v>
      </c>
      <c r="T546" s="599"/>
      <c r="U546" s="599"/>
      <c r="V546" s="599"/>
      <c r="W546" s="599"/>
      <c r="X546" s="599"/>
      <c r="Y546" s="599"/>
      <c r="Z546" s="599"/>
      <c r="AA546" s="609" t="s">
        <v>1458</v>
      </c>
      <c r="AB546" s="642" t="s">
        <v>263</v>
      </c>
      <c r="AC546" s="652"/>
      <c r="AD546" s="652" t="s">
        <v>113</v>
      </c>
      <c r="AE546" s="653">
        <f t="shared" si="8"/>
        <v>1</v>
      </c>
    </row>
    <row r="547" spans="1:31" ht="105" hidden="1" x14ac:dyDescent="0.25">
      <c r="A547" s="608" t="s">
        <v>3903</v>
      </c>
      <c r="B547" s="601" t="s">
        <v>1571</v>
      </c>
      <c r="C547" s="601" t="s">
        <v>2126</v>
      </c>
      <c r="D547" s="602" t="s">
        <v>5396</v>
      </c>
      <c r="E547" s="602" t="s">
        <v>1582</v>
      </c>
      <c r="F547" s="601" t="s">
        <v>1528</v>
      </c>
      <c r="G547" s="602" t="s">
        <v>2156</v>
      </c>
      <c r="H547" s="603">
        <v>1</v>
      </c>
      <c r="I547" s="604">
        <v>45000000000</v>
      </c>
      <c r="J547" s="599" t="s">
        <v>1454</v>
      </c>
      <c r="K547" s="632" t="s">
        <v>2839</v>
      </c>
      <c r="L547" s="798">
        <v>184332.05</v>
      </c>
      <c r="M547" s="609" t="s">
        <v>2184</v>
      </c>
      <c r="N547" s="606" t="s">
        <v>2682</v>
      </c>
      <c r="O547" s="607">
        <v>42736.5</v>
      </c>
      <c r="P547" s="607">
        <v>43070.5</v>
      </c>
      <c r="Q547" s="599" t="s">
        <v>100</v>
      </c>
      <c r="R547" s="609" t="s">
        <v>1456</v>
      </c>
      <c r="S547" s="609" t="s">
        <v>1457</v>
      </c>
      <c r="T547" s="599"/>
      <c r="U547" s="599"/>
      <c r="V547" s="599"/>
      <c r="W547" s="599"/>
      <c r="X547" s="599"/>
      <c r="Y547" s="599"/>
      <c r="Z547" s="599"/>
      <c r="AA547" s="609" t="s">
        <v>1458</v>
      </c>
      <c r="AB547" s="642" t="s">
        <v>263</v>
      </c>
      <c r="AC547" s="652"/>
      <c r="AD547" s="652" t="s">
        <v>113</v>
      </c>
      <c r="AE547" s="653">
        <f t="shared" si="8"/>
        <v>1</v>
      </c>
    </row>
    <row r="548" spans="1:31" ht="105" hidden="1" x14ac:dyDescent="0.25">
      <c r="A548" s="608" t="s">
        <v>3904</v>
      </c>
      <c r="B548" s="601" t="s">
        <v>1571</v>
      </c>
      <c r="C548" s="601" t="s">
        <v>2126</v>
      </c>
      <c r="D548" s="602" t="s">
        <v>5395</v>
      </c>
      <c r="E548" s="602" t="s">
        <v>1582</v>
      </c>
      <c r="F548" s="601" t="s">
        <v>1528</v>
      </c>
      <c r="G548" s="602" t="s">
        <v>2156</v>
      </c>
      <c r="H548" s="603">
        <v>1</v>
      </c>
      <c r="I548" s="604">
        <v>45000000000</v>
      </c>
      <c r="J548" s="599" t="s">
        <v>1454</v>
      </c>
      <c r="K548" s="632" t="s">
        <v>2840</v>
      </c>
      <c r="L548" s="798">
        <v>172980</v>
      </c>
      <c r="M548" s="609" t="s">
        <v>2184</v>
      </c>
      <c r="N548" s="606" t="s">
        <v>2683</v>
      </c>
      <c r="O548" s="607">
        <v>42736.5</v>
      </c>
      <c r="P548" s="607">
        <v>43070.5</v>
      </c>
      <c r="Q548" s="599" t="s">
        <v>108</v>
      </c>
      <c r="R548" s="609" t="s">
        <v>1456</v>
      </c>
      <c r="S548" s="609" t="s">
        <v>1457</v>
      </c>
      <c r="T548" s="599"/>
      <c r="U548" s="599"/>
      <c r="V548" s="599"/>
      <c r="W548" s="599"/>
      <c r="X548" s="599"/>
      <c r="Y548" s="599"/>
      <c r="Z548" s="599"/>
      <c r="AA548" s="609" t="s">
        <v>1458</v>
      </c>
      <c r="AB548" s="642" t="s">
        <v>263</v>
      </c>
      <c r="AC548" s="652"/>
      <c r="AD548" s="652" t="s">
        <v>113</v>
      </c>
      <c r="AE548" s="653">
        <f t="shared" si="8"/>
        <v>1</v>
      </c>
    </row>
    <row r="549" spans="1:31" ht="105" hidden="1" x14ac:dyDescent="0.25">
      <c r="A549" s="608" t="s">
        <v>3905</v>
      </c>
      <c r="B549" s="601" t="s">
        <v>1571</v>
      </c>
      <c r="C549" s="601" t="s">
        <v>2126</v>
      </c>
      <c r="D549" s="602" t="s">
        <v>5394</v>
      </c>
      <c r="E549" s="602" t="s">
        <v>1582</v>
      </c>
      <c r="F549" s="601" t="s">
        <v>1528</v>
      </c>
      <c r="G549" s="602" t="s">
        <v>2156</v>
      </c>
      <c r="H549" s="603">
        <v>9</v>
      </c>
      <c r="I549" s="604">
        <v>45000000000</v>
      </c>
      <c r="J549" s="599" t="s">
        <v>1454</v>
      </c>
      <c r="K549" s="632" t="s">
        <v>2841</v>
      </c>
      <c r="L549" s="798">
        <v>274557.59999999998</v>
      </c>
      <c r="M549" s="609" t="s">
        <v>2184</v>
      </c>
      <c r="N549" s="606" t="s">
        <v>2684</v>
      </c>
      <c r="O549" s="607">
        <v>42736.5</v>
      </c>
      <c r="P549" s="607">
        <v>43070.5</v>
      </c>
      <c r="Q549" s="599" t="s">
        <v>108</v>
      </c>
      <c r="R549" s="609" t="s">
        <v>1456</v>
      </c>
      <c r="S549" s="609" t="s">
        <v>1457</v>
      </c>
      <c r="T549" s="599"/>
      <c r="U549" s="599"/>
      <c r="V549" s="599"/>
      <c r="W549" s="599"/>
      <c r="X549" s="599"/>
      <c r="Y549" s="599"/>
      <c r="Z549" s="599"/>
      <c r="AA549" s="609" t="s">
        <v>1458</v>
      </c>
      <c r="AB549" s="642" t="s">
        <v>263</v>
      </c>
      <c r="AC549" s="652"/>
      <c r="AD549" s="652" t="s">
        <v>113</v>
      </c>
      <c r="AE549" s="653">
        <f t="shared" si="8"/>
        <v>1</v>
      </c>
    </row>
    <row r="550" spans="1:31" ht="105" hidden="1" x14ac:dyDescent="0.25">
      <c r="A550" s="608" t="s">
        <v>3906</v>
      </c>
      <c r="B550" s="601" t="s">
        <v>1571</v>
      </c>
      <c r="C550" s="601" t="s">
        <v>2126</v>
      </c>
      <c r="D550" s="602" t="s">
        <v>5393</v>
      </c>
      <c r="E550" s="602" t="s">
        <v>1582</v>
      </c>
      <c r="F550" s="601" t="s">
        <v>1528</v>
      </c>
      <c r="G550" s="602" t="s">
        <v>2156</v>
      </c>
      <c r="H550" s="603">
        <v>57</v>
      </c>
      <c r="I550" s="604">
        <v>45000000000</v>
      </c>
      <c r="J550" s="599" t="s">
        <v>1454</v>
      </c>
      <c r="K550" s="632" t="s">
        <v>2842</v>
      </c>
      <c r="L550" s="798">
        <v>225150</v>
      </c>
      <c r="M550" s="609" t="s">
        <v>2184</v>
      </c>
      <c r="N550" s="606" t="s">
        <v>2685</v>
      </c>
      <c r="O550" s="607">
        <v>42736.5</v>
      </c>
      <c r="P550" s="607">
        <v>43070.5</v>
      </c>
      <c r="Q550" s="599" t="s">
        <v>108</v>
      </c>
      <c r="R550" s="609" t="s">
        <v>1456</v>
      </c>
      <c r="S550" s="609" t="s">
        <v>1457</v>
      </c>
      <c r="T550" s="599"/>
      <c r="U550" s="599"/>
      <c r="V550" s="599"/>
      <c r="W550" s="599"/>
      <c r="X550" s="599"/>
      <c r="Y550" s="599"/>
      <c r="Z550" s="599"/>
      <c r="AA550" s="609" t="s">
        <v>1458</v>
      </c>
      <c r="AB550" s="642" t="s">
        <v>263</v>
      </c>
      <c r="AC550" s="652"/>
      <c r="AD550" s="652" t="s">
        <v>113</v>
      </c>
      <c r="AE550" s="653">
        <f t="shared" si="8"/>
        <v>1</v>
      </c>
    </row>
    <row r="551" spans="1:31" ht="105" hidden="1" x14ac:dyDescent="0.25">
      <c r="A551" s="608" t="s">
        <v>3907</v>
      </c>
      <c r="B551" s="601" t="s">
        <v>1571</v>
      </c>
      <c r="C551" s="601" t="s">
        <v>2126</v>
      </c>
      <c r="D551" s="602" t="s">
        <v>5392</v>
      </c>
      <c r="E551" s="602" t="s">
        <v>1582</v>
      </c>
      <c r="F551" s="601" t="s">
        <v>1528</v>
      </c>
      <c r="G551" s="602" t="s">
        <v>2156</v>
      </c>
      <c r="H551" s="603">
        <v>65</v>
      </c>
      <c r="I551" s="604">
        <v>45000000000</v>
      </c>
      <c r="J551" s="599" t="s">
        <v>1454</v>
      </c>
      <c r="K551" s="632" t="s">
        <v>2843</v>
      </c>
      <c r="L551" s="798">
        <v>510185</v>
      </c>
      <c r="M551" s="609" t="s">
        <v>2184</v>
      </c>
      <c r="N551" s="606" t="s">
        <v>2686</v>
      </c>
      <c r="O551" s="607">
        <v>42736.5</v>
      </c>
      <c r="P551" s="607">
        <v>43070.5</v>
      </c>
      <c r="Q551" s="599" t="s">
        <v>108</v>
      </c>
      <c r="R551" s="609" t="s">
        <v>1456</v>
      </c>
      <c r="S551" s="609" t="s">
        <v>1457</v>
      </c>
      <c r="T551" s="599"/>
      <c r="U551" s="599"/>
      <c r="V551" s="599"/>
      <c r="W551" s="599"/>
      <c r="X551" s="599"/>
      <c r="Y551" s="599"/>
      <c r="Z551" s="599"/>
      <c r="AA551" s="609" t="s">
        <v>1458</v>
      </c>
      <c r="AB551" s="642" t="s">
        <v>263</v>
      </c>
      <c r="AC551" s="652"/>
      <c r="AD551" s="652" t="s">
        <v>113</v>
      </c>
      <c r="AE551" s="653">
        <f t="shared" si="8"/>
        <v>1</v>
      </c>
    </row>
    <row r="552" spans="1:31" ht="105" hidden="1" x14ac:dyDescent="0.25">
      <c r="A552" s="608" t="s">
        <v>3908</v>
      </c>
      <c r="B552" s="601" t="s">
        <v>1571</v>
      </c>
      <c r="C552" s="601" t="s">
        <v>2126</v>
      </c>
      <c r="D552" s="602" t="s">
        <v>5391</v>
      </c>
      <c r="E552" s="602" t="s">
        <v>1582</v>
      </c>
      <c r="F552" s="601" t="s">
        <v>1528</v>
      </c>
      <c r="G552" s="602" t="s">
        <v>2156</v>
      </c>
      <c r="H552" s="603">
        <v>7</v>
      </c>
      <c r="I552" s="604">
        <v>45000000000</v>
      </c>
      <c r="J552" s="599" t="s">
        <v>1454</v>
      </c>
      <c r="K552" s="632" t="s">
        <v>2844</v>
      </c>
      <c r="L552" s="798">
        <v>375028.13</v>
      </c>
      <c r="M552" s="609" t="s">
        <v>2184</v>
      </c>
      <c r="N552" s="606" t="s">
        <v>2687</v>
      </c>
      <c r="O552" s="607">
        <v>42736.5</v>
      </c>
      <c r="P552" s="607">
        <v>43070.5</v>
      </c>
      <c r="Q552" s="599" t="s">
        <v>108</v>
      </c>
      <c r="R552" s="609" t="s">
        <v>1456</v>
      </c>
      <c r="S552" s="609" t="s">
        <v>1457</v>
      </c>
      <c r="T552" s="599"/>
      <c r="U552" s="599"/>
      <c r="V552" s="599"/>
      <c r="W552" s="599"/>
      <c r="X552" s="599"/>
      <c r="Y552" s="599"/>
      <c r="Z552" s="599"/>
      <c r="AA552" s="609" t="s">
        <v>1458</v>
      </c>
      <c r="AB552" s="642" t="s">
        <v>263</v>
      </c>
      <c r="AC552" s="652"/>
      <c r="AD552" s="652" t="s">
        <v>113</v>
      </c>
      <c r="AE552" s="653">
        <f t="shared" si="8"/>
        <v>1</v>
      </c>
    </row>
    <row r="553" spans="1:31" ht="105" hidden="1" x14ac:dyDescent="0.25">
      <c r="A553" s="608" t="s">
        <v>3909</v>
      </c>
      <c r="B553" s="601" t="s">
        <v>1571</v>
      </c>
      <c r="C553" s="601" t="s">
        <v>2126</v>
      </c>
      <c r="D553" s="602" t="s">
        <v>5390</v>
      </c>
      <c r="E553" s="602" t="s">
        <v>1582</v>
      </c>
      <c r="F553" s="601" t="s">
        <v>1528</v>
      </c>
      <c r="G553" s="602" t="s">
        <v>2156</v>
      </c>
      <c r="H553" s="603">
        <v>5</v>
      </c>
      <c r="I553" s="604">
        <v>45000000000</v>
      </c>
      <c r="J553" s="599" t="s">
        <v>1454</v>
      </c>
      <c r="K553" s="632" t="s">
        <v>2845</v>
      </c>
      <c r="L553" s="798">
        <v>213430.1</v>
      </c>
      <c r="M553" s="609" t="s">
        <v>2184</v>
      </c>
      <c r="N553" s="606" t="s">
        <v>2688</v>
      </c>
      <c r="O553" s="607">
        <v>42736.5</v>
      </c>
      <c r="P553" s="607">
        <v>43070.5</v>
      </c>
      <c r="Q553" s="599" t="s">
        <v>108</v>
      </c>
      <c r="R553" s="609" t="s">
        <v>1456</v>
      </c>
      <c r="S553" s="609" t="s">
        <v>1457</v>
      </c>
      <c r="T553" s="599"/>
      <c r="U553" s="599"/>
      <c r="V553" s="599"/>
      <c r="W553" s="599"/>
      <c r="X553" s="599"/>
      <c r="Y553" s="599"/>
      <c r="Z553" s="599"/>
      <c r="AA553" s="609" t="s">
        <v>1458</v>
      </c>
      <c r="AB553" s="642" t="s">
        <v>263</v>
      </c>
      <c r="AC553" s="652"/>
      <c r="AD553" s="652" t="s">
        <v>113</v>
      </c>
      <c r="AE553" s="653">
        <f t="shared" si="8"/>
        <v>1</v>
      </c>
    </row>
    <row r="554" spans="1:31" ht="105" hidden="1" x14ac:dyDescent="0.25">
      <c r="A554" s="608" t="s">
        <v>3910</v>
      </c>
      <c r="B554" s="601" t="s">
        <v>1571</v>
      </c>
      <c r="C554" s="601" t="s">
        <v>2126</v>
      </c>
      <c r="D554" s="602" t="s">
        <v>5389</v>
      </c>
      <c r="E554" s="602" t="s">
        <v>1582</v>
      </c>
      <c r="F554" s="601" t="s">
        <v>1528</v>
      </c>
      <c r="G554" s="602" t="s">
        <v>2156</v>
      </c>
      <c r="H554" s="603">
        <v>1</v>
      </c>
      <c r="I554" s="604">
        <v>45000000000</v>
      </c>
      <c r="J554" s="599" t="s">
        <v>1454</v>
      </c>
      <c r="K554" s="632" t="s">
        <v>2846</v>
      </c>
      <c r="L554" s="798">
        <v>3928707.27</v>
      </c>
      <c r="M554" s="609" t="s">
        <v>2184</v>
      </c>
      <c r="N554" s="606" t="s">
        <v>2689</v>
      </c>
      <c r="O554" s="607">
        <v>42736.5</v>
      </c>
      <c r="P554" s="607">
        <v>43070.5</v>
      </c>
      <c r="Q554" s="599" t="s">
        <v>108</v>
      </c>
      <c r="R554" s="609" t="s">
        <v>1456</v>
      </c>
      <c r="S554" s="609" t="s">
        <v>1457</v>
      </c>
      <c r="T554" s="599"/>
      <c r="U554" s="599"/>
      <c r="V554" s="599"/>
      <c r="W554" s="599"/>
      <c r="X554" s="599"/>
      <c r="Y554" s="599"/>
      <c r="Z554" s="599"/>
      <c r="AA554" s="609" t="s">
        <v>1458</v>
      </c>
      <c r="AB554" s="642" t="s">
        <v>263</v>
      </c>
      <c r="AC554" s="652"/>
      <c r="AD554" s="652" t="s">
        <v>113</v>
      </c>
      <c r="AE554" s="653">
        <f t="shared" si="8"/>
        <v>1</v>
      </c>
    </row>
    <row r="555" spans="1:31" ht="105" hidden="1" x14ac:dyDescent="0.25">
      <c r="A555" s="608" t="s">
        <v>3911</v>
      </c>
      <c r="B555" s="601" t="s">
        <v>1793</v>
      </c>
      <c r="C555" s="601" t="s">
        <v>1794</v>
      </c>
      <c r="D555" s="602" t="s">
        <v>5388</v>
      </c>
      <c r="E555" s="602" t="s">
        <v>1582</v>
      </c>
      <c r="F555" s="601" t="s">
        <v>1528</v>
      </c>
      <c r="G555" s="602" t="s">
        <v>2156</v>
      </c>
      <c r="H555" s="603">
        <v>10</v>
      </c>
      <c r="I555" s="604">
        <v>45000000000</v>
      </c>
      <c r="J555" s="599" t="s">
        <v>1454</v>
      </c>
      <c r="K555" s="632" t="s">
        <v>2847</v>
      </c>
      <c r="L555" s="798">
        <v>9138758.75</v>
      </c>
      <c r="M555" s="609" t="s">
        <v>2184</v>
      </c>
      <c r="N555" s="606" t="s">
        <v>2690</v>
      </c>
      <c r="O555" s="607">
        <v>42736.5</v>
      </c>
      <c r="P555" s="607">
        <v>43070.5</v>
      </c>
      <c r="Q555" s="599" t="s">
        <v>108</v>
      </c>
      <c r="R555" s="609" t="s">
        <v>1456</v>
      </c>
      <c r="S555" s="609" t="s">
        <v>1457</v>
      </c>
      <c r="T555" s="599"/>
      <c r="U555" s="599"/>
      <c r="V555" s="599"/>
      <c r="W555" s="599"/>
      <c r="X555" s="599"/>
      <c r="Y555" s="599"/>
      <c r="Z555" s="599"/>
      <c r="AA555" s="609" t="s">
        <v>1458</v>
      </c>
      <c r="AB555" s="642" t="s">
        <v>263</v>
      </c>
      <c r="AC555" s="652"/>
      <c r="AD555" s="652" t="s">
        <v>113</v>
      </c>
      <c r="AE555" s="653">
        <f t="shared" si="8"/>
        <v>1</v>
      </c>
    </row>
    <row r="556" spans="1:31" ht="105" hidden="1" x14ac:dyDescent="0.25">
      <c r="A556" s="608" t="s">
        <v>3912</v>
      </c>
      <c r="B556" s="601" t="s">
        <v>1822</v>
      </c>
      <c r="C556" s="601" t="s">
        <v>2127</v>
      </c>
      <c r="D556" s="602" t="s">
        <v>5387</v>
      </c>
      <c r="E556" s="602" t="s">
        <v>1582</v>
      </c>
      <c r="F556" s="601" t="s">
        <v>1528</v>
      </c>
      <c r="G556" s="602" t="s">
        <v>2156</v>
      </c>
      <c r="H556" s="603">
        <v>2</v>
      </c>
      <c r="I556" s="604">
        <v>45000000000</v>
      </c>
      <c r="J556" s="599" t="s">
        <v>1454</v>
      </c>
      <c r="K556" s="606" t="s">
        <v>2848</v>
      </c>
      <c r="L556" s="798">
        <v>13774405.460000001</v>
      </c>
      <c r="M556" s="609" t="s">
        <v>2184</v>
      </c>
      <c r="N556" s="606" t="s">
        <v>2691</v>
      </c>
      <c r="O556" s="607">
        <v>42736.5</v>
      </c>
      <c r="P556" s="607">
        <v>43070.5</v>
      </c>
      <c r="Q556" s="599" t="s">
        <v>108</v>
      </c>
      <c r="R556" s="609" t="s">
        <v>1456</v>
      </c>
      <c r="S556" s="609" t="s">
        <v>1457</v>
      </c>
      <c r="T556" s="599"/>
      <c r="U556" s="599"/>
      <c r="V556" s="599"/>
      <c r="W556" s="599"/>
      <c r="X556" s="599"/>
      <c r="Y556" s="599"/>
      <c r="Z556" s="599"/>
      <c r="AA556" s="609" t="s">
        <v>1458</v>
      </c>
      <c r="AB556" s="642" t="s">
        <v>263</v>
      </c>
      <c r="AC556" s="652"/>
      <c r="AD556" s="652" t="s">
        <v>113</v>
      </c>
      <c r="AE556" s="653">
        <f t="shared" si="8"/>
        <v>1</v>
      </c>
    </row>
    <row r="557" spans="1:31" ht="105" hidden="1" x14ac:dyDescent="0.25">
      <c r="A557" s="608" t="s">
        <v>3913</v>
      </c>
      <c r="B557" s="601" t="s">
        <v>1822</v>
      </c>
      <c r="C557" s="601" t="s">
        <v>2127</v>
      </c>
      <c r="D557" s="602" t="s">
        <v>5386</v>
      </c>
      <c r="E557" s="602" t="s">
        <v>1582</v>
      </c>
      <c r="F557" s="601" t="s">
        <v>1528</v>
      </c>
      <c r="G557" s="602" t="s">
        <v>2156</v>
      </c>
      <c r="H557" s="603">
        <v>1</v>
      </c>
      <c r="I557" s="604">
        <v>45000000000</v>
      </c>
      <c r="J557" s="599" t="s">
        <v>1454</v>
      </c>
      <c r="K557" s="606" t="s">
        <v>2849</v>
      </c>
      <c r="L557" s="798">
        <v>12548979.029999999</v>
      </c>
      <c r="M557" s="609" t="s">
        <v>2184</v>
      </c>
      <c r="N557" s="606" t="s">
        <v>2692</v>
      </c>
      <c r="O557" s="607">
        <v>42736.5</v>
      </c>
      <c r="P557" s="607">
        <v>43070.5</v>
      </c>
      <c r="Q557" s="599" t="s">
        <v>108</v>
      </c>
      <c r="R557" s="609" t="s">
        <v>1456</v>
      </c>
      <c r="S557" s="609" t="s">
        <v>1457</v>
      </c>
      <c r="T557" s="599"/>
      <c r="U557" s="599"/>
      <c r="V557" s="599"/>
      <c r="W557" s="599"/>
      <c r="X557" s="599"/>
      <c r="Y557" s="599"/>
      <c r="Z557" s="599"/>
      <c r="AA557" s="609" t="s">
        <v>1458</v>
      </c>
      <c r="AB557" s="642" t="s">
        <v>263</v>
      </c>
      <c r="AC557" s="652"/>
      <c r="AD557" s="652" t="s">
        <v>113</v>
      </c>
      <c r="AE557" s="653">
        <f t="shared" si="8"/>
        <v>1</v>
      </c>
    </row>
    <row r="558" spans="1:31" ht="105" hidden="1" x14ac:dyDescent="0.25">
      <c r="A558" s="608" t="s">
        <v>3914</v>
      </c>
      <c r="B558" s="601" t="s">
        <v>1831</v>
      </c>
      <c r="C558" s="601" t="s">
        <v>1832</v>
      </c>
      <c r="D558" s="602" t="s">
        <v>5385</v>
      </c>
      <c r="E558" s="602" t="s">
        <v>1582</v>
      </c>
      <c r="F558" s="601" t="s">
        <v>1528</v>
      </c>
      <c r="G558" s="602" t="s">
        <v>2156</v>
      </c>
      <c r="H558" s="603">
        <v>8</v>
      </c>
      <c r="I558" s="604">
        <v>45000000000</v>
      </c>
      <c r="J558" s="599" t="s">
        <v>1454</v>
      </c>
      <c r="K558" s="606" t="s">
        <v>2850</v>
      </c>
      <c r="L558" s="798">
        <v>80468838.709999993</v>
      </c>
      <c r="M558" s="609" t="s">
        <v>2184</v>
      </c>
      <c r="N558" s="606" t="s">
        <v>2693</v>
      </c>
      <c r="O558" s="607">
        <v>42736.5</v>
      </c>
      <c r="P558" s="607">
        <v>43070.5</v>
      </c>
      <c r="Q558" s="599" t="s">
        <v>108</v>
      </c>
      <c r="R558" s="609" t="s">
        <v>1456</v>
      </c>
      <c r="S558" s="609" t="s">
        <v>1457</v>
      </c>
      <c r="T558" s="599"/>
      <c r="U558" s="599"/>
      <c r="V558" s="599"/>
      <c r="W558" s="599"/>
      <c r="X558" s="599"/>
      <c r="Y558" s="599"/>
      <c r="Z558" s="599"/>
      <c r="AA558" s="609" t="s">
        <v>1458</v>
      </c>
      <c r="AB558" s="642" t="s">
        <v>263</v>
      </c>
      <c r="AC558" s="652"/>
      <c r="AD558" s="652" t="s">
        <v>113</v>
      </c>
      <c r="AE558" s="653">
        <f t="shared" si="8"/>
        <v>1</v>
      </c>
    </row>
    <row r="559" spans="1:31" ht="105" hidden="1" x14ac:dyDescent="0.25">
      <c r="A559" s="608" t="s">
        <v>3915</v>
      </c>
      <c r="B559" s="601" t="s">
        <v>2134</v>
      </c>
      <c r="C559" s="601" t="s">
        <v>2135</v>
      </c>
      <c r="D559" s="602" t="s">
        <v>5384</v>
      </c>
      <c r="E559" s="602" t="s">
        <v>1582</v>
      </c>
      <c r="F559" s="601" t="s">
        <v>1528</v>
      </c>
      <c r="G559" s="602" t="s">
        <v>2156</v>
      </c>
      <c r="H559" s="603">
        <v>2</v>
      </c>
      <c r="I559" s="604">
        <v>45000000000</v>
      </c>
      <c r="J559" s="599" t="s">
        <v>1454</v>
      </c>
      <c r="K559" s="606" t="s">
        <v>2851</v>
      </c>
      <c r="L559" s="798">
        <v>5721588.0899999999</v>
      </c>
      <c r="M559" s="609" t="s">
        <v>2184</v>
      </c>
      <c r="N559" s="606" t="s">
        <v>2694</v>
      </c>
      <c r="O559" s="607">
        <v>42736.5</v>
      </c>
      <c r="P559" s="607">
        <v>43070.5</v>
      </c>
      <c r="Q559" s="599" t="s">
        <v>108</v>
      </c>
      <c r="R559" s="609" t="s">
        <v>1456</v>
      </c>
      <c r="S559" s="609" t="s">
        <v>1457</v>
      </c>
      <c r="T559" s="599"/>
      <c r="U559" s="599"/>
      <c r="V559" s="599"/>
      <c r="W559" s="599"/>
      <c r="X559" s="599"/>
      <c r="Y559" s="599"/>
      <c r="Z559" s="599"/>
      <c r="AA559" s="609" t="s">
        <v>1458</v>
      </c>
      <c r="AB559" s="642" t="s">
        <v>263</v>
      </c>
      <c r="AC559" s="652"/>
      <c r="AD559" s="652" t="s">
        <v>113</v>
      </c>
      <c r="AE559" s="653">
        <f t="shared" si="8"/>
        <v>1</v>
      </c>
    </row>
    <row r="560" spans="1:31" ht="105" hidden="1" x14ac:dyDescent="0.25">
      <c r="A560" s="608" t="s">
        <v>3916</v>
      </c>
      <c r="B560" s="601" t="s">
        <v>1831</v>
      </c>
      <c r="C560" s="601" t="s">
        <v>1832</v>
      </c>
      <c r="D560" s="602" t="s">
        <v>5383</v>
      </c>
      <c r="E560" s="602" t="s">
        <v>1582</v>
      </c>
      <c r="F560" s="601" t="s">
        <v>1528</v>
      </c>
      <c r="G560" s="602" t="s">
        <v>2156</v>
      </c>
      <c r="H560" s="603">
        <v>1</v>
      </c>
      <c r="I560" s="604">
        <v>45000000000</v>
      </c>
      <c r="J560" s="599" t="s">
        <v>1454</v>
      </c>
      <c r="K560" s="606" t="s">
        <v>2852</v>
      </c>
      <c r="L560" s="798">
        <v>7204962.7800000003</v>
      </c>
      <c r="M560" s="609" t="s">
        <v>2184</v>
      </c>
      <c r="N560" s="606" t="s">
        <v>2695</v>
      </c>
      <c r="O560" s="607">
        <v>42736.5</v>
      </c>
      <c r="P560" s="607">
        <v>43070.5</v>
      </c>
      <c r="Q560" s="599" t="s">
        <v>100</v>
      </c>
      <c r="R560" s="609" t="s">
        <v>1456</v>
      </c>
      <c r="S560" s="609" t="s">
        <v>1457</v>
      </c>
      <c r="T560" s="599"/>
      <c r="U560" s="599"/>
      <c r="V560" s="599"/>
      <c r="W560" s="599"/>
      <c r="X560" s="599"/>
      <c r="Y560" s="599"/>
      <c r="Z560" s="599"/>
      <c r="AA560" s="609" t="s">
        <v>1458</v>
      </c>
      <c r="AB560" s="642" t="s">
        <v>263</v>
      </c>
      <c r="AC560" s="652"/>
      <c r="AD560" s="652" t="s">
        <v>113</v>
      </c>
      <c r="AE560" s="653">
        <f t="shared" si="8"/>
        <v>1</v>
      </c>
    </row>
    <row r="561" spans="1:31" ht="105" hidden="1" x14ac:dyDescent="0.25">
      <c r="A561" s="608" t="s">
        <v>3917</v>
      </c>
      <c r="B561" s="601" t="s">
        <v>1831</v>
      </c>
      <c r="C561" s="601" t="s">
        <v>1832</v>
      </c>
      <c r="D561" s="602" t="s">
        <v>5382</v>
      </c>
      <c r="E561" s="602" t="s">
        <v>1582</v>
      </c>
      <c r="F561" s="601" t="s">
        <v>1528</v>
      </c>
      <c r="G561" s="602" t="s">
        <v>2156</v>
      </c>
      <c r="H561" s="603">
        <v>1</v>
      </c>
      <c r="I561" s="604">
        <v>45000000000</v>
      </c>
      <c r="J561" s="599" t="s">
        <v>1454</v>
      </c>
      <c r="K561" s="606" t="s">
        <v>2853</v>
      </c>
      <c r="L561" s="798">
        <v>5234193.55</v>
      </c>
      <c r="M561" s="609" t="s">
        <v>2184</v>
      </c>
      <c r="N561" s="606" t="s">
        <v>2696</v>
      </c>
      <c r="O561" s="607">
        <v>42736.5</v>
      </c>
      <c r="P561" s="607">
        <v>43070.5</v>
      </c>
      <c r="Q561" s="599" t="s">
        <v>100</v>
      </c>
      <c r="R561" s="609" t="s">
        <v>1456</v>
      </c>
      <c r="S561" s="609" t="s">
        <v>1457</v>
      </c>
      <c r="T561" s="599"/>
      <c r="U561" s="599"/>
      <c r="V561" s="599"/>
      <c r="W561" s="599"/>
      <c r="X561" s="599"/>
      <c r="Y561" s="599"/>
      <c r="Z561" s="599"/>
      <c r="AA561" s="609" t="s">
        <v>1458</v>
      </c>
      <c r="AB561" s="642" t="s">
        <v>263</v>
      </c>
      <c r="AC561" s="652"/>
      <c r="AD561" s="652" t="s">
        <v>113</v>
      </c>
      <c r="AE561" s="653">
        <f t="shared" si="8"/>
        <v>1</v>
      </c>
    </row>
    <row r="562" spans="1:31" ht="105" hidden="1" x14ac:dyDescent="0.25">
      <c r="A562" s="608" t="s">
        <v>3918</v>
      </c>
      <c r="B562" s="601" t="s">
        <v>1793</v>
      </c>
      <c r="C562" s="601" t="s">
        <v>2141</v>
      </c>
      <c r="D562" s="602" t="s">
        <v>5381</v>
      </c>
      <c r="E562" s="602" t="s">
        <v>1582</v>
      </c>
      <c r="F562" s="601" t="s">
        <v>1528</v>
      </c>
      <c r="G562" s="602" t="s">
        <v>2156</v>
      </c>
      <c r="H562" s="603">
        <v>1</v>
      </c>
      <c r="I562" s="604">
        <v>45000000000</v>
      </c>
      <c r="J562" s="599" t="s">
        <v>1454</v>
      </c>
      <c r="K562" s="606" t="s">
        <v>2854</v>
      </c>
      <c r="L562" s="798">
        <v>1349920</v>
      </c>
      <c r="M562" s="609" t="s">
        <v>2184</v>
      </c>
      <c r="N562" s="606" t="s">
        <v>2697</v>
      </c>
      <c r="O562" s="607">
        <v>42736.5</v>
      </c>
      <c r="P562" s="607">
        <v>43070.5</v>
      </c>
      <c r="Q562" s="599" t="s">
        <v>100</v>
      </c>
      <c r="R562" s="609" t="s">
        <v>1456</v>
      </c>
      <c r="S562" s="609" t="s">
        <v>1457</v>
      </c>
      <c r="T562" s="599"/>
      <c r="U562" s="599"/>
      <c r="V562" s="599"/>
      <c r="W562" s="599"/>
      <c r="X562" s="599"/>
      <c r="Y562" s="599"/>
      <c r="Z562" s="599"/>
      <c r="AA562" s="609" t="s">
        <v>1458</v>
      </c>
      <c r="AB562" s="642" t="s">
        <v>263</v>
      </c>
      <c r="AC562" s="652"/>
      <c r="AD562" s="652" t="s">
        <v>113</v>
      </c>
      <c r="AE562" s="653">
        <f t="shared" si="8"/>
        <v>1</v>
      </c>
    </row>
    <row r="563" spans="1:31" ht="105" hidden="1" x14ac:dyDescent="0.25">
      <c r="A563" s="608" t="s">
        <v>3919</v>
      </c>
      <c r="B563" s="601" t="s">
        <v>1531</v>
      </c>
      <c r="C563" s="601" t="s">
        <v>1532</v>
      </c>
      <c r="D563" s="602" t="s">
        <v>5380</v>
      </c>
      <c r="E563" s="602" t="s">
        <v>1582</v>
      </c>
      <c r="F563" s="601" t="s">
        <v>1528</v>
      </c>
      <c r="G563" s="602" t="s">
        <v>2156</v>
      </c>
      <c r="H563" s="603">
        <v>6</v>
      </c>
      <c r="I563" s="604">
        <v>45000000000</v>
      </c>
      <c r="J563" s="599" t="s">
        <v>1454</v>
      </c>
      <c r="K563" s="606" t="s">
        <v>2855</v>
      </c>
      <c r="L563" s="798">
        <v>1947720</v>
      </c>
      <c r="M563" s="609" t="s">
        <v>2184</v>
      </c>
      <c r="N563" s="606" t="s">
        <v>2698</v>
      </c>
      <c r="O563" s="607">
        <v>42736.5</v>
      </c>
      <c r="P563" s="607">
        <v>43070.5</v>
      </c>
      <c r="Q563" s="599" t="s">
        <v>100</v>
      </c>
      <c r="R563" s="609" t="s">
        <v>1456</v>
      </c>
      <c r="S563" s="609" t="s">
        <v>1457</v>
      </c>
      <c r="T563" s="599"/>
      <c r="U563" s="599"/>
      <c r="V563" s="599"/>
      <c r="W563" s="599"/>
      <c r="X563" s="599"/>
      <c r="Y563" s="599"/>
      <c r="Z563" s="599"/>
      <c r="AA563" s="609" t="s">
        <v>1458</v>
      </c>
      <c r="AB563" s="642" t="s">
        <v>263</v>
      </c>
      <c r="AC563" s="652"/>
      <c r="AD563" s="652" t="s">
        <v>113</v>
      </c>
      <c r="AE563" s="653">
        <f t="shared" si="8"/>
        <v>1</v>
      </c>
    </row>
    <row r="564" spans="1:31" ht="105" hidden="1" x14ac:dyDescent="0.25">
      <c r="A564" s="608" t="s">
        <v>3920</v>
      </c>
      <c r="B564" s="601" t="s">
        <v>1793</v>
      </c>
      <c r="C564" s="601" t="s">
        <v>1794</v>
      </c>
      <c r="D564" s="602" t="s">
        <v>5379</v>
      </c>
      <c r="E564" s="602" t="s">
        <v>1582</v>
      </c>
      <c r="F564" s="601" t="s">
        <v>1528</v>
      </c>
      <c r="G564" s="602" t="s">
        <v>2156</v>
      </c>
      <c r="H564" s="603">
        <v>2</v>
      </c>
      <c r="I564" s="604">
        <v>45000000000</v>
      </c>
      <c r="J564" s="599" t="s">
        <v>1454</v>
      </c>
      <c r="K564" s="606" t="s">
        <v>2856</v>
      </c>
      <c r="L564" s="798">
        <v>273500</v>
      </c>
      <c r="M564" s="609" t="s">
        <v>2184</v>
      </c>
      <c r="N564" s="606" t="s">
        <v>2699</v>
      </c>
      <c r="O564" s="607">
        <v>42736.5</v>
      </c>
      <c r="P564" s="607">
        <v>43070.5</v>
      </c>
      <c r="Q564" s="599" t="s">
        <v>100</v>
      </c>
      <c r="R564" s="609" t="s">
        <v>1456</v>
      </c>
      <c r="S564" s="609" t="s">
        <v>1457</v>
      </c>
      <c r="T564" s="599"/>
      <c r="U564" s="599"/>
      <c r="V564" s="599"/>
      <c r="W564" s="599"/>
      <c r="X564" s="599"/>
      <c r="Y564" s="599"/>
      <c r="Z564" s="599"/>
      <c r="AA564" s="609" t="s">
        <v>1458</v>
      </c>
      <c r="AB564" s="642" t="s">
        <v>263</v>
      </c>
      <c r="AC564" s="652"/>
      <c r="AD564" s="652" t="s">
        <v>113</v>
      </c>
      <c r="AE564" s="653">
        <f t="shared" ref="AE564:AE627" si="9">IF(O564=0,,MONTH(O564))</f>
        <v>1</v>
      </c>
    </row>
    <row r="565" spans="1:31" ht="105" hidden="1" x14ac:dyDescent="0.25">
      <c r="A565" s="608" t="s">
        <v>3921</v>
      </c>
      <c r="B565" s="601" t="s">
        <v>1793</v>
      </c>
      <c r="C565" s="601" t="s">
        <v>1794</v>
      </c>
      <c r="D565" s="602" t="s">
        <v>5378</v>
      </c>
      <c r="E565" s="602" t="s">
        <v>1582</v>
      </c>
      <c r="F565" s="601" t="s">
        <v>1528</v>
      </c>
      <c r="G565" s="602" t="s">
        <v>2156</v>
      </c>
      <c r="H565" s="603">
        <v>1</v>
      </c>
      <c r="I565" s="604">
        <v>45000000000</v>
      </c>
      <c r="J565" s="599" t="s">
        <v>1454</v>
      </c>
      <c r="K565" s="606" t="s">
        <v>2857</v>
      </c>
      <c r="L565" s="798">
        <v>136750</v>
      </c>
      <c r="M565" s="609" t="s">
        <v>2184</v>
      </c>
      <c r="N565" s="606" t="s">
        <v>2700</v>
      </c>
      <c r="O565" s="607">
        <v>42736.5</v>
      </c>
      <c r="P565" s="607">
        <v>43070.5</v>
      </c>
      <c r="Q565" s="599" t="s">
        <v>100</v>
      </c>
      <c r="R565" s="609" t="s">
        <v>1456</v>
      </c>
      <c r="S565" s="609" t="s">
        <v>1457</v>
      </c>
      <c r="T565" s="599"/>
      <c r="U565" s="599"/>
      <c r="V565" s="599"/>
      <c r="W565" s="599"/>
      <c r="X565" s="599"/>
      <c r="Y565" s="599"/>
      <c r="Z565" s="599"/>
      <c r="AA565" s="609" t="s">
        <v>1458</v>
      </c>
      <c r="AB565" s="642" t="s">
        <v>263</v>
      </c>
      <c r="AC565" s="652"/>
      <c r="AD565" s="652" t="s">
        <v>113</v>
      </c>
      <c r="AE565" s="653">
        <f t="shared" si="9"/>
        <v>1</v>
      </c>
    </row>
    <row r="566" spans="1:31" ht="105" hidden="1" x14ac:dyDescent="0.25">
      <c r="A566" s="608" t="s">
        <v>3922</v>
      </c>
      <c r="B566" s="601" t="s">
        <v>1851</v>
      </c>
      <c r="C566" s="601" t="s">
        <v>2142</v>
      </c>
      <c r="D566" s="602" t="s">
        <v>5377</v>
      </c>
      <c r="E566" s="602" t="s">
        <v>1582</v>
      </c>
      <c r="F566" s="601" t="s">
        <v>1528</v>
      </c>
      <c r="G566" s="602" t="s">
        <v>2156</v>
      </c>
      <c r="H566" s="603">
        <v>2</v>
      </c>
      <c r="I566" s="604">
        <v>45000000000</v>
      </c>
      <c r="J566" s="599" t="s">
        <v>1454</v>
      </c>
      <c r="K566" s="606" t="s">
        <v>2858</v>
      </c>
      <c r="L566" s="798">
        <v>2378029.85</v>
      </c>
      <c r="M566" s="609" t="s">
        <v>2184</v>
      </c>
      <c r="N566" s="606" t="s">
        <v>2701</v>
      </c>
      <c r="O566" s="607">
        <v>42736.5</v>
      </c>
      <c r="P566" s="607">
        <v>43070.5</v>
      </c>
      <c r="Q566" s="599" t="s">
        <v>100</v>
      </c>
      <c r="R566" s="609" t="s">
        <v>1456</v>
      </c>
      <c r="S566" s="609" t="s">
        <v>1457</v>
      </c>
      <c r="T566" s="599"/>
      <c r="U566" s="599"/>
      <c r="V566" s="599"/>
      <c r="W566" s="599"/>
      <c r="X566" s="599"/>
      <c r="Y566" s="599"/>
      <c r="Z566" s="599"/>
      <c r="AA566" s="609" t="s">
        <v>1458</v>
      </c>
      <c r="AB566" s="642" t="s">
        <v>263</v>
      </c>
      <c r="AC566" s="652"/>
      <c r="AD566" s="652" t="s">
        <v>113</v>
      </c>
      <c r="AE566" s="653">
        <f t="shared" si="9"/>
        <v>1</v>
      </c>
    </row>
    <row r="567" spans="1:31" ht="105" hidden="1" x14ac:dyDescent="0.25">
      <c r="A567" s="608" t="s">
        <v>3923</v>
      </c>
      <c r="B567" s="601" t="s">
        <v>1851</v>
      </c>
      <c r="C567" s="601" t="s">
        <v>2142</v>
      </c>
      <c r="D567" s="602" t="s">
        <v>5376</v>
      </c>
      <c r="E567" s="602" t="s">
        <v>1582</v>
      </c>
      <c r="F567" s="601" t="s">
        <v>1528</v>
      </c>
      <c r="G567" s="602" t="s">
        <v>2156</v>
      </c>
      <c r="H567" s="603">
        <v>4</v>
      </c>
      <c r="I567" s="604">
        <v>45000000000</v>
      </c>
      <c r="J567" s="599" t="s">
        <v>1454</v>
      </c>
      <c r="K567" s="606" t="s">
        <v>2859</v>
      </c>
      <c r="L567" s="798">
        <v>3117762.07</v>
      </c>
      <c r="M567" s="609" t="s">
        <v>2184</v>
      </c>
      <c r="N567" s="606" t="s">
        <v>2702</v>
      </c>
      <c r="O567" s="607">
        <v>42736.5</v>
      </c>
      <c r="P567" s="607">
        <v>43070.5</v>
      </c>
      <c r="Q567" s="599" t="s">
        <v>108</v>
      </c>
      <c r="R567" s="609" t="s">
        <v>1456</v>
      </c>
      <c r="S567" s="609" t="s">
        <v>1457</v>
      </c>
      <c r="T567" s="599"/>
      <c r="U567" s="599"/>
      <c r="V567" s="599"/>
      <c r="W567" s="599"/>
      <c r="X567" s="599"/>
      <c r="Y567" s="599"/>
      <c r="Z567" s="599"/>
      <c r="AA567" s="609" t="s">
        <v>1458</v>
      </c>
      <c r="AB567" s="642" t="s">
        <v>263</v>
      </c>
      <c r="AC567" s="652"/>
      <c r="AD567" s="652" t="s">
        <v>113</v>
      </c>
      <c r="AE567" s="653">
        <f t="shared" si="9"/>
        <v>1</v>
      </c>
    </row>
    <row r="568" spans="1:31" ht="105" hidden="1" x14ac:dyDescent="0.25">
      <c r="A568" s="608" t="s">
        <v>3924</v>
      </c>
      <c r="B568" s="601" t="s">
        <v>1851</v>
      </c>
      <c r="C568" s="601" t="s">
        <v>2142</v>
      </c>
      <c r="D568" s="602" t="s">
        <v>5375</v>
      </c>
      <c r="E568" s="602" t="s">
        <v>1582</v>
      </c>
      <c r="F568" s="601" t="s">
        <v>1528</v>
      </c>
      <c r="G568" s="602" t="s">
        <v>2156</v>
      </c>
      <c r="H568" s="603">
        <v>1</v>
      </c>
      <c r="I568" s="604">
        <v>45000000000</v>
      </c>
      <c r="J568" s="599" t="s">
        <v>1454</v>
      </c>
      <c r="K568" s="606" t="s">
        <v>2860</v>
      </c>
      <c r="L568" s="798">
        <v>1764423.31</v>
      </c>
      <c r="M568" s="609" t="s">
        <v>2184</v>
      </c>
      <c r="N568" s="606" t="s">
        <v>2703</v>
      </c>
      <c r="O568" s="607">
        <v>42736.5</v>
      </c>
      <c r="P568" s="607">
        <v>43070.5</v>
      </c>
      <c r="Q568" s="599" t="s">
        <v>108</v>
      </c>
      <c r="R568" s="609" t="s">
        <v>1456</v>
      </c>
      <c r="S568" s="609" t="s">
        <v>1457</v>
      </c>
      <c r="T568" s="599"/>
      <c r="U568" s="599"/>
      <c r="V568" s="599"/>
      <c r="W568" s="599"/>
      <c r="X568" s="599"/>
      <c r="Y568" s="599"/>
      <c r="Z568" s="599"/>
      <c r="AA568" s="609" t="s">
        <v>1458</v>
      </c>
      <c r="AB568" s="642" t="s">
        <v>263</v>
      </c>
      <c r="AC568" s="652"/>
      <c r="AD568" s="652" t="s">
        <v>113</v>
      </c>
      <c r="AE568" s="653">
        <f t="shared" si="9"/>
        <v>1</v>
      </c>
    </row>
    <row r="569" spans="1:31" ht="105" hidden="1" x14ac:dyDescent="0.25">
      <c r="A569" s="608" t="s">
        <v>3925</v>
      </c>
      <c r="B569" s="601" t="s">
        <v>1531</v>
      </c>
      <c r="C569" s="601" t="s">
        <v>1748</v>
      </c>
      <c r="D569" s="602" t="s">
        <v>5374</v>
      </c>
      <c r="E569" s="602" t="s">
        <v>1582</v>
      </c>
      <c r="F569" s="601" t="s">
        <v>1528</v>
      </c>
      <c r="G569" s="602" t="s">
        <v>2156</v>
      </c>
      <c r="H569" s="603">
        <v>1</v>
      </c>
      <c r="I569" s="604">
        <v>45000000000</v>
      </c>
      <c r="J569" s="599" t="s">
        <v>1454</v>
      </c>
      <c r="K569" s="606" t="s">
        <v>2861</v>
      </c>
      <c r="L569" s="798">
        <v>217208.44</v>
      </c>
      <c r="M569" s="609" t="s">
        <v>2184</v>
      </c>
      <c r="N569" s="606" t="s">
        <v>2704</v>
      </c>
      <c r="O569" s="607">
        <v>42736.5</v>
      </c>
      <c r="P569" s="607">
        <v>43070.5</v>
      </c>
      <c r="Q569" s="599" t="s">
        <v>108</v>
      </c>
      <c r="R569" s="609" t="s">
        <v>1456</v>
      </c>
      <c r="S569" s="609" t="s">
        <v>1457</v>
      </c>
      <c r="T569" s="599"/>
      <c r="U569" s="599"/>
      <c r="V569" s="599"/>
      <c r="W569" s="599"/>
      <c r="X569" s="599"/>
      <c r="Y569" s="599"/>
      <c r="Z569" s="599"/>
      <c r="AA569" s="609" t="s">
        <v>1458</v>
      </c>
      <c r="AB569" s="642" t="s">
        <v>263</v>
      </c>
      <c r="AC569" s="652"/>
      <c r="AD569" s="652" t="s">
        <v>113</v>
      </c>
      <c r="AE569" s="653">
        <f t="shared" si="9"/>
        <v>1</v>
      </c>
    </row>
    <row r="570" spans="1:31" ht="105" hidden="1" x14ac:dyDescent="0.25">
      <c r="A570" s="608" t="s">
        <v>3926</v>
      </c>
      <c r="B570" s="601" t="s">
        <v>1531</v>
      </c>
      <c r="C570" s="601" t="s">
        <v>1870</v>
      </c>
      <c r="D570" s="602" t="s">
        <v>5373</v>
      </c>
      <c r="E570" s="602" t="s">
        <v>1582</v>
      </c>
      <c r="F570" s="601" t="s">
        <v>1528</v>
      </c>
      <c r="G570" s="602" t="s">
        <v>2156</v>
      </c>
      <c r="H570" s="603">
        <v>1</v>
      </c>
      <c r="I570" s="604">
        <v>45000000000</v>
      </c>
      <c r="J570" s="599" t="s">
        <v>1454</v>
      </c>
      <c r="K570" s="606" t="s">
        <v>2862</v>
      </c>
      <c r="L570" s="798">
        <v>22731625</v>
      </c>
      <c r="M570" s="609" t="s">
        <v>2184</v>
      </c>
      <c r="N570" s="606" t="s">
        <v>2705</v>
      </c>
      <c r="O570" s="607">
        <v>42736.5</v>
      </c>
      <c r="P570" s="607">
        <v>43070.5</v>
      </c>
      <c r="Q570" s="599" t="s">
        <v>108</v>
      </c>
      <c r="R570" s="609" t="s">
        <v>1456</v>
      </c>
      <c r="S570" s="609" t="s">
        <v>1457</v>
      </c>
      <c r="T570" s="599"/>
      <c r="U570" s="599"/>
      <c r="V570" s="599"/>
      <c r="W570" s="599"/>
      <c r="X570" s="599"/>
      <c r="Y570" s="599"/>
      <c r="Z570" s="599"/>
      <c r="AA570" s="609" t="s">
        <v>1458</v>
      </c>
      <c r="AB570" s="642" t="s">
        <v>263</v>
      </c>
      <c r="AC570" s="652"/>
      <c r="AD570" s="652" t="s">
        <v>113</v>
      </c>
      <c r="AE570" s="653">
        <f t="shared" si="9"/>
        <v>1</v>
      </c>
    </row>
    <row r="571" spans="1:31" ht="105" hidden="1" x14ac:dyDescent="0.25">
      <c r="A571" s="608" t="s">
        <v>3927</v>
      </c>
      <c r="B571" s="601" t="s">
        <v>1822</v>
      </c>
      <c r="C571" s="601" t="s">
        <v>2143</v>
      </c>
      <c r="D571" s="602" t="s">
        <v>5372</v>
      </c>
      <c r="E571" s="602" t="s">
        <v>1582</v>
      </c>
      <c r="F571" s="601" t="s">
        <v>1528</v>
      </c>
      <c r="G571" s="602" t="s">
        <v>2156</v>
      </c>
      <c r="H571" s="603">
        <v>1</v>
      </c>
      <c r="I571" s="604">
        <v>45000000000</v>
      </c>
      <c r="J571" s="599" t="s">
        <v>1454</v>
      </c>
      <c r="K571" s="606" t="s">
        <v>2863</v>
      </c>
      <c r="L571" s="798">
        <v>1641071.1</v>
      </c>
      <c r="M571" s="609" t="s">
        <v>2184</v>
      </c>
      <c r="N571" s="606" t="s">
        <v>2706</v>
      </c>
      <c r="O571" s="607">
        <v>42736.5</v>
      </c>
      <c r="P571" s="607">
        <v>43070.5</v>
      </c>
      <c r="Q571" s="599" t="s">
        <v>108</v>
      </c>
      <c r="R571" s="609" t="s">
        <v>1456</v>
      </c>
      <c r="S571" s="609" t="s">
        <v>1457</v>
      </c>
      <c r="T571" s="599"/>
      <c r="U571" s="599"/>
      <c r="V571" s="599"/>
      <c r="W571" s="599"/>
      <c r="X571" s="599"/>
      <c r="Y571" s="599"/>
      <c r="Z571" s="599"/>
      <c r="AA571" s="609" t="s">
        <v>1458</v>
      </c>
      <c r="AB571" s="642" t="s">
        <v>263</v>
      </c>
      <c r="AC571" s="652"/>
      <c r="AD571" s="652" t="s">
        <v>113</v>
      </c>
      <c r="AE571" s="653">
        <f t="shared" si="9"/>
        <v>1</v>
      </c>
    </row>
    <row r="572" spans="1:31" ht="105" hidden="1" x14ac:dyDescent="0.25">
      <c r="A572" s="608" t="s">
        <v>3928</v>
      </c>
      <c r="B572" s="601" t="s">
        <v>1793</v>
      </c>
      <c r="C572" s="601" t="s">
        <v>1794</v>
      </c>
      <c r="D572" s="602" t="s">
        <v>5371</v>
      </c>
      <c r="E572" s="602" t="s">
        <v>1582</v>
      </c>
      <c r="F572" s="601" t="s">
        <v>1528</v>
      </c>
      <c r="G572" s="602" t="s">
        <v>2156</v>
      </c>
      <c r="H572" s="603">
        <v>26</v>
      </c>
      <c r="I572" s="604">
        <v>45000000000</v>
      </c>
      <c r="J572" s="599" t="s">
        <v>1454</v>
      </c>
      <c r="K572" s="606" t="s">
        <v>2864</v>
      </c>
      <c r="L572" s="798">
        <v>3802356.74</v>
      </c>
      <c r="M572" s="609" t="s">
        <v>2184</v>
      </c>
      <c r="N572" s="606" t="s">
        <v>2707</v>
      </c>
      <c r="O572" s="607">
        <v>42736.5</v>
      </c>
      <c r="P572" s="607">
        <v>43070.5</v>
      </c>
      <c r="Q572" s="599" t="s">
        <v>108</v>
      </c>
      <c r="R572" s="609" t="s">
        <v>1456</v>
      </c>
      <c r="S572" s="609" t="s">
        <v>1457</v>
      </c>
      <c r="T572" s="599"/>
      <c r="U572" s="599"/>
      <c r="V572" s="599"/>
      <c r="W572" s="599"/>
      <c r="X572" s="599"/>
      <c r="Y572" s="599"/>
      <c r="Z572" s="599"/>
      <c r="AA572" s="609" t="s">
        <v>1458</v>
      </c>
      <c r="AB572" s="642" t="s">
        <v>263</v>
      </c>
      <c r="AC572" s="652"/>
      <c r="AD572" s="652" t="s">
        <v>113</v>
      </c>
      <c r="AE572" s="653">
        <f t="shared" si="9"/>
        <v>1</v>
      </c>
    </row>
    <row r="573" spans="1:31" ht="105" hidden="1" x14ac:dyDescent="0.25">
      <c r="A573" s="608" t="s">
        <v>3929</v>
      </c>
      <c r="B573" s="601" t="s">
        <v>1793</v>
      </c>
      <c r="C573" s="601" t="s">
        <v>1794</v>
      </c>
      <c r="D573" s="602" t="s">
        <v>5370</v>
      </c>
      <c r="E573" s="602" t="s">
        <v>1582</v>
      </c>
      <c r="F573" s="601" t="s">
        <v>1528</v>
      </c>
      <c r="G573" s="602" t="s">
        <v>2156</v>
      </c>
      <c r="H573" s="603">
        <v>2</v>
      </c>
      <c r="I573" s="604">
        <v>45000000000</v>
      </c>
      <c r="J573" s="599" t="s">
        <v>1454</v>
      </c>
      <c r="K573" s="606" t="s">
        <v>2865</v>
      </c>
      <c r="L573" s="798">
        <v>435919.9</v>
      </c>
      <c r="M573" s="609" t="s">
        <v>2184</v>
      </c>
      <c r="N573" s="606" t="s">
        <v>2708</v>
      </c>
      <c r="O573" s="607">
        <v>42736.5</v>
      </c>
      <c r="P573" s="607">
        <v>43070.5</v>
      </c>
      <c r="Q573" s="599" t="s">
        <v>108</v>
      </c>
      <c r="R573" s="609" t="s">
        <v>1456</v>
      </c>
      <c r="S573" s="609" t="s">
        <v>1457</v>
      </c>
      <c r="T573" s="599"/>
      <c r="U573" s="599"/>
      <c r="V573" s="599"/>
      <c r="W573" s="599"/>
      <c r="X573" s="599"/>
      <c r="Y573" s="599"/>
      <c r="Z573" s="599"/>
      <c r="AA573" s="609" t="s">
        <v>1458</v>
      </c>
      <c r="AB573" s="642" t="s">
        <v>263</v>
      </c>
      <c r="AC573" s="652"/>
      <c r="AD573" s="652" t="s">
        <v>113</v>
      </c>
      <c r="AE573" s="653">
        <f t="shared" si="9"/>
        <v>1</v>
      </c>
    </row>
    <row r="574" spans="1:31" ht="105" hidden="1" x14ac:dyDescent="0.25">
      <c r="A574" s="608" t="s">
        <v>3930</v>
      </c>
      <c r="B574" s="601" t="s">
        <v>1793</v>
      </c>
      <c r="C574" s="601" t="s">
        <v>1794</v>
      </c>
      <c r="D574" s="602" t="s">
        <v>5369</v>
      </c>
      <c r="E574" s="602" t="s">
        <v>1582</v>
      </c>
      <c r="F574" s="601" t="s">
        <v>1528</v>
      </c>
      <c r="G574" s="602" t="s">
        <v>2156</v>
      </c>
      <c r="H574" s="603">
        <v>33</v>
      </c>
      <c r="I574" s="604">
        <v>45000000000</v>
      </c>
      <c r="J574" s="599" t="s">
        <v>1454</v>
      </c>
      <c r="K574" s="606" t="s">
        <v>2866</v>
      </c>
      <c r="L574" s="798">
        <v>5946730.3499999996</v>
      </c>
      <c r="M574" s="609" t="s">
        <v>2184</v>
      </c>
      <c r="N574" s="606" t="s">
        <v>2709</v>
      </c>
      <c r="O574" s="607">
        <v>42736.5</v>
      </c>
      <c r="P574" s="607">
        <v>43070.5</v>
      </c>
      <c r="Q574" s="599" t="s">
        <v>108</v>
      </c>
      <c r="R574" s="609" t="s">
        <v>1456</v>
      </c>
      <c r="S574" s="609" t="s">
        <v>1457</v>
      </c>
      <c r="T574" s="599"/>
      <c r="U574" s="599"/>
      <c r="V574" s="599"/>
      <c r="W574" s="599"/>
      <c r="X574" s="599"/>
      <c r="Y574" s="599"/>
      <c r="Z574" s="599"/>
      <c r="AA574" s="609" t="s">
        <v>1458</v>
      </c>
      <c r="AB574" s="642" t="s">
        <v>263</v>
      </c>
      <c r="AC574" s="652"/>
      <c r="AD574" s="652" t="s">
        <v>113</v>
      </c>
      <c r="AE574" s="653">
        <f t="shared" si="9"/>
        <v>1</v>
      </c>
    </row>
    <row r="575" spans="1:31" ht="105" hidden="1" x14ac:dyDescent="0.25">
      <c r="A575" s="608" t="s">
        <v>3931</v>
      </c>
      <c r="B575" s="601" t="s">
        <v>1793</v>
      </c>
      <c r="C575" s="601" t="s">
        <v>1794</v>
      </c>
      <c r="D575" s="602" t="s">
        <v>5368</v>
      </c>
      <c r="E575" s="602" t="s">
        <v>1582</v>
      </c>
      <c r="F575" s="601" t="s">
        <v>1528</v>
      </c>
      <c r="G575" s="602" t="s">
        <v>2156</v>
      </c>
      <c r="H575" s="603">
        <v>2</v>
      </c>
      <c r="I575" s="604">
        <v>45000000000</v>
      </c>
      <c r="J575" s="599" t="s">
        <v>1454</v>
      </c>
      <c r="K575" s="606" t="s">
        <v>2867</v>
      </c>
      <c r="L575" s="798">
        <v>885271.6</v>
      </c>
      <c r="M575" s="609" t="s">
        <v>2184</v>
      </c>
      <c r="N575" s="606" t="s">
        <v>2710</v>
      </c>
      <c r="O575" s="607">
        <v>42736.5</v>
      </c>
      <c r="P575" s="607">
        <v>43070.5</v>
      </c>
      <c r="Q575" s="599" t="s">
        <v>100</v>
      </c>
      <c r="R575" s="609" t="s">
        <v>1456</v>
      </c>
      <c r="S575" s="609" t="s">
        <v>1457</v>
      </c>
      <c r="T575" s="599"/>
      <c r="U575" s="599"/>
      <c r="V575" s="599"/>
      <c r="W575" s="599"/>
      <c r="X575" s="599"/>
      <c r="Y575" s="599"/>
      <c r="Z575" s="599"/>
      <c r="AA575" s="609" t="s">
        <v>1458</v>
      </c>
      <c r="AB575" s="642" t="s">
        <v>263</v>
      </c>
      <c r="AC575" s="652"/>
      <c r="AD575" s="652" t="s">
        <v>113</v>
      </c>
      <c r="AE575" s="653">
        <f t="shared" si="9"/>
        <v>1</v>
      </c>
    </row>
    <row r="576" spans="1:31" ht="105" hidden="1" x14ac:dyDescent="0.25">
      <c r="A576" s="608" t="s">
        <v>3932</v>
      </c>
      <c r="B576" s="601" t="s">
        <v>1851</v>
      </c>
      <c r="C576" s="601" t="s">
        <v>2142</v>
      </c>
      <c r="D576" s="602" t="s">
        <v>5367</v>
      </c>
      <c r="E576" s="602" t="s">
        <v>1582</v>
      </c>
      <c r="F576" s="601" t="s">
        <v>1528</v>
      </c>
      <c r="G576" s="602" t="s">
        <v>2156</v>
      </c>
      <c r="H576" s="603">
        <v>1</v>
      </c>
      <c r="I576" s="604">
        <v>45000000000</v>
      </c>
      <c r="J576" s="599" t="s">
        <v>1454</v>
      </c>
      <c r="K576" s="606" t="s">
        <v>2868</v>
      </c>
      <c r="L576" s="798">
        <v>3718000</v>
      </c>
      <c r="M576" s="609" t="s">
        <v>2184</v>
      </c>
      <c r="N576" s="606" t="s">
        <v>2711</v>
      </c>
      <c r="O576" s="607">
        <v>42736.5</v>
      </c>
      <c r="P576" s="607">
        <v>43070.5</v>
      </c>
      <c r="Q576" s="599" t="s">
        <v>108</v>
      </c>
      <c r="R576" s="609" t="s">
        <v>1456</v>
      </c>
      <c r="S576" s="609" t="s">
        <v>1457</v>
      </c>
      <c r="T576" s="599"/>
      <c r="U576" s="599"/>
      <c r="V576" s="599"/>
      <c r="W576" s="599"/>
      <c r="X576" s="599"/>
      <c r="Y576" s="599"/>
      <c r="Z576" s="599"/>
      <c r="AA576" s="609" t="s">
        <v>1458</v>
      </c>
      <c r="AB576" s="642" t="s">
        <v>263</v>
      </c>
      <c r="AC576" s="652"/>
      <c r="AD576" s="652" t="s">
        <v>113</v>
      </c>
      <c r="AE576" s="653">
        <f t="shared" si="9"/>
        <v>1</v>
      </c>
    </row>
    <row r="577" spans="1:31" ht="105" hidden="1" x14ac:dyDescent="0.25">
      <c r="A577" s="608" t="s">
        <v>3933</v>
      </c>
      <c r="B577" s="601" t="s">
        <v>1851</v>
      </c>
      <c r="C577" s="601" t="s">
        <v>2142</v>
      </c>
      <c r="D577" s="602" t="s">
        <v>5366</v>
      </c>
      <c r="E577" s="602" t="s">
        <v>1582</v>
      </c>
      <c r="F577" s="601" t="s">
        <v>1528</v>
      </c>
      <c r="G577" s="602" t="s">
        <v>2156</v>
      </c>
      <c r="H577" s="603">
        <v>2</v>
      </c>
      <c r="I577" s="604">
        <v>45000000000</v>
      </c>
      <c r="J577" s="599" t="s">
        <v>1454</v>
      </c>
      <c r="K577" s="606" t="s">
        <v>2869</v>
      </c>
      <c r="L577" s="798">
        <v>2658115.33</v>
      </c>
      <c r="M577" s="609" t="s">
        <v>2184</v>
      </c>
      <c r="N577" s="606" t="s">
        <v>2712</v>
      </c>
      <c r="O577" s="607">
        <v>42736.5</v>
      </c>
      <c r="P577" s="607">
        <v>43070.5</v>
      </c>
      <c r="Q577" s="599" t="s">
        <v>108</v>
      </c>
      <c r="R577" s="609" t="s">
        <v>1456</v>
      </c>
      <c r="S577" s="609" t="s">
        <v>1457</v>
      </c>
      <c r="T577" s="599"/>
      <c r="U577" s="599"/>
      <c r="V577" s="599"/>
      <c r="W577" s="599"/>
      <c r="X577" s="599"/>
      <c r="Y577" s="599"/>
      <c r="Z577" s="599"/>
      <c r="AA577" s="609" t="s">
        <v>1458</v>
      </c>
      <c r="AB577" s="642" t="s">
        <v>263</v>
      </c>
      <c r="AC577" s="652"/>
      <c r="AD577" s="652" t="s">
        <v>113</v>
      </c>
      <c r="AE577" s="653">
        <f t="shared" si="9"/>
        <v>1</v>
      </c>
    </row>
    <row r="578" spans="1:31" ht="105" hidden="1" x14ac:dyDescent="0.25">
      <c r="A578" s="608" t="s">
        <v>3934</v>
      </c>
      <c r="B578" s="601" t="s">
        <v>1793</v>
      </c>
      <c r="C578" s="601" t="s">
        <v>1794</v>
      </c>
      <c r="D578" s="602" t="s">
        <v>5365</v>
      </c>
      <c r="E578" s="602" t="s">
        <v>1582</v>
      </c>
      <c r="F578" s="601" t="s">
        <v>1528</v>
      </c>
      <c r="G578" s="602" t="s">
        <v>2156</v>
      </c>
      <c r="H578" s="603">
        <v>2</v>
      </c>
      <c r="I578" s="604">
        <v>45000000000</v>
      </c>
      <c r="J578" s="599" t="s">
        <v>1454</v>
      </c>
      <c r="K578" s="606" t="s">
        <v>2870</v>
      </c>
      <c r="L578" s="798">
        <v>883017.42</v>
      </c>
      <c r="M578" s="609" t="s">
        <v>2184</v>
      </c>
      <c r="N578" s="606" t="s">
        <v>2713</v>
      </c>
      <c r="O578" s="607">
        <v>42736.5</v>
      </c>
      <c r="P578" s="607">
        <v>43070.5</v>
      </c>
      <c r="Q578" s="599" t="s">
        <v>108</v>
      </c>
      <c r="R578" s="609" t="s">
        <v>1456</v>
      </c>
      <c r="S578" s="609" t="s">
        <v>1457</v>
      </c>
      <c r="T578" s="599"/>
      <c r="U578" s="599"/>
      <c r="V578" s="599"/>
      <c r="W578" s="599"/>
      <c r="X578" s="599"/>
      <c r="Y578" s="599"/>
      <c r="Z578" s="599"/>
      <c r="AA578" s="609" t="s">
        <v>1458</v>
      </c>
      <c r="AB578" s="642" t="s">
        <v>263</v>
      </c>
      <c r="AC578" s="652"/>
      <c r="AD578" s="652" t="s">
        <v>113</v>
      </c>
      <c r="AE578" s="653">
        <f t="shared" si="9"/>
        <v>1</v>
      </c>
    </row>
    <row r="579" spans="1:31" ht="105" hidden="1" x14ac:dyDescent="0.25">
      <c r="A579" s="608" t="s">
        <v>3935</v>
      </c>
      <c r="B579" s="601" t="s">
        <v>1793</v>
      </c>
      <c r="C579" s="601" t="s">
        <v>1794</v>
      </c>
      <c r="D579" s="602" t="s">
        <v>5364</v>
      </c>
      <c r="E579" s="602" t="s">
        <v>1582</v>
      </c>
      <c r="F579" s="601" t="s">
        <v>1528</v>
      </c>
      <c r="G579" s="602" t="s">
        <v>2156</v>
      </c>
      <c r="H579" s="603">
        <v>17</v>
      </c>
      <c r="I579" s="604">
        <v>45000000000</v>
      </c>
      <c r="J579" s="599" t="s">
        <v>1454</v>
      </c>
      <c r="K579" s="606" t="s">
        <v>2871</v>
      </c>
      <c r="L579" s="798">
        <v>5233027.8899999997</v>
      </c>
      <c r="M579" s="609" t="s">
        <v>2184</v>
      </c>
      <c r="N579" s="606" t="s">
        <v>2714</v>
      </c>
      <c r="O579" s="607">
        <v>42736.5</v>
      </c>
      <c r="P579" s="607">
        <v>43070.5</v>
      </c>
      <c r="Q579" s="599" t="s">
        <v>100</v>
      </c>
      <c r="R579" s="609" t="s">
        <v>1456</v>
      </c>
      <c r="S579" s="609" t="s">
        <v>1457</v>
      </c>
      <c r="T579" s="599"/>
      <c r="U579" s="599"/>
      <c r="V579" s="599"/>
      <c r="W579" s="599"/>
      <c r="X579" s="599"/>
      <c r="Y579" s="599"/>
      <c r="Z579" s="599"/>
      <c r="AA579" s="609" t="s">
        <v>1458</v>
      </c>
      <c r="AB579" s="642" t="s">
        <v>263</v>
      </c>
      <c r="AC579" s="652"/>
      <c r="AD579" s="652" t="s">
        <v>113</v>
      </c>
      <c r="AE579" s="653">
        <f t="shared" si="9"/>
        <v>1</v>
      </c>
    </row>
    <row r="580" spans="1:31" ht="105" hidden="1" x14ac:dyDescent="0.25">
      <c r="A580" s="608" t="s">
        <v>3936</v>
      </c>
      <c r="B580" s="601" t="s">
        <v>1793</v>
      </c>
      <c r="C580" s="601" t="s">
        <v>2144</v>
      </c>
      <c r="D580" s="602" t="s">
        <v>5363</v>
      </c>
      <c r="E580" s="602" t="s">
        <v>1582</v>
      </c>
      <c r="F580" s="601" t="s">
        <v>1528</v>
      </c>
      <c r="G580" s="602" t="s">
        <v>2156</v>
      </c>
      <c r="H580" s="603">
        <v>1</v>
      </c>
      <c r="I580" s="604">
        <v>45000000000</v>
      </c>
      <c r="J580" s="599" t="s">
        <v>1454</v>
      </c>
      <c r="K580" s="606" t="s">
        <v>2872</v>
      </c>
      <c r="L580" s="798">
        <v>1622509.26</v>
      </c>
      <c r="M580" s="609" t="s">
        <v>2184</v>
      </c>
      <c r="N580" s="606" t="s">
        <v>2715</v>
      </c>
      <c r="O580" s="607">
        <v>42736.5</v>
      </c>
      <c r="P580" s="607">
        <v>43070.5</v>
      </c>
      <c r="Q580" s="599" t="s">
        <v>108</v>
      </c>
      <c r="R580" s="609" t="s">
        <v>1456</v>
      </c>
      <c r="S580" s="609" t="s">
        <v>1457</v>
      </c>
      <c r="T580" s="599"/>
      <c r="U580" s="599"/>
      <c r="V580" s="599"/>
      <c r="W580" s="599"/>
      <c r="X580" s="599"/>
      <c r="Y580" s="599"/>
      <c r="Z580" s="599"/>
      <c r="AA580" s="609" t="s">
        <v>1458</v>
      </c>
      <c r="AB580" s="642" t="s">
        <v>263</v>
      </c>
      <c r="AC580" s="652"/>
      <c r="AD580" s="652" t="s">
        <v>113</v>
      </c>
      <c r="AE580" s="653">
        <f t="shared" si="9"/>
        <v>1</v>
      </c>
    </row>
    <row r="581" spans="1:31" ht="105" hidden="1" x14ac:dyDescent="0.25">
      <c r="A581" s="608" t="s">
        <v>3937</v>
      </c>
      <c r="B581" s="601" t="s">
        <v>1793</v>
      </c>
      <c r="C581" s="601" t="s">
        <v>2144</v>
      </c>
      <c r="D581" s="602" t="s">
        <v>5362</v>
      </c>
      <c r="E581" s="602" t="s">
        <v>1582</v>
      </c>
      <c r="F581" s="601" t="s">
        <v>1528</v>
      </c>
      <c r="G581" s="602" t="s">
        <v>2156</v>
      </c>
      <c r="H581" s="603">
        <v>1</v>
      </c>
      <c r="I581" s="604">
        <v>45000000000</v>
      </c>
      <c r="J581" s="599" t="s">
        <v>1454</v>
      </c>
      <c r="K581" s="606" t="s">
        <v>2873</v>
      </c>
      <c r="L581" s="798">
        <v>1619889.96</v>
      </c>
      <c r="M581" s="609" t="s">
        <v>2184</v>
      </c>
      <c r="N581" s="606" t="s">
        <v>2716</v>
      </c>
      <c r="O581" s="607">
        <v>42736.5</v>
      </c>
      <c r="P581" s="607">
        <v>43070.5</v>
      </c>
      <c r="Q581" s="599" t="s">
        <v>108</v>
      </c>
      <c r="R581" s="609" t="s">
        <v>1456</v>
      </c>
      <c r="S581" s="609" t="s">
        <v>1457</v>
      </c>
      <c r="T581" s="599"/>
      <c r="U581" s="599"/>
      <c r="V581" s="599"/>
      <c r="W581" s="599"/>
      <c r="X581" s="599"/>
      <c r="Y581" s="599"/>
      <c r="Z581" s="599"/>
      <c r="AA581" s="609" t="s">
        <v>1458</v>
      </c>
      <c r="AB581" s="642" t="s">
        <v>263</v>
      </c>
      <c r="AC581" s="652"/>
      <c r="AD581" s="652" t="s">
        <v>113</v>
      </c>
      <c r="AE581" s="653">
        <f t="shared" si="9"/>
        <v>1</v>
      </c>
    </row>
    <row r="582" spans="1:31" ht="105" hidden="1" x14ac:dyDescent="0.25">
      <c r="A582" s="608" t="s">
        <v>3938</v>
      </c>
      <c r="B582" s="601" t="s">
        <v>1822</v>
      </c>
      <c r="C582" s="601" t="s">
        <v>2143</v>
      </c>
      <c r="D582" s="602" t="s">
        <v>5361</v>
      </c>
      <c r="E582" s="602" t="s">
        <v>1582</v>
      </c>
      <c r="F582" s="601" t="s">
        <v>1528</v>
      </c>
      <c r="G582" s="602" t="s">
        <v>2156</v>
      </c>
      <c r="H582" s="603">
        <v>1</v>
      </c>
      <c r="I582" s="604">
        <v>45000000000</v>
      </c>
      <c r="J582" s="599" t="s">
        <v>1454</v>
      </c>
      <c r="K582" s="606" t="s">
        <v>2874</v>
      </c>
      <c r="L582" s="798">
        <v>159135.98000000001</v>
      </c>
      <c r="M582" s="609" t="s">
        <v>2184</v>
      </c>
      <c r="N582" s="606" t="s">
        <v>2717</v>
      </c>
      <c r="O582" s="607">
        <v>42736.5</v>
      </c>
      <c r="P582" s="607">
        <v>43070.5</v>
      </c>
      <c r="Q582" s="599" t="s">
        <v>108</v>
      </c>
      <c r="R582" s="609" t="s">
        <v>1456</v>
      </c>
      <c r="S582" s="609" t="s">
        <v>1457</v>
      </c>
      <c r="T582" s="599"/>
      <c r="U582" s="599"/>
      <c r="V582" s="599"/>
      <c r="W582" s="599"/>
      <c r="X582" s="599"/>
      <c r="Y582" s="599"/>
      <c r="Z582" s="599"/>
      <c r="AA582" s="609" t="s">
        <v>1458</v>
      </c>
      <c r="AB582" s="642" t="s">
        <v>263</v>
      </c>
      <c r="AC582" s="652"/>
      <c r="AD582" s="652" t="s">
        <v>113</v>
      </c>
      <c r="AE582" s="653">
        <f t="shared" si="9"/>
        <v>1</v>
      </c>
    </row>
    <row r="583" spans="1:31" ht="105" hidden="1" x14ac:dyDescent="0.25">
      <c r="A583" s="608" t="s">
        <v>3939</v>
      </c>
      <c r="B583" s="601" t="s">
        <v>1831</v>
      </c>
      <c r="C583" s="601" t="s">
        <v>2145</v>
      </c>
      <c r="D583" s="602" t="s">
        <v>5360</v>
      </c>
      <c r="E583" s="602" t="s">
        <v>1582</v>
      </c>
      <c r="F583" s="601" t="s">
        <v>1528</v>
      </c>
      <c r="G583" s="602" t="s">
        <v>2156</v>
      </c>
      <c r="H583" s="603">
        <v>1</v>
      </c>
      <c r="I583" s="604">
        <v>45000000000</v>
      </c>
      <c r="J583" s="599" t="s">
        <v>1454</v>
      </c>
      <c r="K583" s="606" t="s">
        <v>2875</v>
      </c>
      <c r="L583" s="798">
        <v>1498425.2</v>
      </c>
      <c r="M583" s="609" t="s">
        <v>2184</v>
      </c>
      <c r="N583" s="606" t="s">
        <v>2718</v>
      </c>
      <c r="O583" s="607">
        <v>42736.5</v>
      </c>
      <c r="P583" s="607">
        <v>43070.5</v>
      </c>
      <c r="Q583" s="599" t="s">
        <v>108</v>
      </c>
      <c r="R583" s="609" t="s">
        <v>1456</v>
      </c>
      <c r="S583" s="609" t="s">
        <v>1457</v>
      </c>
      <c r="T583" s="599"/>
      <c r="U583" s="599"/>
      <c r="V583" s="599"/>
      <c r="W583" s="599"/>
      <c r="X583" s="599"/>
      <c r="Y583" s="599"/>
      <c r="Z583" s="599"/>
      <c r="AA583" s="609" t="s">
        <v>1458</v>
      </c>
      <c r="AB583" s="642" t="s">
        <v>263</v>
      </c>
      <c r="AC583" s="652"/>
      <c r="AD583" s="652" t="s">
        <v>113</v>
      </c>
      <c r="AE583" s="653">
        <f t="shared" si="9"/>
        <v>1</v>
      </c>
    </row>
    <row r="584" spans="1:31" ht="105" hidden="1" x14ac:dyDescent="0.25">
      <c r="A584" s="608" t="s">
        <v>3940</v>
      </c>
      <c r="B584" s="601" t="s">
        <v>1851</v>
      </c>
      <c r="C584" s="601" t="s">
        <v>2142</v>
      </c>
      <c r="D584" s="602" t="s">
        <v>5359</v>
      </c>
      <c r="E584" s="602" t="s">
        <v>1582</v>
      </c>
      <c r="F584" s="601" t="s">
        <v>1528</v>
      </c>
      <c r="G584" s="602" t="s">
        <v>2156</v>
      </c>
      <c r="H584" s="603">
        <v>1</v>
      </c>
      <c r="I584" s="604">
        <v>45000000000</v>
      </c>
      <c r="J584" s="599" t="s">
        <v>1454</v>
      </c>
      <c r="K584" s="606" t="s">
        <v>2876</v>
      </c>
      <c r="L584" s="798">
        <v>824600.04</v>
      </c>
      <c r="M584" s="609" t="s">
        <v>2184</v>
      </c>
      <c r="N584" s="606" t="s">
        <v>2719</v>
      </c>
      <c r="O584" s="607">
        <v>42736.5</v>
      </c>
      <c r="P584" s="607">
        <v>43070.5</v>
      </c>
      <c r="Q584" s="599" t="s">
        <v>100</v>
      </c>
      <c r="R584" s="609" t="s">
        <v>1456</v>
      </c>
      <c r="S584" s="609" t="s">
        <v>1457</v>
      </c>
      <c r="T584" s="599"/>
      <c r="U584" s="599"/>
      <c r="V584" s="599"/>
      <c r="W584" s="599"/>
      <c r="X584" s="599"/>
      <c r="Y584" s="599"/>
      <c r="Z584" s="599"/>
      <c r="AA584" s="609" t="s">
        <v>1458</v>
      </c>
      <c r="AB584" s="642" t="s">
        <v>263</v>
      </c>
      <c r="AC584" s="652"/>
      <c r="AD584" s="652" t="s">
        <v>113</v>
      </c>
      <c r="AE584" s="653">
        <f t="shared" si="9"/>
        <v>1</v>
      </c>
    </row>
    <row r="585" spans="1:31" ht="105" hidden="1" x14ac:dyDescent="0.25">
      <c r="A585" s="608" t="s">
        <v>3941</v>
      </c>
      <c r="B585" s="601" t="s">
        <v>1793</v>
      </c>
      <c r="C585" s="601" t="s">
        <v>2146</v>
      </c>
      <c r="D585" s="602" t="s">
        <v>5358</v>
      </c>
      <c r="E585" s="602" t="s">
        <v>1582</v>
      </c>
      <c r="F585" s="601" t="s">
        <v>1528</v>
      </c>
      <c r="G585" s="602" t="s">
        <v>2156</v>
      </c>
      <c r="H585" s="603">
        <v>1</v>
      </c>
      <c r="I585" s="604">
        <v>45000000000</v>
      </c>
      <c r="J585" s="599" t="s">
        <v>1454</v>
      </c>
      <c r="K585" s="606" t="s">
        <v>2877</v>
      </c>
      <c r="L585" s="798">
        <v>4828488.5999999996</v>
      </c>
      <c r="M585" s="609" t="s">
        <v>2184</v>
      </c>
      <c r="N585" s="606" t="s">
        <v>2720</v>
      </c>
      <c r="O585" s="607">
        <v>42736.5</v>
      </c>
      <c r="P585" s="607">
        <v>43070.5</v>
      </c>
      <c r="Q585" s="599" t="s">
        <v>108</v>
      </c>
      <c r="R585" s="609" t="s">
        <v>1456</v>
      </c>
      <c r="S585" s="609" t="s">
        <v>1457</v>
      </c>
      <c r="T585" s="599"/>
      <c r="U585" s="599"/>
      <c r="V585" s="599"/>
      <c r="W585" s="599"/>
      <c r="X585" s="599"/>
      <c r="Y585" s="599"/>
      <c r="Z585" s="599"/>
      <c r="AA585" s="609" t="s">
        <v>1458</v>
      </c>
      <c r="AB585" s="642" t="s">
        <v>263</v>
      </c>
      <c r="AC585" s="652"/>
      <c r="AD585" s="652" t="s">
        <v>113</v>
      </c>
      <c r="AE585" s="653">
        <f t="shared" si="9"/>
        <v>1</v>
      </c>
    </row>
    <row r="586" spans="1:31" ht="105" hidden="1" x14ac:dyDescent="0.25">
      <c r="A586" s="608" t="s">
        <v>3942</v>
      </c>
      <c r="B586" s="601" t="s">
        <v>1655</v>
      </c>
      <c r="C586" s="601" t="s">
        <v>1656</v>
      </c>
      <c r="D586" s="602" t="s">
        <v>5357</v>
      </c>
      <c r="E586" s="602" t="s">
        <v>1657</v>
      </c>
      <c r="F586" s="601" t="s">
        <v>1587</v>
      </c>
      <c r="G586" s="602" t="s">
        <v>2256</v>
      </c>
      <c r="H586" s="603">
        <v>1</v>
      </c>
      <c r="I586" s="604">
        <v>45000000000</v>
      </c>
      <c r="J586" s="599" t="s">
        <v>1454</v>
      </c>
      <c r="K586" s="606" t="s">
        <v>2878</v>
      </c>
      <c r="L586" s="798">
        <v>14500000</v>
      </c>
      <c r="M586" s="609" t="s">
        <v>2184</v>
      </c>
      <c r="N586" s="606" t="s">
        <v>2721</v>
      </c>
      <c r="O586" s="607">
        <v>42767.5</v>
      </c>
      <c r="P586" s="607">
        <v>43070.5</v>
      </c>
      <c r="Q586" s="599" t="s">
        <v>108</v>
      </c>
      <c r="R586" s="609" t="s">
        <v>1456</v>
      </c>
      <c r="S586" s="609" t="s">
        <v>1457</v>
      </c>
      <c r="T586" s="599"/>
      <c r="U586" s="599"/>
      <c r="V586" s="599"/>
      <c r="W586" s="599"/>
      <c r="X586" s="599"/>
      <c r="Y586" s="599"/>
      <c r="Z586" s="599"/>
      <c r="AA586" s="609" t="s">
        <v>1458</v>
      </c>
      <c r="AB586" s="642" t="s">
        <v>263</v>
      </c>
      <c r="AC586" s="652"/>
      <c r="AD586" s="652" t="s">
        <v>113</v>
      </c>
      <c r="AE586" s="653">
        <f t="shared" si="9"/>
        <v>2</v>
      </c>
    </row>
    <row r="587" spans="1:31" ht="105" hidden="1" x14ac:dyDescent="0.25">
      <c r="A587" s="608" t="s">
        <v>3943</v>
      </c>
      <c r="B587" s="601" t="s">
        <v>1655</v>
      </c>
      <c r="C587" s="601" t="s">
        <v>1656</v>
      </c>
      <c r="D587" s="602" t="s">
        <v>5356</v>
      </c>
      <c r="E587" s="602" t="s">
        <v>1657</v>
      </c>
      <c r="F587" s="601" t="s">
        <v>1587</v>
      </c>
      <c r="G587" s="602" t="s">
        <v>2256</v>
      </c>
      <c r="H587" s="603">
        <v>1</v>
      </c>
      <c r="I587" s="604">
        <v>45000000000</v>
      </c>
      <c r="J587" s="599" t="s">
        <v>1454</v>
      </c>
      <c r="K587" s="606" t="s">
        <v>2879</v>
      </c>
      <c r="L587" s="798">
        <v>13500000</v>
      </c>
      <c r="M587" s="609" t="s">
        <v>2184</v>
      </c>
      <c r="N587" s="606" t="s">
        <v>2722</v>
      </c>
      <c r="O587" s="607">
        <v>42856.5</v>
      </c>
      <c r="P587" s="607">
        <v>43070.5</v>
      </c>
      <c r="Q587" s="599" t="s">
        <v>108</v>
      </c>
      <c r="R587" s="609" t="s">
        <v>1456</v>
      </c>
      <c r="S587" s="609" t="s">
        <v>1457</v>
      </c>
      <c r="T587" s="599"/>
      <c r="U587" s="599"/>
      <c r="V587" s="599"/>
      <c r="W587" s="599"/>
      <c r="X587" s="599"/>
      <c r="Y587" s="599"/>
      <c r="Z587" s="599"/>
      <c r="AA587" s="609" t="s">
        <v>1458</v>
      </c>
      <c r="AB587" s="642" t="s">
        <v>263</v>
      </c>
      <c r="AC587" s="652"/>
      <c r="AD587" s="652" t="s">
        <v>113</v>
      </c>
      <c r="AE587" s="653">
        <f t="shared" si="9"/>
        <v>5</v>
      </c>
    </row>
    <row r="588" spans="1:31" ht="105" hidden="1" x14ac:dyDescent="0.25">
      <c r="A588" s="608" t="s">
        <v>3944</v>
      </c>
      <c r="B588" s="601" t="s">
        <v>1655</v>
      </c>
      <c r="C588" s="601" t="s">
        <v>1656</v>
      </c>
      <c r="D588" s="602" t="s">
        <v>5355</v>
      </c>
      <c r="E588" s="602" t="s">
        <v>1657</v>
      </c>
      <c r="F588" s="601" t="s">
        <v>1587</v>
      </c>
      <c r="G588" s="602" t="s">
        <v>2256</v>
      </c>
      <c r="H588" s="603">
        <v>1</v>
      </c>
      <c r="I588" s="604">
        <v>45000000000</v>
      </c>
      <c r="J588" s="599" t="s">
        <v>1454</v>
      </c>
      <c r="K588" s="606" t="s">
        <v>2880</v>
      </c>
      <c r="L588" s="798">
        <v>21850000</v>
      </c>
      <c r="M588" s="609" t="s">
        <v>2184</v>
      </c>
      <c r="N588" s="606" t="s">
        <v>2723</v>
      </c>
      <c r="O588" s="607">
        <v>42917.5</v>
      </c>
      <c r="P588" s="607">
        <v>43070.5</v>
      </c>
      <c r="Q588" s="599" t="s">
        <v>108</v>
      </c>
      <c r="R588" s="609" t="s">
        <v>1456</v>
      </c>
      <c r="S588" s="609" t="s">
        <v>1457</v>
      </c>
      <c r="T588" s="599"/>
      <c r="U588" s="599"/>
      <c r="V588" s="599"/>
      <c r="W588" s="599"/>
      <c r="X588" s="599"/>
      <c r="Y588" s="599"/>
      <c r="Z588" s="599"/>
      <c r="AA588" s="609" t="s">
        <v>1458</v>
      </c>
      <c r="AB588" s="642" t="s">
        <v>263</v>
      </c>
      <c r="AC588" s="652"/>
      <c r="AD588" s="652" t="s">
        <v>113</v>
      </c>
      <c r="AE588" s="653">
        <f t="shared" si="9"/>
        <v>7</v>
      </c>
    </row>
    <row r="589" spans="1:31" ht="105" hidden="1" x14ac:dyDescent="0.25">
      <c r="A589" s="608" t="s">
        <v>3945</v>
      </c>
      <c r="B589" s="601" t="s">
        <v>1655</v>
      </c>
      <c r="C589" s="601" t="s">
        <v>1656</v>
      </c>
      <c r="D589" s="602" t="s">
        <v>5354</v>
      </c>
      <c r="E589" s="602" t="s">
        <v>1657</v>
      </c>
      <c r="F589" s="601" t="s">
        <v>1587</v>
      </c>
      <c r="G589" s="602" t="s">
        <v>2256</v>
      </c>
      <c r="H589" s="603">
        <v>1</v>
      </c>
      <c r="I589" s="604">
        <v>45000000000</v>
      </c>
      <c r="J589" s="599" t="s">
        <v>1454</v>
      </c>
      <c r="K589" s="606" t="s">
        <v>2881</v>
      </c>
      <c r="L589" s="798">
        <v>3960000</v>
      </c>
      <c r="M589" s="609" t="s">
        <v>2184</v>
      </c>
      <c r="N589" s="606" t="s">
        <v>2724</v>
      </c>
      <c r="O589" s="607">
        <v>42979.5</v>
      </c>
      <c r="P589" s="607">
        <v>43070.5</v>
      </c>
      <c r="Q589" s="599" t="s">
        <v>108</v>
      </c>
      <c r="R589" s="609" t="s">
        <v>1456</v>
      </c>
      <c r="S589" s="609" t="s">
        <v>1457</v>
      </c>
      <c r="T589" s="599"/>
      <c r="U589" s="599"/>
      <c r="V589" s="599"/>
      <c r="W589" s="599"/>
      <c r="X589" s="599"/>
      <c r="Y589" s="599"/>
      <c r="Z589" s="599"/>
      <c r="AA589" s="609" t="s">
        <v>1458</v>
      </c>
      <c r="AB589" s="642" t="s">
        <v>263</v>
      </c>
      <c r="AC589" s="652"/>
      <c r="AD589" s="652" t="s">
        <v>113</v>
      </c>
      <c r="AE589" s="653">
        <f t="shared" si="9"/>
        <v>9</v>
      </c>
    </row>
    <row r="590" spans="1:31" ht="105" hidden="1" x14ac:dyDescent="0.25">
      <c r="A590" s="608" t="s">
        <v>3946</v>
      </c>
      <c r="B590" s="601" t="s">
        <v>1663</v>
      </c>
      <c r="C590" s="601" t="s">
        <v>1664</v>
      </c>
      <c r="D590" s="602" t="s">
        <v>5353</v>
      </c>
      <c r="E590" s="602" t="s">
        <v>1657</v>
      </c>
      <c r="F590" s="601" t="s">
        <v>1587</v>
      </c>
      <c r="G590" s="602" t="s">
        <v>2256</v>
      </c>
      <c r="H590" s="603">
        <v>1</v>
      </c>
      <c r="I590" s="604">
        <v>45000000000</v>
      </c>
      <c r="J590" s="599" t="s">
        <v>1454</v>
      </c>
      <c r="K590" s="606" t="s">
        <v>2882</v>
      </c>
      <c r="L590" s="798">
        <v>5000000</v>
      </c>
      <c r="M590" s="609" t="s">
        <v>2184</v>
      </c>
      <c r="N590" s="606" t="s">
        <v>2725</v>
      </c>
      <c r="O590" s="607">
        <v>42856.5</v>
      </c>
      <c r="P590" s="607">
        <v>43070.5</v>
      </c>
      <c r="Q590" s="599" t="s">
        <v>108</v>
      </c>
      <c r="R590" s="609" t="s">
        <v>1456</v>
      </c>
      <c r="S590" s="609" t="s">
        <v>1457</v>
      </c>
      <c r="T590" s="599"/>
      <c r="U590" s="599"/>
      <c r="V590" s="599"/>
      <c r="W590" s="599"/>
      <c r="X590" s="599"/>
      <c r="Y590" s="599"/>
      <c r="Z590" s="599"/>
      <c r="AA590" s="609" t="s">
        <v>1458</v>
      </c>
      <c r="AB590" s="642" t="s">
        <v>263</v>
      </c>
      <c r="AC590" s="652"/>
      <c r="AD590" s="652" t="s">
        <v>113</v>
      </c>
      <c r="AE590" s="653">
        <f t="shared" si="9"/>
        <v>5</v>
      </c>
    </row>
    <row r="591" spans="1:31" ht="105" hidden="1" x14ac:dyDescent="0.25">
      <c r="A591" s="608" t="s">
        <v>3947</v>
      </c>
      <c r="B591" s="601" t="s">
        <v>1666</v>
      </c>
      <c r="C591" s="601" t="s">
        <v>1667</v>
      </c>
      <c r="D591" s="602" t="s">
        <v>5352</v>
      </c>
      <c r="E591" s="602" t="s">
        <v>1657</v>
      </c>
      <c r="F591" s="601" t="s">
        <v>1587</v>
      </c>
      <c r="G591" s="602" t="s">
        <v>2256</v>
      </c>
      <c r="H591" s="603">
        <v>1</v>
      </c>
      <c r="I591" s="604">
        <v>45000000000</v>
      </c>
      <c r="J591" s="599" t="s">
        <v>1454</v>
      </c>
      <c r="K591" s="606" t="s">
        <v>2328</v>
      </c>
      <c r="L591" s="798">
        <v>2500000</v>
      </c>
      <c r="M591" s="609" t="s">
        <v>2184</v>
      </c>
      <c r="N591" s="606" t="s">
        <v>2287</v>
      </c>
      <c r="O591" s="607">
        <v>42795.5</v>
      </c>
      <c r="P591" s="607">
        <v>43070.5</v>
      </c>
      <c r="Q591" s="599" t="s">
        <v>100</v>
      </c>
      <c r="R591" s="609" t="s">
        <v>1456</v>
      </c>
      <c r="S591" s="609" t="s">
        <v>1457</v>
      </c>
      <c r="T591" s="599"/>
      <c r="U591" s="599"/>
      <c r="V591" s="599"/>
      <c r="W591" s="599"/>
      <c r="X591" s="599"/>
      <c r="Y591" s="599"/>
      <c r="Z591" s="599"/>
      <c r="AA591" s="609" t="s">
        <v>1458</v>
      </c>
      <c r="AB591" s="642" t="s">
        <v>263</v>
      </c>
      <c r="AC591" s="652"/>
      <c r="AD591" s="652" t="s">
        <v>113</v>
      </c>
      <c r="AE591" s="653">
        <f t="shared" si="9"/>
        <v>3</v>
      </c>
    </row>
    <row r="592" spans="1:31" ht="105" hidden="1" x14ac:dyDescent="0.25">
      <c r="A592" s="608" t="s">
        <v>3948</v>
      </c>
      <c r="B592" s="601" t="s">
        <v>1666</v>
      </c>
      <c r="C592" s="601" t="s">
        <v>1667</v>
      </c>
      <c r="D592" s="602" t="s">
        <v>5351</v>
      </c>
      <c r="E592" s="602" t="s">
        <v>1657</v>
      </c>
      <c r="F592" s="601" t="s">
        <v>1587</v>
      </c>
      <c r="G592" s="602" t="s">
        <v>2256</v>
      </c>
      <c r="H592" s="603">
        <v>1</v>
      </c>
      <c r="I592" s="604">
        <v>45000000000</v>
      </c>
      <c r="J592" s="599" t="s">
        <v>1454</v>
      </c>
      <c r="K592" s="606" t="s">
        <v>2328</v>
      </c>
      <c r="L592" s="798">
        <v>2500000</v>
      </c>
      <c r="M592" s="609" t="s">
        <v>2184</v>
      </c>
      <c r="N592" s="606" t="s">
        <v>2287</v>
      </c>
      <c r="O592" s="607">
        <v>42887.5</v>
      </c>
      <c r="P592" s="607">
        <v>43070.5</v>
      </c>
      <c r="Q592" s="599" t="s">
        <v>100</v>
      </c>
      <c r="R592" s="609" t="s">
        <v>1456</v>
      </c>
      <c r="S592" s="609" t="s">
        <v>1457</v>
      </c>
      <c r="T592" s="599"/>
      <c r="U592" s="599"/>
      <c r="V592" s="599"/>
      <c r="W592" s="599"/>
      <c r="X592" s="599"/>
      <c r="Y592" s="599"/>
      <c r="Z592" s="599"/>
      <c r="AA592" s="609" t="s">
        <v>1458</v>
      </c>
      <c r="AB592" s="642" t="s">
        <v>263</v>
      </c>
      <c r="AC592" s="652"/>
      <c r="AD592" s="652" t="s">
        <v>113</v>
      </c>
      <c r="AE592" s="653">
        <f t="shared" si="9"/>
        <v>6</v>
      </c>
    </row>
    <row r="593" spans="1:31" ht="105" hidden="1" x14ac:dyDescent="0.25">
      <c r="A593" s="608" t="s">
        <v>3949</v>
      </c>
      <c r="B593" s="601" t="s">
        <v>1672</v>
      </c>
      <c r="C593" s="601" t="s">
        <v>1673</v>
      </c>
      <c r="D593" s="602" t="s">
        <v>5350</v>
      </c>
      <c r="E593" s="602" t="s">
        <v>1674</v>
      </c>
      <c r="F593" s="601" t="s">
        <v>1587</v>
      </c>
      <c r="G593" s="602" t="s">
        <v>2256</v>
      </c>
      <c r="H593" s="603">
        <v>1</v>
      </c>
      <c r="I593" s="604">
        <v>45000000000</v>
      </c>
      <c r="J593" s="599" t="s">
        <v>1454</v>
      </c>
      <c r="K593" s="606" t="s">
        <v>2883</v>
      </c>
      <c r="L593" s="798">
        <v>15000000</v>
      </c>
      <c r="M593" s="609" t="s">
        <v>2184</v>
      </c>
      <c r="N593" s="606" t="s">
        <v>2266</v>
      </c>
      <c r="O593" s="607">
        <v>42767.5</v>
      </c>
      <c r="P593" s="607">
        <v>43070.5</v>
      </c>
      <c r="Q593" s="599" t="s">
        <v>100</v>
      </c>
      <c r="R593" s="609" t="s">
        <v>1456</v>
      </c>
      <c r="S593" s="609" t="s">
        <v>1457</v>
      </c>
      <c r="T593" s="599"/>
      <c r="U593" s="599"/>
      <c r="V593" s="599"/>
      <c r="W593" s="599"/>
      <c r="X593" s="599"/>
      <c r="Y593" s="599"/>
      <c r="Z593" s="599"/>
      <c r="AA593" s="609" t="s">
        <v>1458</v>
      </c>
      <c r="AB593" s="642" t="s">
        <v>263</v>
      </c>
      <c r="AC593" s="652"/>
      <c r="AD593" s="652" t="s">
        <v>113</v>
      </c>
      <c r="AE593" s="653">
        <f t="shared" si="9"/>
        <v>2</v>
      </c>
    </row>
    <row r="594" spans="1:31" ht="105" hidden="1" x14ac:dyDescent="0.25">
      <c r="A594" s="608" t="s">
        <v>3950</v>
      </c>
      <c r="B594" s="601" t="s">
        <v>1672</v>
      </c>
      <c r="C594" s="601" t="s">
        <v>1673</v>
      </c>
      <c r="D594" s="602" t="s">
        <v>5349</v>
      </c>
      <c r="E594" s="602" t="s">
        <v>1674</v>
      </c>
      <c r="F594" s="601" t="s">
        <v>1587</v>
      </c>
      <c r="G594" s="602" t="s">
        <v>2256</v>
      </c>
      <c r="H594" s="603">
        <v>1</v>
      </c>
      <c r="I594" s="604">
        <v>45000000000</v>
      </c>
      <c r="J594" s="599" t="s">
        <v>1454</v>
      </c>
      <c r="K594" s="606" t="s">
        <v>2884</v>
      </c>
      <c r="L594" s="798">
        <v>14300000</v>
      </c>
      <c r="M594" s="609" t="s">
        <v>2184</v>
      </c>
      <c r="N594" s="606" t="s">
        <v>2726</v>
      </c>
      <c r="O594" s="607">
        <v>42826.5</v>
      </c>
      <c r="P594" s="607">
        <v>43070.5</v>
      </c>
      <c r="Q594" s="599" t="s">
        <v>108</v>
      </c>
      <c r="R594" s="609" t="s">
        <v>1456</v>
      </c>
      <c r="S594" s="609" t="s">
        <v>1457</v>
      </c>
      <c r="T594" s="599"/>
      <c r="U594" s="599"/>
      <c r="V594" s="599"/>
      <c r="W594" s="599"/>
      <c r="X594" s="599"/>
      <c r="Y594" s="599"/>
      <c r="Z594" s="599"/>
      <c r="AA594" s="609" t="s">
        <v>1458</v>
      </c>
      <c r="AB594" s="642" t="s">
        <v>263</v>
      </c>
      <c r="AC594" s="652"/>
      <c r="AD594" s="652" t="s">
        <v>113</v>
      </c>
      <c r="AE594" s="653">
        <f t="shared" si="9"/>
        <v>4</v>
      </c>
    </row>
    <row r="595" spans="1:31" ht="105" hidden="1" x14ac:dyDescent="0.25">
      <c r="A595" s="608" t="s">
        <v>3951</v>
      </c>
      <c r="B595" s="601" t="s">
        <v>1672</v>
      </c>
      <c r="C595" s="601" t="s">
        <v>1673</v>
      </c>
      <c r="D595" s="602" t="s">
        <v>5348</v>
      </c>
      <c r="E595" s="602" t="s">
        <v>1674</v>
      </c>
      <c r="F595" s="601" t="s">
        <v>1587</v>
      </c>
      <c r="G595" s="602" t="s">
        <v>2256</v>
      </c>
      <c r="H595" s="603">
        <v>1</v>
      </c>
      <c r="I595" s="604">
        <v>45000000000</v>
      </c>
      <c r="J595" s="599" t="s">
        <v>1454</v>
      </c>
      <c r="K595" s="606" t="s">
        <v>1479</v>
      </c>
      <c r="L595" s="798">
        <v>1500000</v>
      </c>
      <c r="M595" s="609" t="s">
        <v>2184</v>
      </c>
      <c r="N595" s="606" t="s">
        <v>2275</v>
      </c>
      <c r="O595" s="607">
        <v>42917.5</v>
      </c>
      <c r="P595" s="607">
        <v>43070.5</v>
      </c>
      <c r="Q595" s="599" t="s">
        <v>100</v>
      </c>
      <c r="R595" s="609" t="s">
        <v>1456</v>
      </c>
      <c r="S595" s="609" t="s">
        <v>1457</v>
      </c>
      <c r="T595" s="599"/>
      <c r="U595" s="599"/>
      <c r="V595" s="599"/>
      <c r="W595" s="599"/>
      <c r="X595" s="599"/>
      <c r="Y595" s="599"/>
      <c r="Z595" s="599"/>
      <c r="AA595" s="609" t="s">
        <v>1458</v>
      </c>
      <c r="AB595" s="642" t="s">
        <v>263</v>
      </c>
      <c r="AC595" s="652"/>
      <c r="AD595" s="652" t="s">
        <v>113</v>
      </c>
      <c r="AE595" s="653">
        <f t="shared" si="9"/>
        <v>7</v>
      </c>
    </row>
    <row r="596" spans="1:31" ht="105" hidden="1" x14ac:dyDescent="0.25">
      <c r="A596" s="608" t="s">
        <v>3952</v>
      </c>
      <c r="B596" s="601" t="s">
        <v>1672</v>
      </c>
      <c r="C596" s="601" t="s">
        <v>1673</v>
      </c>
      <c r="D596" s="602" t="s">
        <v>5347</v>
      </c>
      <c r="E596" s="602" t="s">
        <v>1674</v>
      </c>
      <c r="F596" s="601" t="s">
        <v>1587</v>
      </c>
      <c r="G596" s="602" t="s">
        <v>2256</v>
      </c>
      <c r="H596" s="603">
        <v>1</v>
      </c>
      <c r="I596" s="604">
        <v>45000000000</v>
      </c>
      <c r="J596" s="599" t="s">
        <v>1454</v>
      </c>
      <c r="K596" s="606" t="s">
        <v>1479</v>
      </c>
      <c r="L596" s="798">
        <v>1500000</v>
      </c>
      <c r="M596" s="609" t="s">
        <v>2184</v>
      </c>
      <c r="N596" s="606" t="s">
        <v>2275</v>
      </c>
      <c r="O596" s="607">
        <v>43009.5</v>
      </c>
      <c r="P596" s="607">
        <v>43070.5</v>
      </c>
      <c r="Q596" s="599" t="s">
        <v>108</v>
      </c>
      <c r="R596" s="609" t="s">
        <v>1456</v>
      </c>
      <c r="S596" s="609" t="s">
        <v>1457</v>
      </c>
      <c r="T596" s="599"/>
      <c r="U596" s="599"/>
      <c r="V596" s="599"/>
      <c r="W596" s="599"/>
      <c r="X596" s="599"/>
      <c r="Y596" s="599"/>
      <c r="Z596" s="599"/>
      <c r="AA596" s="609" t="s">
        <v>1458</v>
      </c>
      <c r="AB596" s="642" t="s">
        <v>263</v>
      </c>
      <c r="AC596" s="652"/>
      <c r="AD596" s="652" t="s">
        <v>113</v>
      </c>
      <c r="AE596" s="653">
        <f t="shared" si="9"/>
        <v>10</v>
      </c>
    </row>
    <row r="597" spans="1:31" ht="105" hidden="1" x14ac:dyDescent="0.25">
      <c r="A597" s="608" t="s">
        <v>3953</v>
      </c>
      <c r="B597" s="601" t="s">
        <v>1537</v>
      </c>
      <c r="C597" s="601" t="s">
        <v>1538</v>
      </c>
      <c r="D597" s="602" t="s">
        <v>5346</v>
      </c>
      <c r="E597" s="602" t="s">
        <v>1674</v>
      </c>
      <c r="F597" s="601" t="s">
        <v>1587</v>
      </c>
      <c r="G597" s="602" t="s">
        <v>2256</v>
      </c>
      <c r="H597" s="603">
        <v>1</v>
      </c>
      <c r="I597" s="604">
        <v>45000000000</v>
      </c>
      <c r="J597" s="599" t="s">
        <v>1454</v>
      </c>
      <c r="K597" s="606" t="s">
        <v>1757</v>
      </c>
      <c r="L597" s="798">
        <v>650000</v>
      </c>
      <c r="M597" s="609" t="s">
        <v>2184</v>
      </c>
      <c r="N597" s="606" t="s">
        <v>2727</v>
      </c>
      <c r="O597" s="607">
        <v>42767.5</v>
      </c>
      <c r="P597" s="607">
        <v>43070.5</v>
      </c>
      <c r="Q597" s="599" t="s">
        <v>108</v>
      </c>
      <c r="R597" s="609" t="s">
        <v>1456</v>
      </c>
      <c r="S597" s="609" t="s">
        <v>1457</v>
      </c>
      <c r="T597" s="599"/>
      <c r="U597" s="599"/>
      <c r="V597" s="599"/>
      <c r="W597" s="599"/>
      <c r="X597" s="599"/>
      <c r="Y597" s="599"/>
      <c r="Z597" s="599"/>
      <c r="AA597" s="609" t="s">
        <v>1458</v>
      </c>
      <c r="AB597" s="642" t="s">
        <v>263</v>
      </c>
      <c r="AC597" s="652"/>
      <c r="AD597" s="652" t="s">
        <v>113</v>
      </c>
      <c r="AE597" s="653">
        <f t="shared" si="9"/>
        <v>2</v>
      </c>
    </row>
    <row r="598" spans="1:31" ht="105" hidden="1" x14ac:dyDescent="0.25">
      <c r="A598" s="608" t="s">
        <v>3954</v>
      </c>
      <c r="B598" s="601" t="s">
        <v>1537</v>
      </c>
      <c r="C598" s="601" t="s">
        <v>1538</v>
      </c>
      <c r="D598" s="602" t="s">
        <v>5345</v>
      </c>
      <c r="E598" s="602" t="s">
        <v>1674</v>
      </c>
      <c r="F598" s="601" t="s">
        <v>1528</v>
      </c>
      <c r="G598" s="602" t="s">
        <v>2156</v>
      </c>
      <c r="H598" s="603">
        <v>40</v>
      </c>
      <c r="I598" s="604">
        <v>45000000000</v>
      </c>
      <c r="J598" s="599" t="s">
        <v>1454</v>
      </c>
      <c r="K598" s="606" t="s">
        <v>2885</v>
      </c>
      <c r="L598" s="798">
        <v>6158989</v>
      </c>
      <c r="M598" s="609" t="s">
        <v>2184</v>
      </c>
      <c r="N598" s="606" t="s">
        <v>2728</v>
      </c>
      <c r="O598" s="607">
        <v>42887.5</v>
      </c>
      <c r="P598" s="607">
        <v>43070.5</v>
      </c>
      <c r="Q598" s="599" t="s">
        <v>100</v>
      </c>
      <c r="R598" s="609" t="s">
        <v>1456</v>
      </c>
      <c r="S598" s="609" t="s">
        <v>1457</v>
      </c>
      <c r="T598" s="599"/>
      <c r="U598" s="599"/>
      <c r="V598" s="599"/>
      <c r="W598" s="599"/>
      <c r="X598" s="599"/>
      <c r="Y598" s="599"/>
      <c r="Z598" s="599"/>
      <c r="AA598" s="609" t="s">
        <v>1458</v>
      </c>
      <c r="AB598" s="642" t="s">
        <v>263</v>
      </c>
      <c r="AC598" s="652"/>
      <c r="AD598" s="652" t="s">
        <v>113</v>
      </c>
      <c r="AE598" s="653">
        <f t="shared" si="9"/>
        <v>6</v>
      </c>
    </row>
    <row r="599" spans="1:31" ht="105" hidden="1" x14ac:dyDescent="0.25">
      <c r="A599" s="608" t="s">
        <v>3955</v>
      </c>
      <c r="B599" s="601" t="s">
        <v>1537</v>
      </c>
      <c r="C599" s="601" t="s">
        <v>1538</v>
      </c>
      <c r="D599" s="602" t="s">
        <v>4389</v>
      </c>
      <c r="E599" s="602" t="s">
        <v>1674</v>
      </c>
      <c r="F599" s="601" t="s">
        <v>1528</v>
      </c>
      <c r="G599" s="602" t="s">
        <v>2156</v>
      </c>
      <c r="H599" s="603">
        <v>40</v>
      </c>
      <c r="I599" s="604">
        <v>45000000000</v>
      </c>
      <c r="J599" s="599" t="s">
        <v>1454</v>
      </c>
      <c r="K599" s="606" t="s">
        <v>2886</v>
      </c>
      <c r="L599" s="798">
        <v>3600000</v>
      </c>
      <c r="M599" s="609" t="s">
        <v>2184</v>
      </c>
      <c r="N599" s="606" t="s">
        <v>2729</v>
      </c>
      <c r="O599" s="607">
        <v>42887.5</v>
      </c>
      <c r="P599" s="607">
        <v>43070.5</v>
      </c>
      <c r="Q599" s="599" t="s">
        <v>100</v>
      </c>
      <c r="R599" s="609" t="s">
        <v>1456</v>
      </c>
      <c r="S599" s="609" t="s">
        <v>1457</v>
      </c>
      <c r="T599" s="599"/>
      <c r="U599" s="599"/>
      <c r="V599" s="599"/>
      <c r="W599" s="599"/>
      <c r="X599" s="599"/>
      <c r="Y599" s="599"/>
      <c r="Z599" s="599"/>
      <c r="AA599" s="609" t="s">
        <v>1458</v>
      </c>
      <c r="AB599" s="642" t="s">
        <v>263</v>
      </c>
      <c r="AC599" s="652"/>
      <c r="AD599" s="652" t="s">
        <v>113</v>
      </c>
      <c r="AE599" s="653">
        <f t="shared" si="9"/>
        <v>6</v>
      </c>
    </row>
    <row r="600" spans="1:31" ht="105" hidden="1" x14ac:dyDescent="0.25">
      <c r="A600" s="608" t="s">
        <v>3956</v>
      </c>
      <c r="B600" s="601" t="s">
        <v>1687</v>
      </c>
      <c r="C600" s="601" t="s">
        <v>1687</v>
      </c>
      <c r="D600" s="602" t="s">
        <v>5344</v>
      </c>
      <c r="E600" s="602" t="s">
        <v>2147</v>
      </c>
      <c r="F600" s="601" t="s">
        <v>1645</v>
      </c>
      <c r="G600" s="602" t="s">
        <v>2259</v>
      </c>
      <c r="H600" s="603">
        <v>24000</v>
      </c>
      <c r="I600" s="604">
        <v>45000000000</v>
      </c>
      <c r="J600" s="599" t="s">
        <v>1454</v>
      </c>
      <c r="K600" s="606" t="s">
        <v>1830</v>
      </c>
      <c r="L600" s="798">
        <v>4000000</v>
      </c>
      <c r="M600" s="609" t="s">
        <v>2184</v>
      </c>
      <c r="N600" s="606" t="s">
        <v>2589</v>
      </c>
      <c r="O600" s="607">
        <v>42887.5</v>
      </c>
      <c r="P600" s="607">
        <v>43070.5</v>
      </c>
      <c r="Q600" s="599" t="s">
        <v>108</v>
      </c>
      <c r="R600" s="609" t="s">
        <v>1456</v>
      </c>
      <c r="S600" s="609" t="s">
        <v>1457</v>
      </c>
      <c r="T600" s="599"/>
      <c r="U600" s="599"/>
      <c r="V600" s="599"/>
      <c r="W600" s="599"/>
      <c r="X600" s="599"/>
      <c r="Y600" s="599"/>
      <c r="Z600" s="599"/>
      <c r="AA600" s="609" t="s">
        <v>1458</v>
      </c>
      <c r="AB600" s="642" t="s">
        <v>263</v>
      </c>
      <c r="AC600" s="652"/>
      <c r="AD600" s="652" t="s">
        <v>113</v>
      </c>
      <c r="AE600" s="653">
        <f t="shared" si="9"/>
        <v>6</v>
      </c>
    </row>
    <row r="601" spans="1:31" ht="105" hidden="1" x14ac:dyDescent="0.25">
      <c r="A601" s="608" t="s">
        <v>3957</v>
      </c>
      <c r="B601" s="601" t="s">
        <v>1690</v>
      </c>
      <c r="C601" s="601" t="s">
        <v>1690</v>
      </c>
      <c r="D601" s="602" t="s">
        <v>5343</v>
      </c>
      <c r="E601" s="602" t="s">
        <v>2147</v>
      </c>
      <c r="F601" s="601" t="s">
        <v>1645</v>
      </c>
      <c r="G601" s="602" t="s">
        <v>2259</v>
      </c>
      <c r="H601" s="603">
        <v>1500</v>
      </c>
      <c r="I601" s="604">
        <v>45000000000</v>
      </c>
      <c r="J601" s="599" t="s">
        <v>1454</v>
      </c>
      <c r="K601" s="606" t="s">
        <v>2148</v>
      </c>
      <c r="L601" s="798">
        <v>2600000</v>
      </c>
      <c r="M601" s="609" t="s">
        <v>2184</v>
      </c>
      <c r="N601" s="606" t="s">
        <v>2730</v>
      </c>
      <c r="O601" s="607">
        <v>42887.5</v>
      </c>
      <c r="P601" s="607">
        <v>43070.5</v>
      </c>
      <c r="Q601" s="599" t="s">
        <v>108</v>
      </c>
      <c r="R601" s="609" t="s">
        <v>1456</v>
      </c>
      <c r="S601" s="609" t="s">
        <v>1457</v>
      </c>
      <c r="T601" s="599"/>
      <c r="U601" s="599"/>
      <c r="V601" s="599"/>
      <c r="W601" s="599"/>
      <c r="X601" s="599"/>
      <c r="Y601" s="599"/>
      <c r="Z601" s="599"/>
      <c r="AA601" s="609" t="s">
        <v>1458</v>
      </c>
      <c r="AB601" s="642" t="s">
        <v>263</v>
      </c>
      <c r="AC601" s="652"/>
      <c r="AD601" s="652" t="s">
        <v>113</v>
      </c>
      <c r="AE601" s="653">
        <f t="shared" si="9"/>
        <v>6</v>
      </c>
    </row>
    <row r="602" spans="1:31" ht="105" hidden="1" x14ac:dyDescent="0.25">
      <c r="A602" s="608" t="s">
        <v>3958</v>
      </c>
      <c r="B602" s="601" t="s">
        <v>1652</v>
      </c>
      <c r="C602" s="601" t="s">
        <v>1652</v>
      </c>
      <c r="D602" s="602" t="s">
        <v>5342</v>
      </c>
      <c r="E602" s="602" t="s">
        <v>2147</v>
      </c>
      <c r="F602" s="601" t="s">
        <v>1645</v>
      </c>
      <c r="G602" s="602" t="s">
        <v>2259</v>
      </c>
      <c r="H602" s="603">
        <v>800</v>
      </c>
      <c r="I602" s="604">
        <v>45000000000</v>
      </c>
      <c r="J602" s="599" t="s">
        <v>1454</v>
      </c>
      <c r="K602" s="606" t="s">
        <v>1691</v>
      </c>
      <c r="L602" s="798">
        <v>1600000</v>
      </c>
      <c r="M602" s="609" t="s">
        <v>2184</v>
      </c>
      <c r="N602" s="606" t="s">
        <v>2598</v>
      </c>
      <c r="O602" s="607">
        <v>42887.5</v>
      </c>
      <c r="P602" s="607">
        <v>43070.5</v>
      </c>
      <c r="Q602" s="599" t="s">
        <v>108</v>
      </c>
      <c r="R602" s="609" t="s">
        <v>1456</v>
      </c>
      <c r="S602" s="609" t="s">
        <v>1457</v>
      </c>
      <c r="T602" s="599"/>
      <c r="U602" s="599"/>
      <c r="V602" s="599"/>
      <c r="W602" s="599"/>
      <c r="X602" s="599"/>
      <c r="Y602" s="599"/>
      <c r="Z602" s="599"/>
      <c r="AA602" s="609" t="s">
        <v>1458</v>
      </c>
      <c r="AB602" s="642" t="s">
        <v>263</v>
      </c>
      <c r="AC602" s="652"/>
      <c r="AD602" s="652" t="s">
        <v>113</v>
      </c>
      <c r="AE602" s="653">
        <f t="shared" si="9"/>
        <v>6</v>
      </c>
    </row>
    <row r="603" spans="1:31" ht="105" hidden="1" x14ac:dyDescent="0.25">
      <c r="A603" s="608" t="s">
        <v>3959</v>
      </c>
      <c r="B603" s="601" t="s">
        <v>1793</v>
      </c>
      <c r="C603" s="601" t="s">
        <v>1794</v>
      </c>
      <c r="D603" s="602" t="s">
        <v>5341</v>
      </c>
      <c r="E603" s="602" t="s">
        <v>1795</v>
      </c>
      <c r="F603" s="601" t="s">
        <v>1528</v>
      </c>
      <c r="G603" s="602" t="s">
        <v>2156</v>
      </c>
      <c r="H603" s="603">
        <v>3</v>
      </c>
      <c r="I603" s="604">
        <v>45000000000</v>
      </c>
      <c r="J603" s="599" t="s">
        <v>1454</v>
      </c>
      <c r="K603" s="606" t="s">
        <v>1736</v>
      </c>
      <c r="L603" s="798">
        <v>240000</v>
      </c>
      <c r="M603" s="609" t="s">
        <v>2184</v>
      </c>
      <c r="N603" s="606" t="s">
        <v>2731</v>
      </c>
      <c r="O603" s="607">
        <v>42887.5</v>
      </c>
      <c r="P603" s="607">
        <v>43070.5</v>
      </c>
      <c r="Q603" s="599" t="s">
        <v>100</v>
      </c>
      <c r="R603" s="609" t="s">
        <v>1456</v>
      </c>
      <c r="S603" s="609" t="s">
        <v>1457</v>
      </c>
      <c r="T603" s="599"/>
      <c r="U603" s="599"/>
      <c r="V603" s="599"/>
      <c r="W603" s="599"/>
      <c r="X603" s="599"/>
      <c r="Y603" s="599"/>
      <c r="Z603" s="599"/>
      <c r="AA603" s="609" t="s">
        <v>1458</v>
      </c>
      <c r="AB603" s="642" t="s">
        <v>263</v>
      </c>
      <c r="AC603" s="652"/>
      <c r="AD603" s="652" t="s">
        <v>113</v>
      </c>
      <c r="AE603" s="653">
        <f t="shared" si="9"/>
        <v>6</v>
      </c>
    </row>
    <row r="604" spans="1:31" ht="105" hidden="1" x14ac:dyDescent="0.25">
      <c r="A604" s="608" t="s">
        <v>3960</v>
      </c>
      <c r="B604" s="601" t="s">
        <v>1793</v>
      </c>
      <c r="C604" s="601" t="s">
        <v>1797</v>
      </c>
      <c r="D604" s="602" t="s">
        <v>5340</v>
      </c>
      <c r="E604" s="602" t="s">
        <v>1798</v>
      </c>
      <c r="F604" s="601" t="s">
        <v>1528</v>
      </c>
      <c r="G604" s="602" t="s">
        <v>2156</v>
      </c>
      <c r="H604" s="603">
        <v>3</v>
      </c>
      <c r="I604" s="604">
        <v>45000000000</v>
      </c>
      <c r="J604" s="599" t="s">
        <v>1454</v>
      </c>
      <c r="K604" s="606" t="s">
        <v>1719</v>
      </c>
      <c r="L604" s="798">
        <v>250000</v>
      </c>
      <c r="M604" s="609" t="s">
        <v>2184</v>
      </c>
      <c r="N604" s="606" t="s">
        <v>2732</v>
      </c>
      <c r="O604" s="607">
        <v>42887.5</v>
      </c>
      <c r="P604" s="607">
        <v>43071.5</v>
      </c>
      <c r="Q604" s="599" t="s">
        <v>108</v>
      </c>
      <c r="R604" s="609" t="s">
        <v>1456</v>
      </c>
      <c r="S604" s="609" t="s">
        <v>1457</v>
      </c>
      <c r="T604" s="599"/>
      <c r="U604" s="599"/>
      <c r="V604" s="599"/>
      <c r="W604" s="599"/>
      <c r="X604" s="599"/>
      <c r="Y604" s="599"/>
      <c r="Z604" s="599"/>
      <c r="AA604" s="609" t="s">
        <v>1458</v>
      </c>
      <c r="AB604" s="642" t="s">
        <v>263</v>
      </c>
      <c r="AC604" s="652"/>
      <c r="AD604" s="652" t="s">
        <v>113</v>
      </c>
      <c r="AE604" s="653">
        <f t="shared" si="9"/>
        <v>6</v>
      </c>
    </row>
    <row r="605" spans="1:31" ht="105" hidden="1" x14ac:dyDescent="0.25">
      <c r="A605" s="608" t="s">
        <v>3961</v>
      </c>
      <c r="B605" s="601" t="s">
        <v>1793</v>
      </c>
      <c r="C605" s="601" t="s">
        <v>1797</v>
      </c>
      <c r="D605" s="602" t="s">
        <v>5339</v>
      </c>
      <c r="E605" s="602" t="s">
        <v>2149</v>
      </c>
      <c r="F605" s="601" t="s">
        <v>1587</v>
      </c>
      <c r="G605" s="602" t="s">
        <v>2256</v>
      </c>
      <c r="H605" s="603">
        <v>1</v>
      </c>
      <c r="I605" s="604">
        <v>45000000000</v>
      </c>
      <c r="J605" s="599" t="s">
        <v>1454</v>
      </c>
      <c r="K605" s="606" t="s">
        <v>2150</v>
      </c>
      <c r="L605" s="798">
        <v>37950000</v>
      </c>
      <c r="M605" s="609" t="s">
        <v>2184</v>
      </c>
      <c r="N605" s="606" t="s">
        <v>2733</v>
      </c>
      <c r="O605" s="607">
        <v>42887.5</v>
      </c>
      <c r="P605" s="607">
        <v>43071.5</v>
      </c>
      <c r="Q605" s="599" t="s">
        <v>108</v>
      </c>
      <c r="R605" s="609" t="s">
        <v>1456</v>
      </c>
      <c r="S605" s="609" t="s">
        <v>1457</v>
      </c>
      <c r="T605" s="599"/>
      <c r="U605" s="599"/>
      <c r="V605" s="599"/>
      <c r="W605" s="599"/>
      <c r="X605" s="599"/>
      <c r="Y605" s="599"/>
      <c r="Z605" s="599"/>
      <c r="AA605" s="609" t="s">
        <v>1458</v>
      </c>
      <c r="AB605" s="642" t="s">
        <v>263</v>
      </c>
      <c r="AC605" s="652"/>
      <c r="AD605" s="652" t="s">
        <v>113</v>
      </c>
      <c r="AE605" s="653">
        <f t="shared" si="9"/>
        <v>6</v>
      </c>
    </row>
    <row r="606" spans="1:31" ht="105" hidden="1" x14ac:dyDescent="0.25">
      <c r="A606" s="608" t="s">
        <v>3962</v>
      </c>
      <c r="B606" s="601" t="s">
        <v>1793</v>
      </c>
      <c r="C606" s="601" t="s">
        <v>1797</v>
      </c>
      <c r="D606" s="602" t="s">
        <v>5338</v>
      </c>
      <c r="E606" s="602" t="s">
        <v>2149</v>
      </c>
      <c r="F606" s="601" t="s">
        <v>1587</v>
      </c>
      <c r="G606" s="602" t="s">
        <v>2256</v>
      </c>
      <c r="H606" s="603">
        <v>1</v>
      </c>
      <c r="I606" s="604">
        <v>45000000000</v>
      </c>
      <c r="J606" s="599" t="s">
        <v>1454</v>
      </c>
      <c r="K606" s="606" t="s">
        <v>2151</v>
      </c>
      <c r="L606" s="798">
        <v>14896000</v>
      </c>
      <c r="M606" s="609" t="s">
        <v>2184</v>
      </c>
      <c r="N606" s="606" t="s">
        <v>2734</v>
      </c>
      <c r="O606" s="607">
        <v>42887.5</v>
      </c>
      <c r="P606" s="607">
        <v>43071.5</v>
      </c>
      <c r="Q606" s="599" t="s">
        <v>108</v>
      </c>
      <c r="R606" s="609" t="s">
        <v>1456</v>
      </c>
      <c r="S606" s="609" t="s">
        <v>1457</v>
      </c>
      <c r="T606" s="599"/>
      <c r="U606" s="599"/>
      <c r="V606" s="599"/>
      <c r="W606" s="599"/>
      <c r="X606" s="599"/>
      <c r="Y606" s="599"/>
      <c r="Z606" s="599"/>
      <c r="AA606" s="609" t="s">
        <v>1458</v>
      </c>
      <c r="AB606" s="642" t="s">
        <v>263</v>
      </c>
      <c r="AC606" s="652"/>
      <c r="AD606" s="652" t="s">
        <v>113</v>
      </c>
      <c r="AE606" s="653">
        <f t="shared" si="9"/>
        <v>6</v>
      </c>
    </row>
    <row r="607" spans="1:31" ht="105" hidden="1" x14ac:dyDescent="0.25">
      <c r="A607" s="608" t="s">
        <v>3963</v>
      </c>
      <c r="B607" s="601" t="s">
        <v>1793</v>
      </c>
      <c r="C607" s="601" t="s">
        <v>1797</v>
      </c>
      <c r="D607" s="602" t="s">
        <v>5337</v>
      </c>
      <c r="E607" s="602" t="s">
        <v>2149</v>
      </c>
      <c r="F607" s="601" t="s">
        <v>1587</v>
      </c>
      <c r="G607" s="602" t="s">
        <v>2256</v>
      </c>
      <c r="H607" s="603">
        <v>1</v>
      </c>
      <c r="I607" s="604">
        <v>45000000000</v>
      </c>
      <c r="J607" s="599" t="s">
        <v>1454</v>
      </c>
      <c r="K607" s="606" t="s">
        <v>2152</v>
      </c>
      <c r="L607" s="798">
        <v>56950000</v>
      </c>
      <c r="M607" s="609" t="s">
        <v>2184</v>
      </c>
      <c r="N607" s="606" t="s">
        <v>2735</v>
      </c>
      <c r="O607" s="607">
        <v>42887.5</v>
      </c>
      <c r="P607" s="607">
        <v>43071.5</v>
      </c>
      <c r="Q607" s="599" t="s">
        <v>108</v>
      </c>
      <c r="R607" s="609" t="s">
        <v>1456</v>
      </c>
      <c r="S607" s="609" t="s">
        <v>1457</v>
      </c>
      <c r="T607" s="599"/>
      <c r="U607" s="599"/>
      <c r="V607" s="599"/>
      <c r="W607" s="599"/>
      <c r="X607" s="599"/>
      <c r="Y607" s="599"/>
      <c r="Z607" s="599"/>
      <c r="AA607" s="609" t="s">
        <v>1458</v>
      </c>
      <c r="AB607" s="642" t="s">
        <v>263</v>
      </c>
      <c r="AC607" s="652"/>
      <c r="AD607" s="652" t="s">
        <v>113</v>
      </c>
      <c r="AE607" s="653">
        <f t="shared" si="9"/>
        <v>6</v>
      </c>
    </row>
    <row r="608" spans="1:31" ht="105" hidden="1" x14ac:dyDescent="0.25">
      <c r="A608" s="608" t="s">
        <v>3964</v>
      </c>
      <c r="B608" s="601" t="s">
        <v>2153</v>
      </c>
      <c r="C608" s="601" t="s">
        <v>2153</v>
      </c>
      <c r="D608" s="602" t="s">
        <v>5336</v>
      </c>
      <c r="E608" s="602" t="s">
        <v>2561</v>
      </c>
      <c r="F608" s="601" t="s">
        <v>1587</v>
      </c>
      <c r="G608" s="602" t="s">
        <v>2256</v>
      </c>
      <c r="H608" s="603">
        <v>1</v>
      </c>
      <c r="I608" s="604">
        <v>45000000000</v>
      </c>
      <c r="J608" s="599" t="s">
        <v>1454</v>
      </c>
      <c r="K608" s="606" t="s">
        <v>1692</v>
      </c>
      <c r="L608" s="798">
        <v>3000000</v>
      </c>
      <c r="M608" s="609" t="s">
        <v>2184</v>
      </c>
      <c r="N608" s="606" t="s">
        <v>2271</v>
      </c>
      <c r="O608" s="607">
        <v>42887.5</v>
      </c>
      <c r="P608" s="607">
        <v>43071.5</v>
      </c>
      <c r="Q608" s="599" t="s">
        <v>108</v>
      </c>
      <c r="R608" s="609" t="s">
        <v>1456</v>
      </c>
      <c r="S608" s="609" t="s">
        <v>1457</v>
      </c>
      <c r="T608" s="599"/>
      <c r="U608" s="599"/>
      <c r="V608" s="599"/>
      <c r="W608" s="599"/>
      <c r="X608" s="599"/>
      <c r="Y608" s="599"/>
      <c r="Z608" s="599"/>
      <c r="AA608" s="609" t="s">
        <v>1458</v>
      </c>
      <c r="AB608" s="642" t="s">
        <v>263</v>
      </c>
      <c r="AC608" s="652"/>
      <c r="AD608" s="652" t="s">
        <v>113</v>
      </c>
      <c r="AE608" s="653">
        <f t="shared" si="9"/>
        <v>6</v>
      </c>
    </row>
    <row r="609" spans="1:31" ht="105" hidden="1" x14ac:dyDescent="0.25">
      <c r="A609" s="608" t="s">
        <v>3965</v>
      </c>
      <c r="B609" s="601" t="s">
        <v>2153</v>
      </c>
      <c r="C609" s="601" t="s">
        <v>2153</v>
      </c>
      <c r="D609" s="602" t="s">
        <v>5335</v>
      </c>
      <c r="E609" s="602" t="s">
        <v>2561</v>
      </c>
      <c r="F609" s="601" t="s">
        <v>1587</v>
      </c>
      <c r="G609" s="602" t="s">
        <v>2256</v>
      </c>
      <c r="H609" s="603">
        <v>1</v>
      </c>
      <c r="I609" s="604">
        <v>45000000000</v>
      </c>
      <c r="J609" s="599" t="s">
        <v>1454</v>
      </c>
      <c r="K609" s="606" t="s">
        <v>2326</v>
      </c>
      <c r="L609" s="798">
        <v>3000000</v>
      </c>
      <c r="M609" s="609" t="s">
        <v>2184</v>
      </c>
      <c r="N609" s="606" t="s">
        <v>2271</v>
      </c>
      <c r="O609" s="607">
        <v>42887.5</v>
      </c>
      <c r="P609" s="607">
        <v>43071.5</v>
      </c>
      <c r="Q609" s="599" t="s">
        <v>108</v>
      </c>
      <c r="R609" s="609" t="s">
        <v>1456</v>
      </c>
      <c r="S609" s="609" t="s">
        <v>1457</v>
      </c>
      <c r="T609" s="599"/>
      <c r="U609" s="599"/>
      <c r="V609" s="599"/>
      <c r="W609" s="599"/>
      <c r="X609" s="599"/>
      <c r="Y609" s="599"/>
      <c r="Z609" s="599"/>
      <c r="AA609" s="609" t="s">
        <v>1458</v>
      </c>
      <c r="AB609" s="642" t="s">
        <v>263</v>
      </c>
      <c r="AC609" s="652"/>
      <c r="AD609" s="652" t="s">
        <v>113</v>
      </c>
      <c r="AE609" s="653">
        <f t="shared" si="9"/>
        <v>6</v>
      </c>
    </row>
    <row r="610" spans="1:31" ht="105" hidden="1" x14ac:dyDescent="0.25">
      <c r="A610" s="608" t="s">
        <v>3966</v>
      </c>
      <c r="B610" s="601" t="s">
        <v>2153</v>
      </c>
      <c r="C610" s="601" t="s">
        <v>2153</v>
      </c>
      <c r="D610" s="602" t="s">
        <v>5334</v>
      </c>
      <c r="E610" s="602" t="s">
        <v>2561</v>
      </c>
      <c r="F610" s="601" t="s">
        <v>1587</v>
      </c>
      <c r="G610" s="602" t="s">
        <v>2256</v>
      </c>
      <c r="H610" s="603">
        <v>1</v>
      </c>
      <c r="I610" s="604">
        <v>45000000000</v>
      </c>
      <c r="J610" s="599" t="s">
        <v>1454</v>
      </c>
      <c r="K610" s="606" t="s">
        <v>2326</v>
      </c>
      <c r="L610" s="798">
        <v>3000000</v>
      </c>
      <c r="M610" s="609" t="s">
        <v>2184</v>
      </c>
      <c r="N610" s="606" t="s">
        <v>2271</v>
      </c>
      <c r="O610" s="607">
        <v>42887.5</v>
      </c>
      <c r="P610" s="607">
        <v>43071.5</v>
      </c>
      <c r="Q610" s="599" t="s">
        <v>100</v>
      </c>
      <c r="R610" s="609" t="s">
        <v>1456</v>
      </c>
      <c r="S610" s="609" t="s">
        <v>1457</v>
      </c>
      <c r="T610" s="599"/>
      <c r="U610" s="599"/>
      <c r="V610" s="599"/>
      <c r="W610" s="599"/>
      <c r="X610" s="599"/>
      <c r="Y610" s="599"/>
      <c r="Z610" s="599"/>
      <c r="AA610" s="609" t="s">
        <v>1458</v>
      </c>
      <c r="AB610" s="642" t="s">
        <v>263</v>
      </c>
      <c r="AC610" s="652"/>
      <c r="AD610" s="652" t="s">
        <v>113</v>
      </c>
      <c r="AE610" s="653">
        <f t="shared" si="9"/>
        <v>6</v>
      </c>
    </row>
    <row r="611" spans="1:31" ht="105" hidden="1" x14ac:dyDescent="0.25">
      <c r="A611" s="608" t="s">
        <v>3967</v>
      </c>
      <c r="B611" s="601" t="s">
        <v>2153</v>
      </c>
      <c r="C611" s="601" t="s">
        <v>2153</v>
      </c>
      <c r="D611" s="602" t="s">
        <v>5333</v>
      </c>
      <c r="E611" s="602" t="s">
        <v>2561</v>
      </c>
      <c r="F611" s="601" t="s">
        <v>1587</v>
      </c>
      <c r="G611" s="602" t="s">
        <v>2256</v>
      </c>
      <c r="H611" s="603">
        <v>1</v>
      </c>
      <c r="I611" s="604">
        <v>45000000000</v>
      </c>
      <c r="J611" s="599" t="s">
        <v>1454</v>
      </c>
      <c r="K611" s="606" t="s">
        <v>2326</v>
      </c>
      <c r="L611" s="798">
        <v>3000000</v>
      </c>
      <c r="M611" s="609" t="s">
        <v>2184</v>
      </c>
      <c r="N611" s="606" t="s">
        <v>2271</v>
      </c>
      <c r="O611" s="607">
        <v>42887.5</v>
      </c>
      <c r="P611" s="607">
        <v>43071.5</v>
      </c>
      <c r="Q611" s="599" t="s">
        <v>100</v>
      </c>
      <c r="R611" s="609" t="s">
        <v>1456</v>
      </c>
      <c r="S611" s="609" t="s">
        <v>1457</v>
      </c>
      <c r="T611" s="599"/>
      <c r="U611" s="599"/>
      <c r="V611" s="599"/>
      <c r="W611" s="599"/>
      <c r="X611" s="599"/>
      <c r="Y611" s="599"/>
      <c r="Z611" s="599"/>
      <c r="AA611" s="609" t="s">
        <v>1458</v>
      </c>
      <c r="AB611" s="642" t="s">
        <v>263</v>
      </c>
      <c r="AC611" s="652"/>
      <c r="AD611" s="652" t="s">
        <v>113</v>
      </c>
      <c r="AE611" s="653">
        <f t="shared" si="9"/>
        <v>6</v>
      </c>
    </row>
    <row r="612" spans="1:31" ht="105" hidden="1" x14ac:dyDescent="0.25">
      <c r="A612" s="608" t="s">
        <v>3968</v>
      </c>
      <c r="B612" s="601" t="s">
        <v>1793</v>
      </c>
      <c r="C612" s="601" t="s">
        <v>2154</v>
      </c>
      <c r="D612" s="602" t="s">
        <v>5332</v>
      </c>
      <c r="E612" s="602" t="s">
        <v>2562</v>
      </c>
      <c r="F612" s="601" t="s">
        <v>1528</v>
      </c>
      <c r="G612" s="602" t="s">
        <v>2156</v>
      </c>
      <c r="H612" s="603">
        <v>20</v>
      </c>
      <c r="I612" s="604">
        <v>45000000000</v>
      </c>
      <c r="J612" s="599" t="s">
        <v>1454</v>
      </c>
      <c r="K612" s="606" t="s">
        <v>2887</v>
      </c>
      <c r="L612" s="798">
        <v>150000000</v>
      </c>
      <c r="M612" s="609" t="s">
        <v>2184</v>
      </c>
      <c r="N612" s="606" t="s">
        <v>2736</v>
      </c>
      <c r="O612" s="607">
        <v>42887.5</v>
      </c>
      <c r="P612" s="607">
        <v>43070.5</v>
      </c>
      <c r="Q612" s="599" t="s">
        <v>100</v>
      </c>
      <c r="R612" s="609" t="s">
        <v>1456</v>
      </c>
      <c r="S612" s="609" t="s">
        <v>1457</v>
      </c>
      <c r="T612" s="599"/>
      <c r="U612" s="599"/>
      <c r="V612" s="599"/>
      <c r="W612" s="599"/>
      <c r="X612" s="599"/>
      <c r="Y612" s="599"/>
      <c r="Z612" s="599"/>
      <c r="AA612" s="609" t="s">
        <v>1458</v>
      </c>
      <c r="AB612" s="642" t="s">
        <v>263</v>
      </c>
      <c r="AC612" s="652"/>
      <c r="AD612" s="652" t="s">
        <v>113</v>
      </c>
      <c r="AE612" s="653">
        <f t="shared" si="9"/>
        <v>6</v>
      </c>
    </row>
    <row r="613" spans="1:31" ht="105" hidden="1" x14ac:dyDescent="0.25">
      <c r="A613" s="608" t="s">
        <v>3969</v>
      </c>
      <c r="B613" s="601" t="s">
        <v>1526</v>
      </c>
      <c r="C613" s="601" t="s">
        <v>1873</v>
      </c>
      <c r="D613" s="602" t="s">
        <v>5331</v>
      </c>
      <c r="E613" s="602" t="s">
        <v>2563</v>
      </c>
      <c r="F613" s="601" t="s">
        <v>1528</v>
      </c>
      <c r="G613" s="602" t="s">
        <v>2156</v>
      </c>
      <c r="H613" s="603">
        <v>2</v>
      </c>
      <c r="I613" s="604">
        <v>45000000000</v>
      </c>
      <c r="J613" s="599" t="s">
        <v>1454</v>
      </c>
      <c r="K613" s="606" t="s">
        <v>2888</v>
      </c>
      <c r="L613" s="798">
        <v>24520000</v>
      </c>
      <c r="M613" s="609" t="s">
        <v>2184</v>
      </c>
      <c r="N613" s="606" t="s">
        <v>2737</v>
      </c>
      <c r="O613" s="607">
        <v>42887.5</v>
      </c>
      <c r="P613" s="607">
        <v>43079.5</v>
      </c>
      <c r="Q613" s="599" t="s">
        <v>108</v>
      </c>
      <c r="R613" s="609" t="s">
        <v>1456</v>
      </c>
      <c r="S613" s="609" t="s">
        <v>1457</v>
      </c>
      <c r="T613" s="599"/>
      <c r="U613" s="599"/>
      <c r="V613" s="599"/>
      <c r="W613" s="599"/>
      <c r="X613" s="599"/>
      <c r="Y613" s="599"/>
      <c r="Z613" s="599"/>
      <c r="AA613" s="609" t="s">
        <v>1458</v>
      </c>
      <c r="AB613" s="642" t="s">
        <v>263</v>
      </c>
      <c r="AC613" s="652"/>
      <c r="AD613" s="652" t="s">
        <v>113</v>
      </c>
      <c r="AE613" s="653">
        <f t="shared" si="9"/>
        <v>6</v>
      </c>
    </row>
    <row r="614" spans="1:31" ht="105" hidden="1" x14ac:dyDescent="0.25">
      <c r="A614" s="608" t="s">
        <v>3970</v>
      </c>
      <c r="B614" s="601" t="s">
        <v>1526</v>
      </c>
      <c r="C614" s="601" t="s">
        <v>1873</v>
      </c>
      <c r="D614" s="602" t="s">
        <v>5330</v>
      </c>
      <c r="E614" s="602" t="s">
        <v>2563</v>
      </c>
      <c r="F614" s="601" t="s">
        <v>1528</v>
      </c>
      <c r="G614" s="602" t="s">
        <v>2156</v>
      </c>
      <c r="H614" s="603">
        <v>3</v>
      </c>
      <c r="I614" s="604">
        <v>45000000000</v>
      </c>
      <c r="J614" s="599" t="s">
        <v>1454</v>
      </c>
      <c r="K614" s="606" t="s">
        <v>2889</v>
      </c>
      <c r="L614" s="798">
        <v>36780000</v>
      </c>
      <c r="M614" s="609" t="s">
        <v>2184</v>
      </c>
      <c r="N614" s="606" t="s">
        <v>2738</v>
      </c>
      <c r="O614" s="607">
        <v>42887.5</v>
      </c>
      <c r="P614" s="607">
        <v>43079.5</v>
      </c>
      <c r="Q614" s="599" t="s">
        <v>108</v>
      </c>
      <c r="R614" s="609" t="s">
        <v>1456</v>
      </c>
      <c r="S614" s="609" t="s">
        <v>1457</v>
      </c>
      <c r="T614" s="599"/>
      <c r="U614" s="599"/>
      <c r="V614" s="599"/>
      <c r="W614" s="599"/>
      <c r="X614" s="599"/>
      <c r="Y614" s="599"/>
      <c r="Z614" s="599"/>
      <c r="AA614" s="609" t="s">
        <v>1458</v>
      </c>
      <c r="AB614" s="642" t="s">
        <v>263</v>
      </c>
      <c r="AC614" s="652"/>
      <c r="AD614" s="652" t="s">
        <v>113</v>
      </c>
      <c r="AE614" s="653">
        <f t="shared" si="9"/>
        <v>6</v>
      </c>
    </row>
    <row r="615" spans="1:31" ht="105" hidden="1" x14ac:dyDescent="0.25">
      <c r="A615" s="608" t="s">
        <v>3971</v>
      </c>
      <c r="B615" s="601" t="s">
        <v>1526</v>
      </c>
      <c r="C615" s="601" t="s">
        <v>1873</v>
      </c>
      <c r="D615" s="602" t="s">
        <v>5329</v>
      </c>
      <c r="E615" s="602" t="s">
        <v>2563</v>
      </c>
      <c r="F615" s="601" t="s">
        <v>1528</v>
      </c>
      <c r="G615" s="602" t="s">
        <v>2156</v>
      </c>
      <c r="H615" s="603">
        <v>5</v>
      </c>
      <c r="I615" s="604">
        <v>45000000000</v>
      </c>
      <c r="J615" s="599" t="s">
        <v>1454</v>
      </c>
      <c r="K615" s="606" t="s">
        <v>2890</v>
      </c>
      <c r="L615" s="798">
        <v>61300000</v>
      </c>
      <c r="M615" s="609" t="s">
        <v>2184</v>
      </c>
      <c r="N615" s="606" t="s">
        <v>2739</v>
      </c>
      <c r="O615" s="607">
        <v>42887.5</v>
      </c>
      <c r="P615" s="607">
        <v>43079.5</v>
      </c>
      <c r="Q615" s="599" t="s">
        <v>108</v>
      </c>
      <c r="R615" s="609" t="s">
        <v>1456</v>
      </c>
      <c r="S615" s="609" t="s">
        <v>1457</v>
      </c>
      <c r="T615" s="599"/>
      <c r="U615" s="599"/>
      <c r="V615" s="599"/>
      <c r="W615" s="599"/>
      <c r="X615" s="599"/>
      <c r="Y615" s="599"/>
      <c r="Z615" s="599"/>
      <c r="AA615" s="609" t="s">
        <v>1458</v>
      </c>
      <c r="AB615" s="642" t="s">
        <v>263</v>
      </c>
      <c r="AC615" s="652"/>
      <c r="AD615" s="652" t="s">
        <v>113</v>
      </c>
      <c r="AE615" s="653">
        <f t="shared" si="9"/>
        <v>6</v>
      </c>
    </row>
    <row r="616" spans="1:31" ht="105" hidden="1" x14ac:dyDescent="0.25">
      <c r="A616" s="608" t="s">
        <v>3972</v>
      </c>
      <c r="B616" s="601" t="s">
        <v>1526</v>
      </c>
      <c r="C616" s="601" t="s">
        <v>1873</v>
      </c>
      <c r="D616" s="602" t="s">
        <v>5328</v>
      </c>
      <c r="E616" s="602" t="s">
        <v>2563</v>
      </c>
      <c r="F616" s="601" t="s">
        <v>1528</v>
      </c>
      <c r="G616" s="602" t="s">
        <v>2156</v>
      </c>
      <c r="H616" s="603">
        <v>1</v>
      </c>
      <c r="I616" s="604">
        <v>45000000000</v>
      </c>
      <c r="J616" s="599" t="s">
        <v>1454</v>
      </c>
      <c r="K616" s="606" t="s">
        <v>2891</v>
      </c>
      <c r="L616" s="798">
        <v>1226000</v>
      </c>
      <c r="M616" s="609" t="s">
        <v>2184</v>
      </c>
      <c r="N616" s="606" t="s">
        <v>2740</v>
      </c>
      <c r="O616" s="607">
        <v>42887.5</v>
      </c>
      <c r="P616" s="607">
        <v>43079.5</v>
      </c>
      <c r="Q616" s="599" t="s">
        <v>108</v>
      </c>
      <c r="R616" s="609" t="s">
        <v>1456</v>
      </c>
      <c r="S616" s="609" t="s">
        <v>1457</v>
      </c>
      <c r="T616" s="599"/>
      <c r="U616" s="599"/>
      <c r="V616" s="599"/>
      <c r="W616" s="599"/>
      <c r="X616" s="599"/>
      <c r="Y616" s="599"/>
      <c r="Z616" s="599"/>
      <c r="AA616" s="609" t="s">
        <v>1458</v>
      </c>
      <c r="AB616" s="642" t="s">
        <v>263</v>
      </c>
      <c r="AC616" s="652"/>
      <c r="AD616" s="652" t="s">
        <v>113</v>
      </c>
      <c r="AE616" s="653">
        <f t="shared" si="9"/>
        <v>6</v>
      </c>
    </row>
    <row r="617" spans="1:31" ht="105" hidden="1" x14ac:dyDescent="0.25">
      <c r="A617" s="608" t="s">
        <v>3973</v>
      </c>
      <c r="B617" s="601" t="s">
        <v>1793</v>
      </c>
      <c r="C617" s="601" t="s">
        <v>2155</v>
      </c>
      <c r="D617" s="602" t="s">
        <v>5327</v>
      </c>
      <c r="E617" s="602" t="s">
        <v>2564</v>
      </c>
      <c r="F617" s="601" t="s">
        <v>1528</v>
      </c>
      <c r="G617" s="602" t="s">
        <v>2156</v>
      </c>
      <c r="H617" s="603">
        <v>2</v>
      </c>
      <c r="I617" s="604">
        <v>45000000000</v>
      </c>
      <c r="J617" s="599" t="s">
        <v>1454</v>
      </c>
      <c r="K617" s="606" t="s">
        <v>2892</v>
      </c>
      <c r="L617" s="798">
        <v>7000000</v>
      </c>
      <c r="M617" s="609" t="s">
        <v>2184</v>
      </c>
      <c r="N617" s="606" t="s">
        <v>2741</v>
      </c>
      <c r="O617" s="607">
        <v>42887.5</v>
      </c>
      <c r="P617" s="607">
        <v>43079.5</v>
      </c>
      <c r="Q617" s="599" t="s">
        <v>100</v>
      </c>
      <c r="R617" s="609" t="s">
        <v>1456</v>
      </c>
      <c r="S617" s="609" t="s">
        <v>1457</v>
      </c>
      <c r="T617" s="599"/>
      <c r="U617" s="599"/>
      <c r="V617" s="599"/>
      <c r="W617" s="599"/>
      <c r="X617" s="599"/>
      <c r="Y617" s="599"/>
      <c r="Z617" s="599"/>
      <c r="AA617" s="609" t="s">
        <v>1458</v>
      </c>
      <c r="AB617" s="642" t="s">
        <v>263</v>
      </c>
      <c r="AC617" s="652"/>
      <c r="AD617" s="652" t="s">
        <v>113</v>
      </c>
      <c r="AE617" s="653">
        <f t="shared" si="9"/>
        <v>6</v>
      </c>
    </row>
    <row r="618" spans="1:31" ht="105" hidden="1" x14ac:dyDescent="0.25">
      <c r="A618" s="608" t="s">
        <v>3974</v>
      </c>
      <c r="B618" s="601" t="s">
        <v>1793</v>
      </c>
      <c r="C618" s="601" t="s">
        <v>2155</v>
      </c>
      <c r="D618" s="602" t="s">
        <v>5326</v>
      </c>
      <c r="E618" s="602" t="s">
        <v>2564</v>
      </c>
      <c r="F618" s="601" t="s">
        <v>1528</v>
      </c>
      <c r="G618" s="602" t="s">
        <v>2156</v>
      </c>
      <c r="H618" s="603">
        <v>4</v>
      </c>
      <c r="I618" s="604">
        <v>45000000000</v>
      </c>
      <c r="J618" s="599" t="s">
        <v>1454</v>
      </c>
      <c r="K618" s="606" t="s">
        <v>2114</v>
      </c>
      <c r="L618" s="798">
        <v>14000000</v>
      </c>
      <c r="M618" s="609" t="s">
        <v>2184</v>
      </c>
      <c r="N618" s="606" t="s">
        <v>2615</v>
      </c>
      <c r="O618" s="607">
        <v>42887.5</v>
      </c>
      <c r="P618" s="607">
        <v>43079.5</v>
      </c>
      <c r="Q618" s="599" t="s">
        <v>100</v>
      </c>
      <c r="R618" s="609" t="s">
        <v>1456</v>
      </c>
      <c r="S618" s="609" t="s">
        <v>1457</v>
      </c>
      <c r="T618" s="599"/>
      <c r="U618" s="599"/>
      <c r="V618" s="599"/>
      <c r="W618" s="599"/>
      <c r="X618" s="599"/>
      <c r="Y618" s="599"/>
      <c r="Z618" s="599"/>
      <c r="AA618" s="609" t="s">
        <v>1458</v>
      </c>
      <c r="AB618" s="642" t="s">
        <v>263</v>
      </c>
      <c r="AC618" s="652"/>
      <c r="AD618" s="652" t="s">
        <v>113</v>
      </c>
      <c r="AE618" s="653">
        <f t="shared" si="9"/>
        <v>6</v>
      </c>
    </row>
    <row r="619" spans="1:31" ht="105" hidden="1" x14ac:dyDescent="0.25">
      <c r="A619" s="608" t="s">
        <v>3975</v>
      </c>
      <c r="B619" s="601" t="s">
        <v>1793</v>
      </c>
      <c r="C619" s="601" t="s">
        <v>2155</v>
      </c>
      <c r="D619" s="602" t="s">
        <v>5325</v>
      </c>
      <c r="E619" s="602" t="s">
        <v>2564</v>
      </c>
      <c r="F619" s="601" t="s">
        <v>1528</v>
      </c>
      <c r="G619" s="602" t="s">
        <v>2156</v>
      </c>
      <c r="H619" s="603">
        <v>5</v>
      </c>
      <c r="I619" s="604">
        <v>45000000000</v>
      </c>
      <c r="J619" s="599" t="s">
        <v>1454</v>
      </c>
      <c r="K619" s="606" t="s">
        <v>2158</v>
      </c>
      <c r="L619" s="798">
        <v>17500000</v>
      </c>
      <c r="M619" s="609" t="s">
        <v>2184</v>
      </c>
      <c r="N619" s="606" t="s">
        <v>2742</v>
      </c>
      <c r="O619" s="607">
        <v>42887.5</v>
      </c>
      <c r="P619" s="607">
        <v>43079.5</v>
      </c>
      <c r="Q619" s="599" t="s">
        <v>100</v>
      </c>
      <c r="R619" s="609" t="s">
        <v>1456</v>
      </c>
      <c r="S619" s="609" t="s">
        <v>1457</v>
      </c>
      <c r="T619" s="599"/>
      <c r="U619" s="599"/>
      <c r="V619" s="599"/>
      <c r="W619" s="599"/>
      <c r="X619" s="599"/>
      <c r="Y619" s="599"/>
      <c r="Z619" s="599"/>
      <c r="AA619" s="609" t="s">
        <v>1458</v>
      </c>
      <c r="AB619" s="642" t="s">
        <v>263</v>
      </c>
      <c r="AC619" s="652"/>
      <c r="AD619" s="652" t="s">
        <v>113</v>
      </c>
      <c r="AE619" s="653">
        <f t="shared" si="9"/>
        <v>6</v>
      </c>
    </row>
    <row r="620" spans="1:31" ht="105" hidden="1" x14ac:dyDescent="0.25">
      <c r="A620" s="608" t="s">
        <v>3976</v>
      </c>
      <c r="B620" s="601" t="s">
        <v>1793</v>
      </c>
      <c r="C620" s="601" t="s">
        <v>2155</v>
      </c>
      <c r="D620" s="602" t="s">
        <v>5324</v>
      </c>
      <c r="E620" s="602" t="s">
        <v>2564</v>
      </c>
      <c r="F620" s="601" t="s">
        <v>1528</v>
      </c>
      <c r="G620" s="602" t="s">
        <v>2156</v>
      </c>
      <c r="H620" s="603">
        <v>1</v>
      </c>
      <c r="I620" s="604">
        <v>45000000000</v>
      </c>
      <c r="J620" s="599" t="s">
        <v>1454</v>
      </c>
      <c r="K620" s="606" t="s">
        <v>2102</v>
      </c>
      <c r="L620" s="798">
        <v>3500000</v>
      </c>
      <c r="M620" s="609" t="s">
        <v>2184</v>
      </c>
      <c r="N620" s="606" t="s">
        <v>2584</v>
      </c>
      <c r="O620" s="607">
        <v>42887.5</v>
      </c>
      <c r="P620" s="607">
        <v>43079.5</v>
      </c>
      <c r="Q620" s="599" t="s">
        <v>100</v>
      </c>
      <c r="R620" s="609" t="s">
        <v>1456</v>
      </c>
      <c r="S620" s="609" t="s">
        <v>1457</v>
      </c>
      <c r="T620" s="599"/>
      <c r="U620" s="599"/>
      <c r="V620" s="599"/>
      <c r="W620" s="599"/>
      <c r="X620" s="599"/>
      <c r="Y620" s="599"/>
      <c r="Z620" s="599"/>
      <c r="AA620" s="609" t="s">
        <v>1458</v>
      </c>
      <c r="AB620" s="642" t="s">
        <v>263</v>
      </c>
      <c r="AC620" s="652"/>
      <c r="AD620" s="652" t="s">
        <v>113</v>
      </c>
      <c r="AE620" s="653">
        <f t="shared" si="9"/>
        <v>6</v>
      </c>
    </row>
    <row r="621" spans="1:31" ht="105" hidden="1" x14ac:dyDescent="0.25">
      <c r="A621" s="608" t="s">
        <v>3977</v>
      </c>
      <c r="B621" s="601" t="s">
        <v>1793</v>
      </c>
      <c r="C621" s="601" t="s">
        <v>1797</v>
      </c>
      <c r="D621" s="602" t="s">
        <v>5323</v>
      </c>
      <c r="E621" s="602" t="s">
        <v>2149</v>
      </c>
      <c r="F621" s="601" t="s">
        <v>1528</v>
      </c>
      <c r="G621" s="602" t="s">
        <v>2156</v>
      </c>
      <c r="H621" s="603">
        <v>20</v>
      </c>
      <c r="I621" s="604">
        <v>45000000000</v>
      </c>
      <c r="J621" s="599" t="s">
        <v>1454</v>
      </c>
      <c r="K621" s="606" t="s">
        <v>2114</v>
      </c>
      <c r="L621" s="798">
        <v>14000000</v>
      </c>
      <c r="M621" s="609" t="s">
        <v>2184</v>
      </c>
      <c r="N621" s="606" t="s">
        <v>2615</v>
      </c>
      <c r="O621" s="607">
        <v>42887.5</v>
      </c>
      <c r="P621" s="607">
        <v>43071.5</v>
      </c>
      <c r="Q621" s="599" t="s">
        <v>108</v>
      </c>
      <c r="R621" s="609" t="s">
        <v>1456</v>
      </c>
      <c r="S621" s="609" t="s">
        <v>1457</v>
      </c>
      <c r="T621" s="599"/>
      <c r="U621" s="599"/>
      <c r="V621" s="599"/>
      <c r="W621" s="599"/>
      <c r="X621" s="599"/>
      <c r="Y621" s="599"/>
      <c r="Z621" s="599"/>
      <c r="AA621" s="609" t="s">
        <v>1458</v>
      </c>
      <c r="AB621" s="642" t="s">
        <v>263</v>
      </c>
      <c r="AC621" s="652"/>
      <c r="AD621" s="652" t="s">
        <v>113</v>
      </c>
      <c r="AE621" s="653">
        <f t="shared" si="9"/>
        <v>6</v>
      </c>
    </row>
    <row r="622" spans="1:31" ht="105" hidden="1" x14ac:dyDescent="0.25">
      <c r="A622" s="608" t="s">
        <v>3978</v>
      </c>
      <c r="B622" s="601" t="s">
        <v>1793</v>
      </c>
      <c r="C622" s="601" t="s">
        <v>1797</v>
      </c>
      <c r="D622" s="602" t="s">
        <v>5322</v>
      </c>
      <c r="E622" s="602" t="s">
        <v>2149</v>
      </c>
      <c r="F622" s="601" t="s">
        <v>1528</v>
      </c>
      <c r="G622" s="602" t="s">
        <v>2156</v>
      </c>
      <c r="H622" s="603">
        <v>10</v>
      </c>
      <c r="I622" s="604">
        <v>45000000000</v>
      </c>
      <c r="J622" s="599" t="s">
        <v>1454</v>
      </c>
      <c r="K622" s="606" t="s">
        <v>2157</v>
      </c>
      <c r="L622" s="798">
        <v>7000000</v>
      </c>
      <c r="M622" s="609" t="s">
        <v>2184</v>
      </c>
      <c r="N622" s="606" t="s">
        <v>2741</v>
      </c>
      <c r="O622" s="607">
        <v>42887.5</v>
      </c>
      <c r="P622" s="607">
        <v>43071.5</v>
      </c>
      <c r="Q622" s="599" t="s">
        <v>100</v>
      </c>
      <c r="R622" s="609" t="s">
        <v>1456</v>
      </c>
      <c r="S622" s="609" t="s">
        <v>1457</v>
      </c>
      <c r="T622" s="599"/>
      <c r="U622" s="599"/>
      <c r="V622" s="599"/>
      <c r="W622" s="599"/>
      <c r="X622" s="599"/>
      <c r="Y622" s="599"/>
      <c r="Z622" s="599"/>
      <c r="AA622" s="609" t="s">
        <v>1458</v>
      </c>
      <c r="AB622" s="642" t="s">
        <v>263</v>
      </c>
      <c r="AC622" s="652"/>
      <c r="AD622" s="652" t="s">
        <v>113</v>
      </c>
      <c r="AE622" s="653">
        <f t="shared" si="9"/>
        <v>6</v>
      </c>
    </row>
    <row r="623" spans="1:31" ht="105" hidden="1" x14ac:dyDescent="0.25">
      <c r="A623" s="608" t="s">
        <v>3979</v>
      </c>
      <c r="B623" s="601" t="s">
        <v>1672</v>
      </c>
      <c r="C623" s="601" t="s">
        <v>1672</v>
      </c>
      <c r="D623" s="602" t="s">
        <v>5321</v>
      </c>
      <c r="E623" s="602" t="s">
        <v>2147</v>
      </c>
      <c r="F623" s="601" t="s">
        <v>1587</v>
      </c>
      <c r="G623" s="602" t="s">
        <v>2256</v>
      </c>
      <c r="H623" s="603">
        <v>1</v>
      </c>
      <c r="I623" s="604">
        <v>45000000000</v>
      </c>
      <c r="J623" s="599" t="s">
        <v>1454</v>
      </c>
      <c r="K623" s="606" t="s">
        <v>2159</v>
      </c>
      <c r="L623" s="798">
        <v>40000000</v>
      </c>
      <c r="M623" s="609" t="s">
        <v>2184</v>
      </c>
      <c r="N623" s="606" t="s">
        <v>2743</v>
      </c>
      <c r="O623" s="607">
        <v>42887.5</v>
      </c>
      <c r="P623" s="607">
        <v>43071.5</v>
      </c>
      <c r="Q623" s="599" t="s">
        <v>100</v>
      </c>
      <c r="R623" s="609" t="s">
        <v>1456</v>
      </c>
      <c r="S623" s="609" t="s">
        <v>1457</v>
      </c>
      <c r="T623" s="599"/>
      <c r="U623" s="599"/>
      <c r="V623" s="599"/>
      <c r="W623" s="599"/>
      <c r="X623" s="599"/>
      <c r="Y623" s="599"/>
      <c r="Z623" s="599"/>
      <c r="AA623" s="609" t="s">
        <v>1458</v>
      </c>
      <c r="AB623" s="642" t="s">
        <v>263</v>
      </c>
      <c r="AC623" s="652"/>
      <c r="AD623" s="652" t="s">
        <v>113</v>
      </c>
      <c r="AE623" s="653">
        <f t="shared" si="9"/>
        <v>6</v>
      </c>
    </row>
    <row r="624" spans="1:31" ht="105" hidden="1" x14ac:dyDescent="0.25">
      <c r="A624" s="608" t="s">
        <v>3980</v>
      </c>
      <c r="B624" s="601" t="s">
        <v>1672</v>
      </c>
      <c r="C624" s="601" t="s">
        <v>1672</v>
      </c>
      <c r="D624" s="602" t="s">
        <v>5320</v>
      </c>
      <c r="E624" s="602" t="s">
        <v>2147</v>
      </c>
      <c r="F624" s="601" t="s">
        <v>1587</v>
      </c>
      <c r="G624" s="602" t="s">
        <v>2256</v>
      </c>
      <c r="H624" s="603">
        <v>1</v>
      </c>
      <c r="I624" s="604">
        <v>45000000000</v>
      </c>
      <c r="J624" s="599" t="s">
        <v>1454</v>
      </c>
      <c r="K624" s="606" t="s">
        <v>2159</v>
      </c>
      <c r="L624" s="798">
        <v>40000000</v>
      </c>
      <c r="M624" s="609" t="s">
        <v>2184</v>
      </c>
      <c r="N624" s="606" t="s">
        <v>2743</v>
      </c>
      <c r="O624" s="607">
        <v>42887.5</v>
      </c>
      <c r="P624" s="607">
        <v>43071.5</v>
      </c>
      <c r="Q624" s="599" t="s">
        <v>100</v>
      </c>
      <c r="R624" s="609" t="s">
        <v>1456</v>
      </c>
      <c r="S624" s="609" t="s">
        <v>1457</v>
      </c>
      <c r="T624" s="599"/>
      <c r="U624" s="599"/>
      <c r="V624" s="599"/>
      <c r="W624" s="599"/>
      <c r="X624" s="599"/>
      <c r="Y624" s="599"/>
      <c r="Z624" s="599"/>
      <c r="AA624" s="609" t="s">
        <v>1458</v>
      </c>
      <c r="AB624" s="642" t="s">
        <v>263</v>
      </c>
      <c r="AC624" s="652"/>
      <c r="AD624" s="652" t="s">
        <v>113</v>
      </c>
      <c r="AE624" s="653">
        <f t="shared" si="9"/>
        <v>6</v>
      </c>
    </row>
    <row r="625" spans="1:31" ht="105" hidden="1" x14ac:dyDescent="0.25">
      <c r="A625" s="608" t="s">
        <v>3981</v>
      </c>
      <c r="B625" s="601" t="s">
        <v>1851</v>
      </c>
      <c r="C625" s="601" t="s">
        <v>2160</v>
      </c>
      <c r="D625" s="602" t="s">
        <v>5319</v>
      </c>
      <c r="E625" s="602" t="s">
        <v>2565</v>
      </c>
      <c r="F625" s="601" t="s">
        <v>1528</v>
      </c>
      <c r="G625" s="602" t="s">
        <v>2156</v>
      </c>
      <c r="H625" s="603">
        <v>200</v>
      </c>
      <c r="I625" s="604">
        <v>45000000000</v>
      </c>
      <c r="J625" s="599" t="s">
        <v>1454</v>
      </c>
      <c r="K625" s="606" t="s">
        <v>2496</v>
      </c>
      <c r="L625" s="798">
        <v>3435452</v>
      </c>
      <c r="M625" s="838" t="s">
        <v>4813</v>
      </c>
      <c r="N625" s="606">
        <v>3435452</v>
      </c>
      <c r="O625" s="607">
        <v>42826</v>
      </c>
      <c r="P625" s="607">
        <v>42887.5</v>
      </c>
      <c r="Q625" s="599" t="s">
        <v>108</v>
      </c>
      <c r="R625" s="609" t="s">
        <v>1456</v>
      </c>
      <c r="S625" s="609" t="s">
        <v>1457</v>
      </c>
      <c r="T625" s="599"/>
      <c r="U625" s="599"/>
      <c r="V625" s="599"/>
      <c r="W625" s="599"/>
      <c r="X625" s="599"/>
      <c r="Y625" s="599"/>
      <c r="Z625" s="599"/>
      <c r="AA625" s="609" t="s">
        <v>1458</v>
      </c>
      <c r="AB625" s="642" t="s">
        <v>263</v>
      </c>
      <c r="AC625" s="652"/>
      <c r="AD625" s="652" t="s">
        <v>113</v>
      </c>
      <c r="AE625" s="653">
        <f t="shared" si="9"/>
        <v>4</v>
      </c>
    </row>
    <row r="626" spans="1:31" ht="105" hidden="1" x14ac:dyDescent="0.25">
      <c r="A626" s="608" t="s">
        <v>3982</v>
      </c>
      <c r="B626" s="601" t="s">
        <v>2550</v>
      </c>
      <c r="C626" s="601" t="s">
        <v>2551</v>
      </c>
      <c r="D626" s="602" t="s">
        <v>4388</v>
      </c>
      <c r="E626" s="602" t="s">
        <v>2566</v>
      </c>
      <c r="F626" s="601" t="s">
        <v>1528</v>
      </c>
      <c r="G626" s="602" t="s">
        <v>2156</v>
      </c>
      <c r="H626" s="603">
        <v>300</v>
      </c>
      <c r="I626" s="604">
        <v>45000000000</v>
      </c>
      <c r="J626" s="599" t="s">
        <v>1454</v>
      </c>
      <c r="K626" s="606" t="s">
        <v>6880</v>
      </c>
      <c r="L626" s="798">
        <v>2168173.61</v>
      </c>
      <c r="M626" s="609" t="s">
        <v>2184</v>
      </c>
      <c r="N626" s="961">
        <v>2168173.61</v>
      </c>
      <c r="O626" s="607">
        <v>42979</v>
      </c>
      <c r="P626" s="607">
        <v>42979</v>
      </c>
      <c r="Q626" s="599" t="s">
        <v>108</v>
      </c>
      <c r="R626" s="609" t="s">
        <v>1456</v>
      </c>
      <c r="S626" s="609" t="s">
        <v>1457</v>
      </c>
      <c r="T626" s="599"/>
      <c r="U626" s="599"/>
      <c r="V626" s="599"/>
      <c r="W626" s="599"/>
      <c r="X626" s="599"/>
      <c r="Y626" s="599"/>
      <c r="Z626" s="599"/>
      <c r="AA626" s="609" t="s">
        <v>1458</v>
      </c>
      <c r="AB626" s="642" t="s">
        <v>263</v>
      </c>
      <c r="AC626" s="652"/>
      <c r="AD626" s="652" t="s">
        <v>113</v>
      </c>
      <c r="AE626" s="653">
        <f t="shared" si="9"/>
        <v>9</v>
      </c>
    </row>
    <row r="627" spans="1:31" ht="105" hidden="1" x14ac:dyDescent="0.25">
      <c r="A627" s="608" t="s">
        <v>3983</v>
      </c>
      <c r="B627" s="601" t="s">
        <v>135</v>
      </c>
      <c r="C627" s="601" t="s">
        <v>2552</v>
      </c>
      <c r="D627" s="602" t="s">
        <v>4387</v>
      </c>
      <c r="E627" s="602" t="s">
        <v>2567</v>
      </c>
      <c r="F627" s="601" t="s">
        <v>1528</v>
      </c>
      <c r="G627" s="602" t="s">
        <v>2156</v>
      </c>
      <c r="H627" s="603">
        <v>1500</v>
      </c>
      <c r="I627" s="604">
        <v>45000000000</v>
      </c>
      <c r="J627" s="599" t="s">
        <v>1454</v>
      </c>
      <c r="K627" s="606" t="s">
        <v>7691</v>
      </c>
      <c r="L627" s="798">
        <v>305332.51</v>
      </c>
      <c r="M627" s="609" t="s">
        <v>2184</v>
      </c>
      <c r="N627" s="606">
        <v>305332.51</v>
      </c>
      <c r="O627" s="607">
        <v>43040.5</v>
      </c>
      <c r="P627" s="607">
        <v>43070.5</v>
      </c>
      <c r="Q627" s="599" t="s">
        <v>100</v>
      </c>
      <c r="R627" s="609" t="s">
        <v>1456</v>
      </c>
      <c r="S627" s="609" t="s">
        <v>1457</v>
      </c>
      <c r="T627" s="599"/>
      <c r="U627" s="599"/>
      <c r="V627" s="599"/>
      <c r="W627" s="599"/>
      <c r="X627" s="599"/>
      <c r="Y627" s="599"/>
      <c r="Z627" s="599"/>
      <c r="AA627" s="609" t="s">
        <v>1458</v>
      </c>
      <c r="AB627" s="642" t="s">
        <v>263</v>
      </c>
      <c r="AC627" s="652"/>
      <c r="AD627" s="652" t="s">
        <v>113</v>
      </c>
      <c r="AE627" s="653">
        <f t="shared" si="9"/>
        <v>11</v>
      </c>
    </row>
    <row r="628" spans="1:31" ht="105" hidden="1" x14ac:dyDescent="0.25">
      <c r="A628" s="608" t="s">
        <v>3984</v>
      </c>
      <c r="B628" s="601" t="s">
        <v>135</v>
      </c>
      <c r="C628" s="601" t="s">
        <v>2553</v>
      </c>
      <c r="D628" s="602" t="s">
        <v>4386</v>
      </c>
      <c r="E628" s="602" t="s">
        <v>2568</v>
      </c>
      <c r="F628" s="601" t="s">
        <v>1528</v>
      </c>
      <c r="G628" s="602" t="s">
        <v>2156</v>
      </c>
      <c r="H628" s="603">
        <v>5000</v>
      </c>
      <c r="I628" s="604">
        <v>45000000000</v>
      </c>
      <c r="J628" s="599" t="s">
        <v>1454</v>
      </c>
      <c r="K628" s="606" t="s">
        <v>6632</v>
      </c>
      <c r="L628" s="798">
        <v>1779277.62</v>
      </c>
      <c r="M628" s="609" t="s">
        <v>2184</v>
      </c>
      <c r="N628" s="606">
        <v>1779277.62</v>
      </c>
      <c r="O628" s="607">
        <v>42948</v>
      </c>
      <c r="P628" s="958">
        <v>43070.5</v>
      </c>
      <c r="Q628" s="599" t="s">
        <v>108</v>
      </c>
      <c r="R628" s="609" t="s">
        <v>1456</v>
      </c>
      <c r="S628" s="609" t="s">
        <v>1457</v>
      </c>
      <c r="T628" s="599"/>
      <c r="U628" s="599"/>
      <c r="V628" s="599"/>
      <c r="W628" s="599"/>
      <c r="X628" s="599"/>
      <c r="Y628" s="599"/>
      <c r="Z628" s="599"/>
      <c r="AA628" s="609" t="s">
        <v>1458</v>
      </c>
      <c r="AB628" s="642" t="s">
        <v>263</v>
      </c>
      <c r="AC628" s="652"/>
      <c r="AD628" s="652" t="s">
        <v>113</v>
      </c>
      <c r="AE628" s="653">
        <f t="shared" ref="AE628:AE647" si="10">IF(O628=0,,MONTH(O628))</f>
        <v>8</v>
      </c>
    </row>
    <row r="629" spans="1:31" ht="105" hidden="1" x14ac:dyDescent="0.25">
      <c r="A629" s="608" t="s">
        <v>3985</v>
      </c>
      <c r="B629" s="601" t="s">
        <v>2554</v>
      </c>
      <c r="C629" s="601" t="s">
        <v>2555</v>
      </c>
      <c r="D629" s="602" t="s">
        <v>4385</v>
      </c>
      <c r="E629" s="602" t="s">
        <v>2569</v>
      </c>
      <c r="F629" s="601" t="s">
        <v>1528</v>
      </c>
      <c r="G629" s="602" t="s">
        <v>2156</v>
      </c>
      <c r="H629" s="603">
        <v>1000</v>
      </c>
      <c r="I629" s="604">
        <v>45000000000</v>
      </c>
      <c r="J629" s="599" t="s">
        <v>1454</v>
      </c>
      <c r="K629" s="606" t="s">
        <v>1499</v>
      </c>
      <c r="L629" s="798">
        <v>1500000</v>
      </c>
      <c r="M629" s="609" t="s">
        <v>2184</v>
      </c>
      <c r="N629" s="606" t="s">
        <v>2275</v>
      </c>
      <c r="O629" s="607">
        <v>42736.5</v>
      </c>
      <c r="P629" s="607">
        <v>43070.5</v>
      </c>
      <c r="Q629" s="599" t="s">
        <v>100</v>
      </c>
      <c r="R629" s="609" t="s">
        <v>1456</v>
      </c>
      <c r="S629" s="609" t="s">
        <v>1457</v>
      </c>
      <c r="T629" s="599"/>
      <c r="U629" s="599"/>
      <c r="V629" s="599"/>
      <c r="W629" s="599"/>
      <c r="X629" s="599"/>
      <c r="Y629" s="599"/>
      <c r="Z629" s="599"/>
      <c r="AA629" s="609" t="s">
        <v>1458</v>
      </c>
      <c r="AB629" s="642" t="s">
        <v>263</v>
      </c>
      <c r="AC629" s="652"/>
      <c r="AD629" s="652" t="s">
        <v>113</v>
      </c>
      <c r="AE629" s="653">
        <f t="shared" si="10"/>
        <v>1</v>
      </c>
    </row>
    <row r="630" spans="1:31" ht="105" hidden="1" x14ac:dyDescent="0.25">
      <c r="A630" s="608" t="s">
        <v>3986</v>
      </c>
      <c r="B630" s="601" t="s">
        <v>2556</v>
      </c>
      <c r="C630" s="601" t="s">
        <v>2557</v>
      </c>
      <c r="D630" s="602" t="s">
        <v>4384</v>
      </c>
      <c r="E630" s="602" t="s">
        <v>2570</v>
      </c>
      <c r="F630" s="601" t="s">
        <v>1528</v>
      </c>
      <c r="G630" s="602" t="s">
        <v>2156</v>
      </c>
      <c r="H630" s="603">
        <v>100</v>
      </c>
      <c r="I630" s="604" t="s">
        <v>2161</v>
      </c>
      <c r="J630" s="599" t="s">
        <v>1454</v>
      </c>
      <c r="K630" s="606" t="s">
        <v>6882</v>
      </c>
      <c r="L630" s="798">
        <v>1593278.49</v>
      </c>
      <c r="M630" s="609" t="s">
        <v>2184</v>
      </c>
      <c r="N630" s="606">
        <v>1593278.49</v>
      </c>
      <c r="O630" s="607">
        <v>42979</v>
      </c>
      <c r="P630" s="607">
        <v>43070.5</v>
      </c>
      <c r="Q630" s="599" t="s">
        <v>108</v>
      </c>
      <c r="R630" s="609" t="s">
        <v>1456</v>
      </c>
      <c r="S630" s="609" t="s">
        <v>1457</v>
      </c>
      <c r="T630" s="599"/>
      <c r="U630" s="599"/>
      <c r="V630" s="599"/>
      <c r="W630" s="599"/>
      <c r="X630" s="599"/>
      <c r="Y630" s="599"/>
      <c r="Z630" s="599"/>
      <c r="AA630" s="609" t="s">
        <v>1458</v>
      </c>
      <c r="AB630" s="642" t="s">
        <v>263</v>
      </c>
      <c r="AC630" s="652"/>
      <c r="AD630" s="652" t="s">
        <v>113</v>
      </c>
      <c r="AE630" s="653">
        <f t="shared" si="10"/>
        <v>9</v>
      </c>
    </row>
    <row r="631" spans="1:31" ht="105" hidden="1" x14ac:dyDescent="0.25">
      <c r="A631" s="608" t="s">
        <v>3987</v>
      </c>
      <c r="B631" s="601" t="s">
        <v>1927</v>
      </c>
      <c r="C631" s="601" t="s">
        <v>2162</v>
      </c>
      <c r="D631" s="602" t="s">
        <v>4383</v>
      </c>
      <c r="E631" s="602" t="s">
        <v>2163</v>
      </c>
      <c r="F631" s="601" t="s">
        <v>1528</v>
      </c>
      <c r="G631" s="602" t="s">
        <v>2156</v>
      </c>
      <c r="H631" s="603">
        <v>70</v>
      </c>
      <c r="I631" s="604" t="s">
        <v>2161</v>
      </c>
      <c r="J631" s="599" t="s">
        <v>1454</v>
      </c>
      <c r="K631" s="606" t="s">
        <v>2894</v>
      </c>
      <c r="L631" s="798">
        <v>1036868.47</v>
      </c>
      <c r="M631" s="609" t="s">
        <v>2184</v>
      </c>
      <c r="N631" s="606" t="s">
        <v>2744</v>
      </c>
      <c r="O631" s="607">
        <v>42767.5</v>
      </c>
      <c r="P631" s="607">
        <v>43070.5</v>
      </c>
      <c r="Q631" s="599" t="s">
        <v>108</v>
      </c>
      <c r="R631" s="609" t="s">
        <v>1456</v>
      </c>
      <c r="S631" s="609" t="s">
        <v>1457</v>
      </c>
      <c r="T631" s="609"/>
      <c r="U631" s="609"/>
      <c r="V631" s="609"/>
      <c r="W631" s="609"/>
      <c r="X631" s="599"/>
      <c r="Y631" s="599"/>
      <c r="Z631" s="599"/>
      <c r="AA631" s="609" t="s">
        <v>1458</v>
      </c>
      <c r="AB631" s="642" t="s">
        <v>263</v>
      </c>
      <c r="AC631" s="652"/>
      <c r="AD631" s="652" t="s">
        <v>113</v>
      </c>
      <c r="AE631" s="653">
        <f t="shared" si="10"/>
        <v>2</v>
      </c>
    </row>
    <row r="632" spans="1:31" ht="105" hidden="1" x14ac:dyDescent="0.25">
      <c r="A632" s="608" t="s">
        <v>3988</v>
      </c>
      <c r="B632" s="601" t="s">
        <v>1927</v>
      </c>
      <c r="C632" s="601" t="s">
        <v>2162</v>
      </c>
      <c r="D632" s="602" t="s">
        <v>4382</v>
      </c>
      <c r="E632" s="602" t="s">
        <v>2163</v>
      </c>
      <c r="F632" s="601" t="s">
        <v>1528</v>
      </c>
      <c r="G632" s="602" t="s">
        <v>2156</v>
      </c>
      <c r="H632" s="603">
        <v>5</v>
      </c>
      <c r="I632" s="604" t="s">
        <v>2161</v>
      </c>
      <c r="J632" s="599" t="s">
        <v>1454</v>
      </c>
      <c r="K632" s="606" t="s">
        <v>1637</v>
      </c>
      <c r="L632" s="798">
        <v>1000000</v>
      </c>
      <c r="M632" s="609" t="s">
        <v>2184</v>
      </c>
      <c r="N632" s="606" t="s">
        <v>2164</v>
      </c>
      <c r="O632" s="607">
        <v>42767.5</v>
      </c>
      <c r="P632" s="607">
        <v>42795.5</v>
      </c>
      <c r="Q632" s="599" t="s">
        <v>108</v>
      </c>
      <c r="R632" s="609" t="s">
        <v>1456</v>
      </c>
      <c r="S632" s="609" t="s">
        <v>1457</v>
      </c>
      <c r="T632" s="609"/>
      <c r="U632" s="609"/>
      <c r="V632" s="609"/>
      <c r="W632" s="609"/>
      <c r="X632" s="599"/>
      <c r="Y632" s="599"/>
      <c r="Z632" s="599"/>
      <c r="AA632" s="609" t="s">
        <v>1458</v>
      </c>
      <c r="AB632" s="642" t="s">
        <v>263</v>
      </c>
      <c r="AC632" s="652"/>
      <c r="AD632" s="652" t="s">
        <v>113</v>
      </c>
      <c r="AE632" s="653">
        <f t="shared" si="10"/>
        <v>2</v>
      </c>
    </row>
    <row r="633" spans="1:31" ht="105" hidden="1" x14ac:dyDescent="0.25">
      <c r="A633" s="608" t="s">
        <v>3989</v>
      </c>
      <c r="B633" s="601" t="s">
        <v>1534</v>
      </c>
      <c r="C633" s="601" t="s">
        <v>2165</v>
      </c>
      <c r="D633" s="602" t="s">
        <v>3000</v>
      </c>
      <c r="E633" s="602" t="s">
        <v>1464</v>
      </c>
      <c r="F633" s="601" t="s">
        <v>1528</v>
      </c>
      <c r="G633" s="602" t="s">
        <v>2156</v>
      </c>
      <c r="H633" s="603">
        <v>1</v>
      </c>
      <c r="I633" s="604" t="s">
        <v>2161</v>
      </c>
      <c r="J633" s="599" t="s">
        <v>1454</v>
      </c>
      <c r="K633" s="606" t="s">
        <v>8211</v>
      </c>
      <c r="L633" s="798">
        <v>2700000</v>
      </c>
      <c r="M633" s="838" t="s">
        <v>4825</v>
      </c>
      <c r="N633" s="606">
        <v>2700000</v>
      </c>
      <c r="O633" s="607">
        <v>42826</v>
      </c>
      <c r="P633" s="607">
        <v>43466.5</v>
      </c>
      <c r="Q633" s="599" t="s">
        <v>106</v>
      </c>
      <c r="R633" s="609" t="s">
        <v>1456</v>
      </c>
      <c r="S633" s="609" t="s">
        <v>1457</v>
      </c>
      <c r="T633" s="609"/>
      <c r="U633" s="609"/>
      <c r="V633" s="609"/>
      <c r="W633" s="609"/>
      <c r="X633" s="599"/>
      <c r="Y633" s="599"/>
      <c r="Z633" s="599"/>
      <c r="AA633" s="609" t="s">
        <v>1458</v>
      </c>
      <c r="AB633" s="642" t="s">
        <v>263</v>
      </c>
      <c r="AC633" s="652"/>
      <c r="AD633" s="652" t="s">
        <v>113</v>
      </c>
      <c r="AE633" s="653">
        <f t="shared" si="10"/>
        <v>4</v>
      </c>
    </row>
    <row r="634" spans="1:31" ht="105" hidden="1" x14ac:dyDescent="0.25">
      <c r="A634" s="608" t="s">
        <v>3990</v>
      </c>
      <c r="B634" s="601" t="s">
        <v>2167</v>
      </c>
      <c r="C634" s="601" t="s">
        <v>2168</v>
      </c>
      <c r="D634" s="602" t="s">
        <v>5318</v>
      </c>
      <c r="E634" s="602" t="s">
        <v>2169</v>
      </c>
      <c r="F634" s="601" t="s">
        <v>1645</v>
      </c>
      <c r="G634" s="602" t="s">
        <v>2259</v>
      </c>
      <c r="H634" s="603">
        <v>1343.5</v>
      </c>
      <c r="I634" s="604" t="s">
        <v>2161</v>
      </c>
      <c r="J634" s="599" t="s">
        <v>1454</v>
      </c>
      <c r="K634" s="606" t="s">
        <v>2895</v>
      </c>
      <c r="L634" s="798">
        <v>707240.4</v>
      </c>
      <c r="M634" s="609" t="s">
        <v>2184</v>
      </c>
      <c r="N634" s="606" t="s">
        <v>2745</v>
      </c>
      <c r="O634" s="607">
        <v>42736.5</v>
      </c>
      <c r="P634" s="607">
        <v>42767.5</v>
      </c>
      <c r="Q634" s="599" t="s">
        <v>108</v>
      </c>
      <c r="R634" s="609" t="s">
        <v>1456</v>
      </c>
      <c r="S634" s="609" t="s">
        <v>1457</v>
      </c>
      <c r="T634" s="609"/>
      <c r="U634" s="609"/>
      <c r="V634" s="609"/>
      <c r="W634" s="609"/>
      <c r="X634" s="599"/>
      <c r="Y634" s="599"/>
      <c r="Z634" s="599"/>
      <c r="AA634" s="609" t="s">
        <v>1458</v>
      </c>
      <c r="AB634" s="642" t="s">
        <v>263</v>
      </c>
      <c r="AC634" s="652"/>
      <c r="AD634" s="652" t="s">
        <v>113</v>
      </c>
      <c r="AE634" s="653">
        <f t="shared" si="10"/>
        <v>1</v>
      </c>
    </row>
    <row r="635" spans="1:31" ht="105" hidden="1" x14ac:dyDescent="0.25">
      <c r="A635" s="608" t="s">
        <v>3991</v>
      </c>
      <c r="B635" s="601" t="s">
        <v>2171</v>
      </c>
      <c r="C635" s="601" t="s">
        <v>2172</v>
      </c>
      <c r="D635" s="602" t="s">
        <v>4381</v>
      </c>
      <c r="E635" s="602" t="s">
        <v>2173</v>
      </c>
      <c r="F635" s="601" t="s">
        <v>1528</v>
      </c>
      <c r="G635" s="602" t="s">
        <v>2156</v>
      </c>
      <c r="H635" s="603">
        <v>300</v>
      </c>
      <c r="I635" s="604" t="s">
        <v>2161</v>
      </c>
      <c r="J635" s="599" t="s">
        <v>1454</v>
      </c>
      <c r="K635" s="606" t="s">
        <v>2896</v>
      </c>
      <c r="L635" s="798">
        <v>543275.67000000004</v>
      </c>
      <c r="M635" s="609" t="s">
        <v>2184</v>
      </c>
      <c r="N635" s="606" t="s">
        <v>2746</v>
      </c>
      <c r="O635" s="607">
        <v>42736.5</v>
      </c>
      <c r="P635" s="607">
        <v>43070.5</v>
      </c>
      <c r="Q635" s="599" t="s">
        <v>110</v>
      </c>
      <c r="R635" s="599" t="s">
        <v>2174</v>
      </c>
      <c r="S635" s="599" t="s">
        <v>1455</v>
      </c>
      <c r="T635" s="609"/>
      <c r="U635" s="609"/>
      <c r="V635" s="609"/>
      <c r="W635" s="609" t="s">
        <v>67</v>
      </c>
      <c r="X635" s="599">
        <v>7717043113</v>
      </c>
      <c r="Y635" s="599" t="s">
        <v>2185</v>
      </c>
      <c r="Z635" s="599">
        <v>543275.67000000004</v>
      </c>
      <c r="AA635" s="609" t="s">
        <v>1458</v>
      </c>
      <c r="AB635" s="642" t="s">
        <v>263</v>
      </c>
      <c r="AC635" s="652"/>
      <c r="AD635" s="652" t="s">
        <v>113</v>
      </c>
      <c r="AE635" s="653">
        <f t="shared" si="10"/>
        <v>1</v>
      </c>
    </row>
    <row r="636" spans="1:31" ht="105" hidden="1" x14ac:dyDescent="0.25">
      <c r="A636" s="608" t="s">
        <v>3992</v>
      </c>
      <c r="B636" s="601" t="s">
        <v>2175</v>
      </c>
      <c r="C636" s="601" t="s">
        <v>2175</v>
      </c>
      <c r="D636" s="602" t="s">
        <v>5317</v>
      </c>
      <c r="E636" s="602" t="s">
        <v>2022</v>
      </c>
      <c r="F636" s="601" t="s">
        <v>1528</v>
      </c>
      <c r="G636" s="602" t="s">
        <v>2156</v>
      </c>
      <c r="H636" s="603">
        <v>1</v>
      </c>
      <c r="I636" s="604" t="s">
        <v>2161</v>
      </c>
      <c r="J636" s="599" t="s">
        <v>1454</v>
      </c>
      <c r="K636" s="606" t="s">
        <v>2897</v>
      </c>
      <c r="L636" s="798">
        <v>922566.67</v>
      </c>
      <c r="M636" s="609" t="s">
        <v>2184</v>
      </c>
      <c r="N636" s="606" t="s">
        <v>2747</v>
      </c>
      <c r="O636" s="607">
        <v>42736.5</v>
      </c>
      <c r="P636" s="607">
        <v>43070.5</v>
      </c>
      <c r="Q636" s="599" t="s">
        <v>108</v>
      </c>
      <c r="R636" s="599" t="s">
        <v>1456</v>
      </c>
      <c r="S636" s="609" t="s">
        <v>1457</v>
      </c>
      <c r="T636" s="609"/>
      <c r="U636" s="609"/>
      <c r="V636" s="609"/>
      <c r="W636" s="609"/>
      <c r="X636" s="639"/>
      <c r="Y636" s="639"/>
      <c r="Z636" s="639"/>
      <c r="AA636" s="609" t="s">
        <v>1458</v>
      </c>
      <c r="AB636" s="642" t="s">
        <v>263</v>
      </c>
      <c r="AC636" s="652"/>
      <c r="AD636" s="652" t="s">
        <v>113</v>
      </c>
      <c r="AE636" s="653">
        <f t="shared" si="10"/>
        <v>1</v>
      </c>
    </row>
    <row r="637" spans="1:31" ht="105" hidden="1" x14ac:dyDescent="0.25">
      <c r="A637" s="608" t="s">
        <v>3993</v>
      </c>
      <c r="B637" s="601" t="s">
        <v>1917</v>
      </c>
      <c r="C637" s="601" t="s">
        <v>1917</v>
      </c>
      <c r="D637" s="602" t="s">
        <v>5316</v>
      </c>
      <c r="E637" s="602" t="s">
        <v>1657</v>
      </c>
      <c r="F637" s="601" t="s">
        <v>1587</v>
      </c>
      <c r="G637" s="602" t="s">
        <v>2256</v>
      </c>
      <c r="H637" s="603">
        <v>1</v>
      </c>
      <c r="I637" s="604" t="s">
        <v>2161</v>
      </c>
      <c r="J637" s="599" t="s">
        <v>1454</v>
      </c>
      <c r="K637" s="606" t="s">
        <v>2898</v>
      </c>
      <c r="L637" s="798">
        <v>211597.3</v>
      </c>
      <c r="M637" s="838" t="s">
        <v>4825</v>
      </c>
      <c r="N637" s="606" t="s">
        <v>2748</v>
      </c>
      <c r="O637" s="607">
        <v>42736.5</v>
      </c>
      <c r="P637" s="607">
        <v>43070.5</v>
      </c>
      <c r="Q637" s="599" t="s">
        <v>108</v>
      </c>
      <c r="R637" s="599" t="s">
        <v>1456</v>
      </c>
      <c r="S637" s="609" t="s">
        <v>1457</v>
      </c>
      <c r="T637" s="609"/>
      <c r="U637" s="609"/>
      <c r="V637" s="609"/>
      <c r="W637" s="609"/>
      <c r="X637" s="599"/>
      <c r="Y637" s="599"/>
      <c r="Z637" s="599"/>
      <c r="AA637" s="609" t="s">
        <v>1458</v>
      </c>
      <c r="AB637" s="642" t="s">
        <v>263</v>
      </c>
      <c r="AC637" s="652"/>
      <c r="AD637" s="652" t="s">
        <v>113</v>
      </c>
      <c r="AE637" s="653">
        <f t="shared" si="10"/>
        <v>1</v>
      </c>
    </row>
    <row r="638" spans="1:31" ht="105" hidden="1" x14ac:dyDescent="0.25">
      <c r="A638" s="608" t="s">
        <v>3994</v>
      </c>
      <c r="B638" s="601" t="s">
        <v>1917</v>
      </c>
      <c r="C638" s="601" t="s">
        <v>1917</v>
      </c>
      <c r="D638" s="602" t="s">
        <v>5315</v>
      </c>
      <c r="E638" s="602" t="s">
        <v>1657</v>
      </c>
      <c r="F638" s="601" t="s">
        <v>1587</v>
      </c>
      <c r="G638" s="602" t="s">
        <v>2256</v>
      </c>
      <c r="H638" s="603">
        <v>1</v>
      </c>
      <c r="I638" s="604" t="s">
        <v>2161</v>
      </c>
      <c r="J638" s="599" t="s">
        <v>1454</v>
      </c>
      <c r="K638" s="606" t="s">
        <v>8303</v>
      </c>
      <c r="L638" s="798">
        <v>316546.93</v>
      </c>
      <c r="M638" s="838" t="s">
        <v>4825</v>
      </c>
      <c r="N638" s="606">
        <v>316546.93</v>
      </c>
      <c r="O638" s="607">
        <v>42736.5</v>
      </c>
      <c r="P638" s="607">
        <v>43070.5</v>
      </c>
      <c r="Q638" s="599" t="s">
        <v>108</v>
      </c>
      <c r="R638" s="599" t="s">
        <v>1456</v>
      </c>
      <c r="S638" s="609" t="s">
        <v>1457</v>
      </c>
      <c r="T638" s="609"/>
      <c r="U638" s="609"/>
      <c r="V638" s="609"/>
      <c r="W638" s="609"/>
      <c r="X638" s="599"/>
      <c r="Y638" s="599"/>
      <c r="Z638" s="599"/>
      <c r="AA638" s="609" t="s">
        <v>1458</v>
      </c>
      <c r="AB638" s="642" t="s">
        <v>263</v>
      </c>
      <c r="AC638" s="652"/>
      <c r="AD638" s="652" t="s">
        <v>113</v>
      </c>
      <c r="AE638" s="653">
        <f t="shared" si="10"/>
        <v>1</v>
      </c>
    </row>
    <row r="639" spans="1:31" ht="105" hidden="1" x14ac:dyDescent="0.25">
      <c r="A639" s="608" t="s">
        <v>3995</v>
      </c>
      <c r="B639" s="601" t="s">
        <v>1951</v>
      </c>
      <c r="C639" s="601" t="s">
        <v>1951</v>
      </c>
      <c r="D639" s="602" t="s">
        <v>3001</v>
      </c>
      <c r="E639" s="602" t="s">
        <v>1948</v>
      </c>
      <c r="F639" s="601" t="s">
        <v>1587</v>
      </c>
      <c r="G639" s="602" t="s">
        <v>2256</v>
      </c>
      <c r="H639" s="603">
        <v>22</v>
      </c>
      <c r="I639" s="604" t="s">
        <v>2161</v>
      </c>
      <c r="J639" s="599" t="s">
        <v>1454</v>
      </c>
      <c r="K639" s="606" t="s">
        <v>2899</v>
      </c>
      <c r="L639" s="798">
        <v>264753.31</v>
      </c>
      <c r="M639" s="838" t="s">
        <v>4813</v>
      </c>
      <c r="N639" s="606" t="s">
        <v>2749</v>
      </c>
      <c r="O639" s="607">
        <v>42736.5</v>
      </c>
      <c r="P639" s="607">
        <v>42826</v>
      </c>
      <c r="Q639" s="599" t="s">
        <v>110</v>
      </c>
      <c r="R639" s="599" t="s">
        <v>2174</v>
      </c>
      <c r="S639" s="599" t="s">
        <v>1455</v>
      </c>
      <c r="T639" s="609"/>
      <c r="U639" s="609"/>
      <c r="V639" s="609"/>
      <c r="W639" s="599" t="s">
        <v>73</v>
      </c>
      <c r="X639" s="657" t="s">
        <v>2381</v>
      </c>
      <c r="Y639" s="599" t="s">
        <v>2380</v>
      </c>
      <c r="Z639" s="599">
        <v>264753.31</v>
      </c>
      <c r="AA639" s="609" t="s">
        <v>1458</v>
      </c>
      <c r="AB639" s="642" t="s">
        <v>263</v>
      </c>
      <c r="AC639" s="652"/>
      <c r="AD639" s="652" t="s">
        <v>113</v>
      </c>
      <c r="AE639" s="653">
        <f t="shared" si="10"/>
        <v>1</v>
      </c>
    </row>
    <row r="640" spans="1:31" ht="105" hidden="1" x14ac:dyDescent="0.25">
      <c r="A640" s="608" t="s">
        <v>3996</v>
      </c>
      <c r="B640" s="601" t="s">
        <v>1961</v>
      </c>
      <c r="C640" s="601" t="s">
        <v>1961</v>
      </c>
      <c r="D640" s="602" t="s">
        <v>5314</v>
      </c>
      <c r="E640" s="602" t="s">
        <v>1948</v>
      </c>
      <c r="F640" s="601" t="s">
        <v>1528</v>
      </c>
      <c r="G640" s="602" t="s">
        <v>2156</v>
      </c>
      <c r="H640" s="603">
        <v>80</v>
      </c>
      <c r="I640" s="604" t="s">
        <v>2161</v>
      </c>
      <c r="J640" s="599" t="s">
        <v>1454</v>
      </c>
      <c r="K640" s="606" t="s">
        <v>2900</v>
      </c>
      <c r="L640" s="798">
        <v>180304</v>
      </c>
      <c r="M640" s="838" t="s">
        <v>4813</v>
      </c>
      <c r="N640" s="606" t="s">
        <v>2750</v>
      </c>
      <c r="O640" s="607">
        <v>42767.5</v>
      </c>
      <c r="P640" s="607">
        <v>42795</v>
      </c>
      <c r="Q640" s="599" t="s">
        <v>110</v>
      </c>
      <c r="R640" s="599" t="s">
        <v>2174</v>
      </c>
      <c r="S640" s="599" t="s">
        <v>1455</v>
      </c>
      <c r="T640" s="609"/>
      <c r="U640" s="609"/>
      <c r="V640" s="609"/>
      <c r="W640" s="599" t="s">
        <v>73</v>
      </c>
      <c r="X640" s="654" t="s">
        <v>2385</v>
      </c>
      <c r="Y640" s="654" t="s">
        <v>2384</v>
      </c>
      <c r="Z640" s="599"/>
      <c r="AA640" s="609" t="s">
        <v>1458</v>
      </c>
      <c r="AB640" s="642" t="s">
        <v>263</v>
      </c>
      <c r="AC640" s="652"/>
      <c r="AD640" s="652" t="s">
        <v>113</v>
      </c>
      <c r="AE640" s="653">
        <f t="shared" si="10"/>
        <v>2</v>
      </c>
    </row>
    <row r="641" spans="1:31" ht="105" hidden="1" x14ac:dyDescent="0.25">
      <c r="A641" s="608" t="s">
        <v>3997</v>
      </c>
      <c r="B641" s="601" t="s">
        <v>230</v>
      </c>
      <c r="C641" s="601" t="s">
        <v>230</v>
      </c>
      <c r="D641" s="602" t="s">
        <v>5313</v>
      </c>
      <c r="E641" s="602" t="s">
        <v>1948</v>
      </c>
      <c r="F641" s="601" t="s">
        <v>1528</v>
      </c>
      <c r="G641" s="602" t="s">
        <v>2156</v>
      </c>
      <c r="H641" s="603">
        <v>9</v>
      </c>
      <c r="I641" s="604" t="s">
        <v>2161</v>
      </c>
      <c r="J641" s="599" t="s">
        <v>1454</v>
      </c>
      <c r="K641" s="606" t="s">
        <v>2901</v>
      </c>
      <c r="L641" s="798">
        <v>98208</v>
      </c>
      <c r="M641" s="609" t="s">
        <v>2184</v>
      </c>
      <c r="N641" s="606" t="s">
        <v>2751</v>
      </c>
      <c r="O641" s="607">
        <v>42767.5</v>
      </c>
      <c r="P641" s="607">
        <v>42795</v>
      </c>
      <c r="Q641" s="599" t="s">
        <v>110</v>
      </c>
      <c r="R641" s="599" t="s">
        <v>2174</v>
      </c>
      <c r="S641" s="599" t="s">
        <v>1455</v>
      </c>
      <c r="T641" s="609"/>
      <c r="U641" s="609"/>
      <c r="V641" s="609"/>
      <c r="W641" s="599" t="s">
        <v>73</v>
      </c>
      <c r="X641" s="654" t="s">
        <v>2387</v>
      </c>
      <c r="Y641" s="654" t="s">
        <v>2386</v>
      </c>
      <c r="Z641" s="599"/>
      <c r="AA641" s="609" t="s">
        <v>1458</v>
      </c>
      <c r="AB641" s="642" t="s">
        <v>263</v>
      </c>
      <c r="AC641" s="652"/>
      <c r="AD641" s="652" t="s">
        <v>113</v>
      </c>
      <c r="AE641" s="653">
        <f t="shared" si="10"/>
        <v>2</v>
      </c>
    </row>
    <row r="642" spans="1:31" ht="105" hidden="1" x14ac:dyDescent="0.25">
      <c r="A642" s="608" t="s">
        <v>3998</v>
      </c>
      <c r="B642" s="601" t="s">
        <v>1941</v>
      </c>
      <c r="C642" s="601" t="s">
        <v>1941</v>
      </c>
      <c r="D642" s="602" t="s">
        <v>4380</v>
      </c>
      <c r="E642" s="602" t="s">
        <v>1948</v>
      </c>
      <c r="F642" s="601" t="s">
        <v>1587</v>
      </c>
      <c r="G642" s="602" t="s">
        <v>2256</v>
      </c>
      <c r="H642" s="603">
        <v>13</v>
      </c>
      <c r="I642" s="604" t="s">
        <v>2161</v>
      </c>
      <c r="J642" s="599" t="s">
        <v>1454</v>
      </c>
      <c r="K642" s="606" t="s">
        <v>8297</v>
      </c>
      <c r="L642" s="798">
        <v>212146.48</v>
      </c>
      <c r="M642" s="609" t="s">
        <v>2184</v>
      </c>
      <c r="N642" s="606">
        <v>212146.48</v>
      </c>
      <c r="O642" s="607">
        <v>42767.5</v>
      </c>
      <c r="P642" s="607">
        <v>42795</v>
      </c>
      <c r="Q642" s="599" t="s">
        <v>110</v>
      </c>
      <c r="R642" s="599" t="s">
        <v>2174</v>
      </c>
      <c r="S642" s="599" t="s">
        <v>1455</v>
      </c>
      <c r="T642" s="609"/>
      <c r="U642" s="609"/>
      <c r="V642" s="609"/>
      <c r="W642" s="609" t="s">
        <v>73</v>
      </c>
      <c r="X642" s="599">
        <v>5024022965</v>
      </c>
      <c r="Y642" s="599" t="s">
        <v>2357</v>
      </c>
      <c r="Z642" s="599">
        <v>212146.48</v>
      </c>
      <c r="AA642" s="609" t="s">
        <v>1458</v>
      </c>
      <c r="AB642" s="642" t="s">
        <v>263</v>
      </c>
      <c r="AC642" s="652"/>
      <c r="AD642" s="652" t="s">
        <v>113</v>
      </c>
      <c r="AE642" s="653">
        <f t="shared" si="10"/>
        <v>2</v>
      </c>
    </row>
    <row r="643" spans="1:31" ht="105" hidden="1" x14ac:dyDescent="0.25">
      <c r="A643" s="608" t="s">
        <v>3999</v>
      </c>
      <c r="B643" s="601" t="s">
        <v>2176</v>
      </c>
      <c r="C643" s="601" t="s">
        <v>2176</v>
      </c>
      <c r="D643" s="602" t="s">
        <v>5312</v>
      </c>
      <c r="E643" s="602" t="s">
        <v>1948</v>
      </c>
      <c r="F643" s="601" t="s">
        <v>1528</v>
      </c>
      <c r="G643" s="602" t="s">
        <v>2156</v>
      </c>
      <c r="H643" s="603">
        <v>131</v>
      </c>
      <c r="I643" s="604" t="s">
        <v>2161</v>
      </c>
      <c r="J643" s="599" t="s">
        <v>1454</v>
      </c>
      <c r="K643" s="606" t="s">
        <v>2902</v>
      </c>
      <c r="L643" s="798">
        <v>1233690</v>
      </c>
      <c r="M643" s="838" t="s">
        <v>4813</v>
      </c>
      <c r="N643" s="606" t="s">
        <v>2752</v>
      </c>
      <c r="O643" s="607">
        <v>42767.5</v>
      </c>
      <c r="P643" s="607">
        <v>42948</v>
      </c>
      <c r="Q643" s="599" t="s">
        <v>110</v>
      </c>
      <c r="R643" s="599" t="s">
        <v>2174</v>
      </c>
      <c r="S643" s="599" t="s">
        <v>1455</v>
      </c>
      <c r="T643" s="609"/>
      <c r="U643" s="609"/>
      <c r="V643" s="609"/>
      <c r="W643" s="609" t="s">
        <v>73</v>
      </c>
      <c r="X643" s="654" t="s">
        <v>2369</v>
      </c>
      <c r="Y643" s="654" t="s">
        <v>2370</v>
      </c>
      <c r="Z643" s="654" t="s">
        <v>2371</v>
      </c>
      <c r="AA643" s="609" t="s">
        <v>1458</v>
      </c>
      <c r="AB643" s="642" t="s">
        <v>263</v>
      </c>
      <c r="AC643" s="652"/>
      <c r="AD643" s="652" t="s">
        <v>113</v>
      </c>
      <c r="AE643" s="653">
        <f t="shared" si="10"/>
        <v>2</v>
      </c>
    </row>
    <row r="644" spans="1:31" ht="105" hidden="1" x14ac:dyDescent="0.25">
      <c r="A644" s="608" t="s">
        <v>4000</v>
      </c>
      <c r="B644" s="601" t="s">
        <v>1951</v>
      </c>
      <c r="C644" s="601" t="s">
        <v>1951</v>
      </c>
      <c r="D644" s="602" t="s">
        <v>4379</v>
      </c>
      <c r="E644" s="602" t="s">
        <v>1948</v>
      </c>
      <c r="F644" s="601" t="s">
        <v>1587</v>
      </c>
      <c r="G644" s="602" t="s">
        <v>2256</v>
      </c>
      <c r="H644" s="603">
        <v>18</v>
      </c>
      <c r="I644" s="604" t="s">
        <v>2161</v>
      </c>
      <c r="J644" s="599" t="s">
        <v>1454</v>
      </c>
      <c r="K644" s="606" t="s">
        <v>2903</v>
      </c>
      <c r="L644" s="798">
        <v>216616.34</v>
      </c>
      <c r="M644" s="838" t="s">
        <v>4813</v>
      </c>
      <c r="N644" s="606" t="s">
        <v>2753</v>
      </c>
      <c r="O644" s="607">
        <v>42795</v>
      </c>
      <c r="P644" s="607">
        <v>42826</v>
      </c>
      <c r="Q644" s="599" t="s">
        <v>110</v>
      </c>
      <c r="R644" s="599" t="s">
        <v>2174</v>
      </c>
      <c r="S644" s="599" t="s">
        <v>1455</v>
      </c>
      <c r="T644" s="609"/>
      <c r="U644" s="609"/>
      <c r="V644" s="609"/>
      <c r="W644" s="609" t="s">
        <v>73</v>
      </c>
      <c r="X644" s="657" t="s">
        <v>2381</v>
      </c>
      <c r="Y644" s="599" t="s">
        <v>2380</v>
      </c>
      <c r="Z644" s="599"/>
      <c r="AA644" s="609" t="s">
        <v>1458</v>
      </c>
      <c r="AB644" s="642" t="s">
        <v>263</v>
      </c>
      <c r="AC644" s="652"/>
      <c r="AD644" s="652" t="s">
        <v>113</v>
      </c>
      <c r="AE644" s="653">
        <f t="shared" si="10"/>
        <v>3</v>
      </c>
    </row>
    <row r="645" spans="1:31" ht="105" hidden="1" x14ac:dyDescent="0.25">
      <c r="A645" s="608" t="s">
        <v>4001</v>
      </c>
      <c r="B645" s="601" t="s">
        <v>1851</v>
      </c>
      <c r="C645" s="601" t="s">
        <v>1851</v>
      </c>
      <c r="D645" s="602" t="s">
        <v>5311</v>
      </c>
      <c r="E645" s="602" t="s">
        <v>1948</v>
      </c>
      <c r="F645" s="601" t="s">
        <v>1528</v>
      </c>
      <c r="G645" s="602" t="s">
        <v>2156</v>
      </c>
      <c r="H645" s="603">
        <v>182</v>
      </c>
      <c r="I645" s="604" t="s">
        <v>2161</v>
      </c>
      <c r="J645" s="599" t="s">
        <v>1454</v>
      </c>
      <c r="K645" s="606" t="s">
        <v>2904</v>
      </c>
      <c r="L645" s="798">
        <v>511238.33</v>
      </c>
      <c r="M645" s="609" t="s">
        <v>4813</v>
      </c>
      <c r="N645" s="606" t="s">
        <v>2754</v>
      </c>
      <c r="O645" s="607">
        <v>42795</v>
      </c>
      <c r="P645" s="607">
        <v>42948</v>
      </c>
      <c r="Q645" s="599" t="s">
        <v>110</v>
      </c>
      <c r="R645" s="599" t="s">
        <v>2174</v>
      </c>
      <c r="S645" s="599" t="s">
        <v>1455</v>
      </c>
      <c r="T645" s="609"/>
      <c r="U645" s="609"/>
      <c r="V645" s="609"/>
      <c r="W645" s="609" t="s">
        <v>73</v>
      </c>
      <c r="X645" s="654" t="s">
        <v>2389</v>
      </c>
      <c r="Y645" s="654" t="s">
        <v>2388</v>
      </c>
      <c r="Z645" s="599">
        <v>511238.33</v>
      </c>
      <c r="AA645" s="609" t="s">
        <v>1458</v>
      </c>
      <c r="AB645" s="642" t="s">
        <v>263</v>
      </c>
      <c r="AC645" s="652"/>
      <c r="AD645" s="652" t="s">
        <v>113</v>
      </c>
      <c r="AE645" s="653">
        <f t="shared" si="10"/>
        <v>3</v>
      </c>
    </row>
    <row r="646" spans="1:31" ht="105" hidden="1" x14ac:dyDescent="0.25">
      <c r="A646" s="608" t="s">
        <v>4002</v>
      </c>
      <c r="B646" s="601" t="s">
        <v>1727</v>
      </c>
      <c r="C646" s="601" t="s">
        <v>2177</v>
      </c>
      <c r="D646" s="602" t="s">
        <v>5310</v>
      </c>
      <c r="E646" s="602" t="s">
        <v>2178</v>
      </c>
      <c r="F646" s="601" t="s">
        <v>1528</v>
      </c>
      <c r="G646" s="602" t="s">
        <v>2156</v>
      </c>
      <c r="H646" s="603">
        <v>640</v>
      </c>
      <c r="I646" s="604" t="s">
        <v>2161</v>
      </c>
      <c r="J646" s="599" t="s">
        <v>1454</v>
      </c>
      <c r="K646" s="606" t="s">
        <v>2905</v>
      </c>
      <c r="L646" s="798">
        <v>126873</v>
      </c>
      <c r="M646" s="609" t="s">
        <v>2184</v>
      </c>
      <c r="N646" s="606" t="s">
        <v>2755</v>
      </c>
      <c r="O646" s="607">
        <v>42736</v>
      </c>
      <c r="P646" s="607">
        <v>43070</v>
      </c>
      <c r="Q646" s="599" t="s">
        <v>110</v>
      </c>
      <c r="R646" s="599" t="s">
        <v>2174</v>
      </c>
      <c r="S646" s="599" t="s">
        <v>1455</v>
      </c>
      <c r="T646" s="609"/>
      <c r="U646" s="609"/>
      <c r="V646" s="609"/>
      <c r="W646" s="609" t="s">
        <v>73</v>
      </c>
      <c r="X646" s="654" t="s">
        <v>2391</v>
      </c>
      <c r="Y646" s="654" t="s">
        <v>2390</v>
      </c>
      <c r="Z646" s="599"/>
      <c r="AA646" s="609" t="s">
        <v>1458</v>
      </c>
      <c r="AB646" s="642" t="s">
        <v>263</v>
      </c>
      <c r="AC646" s="652"/>
      <c r="AD646" s="652" t="s">
        <v>113</v>
      </c>
      <c r="AE646" s="653">
        <f t="shared" si="10"/>
        <v>1</v>
      </c>
    </row>
    <row r="647" spans="1:31" ht="105" hidden="1" x14ac:dyDescent="0.25">
      <c r="A647" s="608" t="s">
        <v>4003</v>
      </c>
      <c r="B647" s="601" t="s">
        <v>1727</v>
      </c>
      <c r="C647" s="601" t="s">
        <v>2177</v>
      </c>
      <c r="D647" s="602" t="s">
        <v>5309</v>
      </c>
      <c r="E647" s="602" t="s">
        <v>2178</v>
      </c>
      <c r="F647" s="601" t="s">
        <v>1528</v>
      </c>
      <c r="G647" s="602" t="s">
        <v>2156</v>
      </c>
      <c r="H647" s="603">
        <v>1140</v>
      </c>
      <c r="I647" s="604" t="s">
        <v>2161</v>
      </c>
      <c r="J647" s="599" t="s">
        <v>1454</v>
      </c>
      <c r="K647" s="606" t="s">
        <v>2906</v>
      </c>
      <c r="L647" s="798">
        <v>225993</v>
      </c>
      <c r="M647" s="609" t="s">
        <v>2184</v>
      </c>
      <c r="N647" s="606" t="s">
        <v>2756</v>
      </c>
      <c r="O647" s="607">
        <v>42736</v>
      </c>
      <c r="P647" s="607">
        <v>43070</v>
      </c>
      <c r="Q647" s="599" t="s">
        <v>110</v>
      </c>
      <c r="R647" s="599" t="s">
        <v>2174</v>
      </c>
      <c r="S647" s="599" t="s">
        <v>1455</v>
      </c>
      <c r="T647" s="609"/>
      <c r="U647" s="609"/>
      <c r="V647" s="609"/>
      <c r="W647" s="609" t="s">
        <v>73</v>
      </c>
      <c r="X647" s="654" t="s">
        <v>2391</v>
      </c>
      <c r="Y647" s="654" t="s">
        <v>2390</v>
      </c>
      <c r="Z647" s="599"/>
      <c r="AA647" s="609" t="s">
        <v>1458</v>
      </c>
      <c r="AB647" s="642" t="s">
        <v>263</v>
      </c>
      <c r="AC647" s="652"/>
      <c r="AD647" s="652" t="s">
        <v>113</v>
      </c>
      <c r="AE647" s="653">
        <f t="shared" si="10"/>
        <v>1</v>
      </c>
    </row>
    <row r="648" spans="1:31" ht="105" hidden="1" x14ac:dyDescent="0.25">
      <c r="A648" s="608" t="s">
        <v>4004</v>
      </c>
      <c r="B648" s="601" t="s">
        <v>2190</v>
      </c>
      <c r="C648" s="601" t="s">
        <v>2191</v>
      </c>
      <c r="D648" s="602" t="s">
        <v>4378</v>
      </c>
      <c r="E648" s="602" t="s">
        <v>2223</v>
      </c>
      <c r="F648" s="601" t="s">
        <v>1528</v>
      </c>
      <c r="G648" s="602" t="s">
        <v>2156</v>
      </c>
      <c r="H648" s="603">
        <v>9</v>
      </c>
      <c r="I648" s="604" t="s">
        <v>2161</v>
      </c>
      <c r="J648" s="599" t="s">
        <v>1454</v>
      </c>
      <c r="K648" s="606" t="s">
        <v>2907</v>
      </c>
      <c r="L648" s="798">
        <v>220180</v>
      </c>
      <c r="M648" s="609" t="s">
        <v>2184</v>
      </c>
      <c r="N648" s="606" t="s">
        <v>2262</v>
      </c>
      <c r="O648" s="607">
        <v>42736</v>
      </c>
      <c r="P648" s="607">
        <v>42767.5</v>
      </c>
      <c r="Q648" s="634" t="s">
        <v>110</v>
      </c>
      <c r="R648" s="599" t="s">
        <v>2174</v>
      </c>
      <c r="S648" s="599" t="s">
        <v>1455</v>
      </c>
      <c r="T648" s="635"/>
      <c r="U648" s="634"/>
      <c r="V648" s="634"/>
      <c r="W648" s="609" t="s">
        <v>73</v>
      </c>
      <c r="X648" s="638"/>
      <c r="Y648" s="637"/>
      <c r="Z648" s="636"/>
      <c r="AA648" s="609" t="s">
        <v>1458</v>
      </c>
      <c r="AB648" s="642" t="s">
        <v>263</v>
      </c>
      <c r="AC648" s="652"/>
      <c r="AD648" s="652" t="s">
        <v>113</v>
      </c>
      <c r="AE648" s="653">
        <f t="shared" ref="AE648:AE679" si="11">IF(O648=0,,MONTH(O648))</f>
        <v>1</v>
      </c>
    </row>
    <row r="649" spans="1:31" ht="105" hidden="1" x14ac:dyDescent="0.25">
      <c r="A649" s="608" t="s">
        <v>4005</v>
      </c>
      <c r="B649" s="601" t="s">
        <v>1951</v>
      </c>
      <c r="C649" s="601" t="s">
        <v>2192</v>
      </c>
      <c r="D649" s="602" t="s">
        <v>4377</v>
      </c>
      <c r="E649" s="602" t="s">
        <v>2178</v>
      </c>
      <c r="F649" s="601" t="s">
        <v>1528</v>
      </c>
      <c r="G649" s="602" t="s">
        <v>2156</v>
      </c>
      <c r="H649" s="603">
        <v>240</v>
      </c>
      <c r="I649" s="604" t="s">
        <v>2161</v>
      </c>
      <c r="J649" s="599" t="s">
        <v>1454</v>
      </c>
      <c r="K649" s="606" t="s">
        <v>2908</v>
      </c>
      <c r="L649" s="798">
        <v>955800</v>
      </c>
      <c r="M649" s="838" t="s">
        <v>4813</v>
      </c>
      <c r="N649" s="606" t="s">
        <v>2263</v>
      </c>
      <c r="O649" s="607">
        <v>42736</v>
      </c>
      <c r="P649" s="607">
        <v>42795</v>
      </c>
      <c r="Q649" s="634" t="s">
        <v>110</v>
      </c>
      <c r="R649" s="599" t="s">
        <v>2174</v>
      </c>
      <c r="S649" s="599" t="s">
        <v>1455</v>
      </c>
      <c r="T649" s="635"/>
      <c r="U649" s="634"/>
      <c r="V649" s="634"/>
      <c r="W649" s="637" t="s">
        <v>73</v>
      </c>
      <c r="X649" s="638" t="s">
        <v>2337</v>
      </c>
      <c r="Y649" s="637" t="s">
        <v>2338</v>
      </c>
      <c r="Z649" s="636">
        <v>955800</v>
      </c>
      <c r="AA649" s="609" t="s">
        <v>1458</v>
      </c>
      <c r="AB649" s="642" t="s">
        <v>263</v>
      </c>
      <c r="AC649" s="652"/>
      <c r="AD649" s="652" t="s">
        <v>113</v>
      </c>
      <c r="AE649" s="653">
        <f t="shared" si="11"/>
        <v>1</v>
      </c>
    </row>
    <row r="650" spans="1:31" ht="105" hidden="1" x14ac:dyDescent="0.25">
      <c r="A650" s="608" t="s">
        <v>4006</v>
      </c>
      <c r="B650" s="601" t="s">
        <v>2193</v>
      </c>
      <c r="C650" s="601" t="s">
        <v>2194</v>
      </c>
      <c r="D650" s="602" t="s">
        <v>4376</v>
      </c>
      <c r="E650" s="602" t="s">
        <v>2224</v>
      </c>
      <c r="F650" s="601" t="s">
        <v>1528</v>
      </c>
      <c r="G650" s="602" t="s">
        <v>2156</v>
      </c>
      <c r="H650" s="603">
        <v>1</v>
      </c>
      <c r="I650" s="604" t="s">
        <v>2161</v>
      </c>
      <c r="J650" s="599" t="s">
        <v>1454</v>
      </c>
      <c r="K650" s="606" t="s">
        <v>2909</v>
      </c>
      <c r="L650" s="798">
        <v>19000000</v>
      </c>
      <c r="M650" s="609" t="s">
        <v>2184</v>
      </c>
      <c r="N650" s="606" t="s">
        <v>2264</v>
      </c>
      <c r="O650" s="607">
        <v>42736</v>
      </c>
      <c r="P650" s="607">
        <v>42795</v>
      </c>
      <c r="Q650" s="634" t="s">
        <v>100</v>
      </c>
      <c r="R650" s="634" t="s">
        <v>1456</v>
      </c>
      <c r="S650" s="634" t="s">
        <v>1457</v>
      </c>
      <c r="T650" s="635"/>
      <c r="U650" s="634"/>
      <c r="V650" s="634"/>
      <c r="W650" s="637"/>
      <c r="X650" s="638"/>
      <c r="Y650" s="637"/>
      <c r="Z650" s="636"/>
      <c r="AA650" s="609" t="s">
        <v>1458</v>
      </c>
      <c r="AB650" s="642" t="s">
        <v>263</v>
      </c>
      <c r="AC650" s="652"/>
      <c r="AD650" s="652" t="s">
        <v>113</v>
      </c>
      <c r="AE650" s="653">
        <f t="shared" si="11"/>
        <v>1</v>
      </c>
    </row>
    <row r="651" spans="1:31" ht="105" hidden="1" x14ac:dyDescent="0.25">
      <c r="A651" s="608" t="s">
        <v>4007</v>
      </c>
      <c r="B651" s="601" t="s">
        <v>1580</v>
      </c>
      <c r="C651" s="601" t="s">
        <v>1581</v>
      </c>
      <c r="D651" s="602" t="s">
        <v>4375</v>
      </c>
      <c r="E651" s="602" t="s">
        <v>2223</v>
      </c>
      <c r="F651" s="601" t="s">
        <v>1528</v>
      </c>
      <c r="G651" s="602" t="s">
        <v>2156</v>
      </c>
      <c r="H651" s="603">
        <v>1</v>
      </c>
      <c r="I651" s="604" t="s">
        <v>2161</v>
      </c>
      <c r="J651" s="599" t="s">
        <v>1454</v>
      </c>
      <c r="K651" s="606" t="s">
        <v>2910</v>
      </c>
      <c r="L651" s="798">
        <v>2110000</v>
      </c>
      <c r="M651" s="609" t="s">
        <v>2184</v>
      </c>
      <c r="N651" s="606" t="s">
        <v>2265</v>
      </c>
      <c r="O651" s="607">
        <v>42736</v>
      </c>
      <c r="P651" s="607">
        <v>42795</v>
      </c>
      <c r="Q651" s="634" t="s">
        <v>100</v>
      </c>
      <c r="R651" s="634" t="s">
        <v>1456</v>
      </c>
      <c r="S651" s="634" t="s">
        <v>1457</v>
      </c>
      <c r="T651" s="635"/>
      <c r="U651" s="634"/>
      <c r="V651" s="634"/>
      <c r="W651" s="637"/>
      <c r="X651" s="638"/>
      <c r="Y651" s="637"/>
      <c r="Z651" s="636"/>
      <c r="AA651" s="609" t="s">
        <v>1458</v>
      </c>
      <c r="AB651" s="642" t="s">
        <v>263</v>
      </c>
      <c r="AC651" s="652"/>
      <c r="AD651" s="652" t="s">
        <v>113</v>
      </c>
      <c r="AE651" s="653">
        <f t="shared" si="11"/>
        <v>1</v>
      </c>
    </row>
    <row r="652" spans="1:31" ht="105" hidden="1" x14ac:dyDescent="0.25">
      <c r="A652" s="608" t="s">
        <v>4008</v>
      </c>
      <c r="B652" s="601" t="s">
        <v>1580</v>
      </c>
      <c r="C652" s="601" t="s">
        <v>1581</v>
      </c>
      <c r="D652" s="602" t="s">
        <v>4374</v>
      </c>
      <c r="E652" s="602" t="s">
        <v>1582</v>
      </c>
      <c r="F652" s="601" t="s">
        <v>1528</v>
      </c>
      <c r="G652" s="602" t="s">
        <v>2156</v>
      </c>
      <c r="H652" s="603">
        <v>1</v>
      </c>
      <c r="I652" s="604" t="s">
        <v>2161</v>
      </c>
      <c r="J652" s="599" t="s">
        <v>1454</v>
      </c>
      <c r="K652" s="606" t="s">
        <v>6114</v>
      </c>
      <c r="L652" s="841">
        <v>13100000</v>
      </c>
      <c r="M652" s="609" t="s">
        <v>2184</v>
      </c>
      <c r="N652" s="606">
        <v>13100000</v>
      </c>
      <c r="O652" s="607">
        <v>42856</v>
      </c>
      <c r="P652" s="607">
        <v>43040</v>
      </c>
      <c r="Q652" s="634" t="s">
        <v>100</v>
      </c>
      <c r="R652" s="634" t="s">
        <v>1456</v>
      </c>
      <c r="S652" s="634" t="s">
        <v>1457</v>
      </c>
      <c r="T652" s="635"/>
      <c r="U652" s="634"/>
      <c r="V652" s="634"/>
      <c r="W652" s="637"/>
      <c r="X652" s="638"/>
      <c r="Y652" s="637"/>
      <c r="Z652" s="636"/>
      <c r="AA652" s="609" t="s">
        <v>1458</v>
      </c>
      <c r="AB652" s="642" t="s">
        <v>263</v>
      </c>
      <c r="AC652" s="652"/>
      <c r="AD652" s="652" t="s">
        <v>113</v>
      </c>
      <c r="AE652" s="653">
        <f t="shared" si="11"/>
        <v>5</v>
      </c>
    </row>
    <row r="653" spans="1:31" ht="105" hidden="1" x14ac:dyDescent="0.25">
      <c r="A653" s="608" t="s">
        <v>4009</v>
      </c>
      <c r="B653" s="601" t="s">
        <v>1580</v>
      </c>
      <c r="C653" s="601" t="s">
        <v>1581</v>
      </c>
      <c r="D653" s="602" t="s">
        <v>4373</v>
      </c>
      <c r="E653" s="602" t="s">
        <v>1582</v>
      </c>
      <c r="F653" s="601" t="s">
        <v>1528</v>
      </c>
      <c r="G653" s="602" t="s">
        <v>2156</v>
      </c>
      <c r="H653" s="603">
        <v>1</v>
      </c>
      <c r="I653" s="604" t="s">
        <v>2161</v>
      </c>
      <c r="J653" s="599" t="s">
        <v>1454</v>
      </c>
      <c r="K653" s="606" t="s">
        <v>6111</v>
      </c>
      <c r="L653" s="841">
        <v>14200000</v>
      </c>
      <c r="M653" s="609" t="s">
        <v>2184</v>
      </c>
      <c r="N653" s="606">
        <v>14200000</v>
      </c>
      <c r="O653" s="607">
        <v>42856</v>
      </c>
      <c r="P653" s="607">
        <v>43070</v>
      </c>
      <c r="Q653" s="634" t="s">
        <v>100</v>
      </c>
      <c r="R653" s="634" t="s">
        <v>1456</v>
      </c>
      <c r="S653" s="634" t="s">
        <v>1457</v>
      </c>
      <c r="T653" s="635"/>
      <c r="U653" s="634"/>
      <c r="V653" s="634"/>
      <c r="W653" s="637"/>
      <c r="X653" s="638"/>
      <c r="Y653" s="637"/>
      <c r="Z653" s="636"/>
      <c r="AA653" s="609" t="s">
        <v>1458</v>
      </c>
      <c r="AB653" s="642" t="s">
        <v>263</v>
      </c>
      <c r="AC653" s="652"/>
      <c r="AD653" s="652" t="s">
        <v>113</v>
      </c>
      <c r="AE653" s="653">
        <f t="shared" si="11"/>
        <v>5</v>
      </c>
    </row>
    <row r="654" spans="1:31" ht="105" hidden="1" x14ac:dyDescent="0.25">
      <c r="A654" s="608" t="s">
        <v>4010</v>
      </c>
      <c r="B654" s="601" t="s">
        <v>2193</v>
      </c>
      <c r="C654" s="601" t="s">
        <v>2194</v>
      </c>
      <c r="D654" s="602" t="s">
        <v>4372</v>
      </c>
      <c r="E654" s="602" t="s">
        <v>1582</v>
      </c>
      <c r="F654" s="601" t="s">
        <v>1528</v>
      </c>
      <c r="G654" s="602" t="s">
        <v>2156</v>
      </c>
      <c r="H654" s="603">
        <v>1</v>
      </c>
      <c r="I654" s="604" t="s">
        <v>2161</v>
      </c>
      <c r="J654" s="599" t="s">
        <v>1454</v>
      </c>
      <c r="K654" s="606" t="s">
        <v>2911</v>
      </c>
      <c r="L654" s="798">
        <v>1180538</v>
      </c>
      <c r="M654" s="609" t="s">
        <v>2184</v>
      </c>
      <c r="N654" s="606" t="s">
        <v>2267</v>
      </c>
      <c r="O654" s="607">
        <v>42736</v>
      </c>
      <c r="P654" s="607">
        <v>42795</v>
      </c>
      <c r="Q654" s="634" t="s">
        <v>100</v>
      </c>
      <c r="R654" s="634" t="s">
        <v>1456</v>
      </c>
      <c r="S654" s="634" t="s">
        <v>1457</v>
      </c>
      <c r="T654" s="635"/>
      <c r="U654" s="634"/>
      <c r="V654" s="634"/>
      <c r="W654" s="637"/>
      <c r="X654" s="638"/>
      <c r="Y654" s="637"/>
      <c r="Z654" s="636"/>
      <c r="AA654" s="609" t="s">
        <v>1458</v>
      </c>
      <c r="AB654" s="642" t="s">
        <v>263</v>
      </c>
      <c r="AC654" s="652"/>
      <c r="AD654" s="652" t="s">
        <v>113</v>
      </c>
      <c r="AE654" s="653">
        <f t="shared" si="11"/>
        <v>1</v>
      </c>
    </row>
    <row r="655" spans="1:31" ht="105" hidden="1" x14ac:dyDescent="0.25">
      <c r="A655" s="608" t="s">
        <v>4011</v>
      </c>
      <c r="B655" s="601" t="s">
        <v>1580</v>
      </c>
      <c r="C655" s="601" t="s">
        <v>1581</v>
      </c>
      <c r="D655" s="602" t="s">
        <v>4371</v>
      </c>
      <c r="E655" s="602" t="s">
        <v>1582</v>
      </c>
      <c r="F655" s="601" t="s">
        <v>1528</v>
      </c>
      <c r="G655" s="602" t="s">
        <v>2156</v>
      </c>
      <c r="H655" s="603">
        <v>1</v>
      </c>
      <c r="I655" s="604" t="s">
        <v>2161</v>
      </c>
      <c r="J655" s="599" t="s">
        <v>1454</v>
      </c>
      <c r="K655" s="606" t="s">
        <v>2912</v>
      </c>
      <c r="L655" s="798">
        <v>8000000</v>
      </c>
      <c r="M655" s="609" t="s">
        <v>2184</v>
      </c>
      <c r="N655" s="606" t="s">
        <v>2268</v>
      </c>
      <c r="O655" s="607">
        <v>42795</v>
      </c>
      <c r="P655" s="607">
        <v>42887</v>
      </c>
      <c r="Q655" s="634" t="s">
        <v>100</v>
      </c>
      <c r="R655" s="634" t="s">
        <v>1456</v>
      </c>
      <c r="S655" s="634" t="s">
        <v>1457</v>
      </c>
      <c r="T655" s="635"/>
      <c r="U655" s="634"/>
      <c r="V655" s="634"/>
      <c r="W655" s="637"/>
      <c r="X655" s="638"/>
      <c r="Y655" s="637"/>
      <c r="Z655" s="636"/>
      <c r="AA655" s="609" t="s">
        <v>1458</v>
      </c>
      <c r="AB655" s="642" t="s">
        <v>263</v>
      </c>
      <c r="AC655" s="652"/>
      <c r="AD655" s="652" t="s">
        <v>113</v>
      </c>
      <c r="AE655" s="653">
        <f t="shared" si="11"/>
        <v>3</v>
      </c>
    </row>
    <row r="656" spans="1:31" ht="105" hidden="1" x14ac:dyDescent="0.25">
      <c r="A656" s="608" t="s">
        <v>4012</v>
      </c>
      <c r="B656" s="601" t="s">
        <v>1580</v>
      </c>
      <c r="C656" s="601" t="s">
        <v>1581</v>
      </c>
      <c r="D656" s="602" t="s">
        <v>4370</v>
      </c>
      <c r="E656" s="602" t="s">
        <v>1582</v>
      </c>
      <c r="F656" s="601" t="s">
        <v>1528</v>
      </c>
      <c r="G656" s="602" t="s">
        <v>2156</v>
      </c>
      <c r="H656" s="603">
        <v>1</v>
      </c>
      <c r="I656" s="604" t="s">
        <v>2161</v>
      </c>
      <c r="J656" s="599" t="s">
        <v>1454</v>
      </c>
      <c r="K656" s="606" t="s">
        <v>2913</v>
      </c>
      <c r="L656" s="798">
        <v>67200000</v>
      </c>
      <c r="M656" s="609" t="s">
        <v>2184</v>
      </c>
      <c r="N656" s="606" t="s">
        <v>2269</v>
      </c>
      <c r="O656" s="607">
        <v>42767</v>
      </c>
      <c r="P656" s="607">
        <v>42887</v>
      </c>
      <c r="Q656" s="634" t="s">
        <v>100</v>
      </c>
      <c r="R656" s="634" t="s">
        <v>1456</v>
      </c>
      <c r="S656" s="634" t="s">
        <v>1457</v>
      </c>
      <c r="T656" s="635"/>
      <c r="U656" s="634"/>
      <c r="V656" s="634"/>
      <c r="W656" s="637"/>
      <c r="X656" s="638"/>
      <c r="Y656" s="637"/>
      <c r="Z656" s="636"/>
      <c r="AA656" s="609" t="s">
        <v>1458</v>
      </c>
      <c r="AB656" s="642" t="s">
        <v>263</v>
      </c>
      <c r="AC656" s="652"/>
      <c r="AD656" s="652" t="s">
        <v>113</v>
      </c>
      <c r="AE656" s="653">
        <f t="shared" si="11"/>
        <v>2</v>
      </c>
    </row>
    <row r="657" spans="1:31" ht="105" hidden="1" x14ac:dyDescent="0.25">
      <c r="A657" s="608" t="s">
        <v>4013</v>
      </c>
      <c r="B657" s="601" t="s">
        <v>1580</v>
      </c>
      <c r="C657" s="601" t="s">
        <v>1581</v>
      </c>
      <c r="D657" s="602" t="s">
        <v>4369</v>
      </c>
      <c r="E657" s="602" t="s">
        <v>1582</v>
      </c>
      <c r="F657" s="601" t="s">
        <v>1528</v>
      </c>
      <c r="G657" s="602" t="s">
        <v>2156</v>
      </c>
      <c r="H657" s="603">
        <v>1</v>
      </c>
      <c r="I657" s="604" t="s">
        <v>2161</v>
      </c>
      <c r="J657" s="599" t="s">
        <v>1454</v>
      </c>
      <c r="K657" s="606" t="s">
        <v>2914</v>
      </c>
      <c r="L657" s="798">
        <v>79500000</v>
      </c>
      <c r="M657" s="609" t="s">
        <v>2184</v>
      </c>
      <c r="N657" s="606" t="s">
        <v>2270</v>
      </c>
      <c r="O657" s="607">
        <v>42767</v>
      </c>
      <c r="P657" s="607">
        <v>42887</v>
      </c>
      <c r="Q657" s="634" t="s">
        <v>100</v>
      </c>
      <c r="R657" s="634" t="s">
        <v>1456</v>
      </c>
      <c r="S657" s="634" t="s">
        <v>1457</v>
      </c>
      <c r="T657" s="635"/>
      <c r="U657" s="634"/>
      <c r="V657" s="634"/>
      <c r="W657" s="637"/>
      <c r="X657" s="638"/>
      <c r="Y657" s="637"/>
      <c r="Z657" s="636"/>
      <c r="AA657" s="609" t="s">
        <v>1458</v>
      </c>
      <c r="AB657" s="642" t="s">
        <v>263</v>
      </c>
      <c r="AC657" s="652"/>
      <c r="AD657" s="652" t="s">
        <v>113</v>
      </c>
      <c r="AE657" s="653">
        <f t="shared" si="11"/>
        <v>2</v>
      </c>
    </row>
    <row r="658" spans="1:31" ht="105" hidden="1" x14ac:dyDescent="0.25">
      <c r="A658" s="608" t="s">
        <v>4014</v>
      </c>
      <c r="B658" s="601" t="s">
        <v>1580</v>
      </c>
      <c r="C658" s="601" t="s">
        <v>1581</v>
      </c>
      <c r="D658" s="602" t="s">
        <v>4368</v>
      </c>
      <c r="E658" s="602" t="s">
        <v>1582</v>
      </c>
      <c r="F658" s="601" t="s">
        <v>1528</v>
      </c>
      <c r="G658" s="602" t="s">
        <v>2156</v>
      </c>
      <c r="H658" s="603">
        <v>1</v>
      </c>
      <c r="I658" s="604" t="s">
        <v>2161</v>
      </c>
      <c r="J658" s="599" t="s">
        <v>1454</v>
      </c>
      <c r="K658" s="606" t="s">
        <v>1692</v>
      </c>
      <c r="L658" s="798">
        <v>3000000</v>
      </c>
      <c r="M658" s="609" t="s">
        <v>2184</v>
      </c>
      <c r="N658" s="606" t="s">
        <v>2271</v>
      </c>
      <c r="O658" s="607">
        <v>42767</v>
      </c>
      <c r="P658" s="607">
        <v>42795</v>
      </c>
      <c r="Q658" s="634" t="s">
        <v>100</v>
      </c>
      <c r="R658" s="634" t="s">
        <v>1456</v>
      </c>
      <c r="S658" s="634" t="s">
        <v>1457</v>
      </c>
      <c r="T658" s="635"/>
      <c r="U658" s="634"/>
      <c r="V658" s="634"/>
      <c r="W658" s="637"/>
      <c r="X658" s="638"/>
      <c r="Y658" s="637"/>
      <c r="Z658" s="636"/>
      <c r="AA658" s="609" t="s">
        <v>1458</v>
      </c>
      <c r="AB658" s="642" t="s">
        <v>263</v>
      </c>
      <c r="AC658" s="652"/>
      <c r="AD658" s="652" t="s">
        <v>113</v>
      </c>
      <c r="AE658" s="653">
        <f t="shared" si="11"/>
        <v>2</v>
      </c>
    </row>
    <row r="659" spans="1:31" ht="105" hidden="1" x14ac:dyDescent="0.25">
      <c r="A659" s="608" t="s">
        <v>4015</v>
      </c>
      <c r="B659" s="601" t="s">
        <v>1580</v>
      </c>
      <c r="C659" s="601" t="s">
        <v>1581</v>
      </c>
      <c r="D659" s="602" t="s">
        <v>4367</v>
      </c>
      <c r="E659" s="602" t="s">
        <v>2223</v>
      </c>
      <c r="F659" s="601" t="s">
        <v>1528</v>
      </c>
      <c r="G659" s="602" t="s">
        <v>2156</v>
      </c>
      <c r="H659" s="603">
        <v>1</v>
      </c>
      <c r="I659" s="604" t="s">
        <v>2161</v>
      </c>
      <c r="J659" s="599" t="s">
        <v>1454</v>
      </c>
      <c r="K659" s="606" t="s">
        <v>2915</v>
      </c>
      <c r="L659" s="798">
        <v>95100000</v>
      </c>
      <c r="M659" s="609" t="s">
        <v>2184</v>
      </c>
      <c r="N659" s="606" t="s">
        <v>2272</v>
      </c>
      <c r="O659" s="607">
        <v>42767</v>
      </c>
      <c r="P659" s="607">
        <v>42887</v>
      </c>
      <c r="Q659" s="634" t="s">
        <v>100</v>
      </c>
      <c r="R659" s="634" t="s">
        <v>1456</v>
      </c>
      <c r="S659" s="634" t="s">
        <v>1457</v>
      </c>
      <c r="T659" s="635"/>
      <c r="U659" s="634"/>
      <c r="V659" s="634"/>
      <c r="W659" s="637"/>
      <c r="X659" s="638"/>
      <c r="Y659" s="637"/>
      <c r="Z659" s="636"/>
      <c r="AA659" s="609" t="s">
        <v>1458</v>
      </c>
      <c r="AB659" s="642" t="s">
        <v>263</v>
      </c>
      <c r="AC659" s="652"/>
      <c r="AD659" s="652" t="s">
        <v>113</v>
      </c>
      <c r="AE659" s="653">
        <f t="shared" si="11"/>
        <v>2</v>
      </c>
    </row>
    <row r="660" spans="1:31" ht="105" hidden="1" x14ac:dyDescent="0.25">
      <c r="A660" s="608" t="s">
        <v>4016</v>
      </c>
      <c r="B660" s="601" t="s">
        <v>1580</v>
      </c>
      <c r="C660" s="601" t="s">
        <v>1581</v>
      </c>
      <c r="D660" s="602" t="s">
        <v>4366</v>
      </c>
      <c r="E660" s="602" t="s">
        <v>2223</v>
      </c>
      <c r="F660" s="601" t="s">
        <v>1528</v>
      </c>
      <c r="G660" s="602" t="s">
        <v>2156</v>
      </c>
      <c r="H660" s="603">
        <v>1</v>
      </c>
      <c r="I660" s="604" t="s">
        <v>2161</v>
      </c>
      <c r="J660" s="599" t="s">
        <v>1454</v>
      </c>
      <c r="K660" s="606" t="s">
        <v>2916</v>
      </c>
      <c r="L660" s="798">
        <v>98200000</v>
      </c>
      <c r="M660" s="609" t="s">
        <v>2184</v>
      </c>
      <c r="N660" s="606" t="s">
        <v>2273</v>
      </c>
      <c r="O660" s="607">
        <v>42767</v>
      </c>
      <c r="P660" s="607">
        <v>42887</v>
      </c>
      <c r="Q660" s="634" t="s">
        <v>100</v>
      </c>
      <c r="R660" s="634" t="s">
        <v>1456</v>
      </c>
      <c r="S660" s="634" t="s">
        <v>1457</v>
      </c>
      <c r="T660" s="635"/>
      <c r="U660" s="634"/>
      <c r="V660" s="634"/>
      <c r="W660" s="637"/>
      <c r="X660" s="638"/>
      <c r="Y660" s="637"/>
      <c r="Z660" s="636"/>
      <c r="AA660" s="609" t="s">
        <v>1458</v>
      </c>
      <c r="AB660" s="642" t="s">
        <v>263</v>
      </c>
      <c r="AC660" s="652"/>
      <c r="AD660" s="652" t="s">
        <v>113</v>
      </c>
      <c r="AE660" s="653">
        <f t="shared" si="11"/>
        <v>2</v>
      </c>
    </row>
    <row r="661" spans="1:31" ht="105" hidden="1" x14ac:dyDescent="0.25">
      <c r="A661" s="608" t="s">
        <v>4017</v>
      </c>
      <c r="B661" s="601" t="s">
        <v>1580</v>
      </c>
      <c r="C661" s="601" t="s">
        <v>1581</v>
      </c>
      <c r="D661" s="602" t="s">
        <v>4365</v>
      </c>
      <c r="E661" s="602" t="s">
        <v>2223</v>
      </c>
      <c r="F661" s="601" t="s">
        <v>1528</v>
      </c>
      <c r="G661" s="602" t="s">
        <v>2156</v>
      </c>
      <c r="H661" s="603">
        <v>1</v>
      </c>
      <c r="I661" s="604" t="s">
        <v>2161</v>
      </c>
      <c r="J661" s="599" t="s">
        <v>1454</v>
      </c>
      <c r="K661" s="606" t="s">
        <v>1637</v>
      </c>
      <c r="L661" s="798">
        <v>1000000</v>
      </c>
      <c r="M661" s="609" t="s">
        <v>2184</v>
      </c>
      <c r="N661" s="606" t="s">
        <v>2164</v>
      </c>
      <c r="O661" s="607">
        <v>42826</v>
      </c>
      <c r="P661" s="607">
        <v>42856</v>
      </c>
      <c r="Q661" s="634" t="s">
        <v>100</v>
      </c>
      <c r="R661" s="634" t="s">
        <v>1456</v>
      </c>
      <c r="S661" s="634" t="s">
        <v>1457</v>
      </c>
      <c r="T661" s="635"/>
      <c r="U661" s="634"/>
      <c r="V661" s="634"/>
      <c r="W661" s="637"/>
      <c r="X661" s="638"/>
      <c r="Y661" s="637"/>
      <c r="Z661" s="636"/>
      <c r="AA661" s="609" t="s">
        <v>1458</v>
      </c>
      <c r="AB661" s="642" t="s">
        <v>263</v>
      </c>
      <c r="AC661" s="652"/>
      <c r="AD661" s="652" t="s">
        <v>113</v>
      </c>
      <c r="AE661" s="653">
        <f t="shared" si="11"/>
        <v>4</v>
      </c>
    </row>
    <row r="662" spans="1:31" ht="105" hidden="1" x14ac:dyDescent="0.25">
      <c r="A662" s="608" t="s">
        <v>4018</v>
      </c>
      <c r="B662" s="601" t="s">
        <v>1580</v>
      </c>
      <c r="C662" s="601" t="s">
        <v>1581</v>
      </c>
      <c r="D662" s="602" t="s">
        <v>4364</v>
      </c>
      <c r="E662" s="602" t="s">
        <v>2223</v>
      </c>
      <c r="F662" s="601" t="s">
        <v>1528</v>
      </c>
      <c r="G662" s="602" t="s">
        <v>2156</v>
      </c>
      <c r="H662" s="603">
        <v>1</v>
      </c>
      <c r="I662" s="604" t="s">
        <v>2161</v>
      </c>
      <c r="J662" s="599" t="s">
        <v>1454</v>
      </c>
      <c r="K662" s="606" t="s">
        <v>1692</v>
      </c>
      <c r="L662" s="798">
        <v>3000000</v>
      </c>
      <c r="M662" s="609" t="s">
        <v>2184</v>
      </c>
      <c r="N662" s="606" t="s">
        <v>2271</v>
      </c>
      <c r="O662" s="607">
        <v>42826</v>
      </c>
      <c r="P662" s="607">
        <v>43009</v>
      </c>
      <c r="Q662" s="634" t="s">
        <v>100</v>
      </c>
      <c r="R662" s="634" t="s">
        <v>1456</v>
      </c>
      <c r="S662" s="634" t="s">
        <v>1457</v>
      </c>
      <c r="T662" s="635"/>
      <c r="U662" s="634"/>
      <c r="V662" s="634"/>
      <c r="W662" s="637"/>
      <c r="X662" s="638"/>
      <c r="Y662" s="637"/>
      <c r="Z662" s="636"/>
      <c r="AA662" s="609" t="s">
        <v>1458</v>
      </c>
      <c r="AB662" s="642" t="s">
        <v>263</v>
      </c>
      <c r="AC662" s="652"/>
      <c r="AD662" s="652" t="s">
        <v>113</v>
      </c>
      <c r="AE662" s="653">
        <f t="shared" si="11"/>
        <v>4</v>
      </c>
    </row>
    <row r="663" spans="1:31" ht="105" hidden="1" x14ac:dyDescent="0.25">
      <c r="A663" s="608" t="s">
        <v>4019</v>
      </c>
      <c r="B663" s="601" t="s">
        <v>1580</v>
      </c>
      <c r="C663" s="601" t="s">
        <v>1581</v>
      </c>
      <c r="D663" s="602" t="s">
        <v>4363</v>
      </c>
      <c r="E663" s="602" t="s">
        <v>2223</v>
      </c>
      <c r="F663" s="601" t="s">
        <v>1528</v>
      </c>
      <c r="G663" s="602" t="s">
        <v>2156</v>
      </c>
      <c r="H663" s="603">
        <v>1</v>
      </c>
      <c r="I663" s="604" t="s">
        <v>2161</v>
      </c>
      <c r="J663" s="599" t="s">
        <v>1454</v>
      </c>
      <c r="K663" s="606" t="s">
        <v>1692</v>
      </c>
      <c r="L663" s="798">
        <v>3000000</v>
      </c>
      <c r="M663" s="609" t="s">
        <v>2184</v>
      </c>
      <c r="N663" s="606" t="s">
        <v>2271</v>
      </c>
      <c r="O663" s="607">
        <v>42856</v>
      </c>
      <c r="P663" s="607">
        <v>42979</v>
      </c>
      <c r="Q663" s="634" t="s">
        <v>100</v>
      </c>
      <c r="R663" s="634" t="s">
        <v>1456</v>
      </c>
      <c r="S663" s="634" t="s">
        <v>1457</v>
      </c>
      <c r="T663" s="635"/>
      <c r="U663" s="634"/>
      <c r="V663" s="634"/>
      <c r="W663" s="637"/>
      <c r="X663" s="638"/>
      <c r="Y663" s="637"/>
      <c r="Z663" s="636"/>
      <c r="AA663" s="609" t="s">
        <v>1458</v>
      </c>
      <c r="AB663" s="642" t="s">
        <v>263</v>
      </c>
      <c r="AC663" s="652"/>
      <c r="AD663" s="652" t="s">
        <v>113</v>
      </c>
      <c r="AE663" s="653">
        <f t="shared" si="11"/>
        <v>5</v>
      </c>
    </row>
    <row r="664" spans="1:31" ht="105" hidden="1" x14ac:dyDescent="0.25">
      <c r="A664" s="608" t="s">
        <v>4020</v>
      </c>
      <c r="B664" s="601" t="s">
        <v>2193</v>
      </c>
      <c r="C664" s="601" t="s">
        <v>2194</v>
      </c>
      <c r="D664" s="602" t="s">
        <v>4362</v>
      </c>
      <c r="E664" s="602" t="s">
        <v>2223</v>
      </c>
      <c r="F664" s="601" t="s">
        <v>1528</v>
      </c>
      <c r="G664" s="602" t="s">
        <v>2156</v>
      </c>
      <c r="H664" s="603">
        <v>1</v>
      </c>
      <c r="I664" s="604" t="s">
        <v>2161</v>
      </c>
      <c r="J664" s="599" t="s">
        <v>1454</v>
      </c>
      <c r="K664" s="606" t="s">
        <v>2917</v>
      </c>
      <c r="L664" s="798">
        <v>3768000</v>
      </c>
      <c r="M664" s="609" t="s">
        <v>2184</v>
      </c>
      <c r="N664" s="606" t="s">
        <v>2274</v>
      </c>
      <c r="O664" s="607">
        <v>42736</v>
      </c>
      <c r="P664" s="607">
        <v>42795</v>
      </c>
      <c r="Q664" s="634" t="s">
        <v>110</v>
      </c>
      <c r="R664" s="634" t="s">
        <v>2174</v>
      </c>
      <c r="S664" s="634" t="s">
        <v>1455</v>
      </c>
      <c r="T664" s="635"/>
      <c r="U664" s="634"/>
      <c r="V664" s="634"/>
      <c r="W664" s="637" t="s">
        <v>78</v>
      </c>
      <c r="X664" s="654" t="s">
        <v>2374</v>
      </c>
      <c r="Y664" s="654" t="s">
        <v>2375</v>
      </c>
      <c r="Z664" s="654" t="s">
        <v>2376</v>
      </c>
      <c r="AA664" s="609" t="s">
        <v>1458</v>
      </c>
      <c r="AB664" s="642" t="s">
        <v>263</v>
      </c>
      <c r="AC664" s="652"/>
      <c r="AD664" s="652" t="s">
        <v>113</v>
      </c>
      <c r="AE664" s="653">
        <f t="shared" si="11"/>
        <v>1</v>
      </c>
    </row>
    <row r="665" spans="1:31" ht="105" hidden="1" x14ac:dyDescent="0.25">
      <c r="A665" s="608" t="s">
        <v>4021</v>
      </c>
      <c r="B665" s="601" t="s">
        <v>1580</v>
      </c>
      <c r="C665" s="601" t="s">
        <v>1581</v>
      </c>
      <c r="D665" s="602" t="s">
        <v>4361</v>
      </c>
      <c r="E665" s="602" t="s">
        <v>2223</v>
      </c>
      <c r="F665" s="601" t="s">
        <v>1528</v>
      </c>
      <c r="G665" s="602" t="s">
        <v>2156</v>
      </c>
      <c r="H665" s="603">
        <v>1</v>
      </c>
      <c r="I665" s="604" t="s">
        <v>2161</v>
      </c>
      <c r="J665" s="599" t="s">
        <v>1454</v>
      </c>
      <c r="K665" s="606" t="s">
        <v>1499</v>
      </c>
      <c r="L665" s="798">
        <v>1500000</v>
      </c>
      <c r="M665" s="609" t="s">
        <v>2184</v>
      </c>
      <c r="N665" s="606" t="s">
        <v>2275</v>
      </c>
      <c r="O665" s="607">
        <v>42736</v>
      </c>
      <c r="P665" s="607">
        <v>42795</v>
      </c>
      <c r="Q665" s="634" t="s">
        <v>100</v>
      </c>
      <c r="R665" s="634" t="s">
        <v>1456</v>
      </c>
      <c r="S665" s="634" t="s">
        <v>1457</v>
      </c>
      <c r="T665" s="635"/>
      <c r="U665" s="634"/>
      <c r="V665" s="634"/>
      <c r="W665" s="637"/>
      <c r="X665" s="638"/>
      <c r="Y665" s="637"/>
      <c r="Z665" s="636"/>
      <c r="AA665" s="609" t="s">
        <v>1458</v>
      </c>
      <c r="AB665" s="642" t="s">
        <v>263</v>
      </c>
      <c r="AC665" s="652"/>
      <c r="AD665" s="652" t="s">
        <v>113</v>
      </c>
      <c r="AE665" s="653">
        <f t="shared" si="11"/>
        <v>1</v>
      </c>
    </row>
    <row r="666" spans="1:31" ht="105" hidden="1" x14ac:dyDescent="0.25">
      <c r="A666" s="608" t="s">
        <v>4022</v>
      </c>
      <c r="B666" s="601" t="s">
        <v>1580</v>
      </c>
      <c r="C666" s="601" t="s">
        <v>1581</v>
      </c>
      <c r="D666" s="602" t="s">
        <v>4360</v>
      </c>
      <c r="E666" s="602" t="s">
        <v>2223</v>
      </c>
      <c r="F666" s="601" t="s">
        <v>1528</v>
      </c>
      <c r="G666" s="602" t="s">
        <v>2156</v>
      </c>
      <c r="H666" s="603">
        <v>1</v>
      </c>
      <c r="I666" s="604" t="s">
        <v>2161</v>
      </c>
      <c r="J666" s="599" t="s">
        <v>1454</v>
      </c>
      <c r="K666" s="606" t="s">
        <v>1628</v>
      </c>
      <c r="L666" s="798">
        <v>2000000</v>
      </c>
      <c r="M666" s="609" t="s">
        <v>2184</v>
      </c>
      <c r="N666" s="606" t="s">
        <v>2276</v>
      </c>
      <c r="O666" s="607">
        <v>42795</v>
      </c>
      <c r="P666" s="607">
        <v>42826</v>
      </c>
      <c r="Q666" s="634" t="s">
        <v>100</v>
      </c>
      <c r="R666" s="634" t="s">
        <v>1456</v>
      </c>
      <c r="S666" s="634" t="s">
        <v>1457</v>
      </c>
      <c r="T666" s="635"/>
      <c r="U666" s="634"/>
      <c r="V666" s="634"/>
      <c r="W666" s="637"/>
      <c r="X666" s="638"/>
      <c r="Y666" s="637"/>
      <c r="Z666" s="636"/>
      <c r="AA666" s="609" t="s">
        <v>1458</v>
      </c>
      <c r="AB666" s="642" t="s">
        <v>263</v>
      </c>
      <c r="AC666" s="652"/>
      <c r="AD666" s="652" t="s">
        <v>113</v>
      </c>
      <c r="AE666" s="653">
        <f t="shared" si="11"/>
        <v>3</v>
      </c>
    </row>
    <row r="667" spans="1:31" ht="105" hidden="1" x14ac:dyDescent="0.25">
      <c r="A667" s="608" t="s">
        <v>4023</v>
      </c>
      <c r="B667" s="601" t="s">
        <v>1580</v>
      </c>
      <c r="C667" s="601" t="s">
        <v>1581</v>
      </c>
      <c r="D667" s="602" t="s">
        <v>4359</v>
      </c>
      <c r="E667" s="602" t="s">
        <v>2223</v>
      </c>
      <c r="F667" s="601" t="s">
        <v>1528</v>
      </c>
      <c r="G667" s="602" t="s">
        <v>2156</v>
      </c>
      <c r="H667" s="603">
        <v>1</v>
      </c>
      <c r="I667" s="604" t="s">
        <v>2161</v>
      </c>
      <c r="J667" s="599" t="s">
        <v>1454</v>
      </c>
      <c r="K667" s="606" t="s">
        <v>1628</v>
      </c>
      <c r="L667" s="798">
        <v>2000000</v>
      </c>
      <c r="M667" s="609" t="s">
        <v>2184</v>
      </c>
      <c r="N667" s="606" t="s">
        <v>2276</v>
      </c>
      <c r="O667" s="607">
        <v>42979</v>
      </c>
      <c r="P667" s="607">
        <v>43040</v>
      </c>
      <c r="Q667" s="634" t="s">
        <v>100</v>
      </c>
      <c r="R667" s="634" t="s">
        <v>1456</v>
      </c>
      <c r="S667" s="634" t="s">
        <v>1457</v>
      </c>
      <c r="T667" s="635"/>
      <c r="U667" s="634"/>
      <c r="V667" s="634"/>
      <c r="W667" s="637"/>
      <c r="X667" s="638"/>
      <c r="Y667" s="637"/>
      <c r="Z667" s="636"/>
      <c r="AA667" s="609" t="s">
        <v>1458</v>
      </c>
      <c r="AB667" s="642" t="s">
        <v>263</v>
      </c>
      <c r="AC667" s="652"/>
      <c r="AD667" s="652" t="s">
        <v>113</v>
      </c>
      <c r="AE667" s="653">
        <f t="shared" si="11"/>
        <v>9</v>
      </c>
    </row>
    <row r="668" spans="1:31" ht="105" hidden="1" x14ac:dyDescent="0.25">
      <c r="A668" s="608" t="s">
        <v>4024</v>
      </c>
      <c r="B668" s="601" t="s">
        <v>1941</v>
      </c>
      <c r="C668" s="601" t="s">
        <v>2195</v>
      </c>
      <c r="D668" s="602" t="s">
        <v>4358</v>
      </c>
      <c r="E668" s="602" t="s">
        <v>1992</v>
      </c>
      <c r="F668" s="601" t="s">
        <v>1528</v>
      </c>
      <c r="G668" s="602" t="s">
        <v>2156</v>
      </c>
      <c r="H668" s="603">
        <v>54</v>
      </c>
      <c r="I668" s="604" t="s">
        <v>2161</v>
      </c>
      <c r="J668" s="599" t="s">
        <v>1454</v>
      </c>
      <c r="K668" s="606" t="s">
        <v>2918</v>
      </c>
      <c r="L668" s="798">
        <v>651081.42000000004</v>
      </c>
      <c r="M668" s="838" t="s">
        <v>4813</v>
      </c>
      <c r="N668" s="606" t="s">
        <v>2277</v>
      </c>
      <c r="O668" s="607">
        <v>42767.5</v>
      </c>
      <c r="P668" s="607">
        <v>43070</v>
      </c>
      <c r="Q668" s="634" t="s">
        <v>110</v>
      </c>
      <c r="R668" s="634" t="s">
        <v>2174</v>
      </c>
      <c r="S668" s="634" t="s">
        <v>1455</v>
      </c>
      <c r="T668" s="635"/>
      <c r="U668" s="634"/>
      <c r="V668" s="634"/>
      <c r="W668" s="609" t="s">
        <v>73</v>
      </c>
      <c r="X668" s="639">
        <v>5024022965</v>
      </c>
      <c r="Y668" s="639" t="s">
        <v>3015</v>
      </c>
      <c r="Z668" s="639" t="s">
        <v>3016</v>
      </c>
      <c r="AA668" s="609" t="s">
        <v>1458</v>
      </c>
      <c r="AB668" s="642" t="s">
        <v>263</v>
      </c>
      <c r="AC668" s="652"/>
      <c r="AD668" s="652" t="s">
        <v>113</v>
      </c>
      <c r="AE668" s="653">
        <f t="shared" si="11"/>
        <v>2</v>
      </c>
    </row>
    <row r="669" spans="1:31" ht="105" hidden="1" x14ac:dyDescent="0.25">
      <c r="A669" s="608" t="s">
        <v>4025</v>
      </c>
      <c r="B669" s="601" t="s">
        <v>2196</v>
      </c>
      <c r="C669" s="601" t="s">
        <v>2197</v>
      </c>
      <c r="D669" s="602" t="s">
        <v>4357</v>
      </c>
      <c r="E669" s="602" t="s">
        <v>2223</v>
      </c>
      <c r="F669" s="601" t="s">
        <v>1528</v>
      </c>
      <c r="G669" s="602" t="s">
        <v>2156</v>
      </c>
      <c r="H669" s="603">
        <v>1</v>
      </c>
      <c r="I669" s="604" t="s">
        <v>2161</v>
      </c>
      <c r="J669" s="599" t="s">
        <v>1454</v>
      </c>
      <c r="K669" s="606" t="s">
        <v>2919</v>
      </c>
      <c r="L669" s="798">
        <v>485000</v>
      </c>
      <c r="M669" s="609" t="s">
        <v>2184</v>
      </c>
      <c r="N669" s="606" t="s">
        <v>2278</v>
      </c>
      <c r="O669" s="607">
        <v>42736</v>
      </c>
      <c r="P669" s="607">
        <v>42736</v>
      </c>
      <c r="Q669" s="634" t="s">
        <v>108</v>
      </c>
      <c r="R669" s="634" t="s">
        <v>1456</v>
      </c>
      <c r="S669" s="634" t="s">
        <v>1457</v>
      </c>
      <c r="T669" s="635"/>
      <c r="U669" s="634"/>
      <c r="V669" s="634"/>
      <c r="W669" s="637"/>
      <c r="X669" s="638"/>
      <c r="Y669" s="637"/>
      <c r="Z669" s="636"/>
      <c r="AA669" s="609" t="s">
        <v>1458</v>
      </c>
      <c r="AB669" s="642" t="s">
        <v>263</v>
      </c>
      <c r="AC669" s="652"/>
      <c r="AD669" s="652" t="s">
        <v>113</v>
      </c>
      <c r="AE669" s="653">
        <f t="shared" si="11"/>
        <v>1</v>
      </c>
    </row>
    <row r="670" spans="1:31" ht="105" hidden="1" x14ac:dyDescent="0.25">
      <c r="A670" s="608" t="s">
        <v>4026</v>
      </c>
      <c r="B670" s="601" t="s">
        <v>2198</v>
      </c>
      <c r="C670" s="601" t="s">
        <v>2199</v>
      </c>
      <c r="D670" s="602" t="s">
        <v>4356</v>
      </c>
      <c r="E670" s="602" t="s">
        <v>2225</v>
      </c>
      <c r="F670" s="601" t="s">
        <v>1587</v>
      </c>
      <c r="G670" s="602" t="s">
        <v>2256</v>
      </c>
      <c r="H670" s="603">
        <v>3</v>
      </c>
      <c r="I670" s="604" t="s">
        <v>2161</v>
      </c>
      <c r="J670" s="599" t="s">
        <v>1454</v>
      </c>
      <c r="K670" s="606" t="s">
        <v>2920</v>
      </c>
      <c r="L670" s="798">
        <v>12000000</v>
      </c>
      <c r="M670" s="609" t="s">
        <v>2184</v>
      </c>
      <c r="N670" s="606" t="s">
        <v>2279</v>
      </c>
      <c r="O670" s="607">
        <v>42767.5</v>
      </c>
      <c r="P670" s="607">
        <v>43281.5</v>
      </c>
      <c r="Q670" s="634" t="s">
        <v>110</v>
      </c>
      <c r="R670" s="634" t="s">
        <v>2174</v>
      </c>
      <c r="S670" s="634" t="s">
        <v>1455</v>
      </c>
      <c r="T670" s="635"/>
      <c r="U670" s="634"/>
      <c r="V670" s="634"/>
      <c r="W670" s="637" t="s">
        <v>70</v>
      </c>
      <c r="X670" s="638" t="s">
        <v>2330</v>
      </c>
      <c r="Y670" s="637" t="s">
        <v>2331</v>
      </c>
      <c r="Z670" s="636">
        <v>12000000</v>
      </c>
      <c r="AA670" s="609" t="s">
        <v>1458</v>
      </c>
      <c r="AB670" s="642" t="s">
        <v>263</v>
      </c>
      <c r="AC670" s="652"/>
      <c r="AD670" s="652" t="s">
        <v>113</v>
      </c>
      <c r="AE670" s="653">
        <f t="shared" si="11"/>
        <v>2</v>
      </c>
    </row>
    <row r="671" spans="1:31" ht="113.25" hidden="1" x14ac:dyDescent="0.25">
      <c r="A671" s="608" t="s">
        <v>4027</v>
      </c>
      <c r="B671" s="601" t="s">
        <v>2198</v>
      </c>
      <c r="C671" s="601" t="s">
        <v>2199</v>
      </c>
      <c r="D671" s="602" t="s">
        <v>4355</v>
      </c>
      <c r="E671" s="602" t="s">
        <v>2225</v>
      </c>
      <c r="F671" s="601" t="s">
        <v>1587</v>
      </c>
      <c r="G671" s="602" t="s">
        <v>2256</v>
      </c>
      <c r="H671" s="603">
        <v>2</v>
      </c>
      <c r="I671" s="604" t="s">
        <v>2161</v>
      </c>
      <c r="J671" s="599" t="s">
        <v>1454</v>
      </c>
      <c r="K671" s="606" t="s">
        <v>1692</v>
      </c>
      <c r="L671" s="798">
        <v>3000000</v>
      </c>
      <c r="M671" s="609" t="s">
        <v>2184</v>
      </c>
      <c r="N671" s="606" t="s">
        <v>2271</v>
      </c>
      <c r="O671" s="607">
        <v>42767.5</v>
      </c>
      <c r="P671" s="607">
        <v>43159.5</v>
      </c>
      <c r="Q671" s="634" t="s">
        <v>110</v>
      </c>
      <c r="R671" s="634" t="s">
        <v>2174</v>
      </c>
      <c r="S671" s="634" t="s">
        <v>1455</v>
      </c>
      <c r="T671" s="635"/>
      <c r="U671" s="634"/>
      <c r="V671" s="634"/>
      <c r="W671" s="637" t="s">
        <v>70</v>
      </c>
      <c r="X671" s="654" t="s">
        <v>2349</v>
      </c>
      <c r="Y671" s="655" t="s">
        <v>2350</v>
      </c>
      <c r="Z671" s="654" t="s">
        <v>2351</v>
      </c>
      <c r="AA671" s="609" t="s">
        <v>1458</v>
      </c>
      <c r="AB671" s="642" t="s">
        <v>263</v>
      </c>
      <c r="AC671" s="652"/>
      <c r="AD671" s="652" t="s">
        <v>113</v>
      </c>
      <c r="AE671" s="653">
        <f t="shared" si="11"/>
        <v>2</v>
      </c>
    </row>
    <row r="672" spans="1:31" ht="105" hidden="1" x14ac:dyDescent="0.25">
      <c r="A672" s="608" t="s">
        <v>4028</v>
      </c>
      <c r="B672" s="601" t="s">
        <v>2200</v>
      </c>
      <c r="C672" s="601" t="s">
        <v>2200</v>
      </c>
      <c r="D672" s="602" t="s">
        <v>4354</v>
      </c>
      <c r="E672" s="602" t="s">
        <v>2225</v>
      </c>
      <c r="F672" s="601"/>
      <c r="G672" s="602" t="str">
        <f>IFERROR(VLOOKUP(F672,'[4]код океи'!$B$2:$C$448,2,1)," ")</f>
        <v xml:space="preserve"> </v>
      </c>
      <c r="H672" s="603"/>
      <c r="I672" s="604" t="s">
        <v>2161</v>
      </c>
      <c r="J672" s="599" t="s">
        <v>1454</v>
      </c>
      <c r="K672" s="606" t="s">
        <v>2921</v>
      </c>
      <c r="L672" s="798">
        <v>35000000</v>
      </c>
      <c r="M672" s="609" t="s">
        <v>2184</v>
      </c>
      <c r="N672" s="606" t="s">
        <v>2280</v>
      </c>
      <c r="O672" s="607">
        <v>42736</v>
      </c>
      <c r="P672" s="607">
        <v>43646</v>
      </c>
      <c r="Q672" s="634" t="s">
        <v>110</v>
      </c>
      <c r="R672" s="634" t="s">
        <v>2174</v>
      </c>
      <c r="S672" s="634" t="s">
        <v>1455</v>
      </c>
      <c r="T672" s="635"/>
      <c r="U672" s="634"/>
      <c r="V672" s="634"/>
      <c r="W672" s="637" t="s">
        <v>70</v>
      </c>
      <c r="X672" s="654" t="s">
        <v>2344</v>
      </c>
      <c r="Y672" s="654" t="s">
        <v>2345</v>
      </c>
      <c r="Z672" s="654" t="s">
        <v>2346</v>
      </c>
      <c r="AA672" s="609" t="s">
        <v>1458</v>
      </c>
      <c r="AB672" s="642" t="s">
        <v>263</v>
      </c>
      <c r="AC672" s="652"/>
      <c r="AD672" s="652" t="s">
        <v>113</v>
      </c>
      <c r="AE672" s="653">
        <f t="shared" si="11"/>
        <v>1</v>
      </c>
    </row>
    <row r="673" spans="1:31" ht="105" hidden="1" x14ac:dyDescent="0.25">
      <c r="A673" s="608" t="s">
        <v>4029</v>
      </c>
      <c r="B673" s="601" t="s">
        <v>1576</v>
      </c>
      <c r="C673" s="601" t="s">
        <v>1738</v>
      </c>
      <c r="D673" s="602" t="s">
        <v>5308</v>
      </c>
      <c r="E673" s="602" t="s">
        <v>2222</v>
      </c>
      <c r="F673" s="601" t="s">
        <v>1528</v>
      </c>
      <c r="G673" s="602" t="s">
        <v>2156</v>
      </c>
      <c r="H673" s="603">
        <v>28</v>
      </c>
      <c r="I673" s="604" t="s">
        <v>2161</v>
      </c>
      <c r="J673" s="599" t="s">
        <v>1454</v>
      </c>
      <c r="K673" s="606" t="s">
        <v>2922</v>
      </c>
      <c r="L673" s="798">
        <v>111394.36</v>
      </c>
      <c r="M673" s="838" t="s">
        <v>4813</v>
      </c>
      <c r="N673" s="606" t="s">
        <v>2281</v>
      </c>
      <c r="O673" s="607">
        <v>42736</v>
      </c>
      <c r="P673" s="607">
        <v>42767</v>
      </c>
      <c r="Q673" s="634" t="s">
        <v>110</v>
      </c>
      <c r="R673" s="634" t="s">
        <v>2174</v>
      </c>
      <c r="S673" s="634" t="s">
        <v>1455</v>
      </c>
      <c r="T673" s="635"/>
      <c r="U673" s="634"/>
      <c r="V673" s="634" t="s">
        <v>45</v>
      </c>
      <c r="W673" s="609" t="s">
        <v>72</v>
      </c>
      <c r="X673" s="638" t="s">
        <v>6062</v>
      </c>
      <c r="Y673" s="637" t="s">
        <v>6063</v>
      </c>
      <c r="Z673" s="636">
        <v>111394.36</v>
      </c>
      <c r="AA673" s="609" t="s">
        <v>1458</v>
      </c>
      <c r="AB673" s="642" t="s">
        <v>263</v>
      </c>
      <c r="AC673" s="652"/>
      <c r="AD673" s="652" t="s">
        <v>113</v>
      </c>
      <c r="AE673" s="653">
        <f t="shared" si="11"/>
        <v>1</v>
      </c>
    </row>
    <row r="674" spans="1:31" ht="105" hidden="1" x14ac:dyDescent="0.25">
      <c r="A674" s="608" t="s">
        <v>4030</v>
      </c>
      <c r="B674" s="601" t="s">
        <v>1540</v>
      </c>
      <c r="C674" s="601" t="s">
        <v>1745</v>
      </c>
      <c r="D674" s="602" t="s">
        <v>5307</v>
      </c>
      <c r="E674" s="602" t="s">
        <v>2226</v>
      </c>
      <c r="F674" s="601" t="s">
        <v>1528</v>
      </c>
      <c r="G674" s="602" t="s">
        <v>2156</v>
      </c>
      <c r="H674" s="603">
        <v>100</v>
      </c>
      <c r="I674" s="604" t="s">
        <v>2161</v>
      </c>
      <c r="J674" s="599" t="s">
        <v>1454</v>
      </c>
      <c r="K674" s="606" t="s">
        <v>2923</v>
      </c>
      <c r="L674" s="798">
        <v>885000</v>
      </c>
      <c r="M674" s="838" t="s">
        <v>4813</v>
      </c>
      <c r="N674" s="606" t="s">
        <v>2282</v>
      </c>
      <c r="O674" s="607">
        <v>42736</v>
      </c>
      <c r="P674" s="607">
        <v>42767</v>
      </c>
      <c r="Q674" s="634" t="s">
        <v>110</v>
      </c>
      <c r="R674" s="634" t="s">
        <v>2174</v>
      </c>
      <c r="S674" s="634" t="s">
        <v>1455</v>
      </c>
      <c r="T674" s="635"/>
      <c r="U674" s="634"/>
      <c r="V674" s="634"/>
      <c r="W674" s="609" t="s">
        <v>73</v>
      </c>
      <c r="X674" s="638"/>
      <c r="Y674" s="637"/>
      <c r="Z674" s="636"/>
      <c r="AA674" s="609" t="s">
        <v>1458</v>
      </c>
      <c r="AB674" s="642" t="s">
        <v>263</v>
      </c>
      <c r="AC674" s="652"/>
      <c r="AD674" s="652" t="s">
        <v>113</v>
      </c>
      <c r="AE674" s="653">
        <f t="shared" si="11"/>
        <v>1</v>
      </c>
    </row>
    <row r="675" spans="1:31" ht="105" hidden="1" x14ac:dyDescent="0.25">
      <c r="A675" s="608" t="s">
        <v>4031</v>
      </c>
      <c r="B675" s="601" t="s">
        <v>1531</v>
      </c>
      <c r="C675" s="601" t="s">
        <v>1756</v>
      </c>
      <c r="D675" s="602" t="s">
        <v>5306</v>
      </c>
      <c r="E675" s="602" t="s">
        <v>2227</v>
      </c>
      <c r="F675" s="601" t="s">
        <v>1528</v>
      </c>
      <c r="G675" s="602" t="s">
        <v>2156</v>
      </c>
      <c r="H675" s="603">
        <v>7424</v>
      </c>
      <c r="I675" s="604" t="s">
        <v>2161</v>
      </c>
      <c r="J675" s="599" t="s">
        <v>1454</v>
      </c>
      <c r="K675" s="606" t="s">
        <v>8307</v>
      </c>
      <c r="L675" s="798">
        <v>106447.37</v>
      </c>
      <c r="M675" s="838" t="s">
        <v>4813</v>
      </c>
      <c r="N675" s="606">
        <v>106447.37</v>
      </c>
      <c r="O675" s="607">
        <v>42736</v>
      </c>
      <c r="P675" s="607">
        <v>42826</v>
      </c>
      <c r="Q675" s="634" t="s">
        <v>110</v>
      </c>
      <c r="R675" s="634" t="s">
        <v>2174</v>
      </c>
      <c r="S675" s="634" t="s">
        <v>1455</v>
      </c>
      <c r="T675" s="635"/>
      <c r="U675" s="634"/>
      <c r="V675" s="634"/>
      <c r="W675" s="637" t="s">
        <v>72</v>
      </c>
      <c r="X675" s="638" t="s">
        <v>2363</v>
      </c>
      <c r="Y675" s="637" t="s">
        <v>2364</v>
      </c>
      <c r="Z675" s="636" t="s">
        <v>2365</v>
      </c>
      <c r="AA675" s="609" t="s">
        <v>1458</v>
      </c>
      <c r="AB675" s="642" t="s">
        <v>263</v>
      </c>
      <c r="AC675" s="652"/>
      <c r="AD675" s="652" t="s">
        <v>113</v>
      </c>
      <c r="AE675" s="653">
        <f t="shared" si="11"/>
        <v>1</v>
      </c>
    </row>
    <row r="676" spans="1:31" ht="105" hidden="1" x14ac:dyDescent="0.25">
      <c r="A676" s="608" t="s">
        <v>4032</v>
      </c>
      <c r="B676" s="601" t="s">
        <v>1987</v>
      </c>
      <c r="C676" s="601" t="s">
        <v>1988</v>
      </c>
      <c r="D676" s="602" t="s">
        <v>4353</v>
      </c>
      <c r="E676" s="602" t="s">
        <v>2228</v>
      </c>
      <c r="F676" s="601" t="s">
        <v>1768</v>
      </c>
      <c r="G676" s="602" t="s">
        <v>2257</v>
      </c>
      <c r="H676" s="603">
        <v>4.8529999999999998</v>
      </c>
      <c r="I676" s="604" t="s">
        <v>2161</v>
      </c>
      <c r="J676" s="599" t="s">
        <v>1454</v>
      </c>
      <c r="K676" s="606" t="s">
        <v>4807</v>
      </c>
      <c r="L676" s="798">
        <v>53188.24</v>
      </c>
      <c r="M676" s="609" t="s">
        <v>2184</v>
      </c>
      <c r="N676" s="606">
        <v>53188.24</v>
      </c>
      <c r="O676" s="607">
        <v>42826.5</v>
      </c>
      <c r="P676" s="607">
        <v>43070.5</v>
      </c>
      <c r="Q676" s="634" t="s">
        <v>108</v>
      </c>
      <c r="R676" s="634" t="s">
        <v>1456</v>
      </c>
      <c r="S676" s="634" t="s">
        <v>1457</v>
      </c>
      <c r="T676" s="635"/>
      <c r="U676" s="634"/>
      <c r="V676" s="634"/>
      <c r="W676" s="637"/>
      <c r="X676" s="638"/>
      <c r="Y676" s="637"/>
      <c r="Z676" s="636"/>
      <c r="AA676" s="609" t="s">
        <v>1458</v>
      </c>
      <c r="AB676" s="642" t="s">
        <v>263</v>
      </c>
      <c r="AC676" s="652"/>
      <c r="AD676" s="652" t="s">
        <v>113</v>
      </c>
      <c r="AE676" s="653">
        <f t="shared" si="11"/>
        <v>4</v>
      </c>
    </row>
    <row r="677" spans="1:31" ht="105" hidden="1" x14ac:dyDescent="0.25">
      <c r="A677" s="608" t="s">
        <v>4033</v>
      </c>
      <c r="B677" s="601" t="s">
        <v>1987</v>
      </c>
      <c r="C677" s="601" t="s">
        <v>1988</v>
      </c>
      <c r="D677" s="602" t="s">
        <v>4352</v>
      </c>
      <c r="E677" s="602" t="s">
        <v>2229</v>
      </c>
      <c r="F677" s="601" t="s">
        <v>1768</v>
      </c>
      <c r="G677" s="602" t="s">
        <v>2257</v>
      </c>
      <c r="H677" s="603">
        <v>2.363</v>
      </c>
      <c r="I677" s="604" t="s">
        <v>2161</v>
      </c>
      <c r="J677" s="599" t="s">
        <v>1454</v>
      </c>
      <c r="K677" s="606" t="s">
        <v>6805</v>
      </c>
      <c r="L677" s="798">
        <v>140407</v>
      </c>
      <c r="M677" s="609" t="s">
        <v>2184</v>
      </c>
      <c r="N677" s="606">
        <v>140407</v>
      </c>
      <c r="O677" s="607">
        <v>42917</v>
      </c>
      <c r="P677" s="607">
        <v>43070.5</v>
      </c>
      <c r="Q677" s="634" t="s">
        <v>108</v>
      </c>
      <c r="R677" s="634" t="s">
        <v>1456</v>
      </c>
      <c r="S677" s="634" t="s">
        <v>1457</v>
      </c>
      <c r="T677" s="635"/>
      <c r="U677" s="634"/>
      <c r="V677" s="634"/>
      <c r="W677" s="637"/>
      <c r="X677" s="638"/>
      <c r="Y677" s="637"/>
      <c r="Z677" s="636"/>
      <c r="AA677" s="609" t="s">
        <v>1458</v>
      </c>
      <c r="AB677" s="642" t="s">
        <v>263</v>
      </c>
      <c r="AC677" s="652"/>
      <c r="AD677" s="652" t="s">
        <v>113</v>
      </c>
      <c r="AE677" s="653">
        <f t="shared" si="11"/>
        <v>7</v>
      </c>
    </row>
    <row r="678" spans="1:31" ht="105" hidden="1" x14ac:dyDescent="0.25">
      <c r="A678" s="608" t="s">
        <v>4034</v>
      </c>
      <c r="B678" s="601" t="s">
        <v>1851</v>
      </c>
      <c r="C678" s="601" t="s">
        <v>1851</v>
      </c>
      <c r="D678" s="602" t="s">
        <v>4351</v>
      </c>
      <c r="E678" s="602" t="s">
        <v>1948</v>
      </c>
      <c r="F678" s="601" t="s">
        <v>1528</v>
      </c>
      <c r="G678" s="602" t="s">
        <v>2156</v>
      </c>
      <c r="H678" s="603">
        <v>75</v>
      </c>
      <c r="I678" s="604" t="s">
        <v>2161</v>
      </c>
      <c r="J678" s="599" t="s">
        <v>1454</v>
      </c>
      <c r="K678" s="606" t="s">
        <v>2924</v>
      </c>
      <c r="L678" s="798">
        <v>2454239.25</v>
      </c>
      <c r="M678" s="838" t="s">
        <v>4813</v>
      </c>
      <c r="N678" s="606" t="s">
        <v>2285</v>
      </c>
      <c r="O678" s="607">
        <v>42767.5</v>
      </c>
      <c r="P678" s="607">
        <v>43070.5</v>
      </c>
      <c r="Q678" s="634" t="s">
        <v>110</v>
      </c>
      <c r="R678" s="634" t="s">
        <v>2174</v>
      </c>
      <c r="S678" s="634" t="s">
        <v>1455</v>
      </c>
      <c r="T678" s="635"/>
      <c r="U678" s="634"/>
      <c r="V678" s="634"/>
      <c r="W678" s="609" t="s">
        <v>73</v>
      </c>
      <c r="X678" s="654" t="s">
        <v>2409</v>
      </c>
      <c r="Y678" s="654" t="s">
        <v>2410</v>
      </c>
      <c r="Z678" s="654" t="s">
        <v>2411</v>
      </c>
      <c r="AA678" s="609" t="s">
        <v>1458</v>
      </c>
      <c r="AB678" s="642" t="s">
        <v>263</v>
      </c>
      <c r="AC678" s="652"/>
      <c r="AD678" s="652" t="s">
        <v>113</v>
      </c>
      <c r="AE678" s="653">
        <f t="shared" si="11"/>
        <v>2</v>
      </c>
    </row>
    <row r="679" spans="1:31" ht="105" hidden="1" x14ac:dyDescent="0.25">
      <c r="A679" s="608" t="s">
        <v>4035</v>
      </c>
      <c r="B679" s="601" t="s">
        <v>230</v>
      </c>
      <c r="C679" s="601" t="s">
        <v>230</v>
      </c>
      <c r="D679" s="602" t="s">
        <v>5305</v>
      </c>
      <c r="E679" s="602" t="s">
        <v>1948</v>
      </c>
      <c r="F679" s="601" t="s">
        <v>1528</v>
      </c>
      <c r="G679" s="602" t="s">
        <v>2156</v>
      </c>
      <c r="H679" s="603">
        <v>71</v>
      </c>
      <c r="I679" s="604" t="s">
        <v>2161</v>
      </c>
      <c r="J679" s="599" t="s">
        <v>1454</v>
      </c>
      <c r="K679" s="606" t="s">
        <v>8025</v>
      </c>
      <c r="L679" s="911">
        <v>356677.51</v>
      </c>
      <c r="M679" s="609" t="s">
        <v>4813</v>
      </c>
      <c r="N679" s="606">
        <v>356677.51</v>
      </c>
      <c r="O679" s="607">
        <v>42767.5</v>
      </c>
      <c r="P679" s="607">
        <v>43070.5</v>
      </c>
      <c r="Q679" s="634" t="s">
        <v>110</v>
      </c>
      <c r="R679" s="634" t="s">
        <v>2174</v>
      </c>
      <c r="S679" s="634" t="s">
        <v>1455</v>
      </c>
      <c r="T679" s="635"/>
      <c r="U679" s="634"/>
      <c r="V679" s="634"/>
      <c r="W679" s="609" t="s">
        <v>73</v>
      </c>
      <c r="X679" s="638" t="s">
        <v>2387</v>
      </c>
      <c r="Y679" s="637" t="s">
        <v>2386</v>
      </c>
      <c r="Z679" s="636">
        <v>356677.51</v>
      </c>
      <c r="AA679" s="609" t="s">
        <v>1458</v>
      </c>
      <c r="AB679" s="642" t="s">
        <v>263</v>
      </c>
      <c r="AC679" s="652"/>
      <c r="AD679" s="652" t="s">
        <v>113</v>
      </c>
      <c r="AE679" s="653">
        <f t="shared" si="11"/>
        <v>2</v>
      </c>
    </row>
    <row r="680" spans="1:31" ht="105" hidden="1" x14ac:dyDescent="0.25">
      <c r="A680" s="608" t="s">
        <v>4036</v>
      </c>
      <c r="B680" s="601" t="s">
        <v>1941</v>
      </c>
      <c r="C680" s="601" t="s">
        <v>1941</v>
      </c>
      <c r="D680" s="602" t="s">
        <v>5304</v>
      </c>
      <c r="E680" s="602" t="s">
        <v>1948</v>
      </c>
      <c r="F680" s="601" t="s">
        <v>1587</v>
      </c>
      <c r="G680" s="602" t="s">
        <v>2256</v>
      </c>
      <c r="H680" s="603">
        <v>14</v>
      </c>
      <c r="I680" s="604" t="s">
        <v>2161</v>
      </c>
      <c r="J680" s="599" t="s">
        <v>1454</v>
      </c>
      <c r="K680" s="606" t="s">
        <v>4842</v>
      </c>
      <c r="L680" s="841">
        <v>2576000</v>
      </c>
      <c r="M680" s="609" t="s">
        <v>2184</v>
      </c>
      <c r="N680" s="606">
        <v>2576000</v>
      </c>
      <c r="O680" s="607">
        <v>42795</v>
      </c>
      <c r="P680" s="607">
        <v>43070.5</v>
      </c>
      <c r="Q680" s="634" t="s">
        <v>110</v>
      </c>
      <c r="R680" s="634" t="s">
        <v>2174</v>
      </c>
      <c r="S680" s="634" t="s">
        <v>1455</v>
      </c>
      <c r="T680" s="635"/>
      <c r="U680" s="634"/>
      <c r="V680" s="634"/>
      <c r="W680" s="609" t="s">
        <v>73</v>
      </c>
      <c r="X680" s="639" t="s">
        <v>2334</v>
      </c>
      <c r="Y680" s="639" t="s">
        <v>2335</v>
      </c>
      <c r="Z680" s="639" t="s">
        <v>3100</v>
      </c>
      <c r="AA680" s="609" t="s">
        <v>1458</v>
      </c>
      <c r="AB680" s="642" t="s">
        <v>263</v>
      </c>
      <c r="AC680" s="652"/>
      <c r="AD680" s="652" t="s">
        <v>113</v>
      </c>
      <c r="AE680" s="653">
        <f t="shared" ref="AE680:AE711" si="12">IF(O680=0,,MONTH(O680))</f>
        <v>3</v>
      </c>
    </row>
    <row r="681" spans="1:31" ht="105" hidden="1" x14ac:dyDescent="0.25">
      <c r="A681" s="608" t="s">
        <v>4037</v>
      </c>
      <c r="B681" s="601" t="s">
        <v>2201</v>
      </c>
      <c r="C681" s="601" t="s">
        <v>2202</v>
      </c>
      <c r="D681" s="602" t="s">
        <v>5303</v>
      </c>
      <c r="E681" s="602" t="s">
        <v>2230</v>
      </c>
      <c r="F681" s="601" t="s">
        <v>1528</v>
      </c>
      <c r="G681" s="602" t="s">
        <v>2156</v>
      </c>
      <c r="H681" s="603">
        <v>2</v>
      </c>
      <c r="I681" s="604" t="s">
        <v>2161</v>
      </c>
      <c r="J681" s="599" t="s">
        <v>1454</v>
      </c>
      <c r="K681" s="606" t="s">
        <v>2925</v>
      </c>
      <c r="L681" s="798">
        <v>70921.73</v>
      </c>
      <c r="M681" s="609" t="s">
        <v>2184</v>
      </c>
      <c r="N681" s="606" t="s">
        <v>2288</v>
      </c>
      <c r="O681" s="607">
        <v>42767.5</v>
      </c>
      <c r="P681" s="607">
        <v>43070.5</v>
      </c>
      <c r="Q681" s="634" t="s">
        <v>108</v>
      </c>
      <c r="R681" s="634" t="s">
        <v>112</v>
      </c>
      <c r="S681" s="634" t="s">
        <v>1457</v>
      </c>
      <c r="T681" s="635"/>
      <c r="U681" s="634"/>
      <c r="V681" s="634"/>
      <c r="W681" s="637"/>
      <c r="X681" s="638"/>
      <c r="Y681" s="637"/>
      <c r="Z681" s="636"/>
      <c r="AA681" s="609" t="s">
        <v>1458</v>
      </c>
      <c r="AB681" s="642" t="s">
        <v>263</v>
      </c>
      <c r="AC681" s="652"/>
      <c r="AD681" s="652" t="s">
        <v>113</v>
      </c>
      <c r="AE681" s="653">
        <f t="shared" si="12"/>
        <v>2</v>
      </c>
    </row>
    <row r="682" spans="1:31" ht="105" hidden="1" x14ac:dyDescent="0.25">
      <c r="A682" s="608" t="s">
        <v>4038</v>
      </c>
      <c r="B682" s="601" t="s">
        <v>2058</v>
      </c>
      <c r="C682" s="601" t="s">
        <v>2058</v>
      </c>
      <c r="D682" s="602" t="s">
        <v>4350</v>
      </c>
      <c r="E682" s="602" t="s">
        <v>1992</v>
      </c>
      <c r="F682" s="601" t="s">
        <v>1587</v>
      </c>
      <c r="G682" s="602" t="s">
        <v>2256</v>
      </c>
      <c r="H682" s="603">
        <v>1</v>
      </c>
      <c r="I682" s="604" t="s">
        <v>2161</v>
      </c>
      <c r="J682" s="599" t="s">
        <v>1454</v>
      </c>
      <c r="K682" s="606" t="s">
        <v>2926</v>
      </c>
      <c r="L682" s="798">
        <v>511387.52</v>
      </c>
      <c r="M682" s="838" t="s">
        <v>4813</v>
      </c>
      <c r="N682" s="606">
        <v>511387.52</v>
      </c>
      <c r="O682" s="607">
        <v>42767.5</v>
      </c>
      <c r="P682" s="607">
        <v>43070.5</v>
      </c>
      <c r="Q682" s="634" t="s">
        <v>110</v>
      </c>
      <c r="R682" s="634" t="s">
        <v>2174</v>
      </c>
      <c r="S682" s="634" t="s">
        <v>1455</v>
      </c>
      <c r="T682" s="635"/>
      <c r="U682" s="634"/>
      <c r="V682" s="634"/>
      <c r="W682" s="609" t="s">
        <v>73</v>
      </c>
      <c r="X682" s="638" t="s">
        <v>2361</v>
      </c>
      <c r="Y682" s="637" t="s">
        <v>3015</v>
      </c>
      <c r="Z682" s="636">
        <v>511387.52</v>
      </c>
      <c r="AA682" s="609" t="s">
        <v>1458</v>
      </c>
      <c r="AB682" s="642" t="s">
        <v>263</v>
      </c>
      <c r="AC682" s="652"/>
      <c r="AD682" s="652" t="s">
        <v>113</v>
      </c>
      <c r="AE682" s="653">
        <f t="shared" si="12"/>
        <v>2</v>
      </c>
    </row>
    <row r="683" spans="1:31" ht="105" hidden="1" x14ac:dyDescent="0.25">
      <c r="A683" s="608" t="s">
        <v>4039</v>
      </c>
      <c r="B683" s="601" t="s">
        <v>1944</v>
      </c>
      <c r="C683" s="601" t="s">
        <v>2203</v>
      </c>
      <c r="D683" s="602" t="s">
        <v>4349</v>
      </c>
      <c r="E683" s="602" t="s">
        <v>2231</v>
      </c>
      <c r="F683" s="601" t="s">
        <v>1528</v>
      </c>
      <c r="G683" s="602" t="s">
        <v>2156</v>
      </c>
      <c r="H683" s="603">
        <v>2000</v>
      </c>
      <c r="I683" s="604" t="s">
        <v>2161</v>
      </c>
      <c r="J683" s="599" t="s">
        <v>1454</v>
      </c>
      <c r="K683" s="606" t="s">
        <v>2927</v>
      </c>
      <c r="L683" s="798">
        <v>343600</v>
      </c>
      <c r="M683" s="609" t="s">
        <v>4813</v>
      </c>
      <c r="N683" s="606" t="s">
        <v>2289</v>
      </c>
      <c r="O683" s="607">
        <v>42767.5</v>
      </c>
      <c r="P683" s="607">
        <v>43070.5</v>
      </c>
      <c r="Q683" s="634" t="s">
        <v>100</v>
      </c>
      <c r="R683" s="634" t="s">
        <v>1456</v>
      </c>
      <c r="S683" s="634" t="s">
        <v>1457</v>
      </c>
      <c r="T683" s="635"/>
      <c r="U683" s="634"/>
      <c r="V683" s="634"/>
      <c r="W683" s="637"/>
      <c r="X683" s="638"/>
      <c r="Y683" s="637"/>
      <c r="Z683" s="636"/>
      <c r="AA683" s="609" t="s">
        <v>1458</v>
      </c>
      <c r="AB683" s="642" t="s">
        <v>263</v>
      </c>
      <c r="AC683" s="652" t="s">
        <v>2329</v>
      </c>
      <c r="AD683" s="652" t="s">
        <v>113</v>
      </c>
      <c r="AE683" s="653">
        <f t="shared" si="12"/>
        <v>2</v>
      </c>
    </row>
    <row r="684" spans="1:31" ht="105" hidden="1" x14ac:dyDescent="0.25">
      <c r="A684" s="608" t="s">
        <v>4040</v>
      </c>
      <c r="B684" s="601" t="s">
        <v>216</v>
      </c>
      <c r="C684" s="601" t="s">
        <v>1643</v>
      </c>
      <c r="D684" s="602" t="s">
        <v>5302</v>
      </c>
      <c r="E684" s="602" t="s">
        <v>2232</v>
      </c>
      <c r="F684" s="601" t="s">
        <v>1528</v>
      </c>
      <c r="G684" s="602" t="s">
        <v>2156</v>
      </c>
      <c r="H684" s="603">
        <v>3</v>
      </c>
      <c r="I684" s="604" t="s">
        <v>2161</v>
      </c>
      <c r="J684" s="599" t="s">
        <v>1454</v>
      </c>
      <c r="K684" s="606" t="s">
        <v>2928</v>
      </c>
      <c r="L684" s="798">
        <v>10464798.970000001</v>
      </c>
      <c r="M684" s="609" t="s">
        <v>2184</v>
      </c>
      <c r="N684" s="606" t="s">
        <v>2290</v>
      </c>
      <c r="O684" s="607">
        <v>42767.5</v>
      </c>
      <c r="P684" s="607">
        <v>43070.5</v>
      </c>
      <c r="Q684" s="634" t="s">
        <v>110</v>
      </c>
      <c r="R684" s="634" t="s">
        <v>2174</v>
      </c>
      <c r="S684" s="634" t="s">
        <v>1455</v>
      </c>
      <c r="T684" s="635"/>
      <c r="U684" s="634"/>
      <c r="V684" s="634"/>
      <c r="W684" s="609" t="s">
        <v>73</v>
      </c>
      <c r="X684" s="639" t="s">
        <v>3092</v>
      </c>
      <c r="Y684" s="639" t="s">
        <v>3093</v>
      </c>
      <c r="Z684" s="639" t="s">
        <v>3094</v>
      </c>
      <c r="AA684" s="609" t="s">
        <v>1458</v>
      </c>
      <c r="AB684" s="642" t="s">
        <v>263</v>
      </c>
      <c r="AC684" s="652"/>
      <c r="AD684" s="652" t="s">
        <v>113</v>
      </c>
      <c r="AE684" s="653">
        <f t="shared" si="12"/>
        <v>2</v>
      </c>
    </row>
    <row r="685" spans="1:31" ht="105" hidden="1" x14ac:dyDescent="0.25">
      <c r="A685" s="608" t="s">
        <v>4041</v>
      </c>
      <c r="B685" s="601" t="s">
        <v>216</v>
      </c>
      <c r="C685" s="601" t="s">
        <v>1643</v>
      </c>
      <c r="D685" s="602" t="s">
        <v>5301</v>
      </c>
      <c r="E685" s="602" t="s">
        <v>2233</v>
      </c>
      <c r="F685" s="601" t="s">
        <v>1528</v>
      </c>
      <c r="G685" s="602" t="s">
        <v>2156</v>
      </c>
      <c r="H685" s="603">
        <v>403</v>
      </c>
      <c r="I685" s="604" t="s">
        <v>2161</v>
      </c>
      <c r="J685" s="599" t="s">
        <v>1454</v>
      </c>
      <c r="K685" s="606" t="s">
        <v>2929</v>
      </c>
      <c r="L685" s="798">
        <v>950000</v>
      </c>
      <c r="M685" s="609" t="s">
        <v>2184</v>
      </c>
      <c r="N685" s="606" t="s">
        <v>2757</v>
      </c>
      <c r="O685" s="607">
        <v>42767.5</v>
      </c>
      <c r="P685" s="607">
        <v>43070.5</v>
      </c>
      <c r="Q685" s="634" t="s">
        <v>108</v>
      </c>
      <c r="R685" s="634" t="s">
        <v>1456</v>
      </c>
      <c r="S685" s="634" t="s">
        <v>1457</v>
      </c>
      <c r="T685" s="635"/>
      <c r="U685" s="634"/>
      <c r="V685" s="634"/>
      <c r="W685" s="637"/>
      <c r="X685" s="638"/>
      <c r="Y685" s="637"/>
      <c r="Z685" s="636"/>
      <c r="AA685" s="609" t="s">
        <v>1458</v>
      </c>
      <c r="AB685" s="642" t="s">
        <v>263</v>
      </c>
      <c r="AC685" s="652"/>
      <c r="AD685" s="652" t="s">
        <v>113</v>
      </c>
      <c r="AE685" s="653">
        <f t="shared" si="12"/>
        <v>2</v>
      </c>
    </row>
    <row r="686" spans="1:31" ht="105" hidden="1" x14ac:dyDescent="0.25">
      <c r="A686" s="608" t="s">
        <v>4042</v>
      </c>
      <c r="B686" s="601" t="s">
        <v>301</v>
      </c>
      <c r="C686" s="601" t="s">
        <v>301</v>
      </c>
      <c r="D686" s="602" t="s">
        <v>5300</v>
      </c>
      <c r="E686" s="602" t="s">
        <v>2022</v>
      </c>
      <c r="F686" s="601" t="s">
        <v>1528</v>
      </c>
      <c r="G686" s="602" t="s">
        <v>2156</v>
      </c>
      <c r="H686" s="603">
        <v>500</v>
      </c>
      <c r="I686" s="604" t="s">
        <v>2161</v>
      </c>
      <c r="J686" s="599" t="s">
        <v>1454</v>
      </c>
      <c r="K686" s="606" t="s">
        <v>2930</v>
      </c>
      <c r="L686" s="798">
        <v>1230527.6000000001</v>
      </c>
      <c r="M686" s="838" t="s">
        <v>4814</v>
      </c>
      <c r="N686" s="606" t="s">
        <v>2291</v>
      </c>
      <c r="O686" s="607">
        <v>42795</v>
      </c>
      <c r="P686" s="607">
        <v>43070.5</v>
      </c>
      <c r="Q686" s="634" t="s">
        <v>110</v>
      </c>
      <c r="R686" s="634" t="s">
        <v>2174</v>
      </c>
      <c r="S686" s="634" t="s">
        <v>1455</v>
      </c>
      <c r="T686" s="635"/>
      <c r="U686" s="634"/>
      <c r="V686" s="634"/>
      <c r="W686" s="609" t="s">
        <v>73</v>
      </c>
      <c r="X686" s="662">
        <v>4028061716</v>
      </c>
      <c r="Y686" s="662" t="s">
        <v>3009</v>
      </c>
      <c r="Z686" s="662" t="s">
        <v>3010</v>
      </c>
      <c r="AA686" s="609" t="s">
        <v>1458</v>
      </c>
      <c r="AB686" s="642" t="s">
        <v>263</v>
      </c>
      <c r="AC686" s="652"/>
      <c r="AD686" s="652" t="s">
        <v>113</v>
      </c>
      <c r="AE686" s="653">
        <f t="shared" si="12"/>
        <v>3</v>
      </c>
    </row>
    <row r="687" spans="1:31" ht="105" hidden="1" x14ac:dyDescent="0.25">
      <c r="A687" s="608" t="s">
        <v>4043</v>
      </c>
      <c r="B687" s="601" t="s">
        <v>301</v>
      </c>
      <c r="C687" s="601" t="s">
        <v>301</v>
      </c>
      <c r="D687" s="602" t="s">
        <v>5299</v>
      </c>
      <c r="E687" s="602" t="s">
        <v>2022</v>
      </c>
      <c r="F687" s="601" t="s">
        <v>1528</v>
      </c>
      <c r="G687" s="602" t="s">
        <v>2156</v>
      </c>
      <c r="H687" s="603">
        <v>900</v>
      </c>
      <c r="I687" s="604" t="s">
        <v>2161</v>
      </c>
      <c r="J687" s="599" t="s">
        <v>1454</v>
      </c>
      <c r="K687" s="606" t="s">
        <v>2931</v>
      </c>
      <c r="L687" s="798">
        <v>326388</v>
      </c>
      <c r="M687" s="838" t="s">
        <v>4813</v>
      </c>
      <c r="N687" s="606" t="s">
        <v>2292</v>
      </c>
      <c r="O687" s="607">
        <v>42795</v>
      </c>
      <c r="P687" s="607">
        <v>43070.5</v>
      </c>
      <c r="Q687" s="634" t="s">
        <v>110</v>
      </c>
      <c r="R687" s="634" t="s">
        <v>2174</v>
      </c>
      <c r="S687" s="634" t="s">
        <v>1455</v>
      </c>
      <c r="T687" s="635"/>
      <c r="U687" s="634"/>
      <c r="V687" s="634"/>
      <c r="W687" s="609" t="s">
        <v>73</v>
      </c>
      <c r="X687" s="654" t="s">
        <v>2404</v>
      </c>
      <c r="Y687" s="654" t="s">
        <v>2405</v>
      </c>
      <c r="Z687" s="654" t="s">
        <v>2406</v>
      </c>
      <c r="AA687" s="609" t="s">
        <v>1458</v>
      </c>
      <c r="AB687" s="642" t="s">
        <v>263</v>
      </c>
      <c r="AC687" s="652"/>
      <c r="AD687" s="652" t="s">
        <v>113</v>
      </c>
      <c r="AE687" s="653">
        <f t="shared" si="12"/>
        <v>3</v>
      </c>
    </row>
    <row r="688" spans="1:31" ht="105" hidden="1" x14ac:dyDescent="0.25">
      <c r="A688" s="608" t="s">
        <v>4044</v>
      </c>
      <c r="B688" s="601" t="s">
        <v>2176</v>
      </c>
      <c r="C688" s="601" t="s">
        <v>2037</v>
      </c>
      <c r="D688" s="602" t="s">
        <v>5298</v>
      </c>
      <c r="E688" s="602" t="s">
        <v>2027</v>
      </c>
      <c r="F688" s="601" t="s">
        <v>1528</v>
      </c>
      <c r="G688" s="602" t="s">
        <v>2156</v>
      </c>
      <c r="H688" s="603">
        <v>170</v>
      </c>
      <c r="I688" s="604" t="s">
        <v>2161</v>
      </c>
      <c r="J688" s="599" t="s">
        <v>1454</v>
      </c>
      <c r="K688" s="606" t="s">
        <v>2932</v>
      </c>
      <c r="L688" s="798">
        <v>697981.33</v>
      </c>
      <c r="M688" s="838" t="s">
        <v>4813</v>
      </c>
      <c r="N688" s="606" t="s">
        <v>2293</v>
      </c>
      <c r="O688" s="607">
        <v>42795</v>
      </c>
      <c r="P688" s="607">
        <v>43070.5</v>
      </c>
      <c r="Q688" s="634" t="s">
        <v>110</v>
      </c>
      <c r="R688" s="634" t="s">
        <v>2174</v>
      </c>
      <c r="S688" s="634" t="s">
        <v>1455</v>
      </c>
      <c r="T688" s="635"/>
      <c r="U688" s="634"/>
      <c r="V688" s="634"/>
      <c r="W688" s="609" t="s">
        <v>73</v>
      </c>
      <c r="X688" s="638" t="s">
        <v>2400</v>
      </c>
      <c r="Y688" s="637" t="s">
        <v>2401</v>
      </c>
      <c r="Z688" s="636">
        <v>697981.33</v>
      </c>
      <c r="AA688" s="609" t="s">
        <v>1458</v>
      </c>
      <c r="AB688" s="642" t="s">
        <v>263</v>
      </c>
      <c r="AC688" s="652"/>
      <c r="AD688" s="652" t="s">
        <v>113</v>
      </c>
      <c r="AE688" s="653">
        <f t="shared" si="12"/>
        <v>3</v>
      </c>
    </row>
    <row r="689" spans="1:31" ht="105" hidden="1" x14ac:dyDescent="0.25">
      <c r="A689" s="608" t="s">
        <v>4045</v>
      </c>
      <c r="B689" s="601" t="s">
        <v>2176</v>
      </c>
      <c r="C689" s="601" t="s">
        <v>2037</v>
      </c>
      <c r="D689" s="602" t="s">
        <v>5297</v>
      </c>
      <c r="E689" s="602" t="s">
        <v>2027</v>
      </c>
      <c r="F689" s="601" t="s">
        <v>1528</v>
      </c>
      <c r="G689" s="602" t="s">
        <v>2156</v>
      </c>
      <c r="H689" s="603">
        <v>705</v>
      </c>
      <c r="I689" s="604" t="s">
        <v>2161</v>
      </c>
      <c r="J689" s="599" t="s">
        <v>1454</v>
      </c>
      <c r="K689" s="606" t="s">
        <v>2933</v>
      </c>
      <c r="L689" s="798">
        <v>9090967.5600000005</v>
      </c>
      <c r="M689" s="838" t="s">
        <v>4813</v>
      </c>
      <c r="N689" s="606" t="s">
        <v>2294</v>
      </c>
      <c r="O689" s="607">
        <v>42795</v>
      </c>
      <c r="P689" s="607">
        <v>43070.5</v>
      </c>
      <c r="Q689" s="634" t="s">
        <v>110</v>
      </c>
      <c r="R689" s="634" t="s">
        <v>2174</v>
      </c>
      <c r="S689" s="634" t="s">
        <v>1455</v>
      </c>
      <c r="T689" s="635"/>
      <c r="U689" s="634"/>
      <c r="V689" s="634"/>
      <c r="W689" s="609" t="s">
        <v>73</v>
      </c>
      <c r="X689" s="654" t="s">
        <v>2400</v>
      </c>
      <c r="Y689" s="654" t="s">
        <v>2401</v>
      </c>
      <c r="Z689" s="654" t="s">
        <v>2402</v>
      </c>
      <c r="AA689" s="609" t="s">
        <v>1458</v>
      </c>
      <c r="AB689" s="642" t="s">
        <v>263</v>
      </c>
      <c r="AC689" s="652"/>
      <c r="AD689" s="652" t="s">
        <v>113</v>
      </c>
      <c r="AE689" s="653">
        <f t="shared" si="12"/>
        <v>3</v>
      </c>
    </row>
    <row r="690" spans="1:31" ht="105" hidden="1" x14ac:dyDescent="0.25">
      <c r="A690" s="608" t="s">
        <v>4046</v>
      </c>
      <c r="B690" s="601" t="s">
        <v>2176</v>
      </c>
      <c r="C690" s="601" t="s">
        <v>2037</v>
      </c>
      <c r="D690" s="602" t="s">
        <v>5296</v>
      </c>
      <c r="E690" s="602" t="s">
        <v>2027</v>
      </c>
      <c r="F690" s="601" t="s">
        <v>1528</v>
      </c>
      <c r="G690" s="602" t="s">
        <v>2156</v>
      </c>
      <c r="H690" s="603">
        <v>470</v>
      </c>
      <c r="I690" s="604" t="s">
        <v>2161</v>
      </c>
      <c r="J690" s="599" t="s">
        <v>1454</v>
      </c>
      <c r="K690" s="606" t="s">
        <v>2934</v>
      </c>
      <c r="L690" s="798">
        <v>10615045.65</v>
      </c>
      <c r="M690" s="838" t="s">
        <v>4813</v>
      </c>
      <c r="N690" s="606">
        <v>10615045.65</v>
      </c>
      <c r="O690" s="607">
        <v>42795</v>
      </c>
      <c r="P690" s="607">
        <v>43070.5</v>
      </c>
      <c r="Q690" s="634" t="s">
        <v>110</v>
      </c>
      <c r="R690" s="634" t="s">
        <v>2174</v>
      </c>
      <c r="S690" s="634" t="s">
        <v>1455</v>
      </c>
      <c r="T690" s="635"/>
      <c r="U690" s="634"/>
      <c r="V690" s="634"/>
      <c r="W690" s="609" t="s">
        <v>73</v>
      </c>
      <c r="X690" s="661">
        <v>7713297251</v>
      </c>
      <c r="Y690" s="663" t="s">
        <v>3006</v>
      </c>
      <c r="Z690" s="664">
        <v>10615045.65</v>
      </c>
      <c r="AA690" s="609" t="s">
        <v>1458</v>
      </c>
      <c r="AB690" s="642" t="s">
        <v>263</v>
      </c>
      <c r="AC690" s="652"/>
      <c r="AD690" s="652" t="s">
        <v>113</v>
      </c>
      <c r="AE690" s="653">
        <f t="shared" si="12"/>
        <v>3</v>
      </c>
    </row>
    <row r="691" spans="1:31" ht="105" hidden="1" x14ac:dyDescent="0.25">
      <c r="A691" s="608" t="s">
        <v>4047</v>
      </c>
      <c r="B691" s="601" t="s">
        <v>2176</v>
      </c>
      <c r="C691" s="601" t="s">
        <v>2037</v>
      </c>
      <c r="D691" s="602" t="s">
        <v>5295</v>
      </c>
      <c r="E691" s="602" t="s">
        <v>2027</v>
      </c>
      <c r="F691" s="601" t="s">
        <v>1528</v>
      </c>
      <c r="G691" s="602" t="s">
        <v>2156</v>
      </c>
      <c r="H691" s="603">
        <v>720</v>
      </c>
      <c r="I691" s="604" t="s">
        <v>2161</v>
      </c>
      <c r="J691" s="599" t="s">
        <v>1454</v>
      </c>
      <c r="K691" s="606" t="s">
        <v>2935</v>
      </c>
      <c r="L691" s="798">
        <v>15156453.33</v>
      </c>
      <c r="M691" s="838" t="s">
        <v>4813</v>
      </c>
      <c r="N691" s="606">
        <v>15156453.33</v>
      </c>
      <c r="O691" s="607">
        <v>42795</v>
      </c>
      <c r="P691" s="607">
        <v>43070.5</v>
      </c>
      <c r="Q691" s="634" t="s">
        <v>110</v>
      </c>
      <c r="R691" s="634" t="s">
        <v>2174</v>
      </c>
      <c r="S691" s="634" t="s">
        <v>1455</v>
      </c>
      <c r="T691" s="635"/>
      <c r="U691" s="634"/>
      <c r="V691" s="634"/>
      <c r="W691" s="609" t="s">
        <v>73</v>
      </c>
      <c r="X691" s="639">
        <v>7713297251</v>
      </c>
      <c r="Y691" s="639" t="s">
        <v>3006</v>
      </c>
      <c r="Z691" s="639" t="s">
        <v>3023</v>
      </c>
      <c r="AA691" s="609" t="s">
        <v>1458</v>
      </c>
      <c r="AB691" s="642" t="s">
        <v>263</v>
      </c>
      <c r="AC691" s="652"/>
      <c r="AD691" s="652" t="s">
        <v>113</v>
      </c>
      <c r="AE691" s="653">
        <f t="shared" si="12"/>
        <v>3</v>
      </c>
    </row>
    <row r="692" spans="1:31" ht="105" hidden="1" x14ac:dyDescent="0.25">
      <c r="A692" s="608" t="s">
        <v>4048</v>
      </c>
      <c r="B692" s="601" t="s">
        <v>2176</v>
      </c>
      <c r="C692" s="601" t="s">
        <v>2037</v>
      </c>
      <c r="D692" s="602" t="s">
        <v>5294</v>
      </c>
      <c r="E692" s="602" t="s">
        <v>2027</v>
      </c>
      <c r="F692" s="601" t="s">
        <v>1528</v>
      </c>
      <c r="G692" s="602" t="s">
        <v>2156</v>
      </c>
      <c r="H692" s="603">
        <v>255</v>
      </c>
      <c r="I692" s="604" t="s">
        <v>2161</v>
      </c>
      <c r="J692" s="599" t="s">
        <v>1454</v>
      </c>
      <c r="K692" s="606" t="s">
        <v>2936</v>
      </c>
      <c r="L692" s="798">
        <v>646232.72</v>
      </c>
      <c r="M692" s="838" t="s">
        <v>4813</v>
      </c>
      <c r="N692" s="606">
        <v>646232.72</v>
      </c>
      <c r="O692" s="607">
        <v>42767</v>
      </c>
      <c r="P692" s="607">
        <v>43070.5</v>
      </c>
      <c r="Q692" s="634" t="s">
        <v>110</v>
      </c>
      <c r="R692" s="634" t="s">
        <v>2174</v>
      </c>
      <c r="S692" s="634" t="s">
        <v>1455</v>
      </c>
      <c r="T692" s="635"/>
      <c r="U692" s="634"/>
      <c r="V692" s="634"/>
      <c r="W692" s="609" t="s">
        <v>73</v>
      </c>
      <c r="X692" s="639" t="s">
        <v>3005</v>
      </c>
      <c r="Y692" s="639" t="s">
        <v>3006</v>
      </c>
      <c r="Z692" s="639" t="s">
        <v>3096</v>
      </c>
      <c r="AA692" s="609" t="s">
        <v>1458</v>
      </c>
      <c r="AB692" s="642" t="s">
        <v>263</v>
      </c>
      <c r="AC692" s="652"/>
      <c r="AD692" s="652" t="s">
        <v>113</v>
      </c>
      <c r="AE692" s="653">
        <f t="shared" si="12"/>
        <v>2</v>
      </c>
    </row>
    <row r="693" spans="1:31" ht="105" hidden="1" x14ac:dyDescent="0.25">
      <c r="A693" s="608" t="s">
        <v>4049</v>
      </c>
      <c r="B693" s="601" t="s">
        <v>2176</v>
      </c>
      <c r="C693" s="601" t="s">
        <v>2037</v>
      </c>
      <c r="D693" s="602" t="s">
        <v>5293</v>
      </c>
      <c r="E693" s="602" t="s">
        <v>2027</v>
      </c>
      <c r="F693" s="601" t="s">
        <v>1528</v>
      </c>
      <c r="G693" s="602" t="s">
        <v>2156</v>
      </c>
      <c r="H693" s="603">
        <v>910</v>
      </c>
      <c r="I693" s="604" t="s">
        <v>2161</v>
      </c>
      <c r="J693" s="599" t="s">
        <v>1454</v>
      </c>
      <c r="K693" s="606" t="s">
        <v>2937</v>
      </c>
      <c r="L693" s="798">
        <v>16087257.07</v>
      </c>
      <c r="M693" s="838" t="s">
        <v>4813</v>
      </c>
      <c r="N693" s="606">
        <v>16087257.07</v>
      </c>
      <c r="O693" s="607">
        <v>42795</v>
      </c>
      <c r="P693" s="607">
        <v>43070.5</v>
      </c>
      <c r="Q693" s="634" t="s">
        <v>110</v>
      </c>
      <c r="R693" s="634" t="s">
        <v>2174</v>
      </c>
      <c r="S693" s="634" t="s">
        <v>1455</v>
      </c>
      <c r="T693" s="635"/>
      <c r="U693" s="634"/>
      <c r="V693" s="634"/>
      <c r="W693" s="609" t="s">
        <v>73</v>
      </c>
      <c r="X693" s="639" t="s">
        <v>3005</v>
      </c>
      <c r="Y693" s="639" t="s">
        <v>3006</v>
      </c>
      <c r="Z693" s="639" t="s">
        <v>3098</v>
      </c>
      <c r="AA693" s="609" t="s">
        <v>1458</v>
      </c>
      <c r="AB693" s="642" t="s">
        <v>263</v>
      </c>
      <c r="AC693" s="652"/>
      <c r="AD693" s="652" t="s">
        <v>113</v>
      </c>
      <c r="AE693" s="653">
        <f t="shared" si="12"/>
        <v>3</v>
      </c>
    </row>
    <row r="694" spans="1:31" ht="105" hidden="1" x14ac:dyDescent="0.25">
      <c r="A694" s="608" t="s">
        <v>4050</v>
      </c>
      <c r="B694" s="601" t="s">
        <v>2176</v>
      </c>
      <c r="C694" s="601" t="s">
        <v>2037</v>
      </c>
      <c r="D694" s="602" t="s">
        <v>5292</v>
      </c>
      <c r="E694" s="602" t="s">
        <v>2027</v>
      </c>
      <c r="F694" s="601" t="s">
        <v>1528</v>
      </c>
      <c r="G694" s="602" t="s">
        <v>2156</v>
      </c>
      <c r="H694" s="603">
        <v>320</v>
      </c>
      <c r="I694" s="604" t="s">
        <v>2161</v>
      </c>
      <c r="J694" s="599" t="s">
        <v>1454</v>
      </c>
      <c r="K694" s="606" t="s">
        <v>2938</v>
      </c>
      <c r="L694" s="798">
        <v>1594812.24</v>
      </c>
      <c r="M694" s="838" t="s">
        <v>4813</v>
      </c>
      <c r="N694" s="606">
        <v>1594812.24</v>
      </c>
      <c r="O694" s="607">
        <v>42767</v>
      </c>
      <c r="P694" s="607">
        <v>43070.5</v>
      </c>
      <c r="Q694" s="634" t="s">
        <v>110</v>
      </c>
      <c r="R694" s="634" t="s">
        <v>2174</v>
      </c>
      <c r="S694" s="634" t="s">
        <v>1455</v>
      </c>
      <c r="T694" s="635"/>
      <c r="U694" s="634"/>
      <c r="V694" s="634"/>
      <c r="W694" s="609" t="s">
        <v>73</v>
      </c>
      <c r="X694" s="639" t="s">
        <v>3005</v>
      </c>
      <c r="Y694" s="639" t="s">
        <v>3006</v>
      </c>
      <c r="Z694" s="639" t="s">
        <v>3057</v>
      </c>
      <c r="AA694" s="609" t="s">
        <v>1458</v>
      </c>
      <c r="AB694" s="642" t="s">
        <v>263</v>
      </c>
      <c r="AC694" s="652"/>
      <c r="AD694" s="652" t="s">
        <v>113</v>
      </c>
      <c r="AE694" s="653">
        <f t="shared" si="12"/>
        <v>2</v>
      </c>
    </row>
    <row r="695" spans="1:31" ht="105" hidden="1" x14ac:dyDescent="0.25">
      <c r="A695" s="608" t="s">
        <v>4051</v>
      </c>
      <c r="B695" s="601" t="s">
        <v>2176</v>
      </c>
      <c r="C695" s="601" t="s">
        <v>2037</v>
      </c>
      <c r="D695" s="602" t="s">
        <v>5291</v>
      </c>
      <c r="E695" s="602" t="s">
        <v>2027</v>
      </c>
      <c r="F695" s="601" t="s">
        <v>1528</v>
      </c>
      <c r="G695" s="602" t="s">
        <v>2156</v>
      </c>
      <c r="H695" s="603">
        <v>220</v>
      </c>
      <c r="I695" s="604" t="s">
        <v>2161</v>
      </c>
      <c r="J695" s="599" t="s">
        <v>1454</v>
      </c>
      <c r="K695" s="606" t="s">
        <v>2939</v>
      </c>
      <c r="L695" s="798">
        <v>505920</v>
      </c>
      <c r="M695" s="609" t="s">
        <v>2184</v>
      </c>
      <c r="N695" s="606" t="s">
        <v>2295</v>
      </c>
      <c r="O695" s="607">
        <v>42795</v>
      </c>
      <c r="P695" s="607">
        <v>43070.5</v>
      </c>
      <c r="Q695" s="634" t="s">
        <v>110</v>
      </c>
      <c r="R695" s="634" t="s">
        <v>2174</v>
      </c>
      <c r="S695" s="634" t="s">
        <v>1455</v>
      </c>
      <c r="T695" s="635"/>
      <c r="U695" s="634"/>
      <c r="V695" s="634"/>
      <c r="W695" s="609" t="s">
        <v>73</v>
      </c>
      <c r="X695" s="638"/>
      <c r="Y695" s="637"/>
      <c r="Z695" s="636"/>
      <c r="AA695" s="609" t="s">
        <v>1458</v>
      </c>
      <c r="AB695" s="642" t="s">
        <v>263</v>
      </c>
      <c r="AC695" s="652"/>
      <c r="AD695" s="652" t="s">
        <v>113</v>
      </c>
      <c r="AE695" s="653">
        <f t="shared" si="12"/>
        <v>3</v>
      </c>
    </row>
    <row r="696" spans="1:31" ht="105" hidden="1" x14ac:dyDescent="0.25">
      <c r="A696" s="608" t="s">
        <v>4052</v>
      </c>
      <c r="B696" s="601" t="s">
        <v>2176</v>
      </c>
      <c r="C696" s="601" t="s">
        <v>2037</v>
      </c>
      <c r="D696" s="602" t="s">
        <v>5290</v>
      </c>
      <c r="E696" s="602" t="s">
        <v>2027</v>
      </c>
      <c r="F696" s="601" t="s">
        <v>1528</v>
      </c>
      <c r="G696" s="602" t="s">
        <v>2156</v>
      </c>
      <c r="H696" s="603">
        <v>390</v>
      </c>
      <c r="I696" s="604" t="s">
        <v>2161</v>
      </c>
      <c r="J696" s="599" t="s">
        <v>1454</v>
      </c>
      <c r="K696" s="606" t="s">
        <v>2940</v>
      </c>
      <c r="L696" s="798">
        <v>843200</v>
      </c>
      <c r="M696" s="609" t="s">
        <v>2184</v>
      </c>
      <c r="N696" s="606" t="s">
        <v>2296</v>
      </c>
      <c r="O696" s="607">
        <v>42767.5</v>
      </c>
      <c r="P696" s="607">
        <v>43070.5</v>
      </c>
      <c r="Q696" s="634" t="s">
        <v>110</v>
      </c>
      <c r="R696" s="634" t="s">
        <v>2174</v>
      </c>
      <c r="S696" s="634" t="s">
        <v>1455</v>
      </c>
      <c r="T696" s="635"/>
      <c r="U696" s="634"/>
      <c r="V696" s="634"/>
      <c r="W696" s="609" t="s">
        <v>73</v>
      </c>
      <c r="X696" s="638"/>
      <c r="Y696" s="637"/>
      <c r="Z696" s="636"/>
      <c r="AA696" s="609" t="s">
        <v>1458</v>
      </c>
      <c r="AB696" s="642" t="s">
        <v>263</v>
      </c>
      <c r="AC696" s="652"/>
      <c r="AD696" s="652" t="s">
        <v>113</v>
      </c>
      <c r="AE696" s="653">
        <f t="shared" si="12"/>
        <v>2</v>
      </c>
    </row>
    <row r="697" spans="1:31" ht="105" hidden="1" x14ac:dyDescent="0.25">
      <c r="A697" s="608" t="s">
        <v>4053</v>
      </c>
      <c r="B697" s="601" t="s">
        <v>1576</v>
      </c>
      <c r="C697" s="601" t="s">
        <v>2204</v>
      </c>
      <c r="D697" s="602" t="s">
        <v>5289</v>
      </c>
      <c r="E697" s="602" t="s">
        <v>2027</v>
      </c>
      <c r="F697" s="601" t="s">
        <v>1528</v>
      </c>
      <c r="G697" s="602" t="s">
        <v>2156</v>
      </c>
      <c r="H697" s="603">
        <v>45</v>
      </c>
      <c r="I697" s="604" t="s">
        <v>2161</v>
      </c>
      <c r="J697" s="599" t="s">
        <v>1454</v>
      </c>
      <c r="K697" s="606" t="s">
        <v>2941</v>
      </c>
      <c r="L697" s="798">
        <v>45666</v>
      </c>
      <c r="M697" s="609" t="s">
        <v>2184</v>
      </c>
      <c r="N697" s="606" t="s">
        <v>2297</v>
      </c>
      <c r="O697" s="607">
        <v>42795</v>
      </c>
      <c r="P697" s="607">
        <v>43070.5</v>
      </c>
      <c r="Q697" s="634" t="s">
        <v>110</v>
      </c>
      <c r="R697" s="634" t="s">
        <v>2174</v>
      </c>
      <c r="S697" s="634" t="s">
        <v>1455</v>
      </c>
      <c r="T697" s="635"/>
      <c r="U697" s="634"/>
      <c r="V697" s="634"/>
      <c r="W697" s="609" t="s">
        <v>73</v>
      </c>
      <c r="X697" s="638"/>
      <c r="Y697" s="637"/>
      <c r="Z697" s="636"/>
      <c r="AA697" s="609" t="s">
        <v>1458</v>
      </c>
      <c r="AB697" s="642" t="s">
        <v>263</v>
      </c>
      <c r="AC697" s="652"/>
      <c r="AD697" s="652" t="s">
        <v>113</v>
      </c>
      <c r="AE697" s="653">
        <f t="shared" si="12"/>
        <v>3</v>
      </c>
    </row>
    <row r="698" spans="1:31" ht="105" hidden="1" x14ac:dyDescent="0.25">
      <c r="A698" s="608" t="s">
        <v>4054</v>
      </c>
      <c r="B698" s="601" t="s">
        <v>1576</v>
      </c>
      <c r="C698" s="601" t="s">
        <v>2204</v>
      </c>
      <c r="D698" s="602" t="s">
        <v>5288</v>
      </c>
      <c r="E698" s="602" t="s">
        <v>2027</v>
      </c>
      <c r="F698" s="601" t="s">
        <v>1528</v>
      </c>
      <c r="G698" s="602" t="s">
        <v>2156</v>
      </c>
      <c r="H698" s="603">
        <v>204</v>
      </c>
      <c r="I698" s="604" t="s">
        <v>2161</v>
      </c>
      <c r="J698" s="599" t="s">
        <v>1454</v>
      </c>
      <c r="K698" s="606" t="s">
        <v>2942</v>
      </c>
      <c r="L698" s="798">
        <v>207019.2</v>
      </c>
      <c r="M698" s="609" t="s">
        <v>2184</v>
      </c>
      <c r="N698" s="606" t="s">
        <v>2298</v>
      </c>
      <c r="O698" s="607">
        <v>42795</v>
      </c>
      <c r="P698" s="607">
        <v>43070.5</v>
      </c>
      <c r="Q698" s="634" t="s">
        <v>110</v>
      </c>
      <c r="R698" s="634" t="s">
        <v>2174</v>
      </c>
      <c r="S698" s="634" t="s">
        <v>1455</v>
      </c>
      <c r="T698" s="635"/>
      <c r="U698" s="634"/>
      <c r="V698" s="634"/>
      <c r="W698" s="609" t="s">
        <v>73</v>
      </c>
      <c r="X698" s="638" t="s">
        <v>3327</v>
      </c>
      <c r="Y698" s="637" t="s">
        <v>3329</v>
      </c>
      <c r="Z698" s="636">
        <v>207019.2</v>
      </c>
      <c r="AA698" s="609" t="s">
        <v>1458</v>
      </c>
      <c r="AB698" s="642" t="s">
        <v>263</v>
      </c>
      <c r="AC698" s="652"/>
      <c r="AD698" s="652" t="s">
        <v>113</v>
      </c>
      <c r="AE698" s="653">
        <f t="shared" si="12"/>
        <v>3</v>
      </c>
    </row>
    <row r="699" spans="1:31" ht="105" hidden="1" x14ac:dyDescent="0.25">
      <c r="A699" s="608" t="s">
        <v>4055</v>
      </c>
      <c r="B699" s="601" t="s">
        <v>1576</v>
      </c>
      <c r="C699" s="601" t="s">
        <v>2204</v>
      </c>
      <c r="D699" s="602" t="s">
        <v>5287</v>
      </c>
      <c r="E699" s="602" t="s">
        <v>2027</v>
      </c>
      <c r="F699" s="601" t="s">
        <v>1528</v>
      </c>
      <c r="G699" s="602" t="s">
        <v>2156</v>
      </c>
      <c r="H699" s="603">
        <v>201</v>
      </c>
      <c r="I699" s="604" t="s">
        <v>2161</v>
      </c>
      <c r="J699" s="599" t="s">
        <v>1454</v>
      </c>
      <c r="K699" s="606" t="s">
        <v>2943</v>
      </c>
      <c r="L699" s="798">
        <v>203974.8</v>
      </c>
      <c r="M699" s="609" t="s">
        <v>2184</v>
      </c>
      <c r="N699" s="606" t="s">
        <v>2299</v>
      </c>
      <c r="O699" s="607">
        <v>42795</v>
      </c>
      <c r="P699" s="607">
        <v>43070.5</v>
      </c>
      <c r="Q699" s="634" t="s">
        <v>110</v>
      </c>
      <c r="R699" s="634" t="s">
        <v>2174</v>
      </c>
      <c r="S699" s="634" t="s">
        <v>1455</v>
      </c>
      <c r="T699" s="635"/>
      <c r="U699" s="634"/>
      <c r="V699" s="634"/>
      <c r="W699" s="609" t="s">
        <v>73</v>
      </c>
      <c r="X699" s="638" t="s">
        <v>3327</v>
      </c>
      <c r="Y699" s="637" t="s">
        <v>3328</v>
      </c>
      <c r="Z699" s="636">
        <v>203974.8</v>
      </c>
      <c r="AA699" s="609" t="s">
        <v>1458</v>
      </c>
      <c r="AB699" s="642" t="s">
        <v>263</v>
      </c>
      <c r="AC699" s="652"/>
      <c r="AD699" s="652" t="s">
        <v>113</v>
      </c>
      <c r="AE699" s="653">
        <f t="shared" si="12"/>
        <v>3</v>
      </c>
    </row>
    <row r="700" spans="1:31" ht="105" hidden="1" x14ac:dyDescent="0.25">
      <c r="A700" s="608" t="s">
        <v>4056</v>
      </c>
      <c r="B700" s="601" t="s">
        <v>2205</v>
      </c>
      <c r="C700" s="601" t="s">
        <v>2205</v>
      </c>
      <c r="D700" s="602" t="s">
        <v>5286</v>
      </c>
      <c r="E700" s="602" t="s">
        <v>2027</v>
      </c>
      <c r="F700" s="601" t="s">
        <v>1528</v>
      </c>
      <c r="G700" s="602" t="s">
        <v>2156</v>
      </c>
      <c r="H700" s="603">
        <v>15</v>
      </c>
      <c r="I700" s="604" t="s">
        <v>2161</v>
      </c>
      <c r="J700" s="599" t="s">
        <v>1454</v>
      </c>
      <c r="K700" s="606" t="s">
        <v>2944</v>
      </c>
      <c r="L700" s="798">
        <v>692023.63</v>
      </c>
      <c r="M700" s="838" t="s">
        <v>4813</v>
      </c>
      <c r="N700" s="606" t="s">
        <v>2300</v>
      </c>
      <c r="O700" s="607">
        <v>42767.5</v>
      </c>
      <c r="P700" s="607">
        <v>43070.5</v>
      </c>
      <c r="Q700" s="634" t="s">
        <v>110</v>
      </c>
      <c r="R700" s="634" t="s">
        <v>2174</v>
      </c>
      <c r="S700" s="634" t="s">
        <v>1455</v>
      </c>
      <c r="T700" s="635"/>
      <c r="U700" s="634"/>
      <c r="V700" s="634"/>
      <c r="W700" s="609" t="s">
        <v>73</v>
      </c>
      <c r="X700" s="638" t="s">
        <v>5093</v>
      </c>
      <c r="Y700" s="637" t="s">
        <v>5094</v>
      </c>
      <c r="Z700" s="636">
        <v>692023.63</v>
      </c>
      <c r="AA700" s="609" t="s">
        <v>1458</v>
      </c>
      <c r="AB700" s="642" t="s">
        <v>263</v>
      </c>
      <c r="AC700" s="652"/>
      <c r="AD700" s="652" t="s">
        <v>113</v>
      </c>
      <c r="AE700" s="653">
        <f t="shared" si="12"/>
        <v>2</v>
      </c>
    </row>
    <row r="701" spans="1:31" ht="105" hidden="1" x14ac:dyDescent="0.25">
      <c r="A701" s="608" t="s">
        <v>4057</v>
      </c>
      <c r="B701" s="601" t="s">
        <v>1576</v>
      </c>
      <c r="C701" s="601" t="s">
        <v>1576</v>
      </c>
      <c r="D701" s="602" t="s">
        <v>5285</v>
      </c>
      <c r="E701" s="602" t="s">
        <v>2027</v>
      </c>
      <c r="F701" s="601" t="s">
        <v>1528</v>
      </c>
      <c r="G701" s="602" t="s">
        <v>2156</v>
      </c>
      <c r="H701" s="603">
        <v>1600</v>
      </c>
      <c r="I701" s="604" t="s">
        <v>2161</v>
      </c>
      <c r="J701" s="599" t="s">
        <v>1454</v>
      </c>
      <c r="K701" s="606" t="s">
        <v>2945</v>
      </c>
      <c r="L701" s="798">
        <v>141345</v>
      </c>
      <c r="M701" s="609" t="s">
        <v>2184</v>
      </c>
      <c r="N701" s="606" t="s">
        <v>2301</v>
      </c>
      <c r="O701" s="607">
        <v>42767.5</v>
      </c>
      <c r="P701" s="607">
        <v>43070.5</v>
      </c>
      <c r="Q701" s="634" t="s">
        <v>110</v>
      </c>
      <c r="R701" s="634" t="s">
        <v>2174</v>
      </c>
      <c r="S701" s="634" t="s">
        <v>1455</v>
      </c>
      <c r="T701" s="635"/>
      <c r="U701" s="634"/>
      <c r="V701" s="634"/>
      <c r="W701" s="609" t="s">
        <v>73</v>
      </c>
      <c r="X701" s="638"/>
      <c r="Y701" s="637"/>
      <c r="Z701" s="636"/>
      <c r="AA701" s="609" t="s">
        <v>1458</v>
      </c>
      <c r="AB701" s="642" t="s">
        <v>263</v>
      </c>
      <c r="AC701" s="652"/>
      <c r="AD701" s="652" t="s">
        <v>113</v>
      </c>
      <c r="AE701" s="653">
        <f t="shared" si="12"/>
        <v>2</v>
      </c>
    </row>
    <row r="702" spans="1:31" ht="105" hidden="1" x14ac:dyDescent="0.25">
      <c r="A702" s="608" t="s">
        <v>4058</v>
      </c>
      <c r="B702" s="601" t="s">
        <v>1788</v>
      </c>
      <c r="C702" s="601" t="s">
        <v>2206</v>
      </c>
      <c r="D702" s="602" t="s">
        <v>5284</v>
      </c>
      <c r="E702" s="602" t="s">
        <v>2022</v>
      </c>
      <c r="F702" s="601" t="s">
        <v>1528</v>
      </c>
      <c r="G702" s="602" t="s">
        <v>2156</v>
      </c>
      <c r="H702" s="603">
        <v>3</v>
      </c>
      <c r="I702" s="604" t="s">
        <v>2161</v>
      </c>
      <c r="J702" s="599" t="s">
        <v>1454</v>
      </c>
      <c r="K702" s="606" t="s">
        <v>6097</v>
      </c>
      <c r="L702" s="911">
        <v>589108.62</v>
      </c>
      <c r="M702" s="838" t="s">
        <v>4813</v>
      </c>
      <c r="N702" s="606">
        <v>589108.62</v>
      </c>
      <c r="O702" s="607">
        <v>42826</v>
      </c>
      <c r="P702" s="607">
        <v>43070.5</v>
      </c>
      <c r="Q702" s="634" t="s">
        <v>108</v>
      </c>
      <c r="R702" s="634" t="s">
        <v>112</v>
      </c>
      <c r="S702" s="634" t="s">
        <v>1457</v>
      </c>
      <c r="T702" s="635"/>
      <c r="U702" s="634"/>
      <c r="V702" s="634"/>
      <c r="W702" s="609"/>
      <c r="X702" s="638"/>
      <c r="Y702" s="637"/>
      <c r="Z702" s="636"/>
      <c r="AA702" s="609" t="s">
        <v>1458</v>
      </c>
      <c r="AB702" s="642" t="s">
        <v>263</v>
      </c>
      <c r="AC702" s="652"/>
      <c r="AD702" s="652" t="s">
        <v>113</v>
      </c>
      <c r="AE702" s="653">
        <f t="shared" si="12"/>
        <v>4</v>
      </c>
    </row>
    <row r="703" spans="1:31" ht="105" hidden="1" x14ac:dyDescent="0.25">
      <c r="A703" s="608" t="s">
        <v>4059</v>
      </c>
      <c r="B703" s="601" t="s">
        <v>2033</v>
      </c>
      <c r="C703" s="601" t="s">
        <v>2034</v>
      </c>
      <c r="D703" s="602" t="s">
        <v>5283</v>
      </c>
      <c r="E703" s="602" t="s">
        <v>2022</v>
      </c>
      <c r="F703" s="601" t="s">
        <v>1528</v>
      </c>
      <c r="G703" s="602" t="s">
        <v>2156</v>
      </c>
      <c r="H703" s="603">
        <v>4</v>
      </c>
      <c r="I703" s="604" t="s">
        <v>2161</v>
      </c>
      <c r="J703" s="599" t="s">
        <v>1454</v>
      </c>
      <c r="K703" s="606" t="s">
        <v>4808</v>
      </c>
      <c r="L703" s="798">
        <v>1358666.67</v>
      </c>
      <c r="M703" s="609" t="s">
        <v>2184</v>
      </c>
      <c r="N703" s="606">
        <v>1358666.67</v>
      </c>
      <c r="O703" s="607">
        <v>42767.5</v>
      </c>
      <c r="P703" s="607">
        <v>43070.5</v>
      </c>
      <c r="Q703" s="634" t="s">
        <v>108</v>
      </c>
      <c r="R703" s="634" t="s">
        <v>1456</v>
      </c>
      <c r="S703" s="634" t="s">
        <v>1457</v>
      </c>
      <c r="T703" s="635"/>
      <c r="U703" s="634"/>
      <c r="V703" s="634"/>
      <c r="W703" s="637"/>
      <c r="X703" s="638"/>
      <c r="Y703" s="637"/>
      <c r="Z703" s="636"/>
      <c r="AA703" s="609" t="s">
        <v>1458</v>
      </c>
      <c r="AB703" s="642" t="s">
        <v>263</v>
      </c>
      <c r="AC703" s="652"/>
      <c r="AD703" s="652" t="s">
        <v>113</v>
      </c>
      <c r="AE703" s="653">
        <f t="shared" si="12"/>
        <v>2</v>
      </c>
    </row>
    <row r="704" spans="1:31" ht="105" hidden="1" x14ac:dyDescent="0.25">
      <c r="A704" s="608" t="s">
        <v>4060</v>
      </c>
      <c r="B704" s="601" t="s">
        <v>2176</v>
      </c>
      <c r="C704" s="601" t="s">
        <v>2037</v>
      </c>
      <c r="D704" s="602" t="s">
        <v>5282</v>
      </c>
      <c r="E704" s="602" t="s">
        <v>2022</v>
      </c>
      <c r="F704" s="601" t="s">
        <v>1528</v>
      </c>
      <c r="G704" s="602" t="s">
        <v>2156</v>
      </c>
      <c r="H704" s="603">
        <v>105</v>
      </c>
      <c r="I704" s="604" t="s">
        <v>2161</v>
      </c>
      <c r="J704" s="599" t="s">
        <v>1454</v>
      </c>
      <c r="K704" s="606" t="s">
        <v>2946</v>
      </c>
      <c r="L704" s="798">
        <v>880739.18</v>
      </c>
      <c r="M704" s="609" t="s">
        <v>2184</v>
      </c>
      <c r="N704" s="606" t="s">
        <v>2302</v>
      </c>
      <c r="O704" s="607">
        <v>42767.5</v>
      </c>
      <c r="P704" s="607">
        <v>43070.5</v>
      </c>
      <c r="Q704" s="634" t="s">
        <v>110</v>
      </c>
      <c r="R704" s="634" t="s">
        <v>2174</v>
      </c>
      <c r="S704" s="634" t="s">
        <v>1455</v>
      </c>
      <c r="T704" s="635"/>
      <c r="U704" s="634"/>
      <c r="V704" s="634"/>
      <c r="W704" s="609" t="s">
        <v>73</v>
      </c>
      <c r="X704" s="638"/>
      <c r="Y704" s="637"/>
      <c r="Z704" s="636"/>
      <c r="AA704" s="609" t="s">
        <v>1458</v>
      </c>
      <c r="AB704" s="642" t="s">
        <v>263</v>
      </c>
      <c r="AC704" s="652"/>
      <c r="AD704" s="652" t="s">
        <v>113</v>
      </c>
      <c r="AE704" s="653">
        <f t="shared" si="12"/>
        <v>2</v>
      </c>
    </row>
    <row r="705" spans="1:31" ht="105" hidden="1" x14ac:dyDescent="0.25">
      <c r="A705" s="608" t="s">
        <v>4061</v>
      </c>
      <c r="B705" s="601" t="s">
        <v>2176</v>
      </c>
      <c r="C705" s="601" t="s">
        <v>2037</v>
      </c>
      <c r="D705" s="602" t="s">
        <v>5281</v>
      </c>
      <c r="E705" s="602" t="s">
        <v>2022</v>
      </c>
      <c r="F705" s="601" t="s">
        <v>1528</v>
      </c>
      <c r="G705" s="602" t="s">
        <v>2156</v>
      </c>
      <c r="H705" s="603">
        <v>390</v>
      </c>
      <c r="I705" s="604" t="s">
        <v>2161</v>
      </c>
      <c r="J705" s="599" t="s">
        <v>1454</v>
      </c>
      <c r="K705" s="606" t="s">
        <v>2947</v>
      </c>
      <c r="L705" s="798">
        <v>1971440</v>
      </c>
      <c r="M705" s="838" t="s">
        <v>4813</v>
      </c>
      <c r="N705" s="606" t="s">
        <v>2303</v>
      </c>
      <c r="O705" s="607">
        <v>42767.5</v>
      </c>
      <c r="P705" s="607">
        <v>43070.5</v>
      </c>
      <c r="Q705" s="634" t="s">
        <v>110</v>
      </c>
      <c r="R705" s="634" t="s">
        <v>2174</v>
      </c>
      <c r="S705" s="634" t="s">
        <v>1455</v>
      </c>
      <c r="T705" s="635"/>
      <c r="U705" s="634"/>
      <c r="V705" s="634"/>
      <c r="W705" s="637" t="s">
        <v>73</v>
      </c>
      <c r="X705" s="638" t="s">
        <v>2392</v>
      </c>
      <c r="Y705" s="637" t="s">
        <v>2393</v>
      </c>
      <c r="Z705" s="636">
        <v>1971440</v>
      </c>
      <c r="AA705" s="609" t="s">
        <v>1458</v>
      </c>
      <c r="AB705" s="642" t="s">
        <v>263</v>
      </c>
      <c r="AC705" s="652"/>
      <c r="AD705" s="652" t="s">
        <v>113</v>
      </c>
      <c r="AE705" s="653">
        <f t="shared" si="12"/>
        <v>2</v>
      </c>
    </row>
    <row r="706" spans="1:31" ht="105" hidden="1" x14ac:dyDescent="0.25">
      <c r="A706" s="608" t="s">
        <v>4062</v>
      </c>
      <c r="B706" s="601" t="s">
        <v>2176</v>
      </c>
      <c r="C706" s="601" t="s">
        <v>2037</v>
      </c>
      <c r="D706" s="602" t="s">
        <v>5280</v>
      </c>
      <c r="E706" s="602" t="s">
        <v>2022</v>
      </c>
      <c r="F706" s="601" t="s">
        <v>1528</v>
      </c>
      <c r="G706" s="602" t="s">
        <v>2156</v>
      </c>
      <c r="H706" s="603">
        <v>220</v>
      </c>
      <c r="I706" s="604" t="s">
        <v>2161</v>
      </c>
      <c r="J706" s="599" t="s">
        <v>1454</v>
      </c>
      <c r="K706" s="606" t="s">
        <v>2948</v>
      </c>
      <c r="L706" s="798">
        <v>1119860</v>
      </c>
      <c r="M706" s="838" t="s">
        <v>4813</v>
      </c>
      <c r="N706" s="606" t="s">
        <v>2304</v>
      </c>
      <c r="O706" s="607">
        <v>42767.5</v>
      </c>
      <c r="P706" s="607">
        <v>43070.5</v>
      </c>
      <c r="Q706" s="634" t="s">
        <v>110</v>
      </c>
      <c r="R706" s="634" t="s">
        <v>2174</v>
      </c>
      <c r="S706" s="634" t="s">
        <v>1455</v>
      </c>
      <c r="T706" s="635"/>
      <c r="U706" s="634"/>
      <c r="V706" s="634"/>
      <c r="W706" s="609" t="s">
        <v>73</v>
      </c>
      <c r="X706" s="639" t="s">
        <v>2392</v>
      </c>
      <c r="Y706" s="639" t="s">
        <v>2395</v>
      </c>
      <c r="Z706" s="639" t="s">
        <v>3030</v>
      </c>
      <c r="AA706" s="609" t="s">
        <v>1458</v>
      </c>
      <c r="AB706" s="642" t="s">
        <v>263</v>
      </c>
      <c r="AC706" s="652"/>
      <c r="AD706" s="652" t="s">
        <v>113</v>
      </c>
      <c r="AE706" s="653">
        <f t="shared" si="12"/>
        <v>2</v>
      </c>
    </row>
    <row r="707" spans="1:31" ht="105" hidden="1" x14ac:dyDescent="0.25">
      <c r="A707" s="608" t="s">
        <v>4063</v>
      </c>
      <c r="B707" s="601" t="s">
        <v>1851</v>
      </c>
      <c r="C707" s="601" t="s">
        <v>2160</v>
      </c>
      <c r="D707" s="602" t="s">
        <v>4348</v>
      </c>
      <c r="E707" s="602" t="s">
        <v>2234</v>
      </c>
      <c r="F707" s="601" t="s">
        <v>1528</v>
      </c>
      <c r="G707" s="602" t="s">
        <v>2156</v>
      </c>
      <c r="H707" s="603">
        <v>50</v>
      </c>
      <c r="I707" s="604" t="s">
        <v>2161</v>
      </c>
      <c r="J707" s="599" t="s">
        <v>1454</v>
      </c>
      <c r="K707" s="606" t="s">
        <v>2949</v>
      </c>
      <c r="L707" s="798">
        <v>372443</v>
      </c>
      <c r="M707" s="838" t="s">
        <v>4813</v>
      </c>
      <c r="N707" s="606" t="s">
        <v>2305</v>
      </c>
      <c r="O707" s="607">
        <v>42767.5</v>
      </c>
      <c r="P707" s="607">
        <v>42826.5</v>
      </c>
      <c r="Q707" s="634" t="s">
        <v>110</v>
      </c>
      <c r="R707" s="634" t="s">
        <v>2174</v>
      </c>
      <c r="S707" s="634" t="s">
        <v>1455</v>
      </c>
      <c r="T707" s="635"/>
      <c r="U707" s="634"/>
      <c r="V707" s="634"/>
      <c r="W707" s="609" t="s">
        <v>73</v>
      </c>
      <c r="X707" s="639" t="s">
        <v>3040</v>
      </c>
      <c r="Y707" s="639" t="s">
        <v>3041</v>
      </c>
      <c r="Z707" s="639" t="s">
        <v>3042</v>
      </c>
      <c r="AA707" s="609" t="s">
        <v>1458</v>
      </c>
      <c r="AB707" s="642" t="s">
        <v>263</v>
      </c>
      <c r="AC707" s="652"/>
      <c r="AD707" s="652" t="s">
        <v>113</v>
      </c>
      <c r="AE707" s="653">
        <f t="shared" si="12"/>
        <v>2</v>
      </c>
    </row>
    <row r="708" spans="1:31" ht="105" hidden="1" x14ac:dyDescent="0.25">
      <c r="A708" s="608" t="s">
        <v>4064</v>
      </c>
      <c r="B708" s="601" t="s">
        <v>1540</v>
      </c>
      <c r="C708" s="601" t="s">
        <v>2207</v>
      </c>
      <c r="D708" s="602" t="s">
        <v>5279</v>
      </c>
      <c r="E708" s="602" t="s">
        <v>2178</v>
      </c>
      <c r="F708" s="601" t="s">
        <v>1528</v>
      </c>
      <c r="G708" s="602" t="s">
        <v>2156</v>
      </c>
      <c r="H708" s="603">
        <v>180</v>
      </c>
      <c r="I708" s="604" t="s">
        <v>2161</v>
      </c>
      <c r="J708" s="599" t="s">
        <v>1454</v>
      </c>
      <c r="K708" s="606" t="s">
        <v>2950</v>
      </c>
      <c r="L708" s="798">
        <v>884126</v>
      </c>
      <c r="M708" s="838" t="s">
        <v>4813</v>
      </c>
      <c r="N708" s="606">
        <v>884126</v>
      </c>
      <c r="O708" s="607">
        <v>42767.5</v>
      </c>
      <c r="P708" s="607">
        <v>42795.5</v>
      </c>
      <c r="Q708" s="634" t="s">
        <v>110</v>
      </c>
      <c r="R708" s="634" t="s">
        <v>2174</v>
      </c>
      <c r="S708" s="634" t="s">
        <v>1455</v>
      </c>
      <c r="T708" s="635"/>
      <c r="U708" s="634"/>
      <c r="V708" s="634"/>
      <c r="W708" s="609" t="s">
        <v>73</v>
      </c>
      <c r="X708" s="638" t="s">
        <v>4822</v>
      </c>
      <c r="Y708" s="637" t="s">
        <v>4823</v>
      </c>
      <c r="Z708" s="636">
        <v>884126</v>
      </c>
      <c r="AA708" s="609" t="s">
        <v>1458</v>
      </c>
      <c r="AB708" s="642" t="s">
        <v>263</v>
      </c>
      <c r="AC708" s="652"/>
      <c r="AD708" s="652" t="s">
        <v>113</v>
      </c>
      <c r="AE708" s="653">
        <f t="shared" si="12"/>
        <v>2</v>
      </c>
    </row>
    <row r="709" spans="1:31" ht="105" hidden="1" x14ac:dyDescent="0.25">
      <c r="A709" s="608" t="s">
        <v>4065</v>
      </c>
      <c r="B709" s="601" t="s">
        <v>1951</v>
      </c>
      <c r="C709" s="601" t="s">
        <v>2192</v>
      </c>
      <c r="D709" s="602" t="s">
        <v>5278</v>
      </c>
      <c r="E709" s="602" t="s">
        <v>2178</v>
      </c>
      <c r="F709" s="601" t="s">
        <v>1528</v>
      </c>
      <c r="G709" s="602" t="s">
        <v>2156</v>
      </c>
      <c r="H709" s="603">
        <v>400</v>
      </c>
      <c r="I709" s="604" t="s">
        <v>2161</v>
      </c>
      <c r="J709" s="599" t="s">
        <v>1454</v>
      </c>
      <c r="K709" s="606" t="s">
        <v>2951</v>
      </c>
      <c r="L709" s="798">
        <v>446415.24</v>
      </c>
      <c r="M709" s="609" t="s">
        <v>2184</v>
      </c>
      <c r="N709" s="606" t="s">
        <v>2306</v>
      </c>
      <c r="O709" s="607">
        <v>42767.5</v>
      </c>
      <c r="P709" s="607">
        <v>42795.5</v>
      </c>
      <c r="Q709" s="634" t="s">
        <v>110</v>
      </c>
      <c r="R709" s="634" t="s">
        <v>2174</v>
      </c>
      <c r="S709" s="634" t="s">
        <v>1455</v>
      </c>
      <c r="T709" s="635"/>
      <c r="U709" s="634"/>
      <c r="V709" s="634"/>
      <c r="W709" s="609" t="s">
        <v>73</v>
      </c>
      <c r="X709" s="638"/>
      <c r="Y709" s="637"/>
      <c r="Z709" s="636"/>
      <c r="AA709" s="609" t="s">
        <v>1458</v>
      </c>
      <c r="AB709" s="642" t="s">
        <v>263</v>
      </c>
      <c r="AC709" s="652"/>
      <c r="AD709" s="652" t="s">
        <v>113</v>
      </c>
      <c r="AE709" s="653">
        <f t="shared" si="12"/>
        <v>2</v>
      </c>
    </row>
    <row r="710" spans="1:31" ht="105" hidden="1" x14ac:dyDescent="0.25">
      <c r="A710" s="608" t="s">
        <v>4066</v>
      </c>
      <c r="B710" s="601" t="s">
        <v>2208</v>
      </c>
      <c r="C710" s="601" t="s">
        <v>2209</v>
      </c>
      <c r="D710" s="602" t="s">
        <v>5277</v>
      </c>
      <c r="E710" s="602" t="s">
        <v>2178</v>
      </c>
      <c r="F710" s="601" t="s">
        <v>2254</v>
      </c>
      <c r="G710" s="602" t="s">
        <v>2258</v>
      </c>
      <c r="H710" s="603">
        <v>5</v>
      </c>
      <c r="I710" s="604" t="s">
        <v>2161</v>
      </c>
      <c r="J710" s="599" t="s">
        <v>1454</v>
      </c>
      <c r="K710" s="606" t="s">
        <v>2952</v>
      </c>
      <c r="L710" s="798">
        <v>2009800</v>
      </c>
      <c r="M710" s="609" t="s">
        <v>2184</v>
      </c>
      <c r="N710" s="606" t="s">
        <v>2307</v>
      </c>
      <c r="O710" s="607">
        <v>42767.5</v>
      </c>
      <c r="P710" s="607">
        <v>42795.5</v>
      </c>
      <c r="Q710" s="634" t="s">
        <v>110</v>
      </c>
      <c r="R710" s="634" t="s">
        <v>2174</v>
      </c>
      <c r="S710" s="634" t="s">
        <v>1455</v>
      </c>
      <c r="T710" s="635"/>
      <c r="U710" s="634"/>
      <c r="V710" s="634"/>
      <c r="W710" s="609" t="s">
        <v>73</v>
      </c>
      <c r="X710" s="638"/>
      <c r="Y710" s="637"/>
      <c r="Z710" s="636"/>
      <c r="AA710" s="609" t="s">
        <v>1458</v>
      </c>
      <c r="AB710" s="642" t="s">
        <v>263</v>
      </c>
      <c r="AC710" s="652"/>
      <c r="AD710" s="652" t="s">
        <v>113</v>
      </c>
      <c r="AE710" s="653">
        <f t="shared" si="12"/>
        <v>2</v>
      </c>
    </row>
    <row r="711" spans="1:31" ht="105" hidden="1" x14ac:dyDescent="0.25">
      <c r="A711" s="608" t="s">
        <v>4067</v>
      </c>
      <c r="B711" s="601" t="s">
        <v>1787</v>
      </c>
      <c r="C711" s="601" t="s">
        <v>2210</v>
      </c>
      <c r="D711" s="602" t="s">
        <v>5276</v>
      </c>
      <c r="E711" s="602" t="s">
        <v>2235</v>
      </c>
      <c r="F711" s="601" t="s">
        <v>1528</v>
      </c>
      <c r="G711" s="602" t="s">
        <v>2156</v>
      </c>
      <c r="H711" s="603">
        <v>200</v>
      </c>
      <c r="I711" s="604" t="s">
        <v>2161</v>
      </c>
      <c r="J711" s="599" t="s">
        <v>1454</v>
      </c>
      <c r="K711" s="606" t="s">
        <v>2953</v>
      </c>
      <c r="L711" s="798">
        <v>116774.13</v>
      </c>
      <c r="M711" s="609" t="s">
        <v>2184</v>
      </c>
      <c r="N711" s="606" t="s">
        <v>2308</v>
      </c>
      <c r="O711" s="607">
        <v>42767.5</v>
      </c>
      <c r="P711" s="607">
        <v>42795.5</v>
      </c>
      <c r="Q711" s="634" t="s">
        <v>108</v>
      </c>
      <c r="R711" s="634" t="s">
        <v>1456</v>
      </c>
      <c r="S711" s="634" t="s">
        <v>1457</v>
      </c>
      <c r="T711" s="635"/>
      <c r="U711" s="634"/>
      <c r="V711" s="634"/>
      <c r="W711" s="637"/>
      <c r="X711" s="638"/>
      <c r="Y711" s="637"/>
      <c r="Z711" s="636"/>
      <c r="AA711" s="609" t="s">
        <v>1458</v>
      </c>
      <c r="AB711" s="642" t="s">
        <v>263</v>
      </c>
      <c r="AC711" s="652"/>
      <c r="AD711" s="652" t="s">
        <v>113</v>
      </c>
      <c r="AE711" s="653">
        <f t="shared" si="12"/>
        <v>2</v>
      </c>
    </row>
    <row r="712" spans="1:31" ht="105" hidden="1" x14ac:dyDescent="0.25">
      <c r="A712" s="608" t="s">
        <v>4068</v>
      </c>
      <c r="B712" s="601" t="s">
        <v>1526</v>
      </c>
      <c r="C712" s="601" t="s">
        <v>1840</v>
      </c>
      <c r="D712" s="602" t="s">
        <v>5275</v>
      </c>
      <c r="E712" s="602" t="s">
        <v>2235</v>
      </c>
      <c r="F712" s="601" t="s">
        <v>1528</v>
      </c>
      <c r="G712" s="602" t="s">
        <v>2156</v>
      </c>
      <c r="H712" s="603">
        <v>1</v>
      </c>
      <c r="I712" s="604" t="s">
        <v>2161</v>
      </c>
      <c r="J712" s="599" t="s">
        <v>1454</v>
      </c>
      <c r="K712" s="606" t="s">
        <v>2954</v>
      </c>
      <c r="L712" s="798">
        <v>233505.52</v>
      </c>
      <c r="M712" s="609" t="s">
        <v>2184</v>
      </c>
      <c r="N712" s="606" t="s">
        <v>2309</v>
      </c>
      <c r="O712" s="607">
        <v>42767.5</v>
      </c>
      <c r="P712" s="607">
        <v>42795.5</v>
      </c>
      <c r="Q712" s="634" t="s">
        <v>108</v>
      </c>
      <c r="R712" s="634" t="s">
        <v>1456</v>
      </c>
      <c r="S712" s="634" t="s">
        <v>1457</v>
      </c>
      <c r="T712" s="635"/>
      <c r="U712" s="634"/>
      <c r="V712" s="634"/>
      <c r="W712" s="637"/>
      <c r="X712" s="638"/>
      <c r="Y712" s="637"/>
      <c r="Z712" s="636"/>
      <c r="AA712" s="609" t="s">
        <v>1458</v>
      </c>
      <c r="AB712" s="642" t="s">
        <v>263</v>
      </c>
      <c r="AC712" s="652"/>
      <c r="AD712" s="652" t="s">
        <v>113</v>
      </c>
      <c r="AE712" s="653">
        <f t="shared" ref="AE712:AE733" si="13">IF(O712=0,,MONTH(O712))</f>
        <v>2</v>
      </c>
    </row>
    <row r="713" spans="1:31" ht="105" hidden="1" x14ac:dyDescent="0.25">
      <c r="A713" s="608" t="s">
        <v>4069</v>
      </c>
      <c r="B713" s="601" t="s">
        <v>2211</v>
      </c>
      <c r="C713" s="601" t="s">
        <v>2212</v>
      </c>
      <c r="D713" s="602" t="s">
        <v>5274</v>
      </c>
      <c r="E713" s="602" t="s">
        <v>2235</v>
      </c>
      <c r="F713" s="601" t="s">
        <v>1528</v>
      </c>
      <c r="G713" s="602" t="s">
        <v>2156</v>
      </c>
      <c r="H713" s="603">
        <v>25</v>
      </c>
      <c r="I713" s="604" t="s">
        <v>2161</v>
      </c>
      <c r="J713" s="599" t="s">
        <v>1454</v>
      </c>
      <c r="K713" s="606" t="s">
        <v>2955</v>
      </c>
      <c r="L713" s="798">
        <v>217100.69</v>
      </c>
      <c r="M713" s="838" t="s">
        <v>4839</v>
      </c>
      <c r="N713" s="606" t="s">
        <v>2310</v>
      </c>
      <c r="O713" s="607">
        <v>42767.5</v>
      </c>
      <c r="P713" s="607">
        <v>42795.5</v>
      </c>
      <c r="Q713" s="634" t="s">
        <v>108</v>
      </c>
      <c r="R713" s="634" t="s">
        <v>1456</v>
      </c>
      <c r="S713" s="634" t="s">
        <v>1457</v>
      </c>
      <c r="T713" s="635"/>
      <c r="U713" s="634"/>
      <c r="V713" s="634"/>
      <c r="W713" s="637"/>
      <c r="X713" s="638"/>
      <c r="Y713" s="637"/>
      <c r="Z713" s="636"/>
      <c r="AA713" s="609" t="s">
        <v>1458</v>
      </c>
      <c r="AB713" s="642" t="s">
        <v>263</v>
      </c>
      <c r="AC713" s="652"/>
      <c r="AD713" s="652" t="s">
        <v>113</v>
      </c>
      <c r="AE713" s="653">
        <f t="shared" si="13"/>
        <v>2</v>
      </c>
    </row>
    <row r="714" spans="1:31" ht="105" hidden="1" x14ac:dyDescent="0.25">
      <c r="A714" s="608" t="s">
        <v>4070</v>
      </c>
      <c r="B714" s="601" t="s">
        <v>138</v>
      </c>
      <c r="C714" s="601" t="s">
        <v>138</v>
      </c>
      <c r="D714" s="602" t="s">
        <v>4347</v>
      </c>
      <c r="E714" s="602" t="s">
        <v>2236</v>
      </c>
      <c r="F714" s="601" t="s">
        <v>1645</v>
      </c>
      <c r="G714" s="602" t="s">
        <v>2259</v>
      </c>
      <c r="H714" s="603">
        <v>76</v>
      </c>
      <c r="I714" s="604" t="s">
        <v>2161</v>
      </c>
      <c r="J714" s="599" t="s">
        <v>1454</v>
      </c>
      <c r="K714" s="606" t="s">
        <v>2956</v>
      </c>
      <c r="L714" s="798">
        <v>2576932.21</v>
      </c>
      <c r="M714" s="609" t="s">
        <v>2184</v>
      </c>
      <c r="N714" s="606" t="s">
        <v>2311</v>
      </c>
      <c r="O714" s="607">
        <v>42767.5</v>
      </c>
      <c r="P714" s="607">
        <v>42856.5</v>
      </c>
      <c r="Q714" s="634" t="s">
        <v>108</v>
      </c>
      <c r="R714" s="634" t="s">
        <v>1456</v>
      </c>
      <c r="S714" s="634" t="s">
        <v>1457</v>
      </c>
      <c r="T714" s="635"/>
      <c r="U714" s="634"/>
      <c r="V714" s="634"/>
      <c r="W714" s="637"/>
      <c r="X714" s="638"/>
      <c r="Y714" s="637"/>
      <c r="Z714" s="636"/>
      <c r="AA714" s="609" t="s">
        <v>1458</v>
      </c>
      <c r="AB714" s="642" t="s">
        <v>263</v>
      </c>
      <c r="AC714" s="652"/>
      <c r="AD714" s="652" t="s">
        <v>113</v>
      </c>
      <c r="AE714" s="653">
        <f t="shared" si="13"/>
        <v>2</v>
      </c>
    </row>
    <row r="715" spans="1:31" ht="105" hidden="1" x14ac:dyDescent="0.25">
      <c r="A715" s="608" t="s">
        <v>4071</v>
      </c>
      <c r="B715" s="601" t="s">
        <v>2213</v>
      </c>
      <c r="C715" s="601" t="s">
        <v>2214</v>
      </c>
      <c r="D715" s="602" t="s">
        <v>5273</v>
      </c>
      <c r="E715" s="602" t="s">
        <v>2237</v>
      </c>
      <c r="F715" s="601" t="s">
        <v>1640</v>
      </c>
      <c r="G715" s="602" t="s">
        <v>2260</v>
      </c>
      <c r="H715" s="603">
        <v>100</v>
      </c>
      <c r="I715" s="604" t="s">
        <v>2161</v>
      </c>
      <c r="J715" s="599" t="s">
        <v>1454</v>
      </c>
      <c r="K715" s="606" t="s">
        <v>2957</v>
      </c>
      <c r="L715" s="798">
        <v>777000</v>
      </c>
      <c r="M715" s="838" t="s">
        <v>4813</v>
      </c>
      <c r="N715" s="606" t="s">
        <v>2312</v>
      </c>
      <c r="O715" s="607">
        <v>42795</v>
      </c>
      <c r="P715" s="607">
        <v>42826.5</v>
      </c>
      <c r="Q715" s="634" t="s">
        <v>110</v>
      </c>
      <c r="R715" s="634" t="s">
        <v>2174</v>
      </c>
      <c r="S715" s="634" t="s">
        <v>1455</v>
      </c>
      <c r="T715" s="635"/>
      <c r="U715" s="634"/>
      <c r="V715" s="634"/>
      <c r="W715" s="609" t="s">
        <v>73</v>
      </c>
      <c r="X715" s="638"/>
      <c r="Y715" s="637"/>
      <c r="Z715" s="636"/>
      <c r="AA715" s="609" t="s">
        <v>1458</v>
      </c>
      <c r="AB715" s="642" t="s">
        <v>263</v>
      </c>
      <c r="AC715" s="652"/>
      <c r="AD715" s="652" t="s">
        <v>113</v>
      </c>
      <c r="AE715" s="653">
        <f t="shared" si="13"/>
        <v>3</v>
      </c>
    </row>
    <row r="716" spans="1:31" ht="105" hidden="1" x14ac:dyDescent="0.25">
      <c r="A716" s="608" t="s">
        <v>4072</v>
      </c>
      <c r="B716" s="601" t="s">
        <v>1576</v>
      </c>
      <c r="C716" s="601" t="s">
        <v>1738</v>
      </c>
      <c r="D716" s="602" t="s">
        <v>4346</v>
      </c>
      <c r="E716" s="602" t="s">
        <v>2238</v>
      </c>
      <c r="F716" s="601" t="s">
        <v>1528</v>
      </c>
      <c r="G716" s="602" t="s">
        <v>2156</v>
      </c>
      <c r="H716" s="603">
        <v>135</v>
      </c>
      <c r="I716" s="604" t="s">
        <v>2161</v>
      </c>
      <c r="J716" s="599" t="s">
        <v>1454</v>
      </c>
      <c r="K716" s="606" t="s">
        <v>2958</v>
      </c>
      <c r="L716" s="798">
        <v>167213.32</v>
      </c>
      <c r="M716" s="838" t="s">
        <v>4813</v>
      </c>
      <c r="N716" s="606" t="s">
        <v>2313</v>
      </c>
      <c r="O716" s="607">
        <v>42795</v>
      </c>
      <c r="P716" s="607">
        <v>42826.5</v>
      </c>
      <c r="Q716" s="634" t="s">
        <v>110</v>
      </c>
      <c r="R716" s="634" t="s">
        <v>2174</v>
      </c>
      <c r="S716" s="634" t="s">
        <v>1455</v>
      </c>
      <c r="T716" s="635"/>
      <c r="U716" s="634"/>
      <c r="V716" s="634"/>
      <c r="W716" s="609" t="s">
        <v>73</v>
      </c>
      <c r="X716" s="639" t="s">
        <v>3077</v>
      </c>
      <c r="Y716" s="639" t="s">
        <v>3078</v>
      </c>
      <c r="Z716" s="639" t="s">
        <v>3079</v>
      </c>
      <c r="AA716" s="609" t="s">
        <v>1458</v>
      </c>
      <c r="AB716" s="642" t="s">
        <v>263</v>
      </c>
      <c r="AC716" s="652"/>
      <c r="AD716" s="652" t="s">
        <v>113</v>
      </c>
      <c r="AE716" s="653">
        <f t="shared" si="13"/>
        <v>3</v>
      </c>
    </row>
    <row r="717" spans="1:31" ht="105" hidden="1" x14ac:dyDescent="0.25">
      <c r="A717" s="608" t="s">
        <v>4073</v>
      </c>
      <c r="B717" s="601" t="s">
        <v>1727</v>
      </c>
      <c r="C717" s="601" t="s">
        <v>1728</v>
      </c>
      <c r="D717" s="602" t="s">
        <v>5272</v>
      </c>
      <c r="E717" s="602" t="s">
        <v>2239</v>
      </c>
      <c r="F717" s="601" t="s">
        <v>1528</v>
      </c>
      <c r="G717" s="602" t="s">
        <v>2156</v>
      </c>
      <c r="H717" s="603">
        <v>450</v>
      </c>
      <c r="I717" s="604" t="s">
        <v>2161</v>
      </c>
      <c r="J717" s="599" t="s">
        <v>1454</v>
      </c>
      <c r="K717" s="606" t="s">
        <v>2959</v>
      </c>
      <c r="L717" s="798">
        <v>362288.8</v>
      </c>
      <c r="M717" s="838" t="s">
        <v>4813</v>
      </c>
      <c r="N717" s="606" t="s">
        <v>2314</v>
      </c>
      <c r="O717" s="607">
        <v>42795</v>
      </c>
      <c r="P717" s="607">
        <v>42826.5</v>
      </c>
      <c r="Q717" s="634" t="s">
        <v>110</v>
      </c>
      <c r="R717" s="634" t="s">
        <v>2174</v>
      </c>
      <c r="S717" s="634" t="s">
        <v>1455</v>
      </c>
      <c r="T717" s="635"/>
      <c r="U717" s="634"/>
      <c r="V717" s="634"/>
      <c r="W717" s="609" t="s">
        <v>73</v>
      </c>
      <c r="X717" s="638"/>
      <c r="Y717" s="637"/>
      <c r="Z717" s="636"/>
      <c r="AA717" s="609" t="s">
        <v>1458</v>
      </c>
      <c r="AB717" s="642" t="s">
        <v>263</v>
      </c>
      <c r="AC717" s="652"/>
      <c r="AD717" s="652" t="s">
        <v>113</v>
      </c>
      <c r="AE717" s="653">
        <f t="shared" si="13"/>
        <v>3</v>
      </c>
    </row>
    <row r="718" spans="1:31" ht="105" hidden="1" x14ac:dyDescent="0.25">
      <c r="A718" s="608" t="s">
        <v>4074</v>
      </c>
      <c r="B718" s="601" t="s">
        <v>1727</v>
      </c>
      <c r="C718" s="601" t="s">
        <v>1728</v>
      </c>
      <c r="D718" s="602" t="s">
        <v>5271</v>
      </c>
      <c r="E718" s="602" t="s">
        <v>2240</v>
      </c>
      <c r="F718" s="601" t="s">
        <v>1528</v>
      </c>
      <c r="G718" s="602" t="s">
        <v>2156</v>
      </c>
      <c r="H718" s="603">
        <v>240</v>
      </c>
      <c r="I718" s="604" t="s">
        <v>2161</v>
      </c>
      <c r="J718" s="599" t="s">
        <v>1454</v>
      </c>
      <c r="K718" s="606" t="s">
        <v>2960</v>
      </c>
      <c r="L718" s="798">
        <v>355209.5</v>
      </c>
      <c r="M718" s="838" t="s">
        <v>4813</v>
      </c>
      <c r="N718" s="606" t="s">
        <v>2315</v>
      </c>
      <c r="O718" s="607">
        <v>42795</v>
      </c>
      <c r="P718" s="607">
        <v>42826.5</v>
      </c>
      <c r="Q718" s="634" t="s">
        <v>110</v>
      </c>
      <c r="R718" s="634" t="s">
        <v>2174</v>
      </c>
      <c r="S718" s="634" t="s">
        <v>1455</v>
      </c>
      <c r="T718" s="635"/>
      <c r="U718" s="634"/>
      <c r="V718" s="634"/>
      <c r="W718" s="609" t="s">
        <v>73</v>
      </c>
      <c r="X718" s="638"/>
      <c r="Y718" s="637"/>
      <c r="Z718" s="636"/>
      <c r="AA718" s="609" t="s">
        <v>1458</v>
      </c>
      <c r="AB718" s="642" t="s">
        <v>263</v>
      </c>
      <c r="AC718" s="652"/>
      <c r="AD718" s="652" t="s">
        <v>113</v>
      </c>
      <c r="AE718" s="653">
        <f t="shared" si="13"/>
        <v>3</v>
      </c>
    </row>
    <row r="719" spans="1:31" ht="105" hidden="1" x14ac:dyDescent="0.25">
      <c r="A719" s="608" t="s">
        <v>4075</v>
      </c>
      <c r="B719" s="601" t="s">
        <v>1727</v>
      </c>
      <c r="C719" s="601" t="s">
        <v>1728</v>
      </c>
      <c r="D719" s="602" t="s">
        <v>5270</v>
      </c>
      <c r="E719" s="602" t="s">
        <v>2241</v>
      </c>
      <c r="F719" s="601" t="s">
        <v>1528</v>
      </c>
      <c r="G719" s="602" t="s">
        <v>2156</v>
      </c>
      <c r="H719" s="603">
        <v>140</v>
      </c>
      <c r="I719" s="604" t="s">
        <v>2161</v>
      </c>
      <c r="J719" s="599" t="s">
        <v>1454</v>
      </c>
      <c r="K719" s="606" t="s">
        <v>2961</v>
      </c>
      <c r="L719" s="798">
        <v>279518.40000000002</v>
      </c>
      <c r="M719" s="838" t="s">
        <v>4813</v>
      </c>
      <c r="N719" s="606" t="s">
        <v>2316</v>
      </c>
      <c r="O719" s="607">
        <v>42795</v>
      </c>
      <c r="P719" s="607">
        <v>42826.5</v>
      </c>
      <c r="Q719" s="634" t="s">
        <v>110</v>
      </c>
      <c r="R719" s="634" t="s">
        <v>2174</v>
      </c>
      <c r="S719" s="634" t="s">
        <v>1455</v>
      </c>
      <c r="T719" s="635"/>
      <c r="U719" s="634"/>
      <c r="V719" s="634"/>
      <c r="W719" s="609" t="s">
        <v>73</v>
      </c>
      <c r="X719" s="639" t="s">
        <v>3073</v>
      </c>
      <c r="Y719" s="637" t="s">
        <v>3074</v>
      </c>
      <c r="Z719" s="639" t="s">
        <v>3075</v>
      </c>
      <c r="AA719" s="609" t="s">
        <v>1458</v>
      </c>
      <c r="AB719" s="642" t="s">
        <v>263</v>
      </c>
      <c r="AC719" s="652"/>
      <c r="AD719" s="652" t="s">
        <v>113</v>
      </c>
      <c r="AE719" s="653">
        <f t="shared" si="13"/>
        <v>3</v>
      </c>
    </row>
    <row r="720" spans="1:31" ht="105" hidden="1" x14ac:dyDescent="0.25">
      <c r="A720" s="608" t="s">
        <v>4076</v>
      </c>
      <c r="B720" s="601" t="s">
        <v>1540</v>
      </c>
      <c r="C720" s="601" t="s">
        <v>1745</v>
      </c>
      <c r="D720" s="602" t="s">
        <v>5269</v>
      </c>
      <c r="E720" s="602" t="s">
        <v>2242</v>
      </c>
      <c r="F720" s="601" t="s">
        <v>1528</v>
      </c>
      <c r="G720" s="602" t="s">
        <v>2156</v>
      </c>
      <c r="H720" s="603">
        <v>100</v>
      </c>
      <c r="I720" s="604" t="s">
        <v>2161</v>
      </c>
      <c r="J720" s="599" t="s">
        <v>1454</v>
      </c>
      <c r="K720" s="606" t="s">
        <v>2962</v>
      </c>
      <c r="L720" s="798">
        <v>973500</v>
      </c>
      <c r="M720" s="838" t="s">
        <v>4813</v>
      </c>
      <c r="N720" s="606" t="s">
        <v>2317</v>
      </c>
      <c r="O720" s="607">
        <v>42767.5</v>
      </c>
      <c r="P720" s="607">
        <v>42826.5</v>
      </c>
      <c r="Q720" s="634" t="s">
        <v>110</v>
      </c>
      <c r="R720" s="634" t="s">
        <v>2174</v>
      </c>
      <c r="S720" s="634" t="s">
        <v>1455</v>
      </c>
      <c r="T720" s="635"/>
      <c r="U720" s="634"/>
      <c r="V720" s="634"/>
      <c r="W720" s="609" t="s">
        <v>73</v>
      </c>
      <c r="X720" s="638"/>
      <c r="Y720" s="637"/>
      <c r="Z720" s="636"/>
      <c r="AA720" s="609" t="s">
        <v>1458</v>
      </c>
      <c r="AB720" s="642" t="s">
        <v>263</v>
      </c>
      <c r="AC720" s="652"/>
      <c r="AD720" s="652" t="s">
        <v>113</v>
      </c>
      <c r="AE720" s="653">
        <f t="shared" si="13"/>
        <v>2</v>
      </c>
    </row>
    <row r="721" spans="1:31" ht="105" hidden="1" x14ac:dyDescent="0.25">
      <c r="A721" s="608" t="s">
        <v>4077</v>
      </c>
      <c r="B721" s="601" t="s">
        <v>1759</v>
      </c>
      <c r="C721" s="601" t="s">
        <v>2215</v>
      </c>
      <c r="D721" s="602" t="s">
        <v>4345</v>
      </c>
      <c r="E721" s="602" t="s">
        <v>2243</v>
      </c>
      <c r="F721" s="601" t="s">
        <v>1768</v>
      </c>
      <c r="G721" s="602" t="s">
        <v>2257</v>
      </c>
      <c r="H721" s="603">
        <v>121.8</v>
      </c>
      <c r="I721" s="604" t="s">
        <v>2161</v>
      </c>
      <c r="J721" s="599" t="s">
        <v>1454</v>
      </c>
      <c r="K721" s="606" t="s">
        <v>2963</v>
      </c>
      <c r="L721" s="798">
        <v>1954935</v>
      </c>
      <c r="M721" s="609" t="s">
        <v>2184</v>
      </c>
      <c r="N721" s="606" t="s">
        <v>2318</v>
      </c>
      <c r="O721" s="607">
        <v>42767.5</v>
      </c>
      <c r="P721" s="607">
        <v>43132.5</v>
      </c>
      <c r="Q721" s="634" t="s">
        <v>108</v>
      </c>
      <c r="R721" s="634" t="s">
        <v>1456</v>
      </c>
      <c r="S721" s="634" t="s">
        <v>1457</v>
      </c>
      <c r="T721" s="635"/>
      <c r="U721" s="634"/>
      <c r="V721" s="634"/>
      <c r="W721" s="637"/>
      <c r="X721" s="638"/>
      <c r="Y721" s="637"/>
      <c r="Z721" s="636"/>
      <c r="AA721" s="609" t="s">
        <v>1458</v>
      </c>
      <c r="AB721" s="642" t="s">
        <v>263</v>
      </c>
      <c r="AC721" s="652"/>
      <c r="AD721" s="652" t="s">
        <v>113</v>
      </c>
      <c r="AE721" s="653">
        <f t="shared" si="13"/>
        <v>2</v>
      </c>
    </row>
    <row r="722" spans="1:31" ht="105" hidden="1" x14ac:dyDescent="0.25">
      <c r="A722" s="608" t="s">
        <v>4078</v>
      </c>
      <c r="B722" s="601" t="s">
        <v>1649</v>
      </c>
      <c r="C722" s="601" t="s">
        <v>2216</v>
      </c>
      <c r="D722" s="602" t="s">
        <v>4344</v>
      </c>
      <c r="E722" s="602" t="s">
        <v>2243</v>
      </c>
      <c r="F722" s="601" t="s">
        <v>2255</v>
      </c>
      <c r="G722" s="602" t="s">
        <v>2261</v>
      </c>
      <c r="H722" s="603">
        <v>90</v>
      </c>
      <c r="I722" s="604" t="s">
        <v>2161</v>
      </c>
      <c r="J722" s="599" t="s">
        <v>1454</v>
      </c>
      <c r="K722" s="606" t="s">
        <v>2964</v>
      </c>
      <c r="L722" s="798">
        <v>234596</v>
      </c>
      <c r="M722" s="609" t="s">
        <v>2184</v>
      </c>
      <c r="N722" s="606" t="s">
        <v>2319</v>
      </c>
      <c r="O722" s="607">
        <v>42767.5</v>
      </c>
      <c r="P722" s="607">
        <v>43132.5</v>
      </c>
      <c r="Q722" s="634" t="s">
        <v>108</v>
      </c>
      <c r="R722" s="634" t="s">
        <v>1456</v>
      </c>
      <c r="S722" s="634" t="s">
        <v>1457</v>
      </c>
      <c r="T722" s="635"/>
      <c r="U722" s="634"/>
      <c r="V722" s="634"/>
      <c r="W722" s="637"/>
      <c r="X722" s="638"/>
      <c r="Y722" s="637"/>
      <c r="Z722" s="636"/>
      <c r="AA722" s="609" t="s">
        <v>1458</v>
      </c>
      <c r="AB722" s="642" t="s">
        <v>263</v>
      </c>
      <c r="AC722" s="652"/>
      <c r="AD722" s="652" t="s">
        <v>113</v>
      </c>
      <c r="AE722" s="653">
        <f t="shared" si="13"/>
        <v>2</v>
      </c>
    </row>
    <row r="723" spans="1:31" ht="105" hidden="1" x14ac:dyDescent="0.25">
      <c r="A723" s="608" t="s">
        <v>4079</v>
      </c>
      <c r="B723" s="601" t="s">
        <v>1690</v>
      </c>
      <c r="C723" s="601" t="s">
        <v>2217</v>
      </c>
      <c r="D723" s="602" t="s">
        <v>4343</v>
      </c>
      <c r="E723" s="602" t="s">
        <v>2244</v>
      </c>
      <c r="F723" s="601" t="s">
        <v>1645</v>
      </c>
      <c r="G723" s="602" t="s">
        <v>2259</v>
      </c>
      <c r="H723" s="603">
        <v>100</v>
      </c>
      <c r="I723" s="604" t="s">
        <v>2161</v>
      </c>
      <c r="J723" s="599" t="s">
        <v>1454</v>
      </c>
      <c r="K723" s="606" t="s">
        <v>2965</v>
      </c>
      <c r="L723" s="798">
        <v>2738780</v>
      </c>
      <c r="M723" s="609" t="s">
        <v>2184</v>
      </c>
      <c r="N723" s="606" t="s">
        <v>2320</v>
      </c>
      <c r="O723" s="607">
        <v>42795</v>
      </c>
      <c r="P723" s="607">
        <v>43132.5</v>
      </c>
      <c r="Q723" s="634" t="s">
        <v>110</v>
      </c>
      <c r="R723" s="634" t="s">
        <v>2174</v>
      </c>
      <c r="S723" s="634" t="s">
        <v>1455</v>
      </c>
      <c r="T723" s="635"/>
      <c r="U723" s="634"/>
      <c r="V723" s="634"/>
      <c r="W723" s="609" t="s">
        <v>73</v>
      </c>
      <c r="X723" s="638"/>
      <c r="Y723" s="637"/>
      <c r="Z723" s="636"/>
      <c r="AA723" s="609" t="s">
        <v>1458</v>
      </c>
      <c r="AB723" s="642" t="s">
        <v>263</v>
      </c>
      <c r="AC723" s="652"/>
      <c r="AD723" s="652" t="s">
        <v>113</v>
      </c>
      <c r="AE723" s="653">
        <f t="shared" si="13"/>
        <v>3</v>
      </c>
    </row>
    <row r="724" spans="1:31" ht="105" hidden="1" x14ac:dyDescent="0.25">
      <c r="A724" s="608" t="s">
        <v>4080</v>
      </c>
      <c r="B724" s="601" t="s">
        <v>1693</v>
      </c>
      <c r="C724" s="601" t="s">
        <v>1703</v>
      </c>
      <c r="D724" s="602" t="s">
        <v>4342</v>
      </c>
      <c r="E724" s="602" t="s">
        <v>2245</v>
      </c>
      <c r="F724" s="601" t="s">
        <v>1528</v>
      </c>
      <c r="G724" s="602" t="s">
        <v>2156</v>
      </c>
      <c r="H724" s="603">
        <v>56</v>
      </c>
      <c r="I724" s="604" t="s">
        <v>2161</v>
      </c>
      <c r="J724" s="599" t="s">
        <v>1454</v>
      </c>
      <c r="K724" s="606" t="s">
        <v>1801</v>
      </c>
      <c r="L724" s="798">
        <v>180000</v>
      </c>
      <c r="M724" s="609" t="s">
        <v>2184</v>
      </c>
      <c r="N724" s="606" t="s">
        <v>2321</v>
      </c>
      <c r="O724" s="607">
        <v>42767.5</v>
      </c>
      <c r="P724" s="607">
        <v>42795.5</v>
      </c>
      <c r="Q724" s="634" t="s">
        <v>110</v>
      </c>
      <c r="R724" s="634" t="s">
        <v>2174</v>
      </c>
      <c r="S724" s="634" t="s">
        <v>1455</v>
      </c>
      <c r="T724" s="635"/>
      <c r="U724" s="634"/>
      <c r="V724" s="634"/>
      <c r="W724" s="609" t="s">
        <v>73</v>
      </c>
      <c r="X724" s="638"/>
      <c r="Y724" s="637"/>
      <c r="Z724" s="636"/>
      <c r="AA724" s="609" t="s">
        <v>1458</v>
      </c>
      <c r="AB724" s="642" t="s">
        <v>263</v>
      </c>
      <c r="AC724" s="652"/>
      <c r="AD724" s="652" t="s">
        <v>113</v>
      </c>
      <c r="AE724" s="653">
        <f t="shared" si="13"/>
        <v>2</v>
      </c>
    </row>
    <row r="725" spans="1:31" ht="105" hidden="1" x14ac:dyDescent="0.25">
      <c r="A725" s="608" t="s">
        <v>4081</v>
      </c>
      <c r="B725" s="601" t="s">
        <v>230</v>
      </c>
      <c r="C725" s="601" t="s">
        <v>1756</v>
      </c>
      <c r="D725" s="602" t="s">
        <v>4341</v>
      </c>
      <c r="E725" s="602" t="s">
        <v>2227</v>
      </c>
      <c r="F725" s="601" t="s">
        <v>1528</v>
      </c>
      <c r="G725" s="602" t="s">
        <v>2156</v>
      </c>
      <c r="H725" s="603">
        <v>7424</v>
      </c>
      <c r="I725" s="604" t="s">
        <v>2161</v>
      </c>
      <c r="J725" s="599" t="s">
        <v>1454</v>
      </c>
      <c r="K725" s="606" t="s">
        <v>2005</v>
      </c>
      <c r="L725" s="798">
        <v>110000</v>
      </c>
      <c r="M725" s="838" t="s">
        <v>4813</v>
      </c>
      <c r="N725" s="606" t="s">
        <v>2283</v>
      </c>
      <c r="O725" s="607">
        <v>42767.5</v>
      </c>
      <c r="P725" s="607">
        <v>42826.5</v>
      </c>
      <c r="Q725" s="634" t="s">
        <v>110</v>
      </c>
      <c r="R725" s="634" t="s">
        <v>2174</v>
      </c>
      <c r="S725" s="634" t="s">
        <v>1455</v>
      </c>
      <c r="T725" s="635"/>
      <c r="U725" s="634"/>
      <c r="V725" s="634"/>
      <c r="W725" s="609" t="s">
        <v>73</v>
      </c>
      <c r="X725" s="638"/>
      <c r="Y725" s="637"/>
      <c r="Z725" s="636"/>
      <c r="AA725" s="609" t="s">
        <v>1458</v>
      </c>
      <c r="AB725" s="642" t="s">
        <v>263</v>
      </c>
      <c r="AC725" s="652"/>
      <c r="AD725" s="652" t="s">
        <v>113</v>
      </c>
      <c r="AE725" s="653">
        <f t="shared" si="13"/>
        <v>2</v>
      </c>
    </row>
    <row r="726" spans="1:31" ht="105" hidden="1" x14ac:dyDescent="0.25">
      <c r="A726" s="608" t="s">
        <v>4082</v>
      </c>
      <c r="B726" s="601" t="s">
        <v>1576</v>
      </c>
      <c r="C726" s="601" t="s">
        <v>2218</v>
      </c>
      <c r="D726" s="602" t="s">
        <v>5268</v>
      </c>
      <c r="E726" s="602" t="s">
        <v>2246</v>
      </c>
      <c r="F726" s="601" t="s">
        <v>1528</v>
      </c>
      <c r="G726" s="602" t="s">
        <v>2156</v>
      </c>
      <c r="H726" s="603">
        <v>150</v>
      </c>
      <c r="I726" s="604" t="s">
        <v>2161</v>
      </c>
      <c r="J726" s="599" t="s">
        <v>1454</v>
      </c>
      <c r="K726" s="606" t="s">
        <v>2966</v>
      </c>
      <c r="L726" s="798">
        <v>120360</v>
      </c>
      <c r="M726" s="838" t="s">
        <v>4813</v>
      </c>
      <c r="N726" s="606" t="s">
        <v>2322</v>
      </c>
      <c r="O726" s="607">
        <v>42795</v>
      </c>
      <c r="P726" s="607">
        <v>42826.5</v>
      </c>
      <c r="Q726" s="634" t="s">
        <v>110</v>
      </c>
      <c r="R726" s="634" t="s">
        <v>2174</v>
      </c>
      <c r="S726" s="634" t="s">
        <v>1455</v>
      </c>
      <c r="T726" s="635"/>
      <c r="U726" s="634"/>
      <c r="V726" s="634"/>
      <c r="W726" s="609" t="s">
        <v>73</v>
      </c>
      <c r="X726" s="639" t="s">
        <v>3087</v>
      </c>
      <c r="Y726" s="639" t="s">
        <v>3088</v>
      </c>
      <c r="Z726" s="639" t="s">
        <v>3089</v>
      </c>
      <c r="AA726" s="609" t="s">
        <v>1458</v>
      </c>
      <c r="AB726" s="642" t="s">
        <v>263</v>
      </c>
      <c r="AC726" s="652"/>
      <c r="AD726" s="652" t="s">
        <v>113</v>
      </c>
      <c r="AE726" s="653">
        <f t="shared" si="13"/>
        <v>3</v>
      </c>
    </row>
    <row r="727" spans="1:31" ht="105" hidden="1" x14ac:dyDescent="0.25">
      <c r="A727" s="608" t="s">
        <v>4083</v>
      </c>
      <c r="B727" s="601" t="s">
        <v>1693</v>
      </c>
      <c r="C727" s="601" t="s">
        <v>2219</v>
      </c>
      <c r="D727" s="602" t="s">
        <v>5267</v>
      </c>
      <c r="E727" s="602" t="s">
        <v>2247</v>
      </c>
      <c r="F727" s="601" t="s">
        <v>1528</v>
      </c>
      <c r="G727" s="602" t="s">
        <v>2156</v>
      </c>
      <c r="H727" s="603">
        <v>210</v>
      </c>
      <c r="I727" s="604" t="s">
        <v>2161</v>
      </c>
      <c r="J727" s="599" t="s">
        <v>1454</v>
      </c>
      <c r="K727" s="606" t="s">
        <v>2967</v>
      </c>
      <c r="L727" s="798">
        <v>124585.58</v>
      </c>
      <c r="M727" s="838" t="s">
        <v>4813</v>
      </c>
      <c r="N727" s="606" t="s">
        <v>2323</v>
      </c>
      <c r="O727" s="607">
        <v>42795</v>
      </c>
      <c r="P727" s="607">
        <v>42826.5</v>
      </c>
      <c r="Q727" s="634" t="s">
        <v>110</v>
      </c>
      <c r="R727" s="634" t="s">
        <v>2174</v>
      </c>
      <c r="S727" s="634" t="s">
        <v>1455</v>
      </c>
      <c r="T727" s="635"/>
      <c r="U727" s="634"/>
      <c r="V727" s="634"/>
      <c r="W727" s="609" t="s">
        <v>72</v>
      </c>
      <c r="X727" s="638" t="s">
        <v>3311</v>
      </c>
      <c r="Y727" s="637" t="s">
        <v>3312</v>
      </c>
      <c r="Z727" s="636">
        <v>124585.58</v>
      </c>
      <c r="AA727" s="609" t="s">
        <v>1458</v>
      </c>
      <c r="AB727" s="642" t="s">
        <v>263</v>
      </c>
      <c r="AC727" s="652"/>
      <c r="AD727" s="652" t="s">
        <v>113</v>
      </c>
      <c r="AE727" s="653">
        <f t="shared" si="13"/>
        <v>3</v>
      </c>
    </row>
    <row r="728" spans="1:31" ht="105" hidden="1" x14ac:dyDescent="0.25">
      <c r="A728" s="608" t="s">
        <v>4084</v>
      </c>
      <c r="B728" s="601" t="s">
        <v>1693</v>
      </c>
      <c r="C728" s="601" t="s">
        <v>2219</v>
      </c>
      <c r="D728" s="602" t="s">
        <v>5266</v>
      </c>
      <c r="E728" s="602" t="s">
        <v>2248</v>
      </c>
      <c r="F728" s="601" t="s">
        <v>1528</v>
      </c>
      <c r="G728" s="602" t="s">
        <v>2156</v>
      </c>
      <c r="H728" s="603">
        <v>170</v>
      </c>
      <c r="I728" s="604" t="s">
        <v>2161</v>
      </c>
      <c r="J728" s="599" t="s">
        <v>1454</v>
      </c>
      <c r="K728" s="606" t="s">
        <v>8308</v>
      </c>
      <c r="L728" s="798">
        <v>103006.74</v>
      </c>
      <c r="M728" s="838" t="s">
        <v>4813</v>
      </c>
      <c r="N728" s="606">
        <v>103006.74</v>
      </c>
      <c r="O728" s="607">
        <v>42795</v>
      </c>
      <c r="P728" s="607">
        <v>42826.5</v>
      </c>
      <c r="Q728" s="634" t="s">
        <v>110</v>
      </c>
      <c r="R728" s="634" t="s">
        <v>2174</v>
      </c>
      <c r="S728" s="634" t="s">
        <v>1455</v>
      </c>
      <c r="T728" s="635"/>
      <c r="U728" s="634"/>
      <c r="V728" s="634"/>
      <c r="W728" s="609" t="s">
        <v>72</v>
      </c>
      <c r="X728" s="697">
        <v>103006.74</v>
      </c>
      <c r="Y728" s="696" t="s">
        <v>3299</v>
      </c>
      <c r="Z728" s="639" t="s">
        <v>3298</v>
      </c>
      <c r="AA728" s="609" t="s">
        <v>1458</v>
      </c>
      <c r="AB728" s="642" t="s">
        <v>263</v>
      </c>
      <c r="AC728" s="652"/>
      <c r="AD728" s="652" t="s">
        <v>113</v>
      </c>
      <c r="AE728" s="653">
        <f t="shared" si="13"/>
        <v>3</v>
      </c>
    </row>
    <row r="729" spans="1:31" ht="105" hidden="1" x14ac:dyDescent="0.25">
      <c r="A729" s="608" t="s">
        <v>4085</v>
      </c>
      <c r="B729" s="601" t="s">
        <v>1576</v>
      </c>
      <c r="C729" s="601" t="s">
        <v>1576</v>
      </c>
      <c r="D729" s="602" t="s">
        <v>5265</v>
      </c>
      <c r="E729" s="602" t="s">
        <v>2249</v>
      </c>
      <c r="F729" s="601" t="s">
        <v>1528</v>
      </c>
      <c r="G729" s="602" t="s">
        <v>2156</v>
      </c>
      <c r="H729" s="603">
        <v>28</v>
      </c>
      <c r="I729" s="604" t="s">
        <v>2161</v>
      </c>
      <c r="J729" s="599" t="s">
        <v>1454</v>
      </c>
      <c r="K729" s="606" t="s">
        <v>2922</v>
      </c>
      <c r="L729" s="798">
        <v>111394.36</v>
      </c>
      <c r="M729" s="609" t="s">
        <v>2184</v>
      </c>
      <c r="N729" s="606" t="s">
        <v>2281</v>
      </c>
      <c r="O729" s="607">
        <v>42795</v>
      </c>
      <c r="P729" s="607">
        <v>42826.5</v>
      </c>
      <c r="Q729" s="634" t="s">
        <v>110</v>
      </c>
      <c r="R729" s="634" t="s">
        <v>2174</v>
      </c>
      <c r="S729" s="634" t="s">
        <v>1455</v>
      </c>
      <c r="T729" s="635"/>
      <c r="U729" s="634"/>
      <c r="V729" s="634"/>
      <c r="W729" s="609" t="s">
        <v>73</v>
      </c>
      <c r="X729" s="638"/>
      <c r="Y729" s="637"/>
      <c r="Z729" s="636"/>
      <c r="AA729" s="609" t="s">
        <v>1458</v>
      </c>
      <c r="AB729" s="642" t="s">
        <v>263</v>
      </c>
      <c r="AC729" s="652"/>
      <c r="AD729" s="652" t="s">
        <v>113</v>
      </c>
      <c r="AE729" s="653">
        <f t="shared" si="13"/>
        <v>3</v>
      </c>
    </row>
    <row r="730" spans="1:31" ht="105" hidden="1" x14ac:dyDescent="0.25">
      <c r="A730" s="608" t="s">
        <v>4086</v>
      </c>
      <c r="B730" s="601" t="s">
        <v>1934</v>
      </c>
      <c r="C730" s="601" t="s">
        <v>1934</v>
      </c>
      <c r="D730" s="602" t="s">
        <v>4340</v>
      </c>
      <c r="E730" s="602" t="s">
        <v>2250</v>
      </c>
      <c r="F730" s="601" t="s">
        <v>1645</v>
      </c>
      <c r="G730" s="602" t="s">
        <v>2259</v>
      </c>
      <c r="H730" s="603">
        <v>100.4</v>
      </c>
      <c r="I730" s="604" t="s">
        <v>2161</v>
      </c>
      <c r="J730" s="599" t="s">
        <v>1454</v>
      </c>
      <c r="K730" s="606" t="s">
        <v>2969</v>
      </c>
      <c r="L730" s="798">
        <v>38862.120000000003</v>
      </c>
      <c r="M730" s="609" t="s">
        <v>2184</v>
      </c>
      <c r="N730" s="606" t="s">
        <v>2324</v>
      </c>
      <c r="O730" s="607">
        <v>42767.5</v>
      </c>
      <c r="P730" s="607">
        <v>42826.5</v>
      </c>
      <c r="Q730" s="634" t="s">
        <v>110</v>
      </c>
      <c r="R730" s="634" t="s">
        <v>2174</v>
      </c>
      <c r="S730" s="634" t="s">
        <v>1455</v>
      </c>
      <c r="T730" s="635"/>
      <c r="U730" s="634"/>
      <c r="V730" s="634"/>
      <c r="W730" s="609" t="s">
        <v>73</v>
      </c>
      <c r="X730" s="638"/>
      <c r="Y730" s="637"/>
      <c r="Z730" s="636"/>
      <c r="AA730" s="609" t="s">
        <v>1458</v>
      </c>
      <c r="AB730" s="642" t="s">
        <v>263</v>
      </c>
      <c r="AC730" s="652"/>
      <c r="AD730" s="652" t="s">
        <v>113</v>
      </c>
      <c r="AE730" s="653">
        <f t="shared" si="13"/>
        <v>2</v>
      </c>
    </row>
    <row r="731" spans="1:31" ht="105" hidden="1" x14ac:dyDescent="0.25">
      <c r="A731" s="608" t="s">
        <v>4087</v>
      </c>
      <c r="B731" s="601" t="s">
        <v>1693</v>
      </c>
      <c r="C731" s="601" t="s">
        <v>2219</v>
      </c>
      <c r="D731" s="602" t="s">
        <v>5264</v>
      </c>
      <c r="E731" s="602" t="s">
        <v>2251</v>
      </c>
      <c r="F731" s="601" t="s">
        <v>1528</v>
      </c>
      <c r="G731" s="602" t="s">
        <v>2156</v>
      </c>
      <c r="H731" s="603">
        <v>590</v>
      </c>
      <c r="I731" s="604" t="s">
        <v>2161</v>
      </c>
      <c r="J731" s="599" t="s">
        <v>1454</v>
      </c>
      <c r="K731" s="606" t="s">
        <v>2970</v>
      </c>
      <c r="L731" s="798">
        <v>130552.13</v>
      </c>
      <c r="M731" s="838" t="s">
        <v>4813</v>
      </c>
      <c r="N731" s="606">
        <v>130552.13</v>
      </c>
      <c r="O731" s="607">
        <v>42795</v>
      </c>
      <c r="P731" s="607">
        <v>42826.5</v>
      </c>
      <c r="Q731" s="634" t="s">
        <v>110</v>
      </c>
      <c r="R731" s="634" t="s">
        <v>2174</v>
      </c>
      <c r="S731" s="634" t="s">
        <v>1455</v>
      </c>
      <c r="T731" s="635"/>
      <c r="U731" s="634"/>
      <c r="V731" s="634"/>
      <c r="W731" s="609" t="s">
        <v>73</v>
      </c>
      <c r="X731" s="639" t="s">
        <v>2382</v>
      </c>
      <c r="Y731" s="639" t="s">
        <v>2383</v>
      </c>
      <c r="Z731" s="639" t="s">
        <v>3067</v>
      </c>
      <c r="AA731" s="609" t="s">
        <v>1458</v>
      </c>
      <c r="AB731" s="642" t="s">
        <v>263</v>
      </c>
      <c r="AC731" s="652"/>
      <c r="AD731" s="652" t="s">
        <v>113</v>
      </c>
      <c r="AE731" s="653">
        <f t="shared" si="13"/>
        <v>3</v>
      </c>
    </row>
    <row r="732" spans="1:31" ht="105" hidden="1" x14ac:dyDescent="0.25">
      <c r="A732" s="608" t="s">
        <v>4088</v>
      </c>
      <c r="B732" s="601" t="s">
        <v>1693</v>
      </c>
      <c r="C732" s="601" t="s">
        <v>2219</v>
      </c>
      <c r="D732" s="602" t="s">
        <v>5263</v>
      </c>
      <c r="E732" s="602" t="s">
        <v>2252</v>
      </c>
      <c r="F732" s="601" t="s">
        <v>1528</v>
      </c>
      <c r="G732" s="602" t="s">
        <v>2156</v>
      </c>
      <c r="H732" s="603">
        <v>2480</v>
      </c>
      <c r="I732" s="604" t="s">
        <v>2161</v>
      </c>
      <c r="J732" s="599" t="s">
        <v>1454</v>
      </c>
      <c r="K732" s="606" t="s">
        <v>1684</v>
      </c>
      <c r="L732" s="798">
        <v>260000</v>
      </c>
      <c r="M732" s="609" t="s">
        <v>2184</v>
      </c>
      <c r="N732" s="606" t="s">
        <v>2325</v>
      </c>
      <c r="O732" s="607">
        <v>42767.5</v>
      </c>
      <c r="P732" s="607">
        <v>42826.5</v>
      </c>
      <c r="Q732" s="634" t="s">
        <v>110</v>
      </c>
      <c r="R732" s="634" t="s">
        <v>2174</v>
      </c>
      <c r="S732" s="634" t="s">
        <v>1455</v>
      </c>
      <c r="T732" s="635"/>
      <c r="U732" s="634"/>
      <c r="V732" s="634"/>
      <c r="W732" s="609" t="s">
        <v>73</v>
      </c>
      <c r="X732" s="638"/>
      <c r="Y732" s="637"/>
      <c r="Z732" s="636"/>
      <c r="AA732" s="609" t="s">
        <v>1458</v>
      </c>
      <c r="AB732" s="642" t="s">
        <v>263</v>
      </c>
      <c r="AC732" s="652"/>
      <c r="AD732" s="652" t="s">
        <v>113</v>
      </c>
      <c r="AE732" s="653">
        <f t="shared" si="13"/>
        <v>2</v>
      </c>
    </row>
    <row r="733" spans="1:31" ht="105" hidden="1" x14ac:dyDescent="0.25">
      <c r="A733" s="608" t="s">
        <v>4089</v>
      </c>
      <c r="B733" s="601" t="s">
        <v>2220</v>
      </c>
      <c r="C733" s="601" t="s">
        <v>2221</v>
      </c>
      <c r="D733" s="602" t="s">
        <v>4339</v>
      </c>
      <c r="E733" s="602" t="s">
        <v>2253</v>
      </c>
      <c r="F733" s="601" t="s">
        <v>1528</v>
      </c>
      <c r="G733" s="602" t="s">
        <v>2156</v>
      </c>
      <c r="H733" s="603">
        <v>1</v>
      </c>
      <c r="I733" s="604" t="s">
        <v>2161</v>
      </c>
      <c r="J733" s="599" t="s">
        <v>1454</v>
      </c>
      <c r="K733" s="606" t="s">
        <v>4843</v>
      </c>
      <c r="L733" s="841">
        <v>3229565</v>
      </c>
      <c r="M733" s="609" t="s">
        <v>2184</v>
      </c>
      <c r="N733" s="606">
        <v>3229565</v>
      </c>
      <c r="O733" s="607">
        <v>42767.5</v>
      </c>
      <c r="P733" s="607">
        <v>44866</v>
      </c>
      <c r="Q733" s="634" t="s">
        <v>110</v>
      </c>
      <c r="R733" s="634" t="s">
        <v>2174</v>
      </c>
      <c r="S733" s="634" t="s">
        <v>1455</v>
      </c>
      <c r="T733" s="635"/>
      <c r="U733" s="634"/>
      <c r="V733" s="634"/>
      <c r="W733" s="637" t="s">
        <v>78</v>
      </c>
      <c r="X733" s="654" t="s">
        <v>2353</v>
      </c>
      <c r="Y733" s="654" t="s">
        <v>2354</v>
      </c>
      <c r="Z733" s="654" t="s">
        <v>2355</v>
      </c>
      <c r="AA733" s="609" t="s">
        <v>1458</v>
      </c>
      <c r="AB733" s="642" t="s">
        <v>263</v>
      </c>
      <c r="AC733" s="652"/>
      <c r="AD733" s="652" t="s">
        <v>113</v>
      </c>
      <c r="AE733" s="653">
        <f t="shared" si="13"/>
        <v>2</v>
      </c>
    </row>
    <row r="734" spans="1:31" ht="105" hidden="1" x14ac:dyDescent="0.25">
      <c r="A734" s="608" t="s">
        <v>4090</v>
      </c>
      <c r="B734" s="601" t="s">
        <v>1851</v>
      </c>
      <c r="C734" s="601" t="s">
        <v>2037</v>
      </c>
      <c r="D734" s="602" t="s">
        <v>4338</v>
      </c>
      <c r="E734" s="602" t="s">
        <v>2253</v>
      </c>
      <c r="F734" s="601" t="s">
        <v>1528</v>
      </c>
      <c r="G734" s="602" t="s">
        <v>2156</v>
      </c>
      <c r="H734" s="603">
        <v>320</v>
      </c>
      <c r="I734" s="604" t="s">
        <v>2161</v>
      </c>
      <c r="J734" s="599" t="s">
        <v>1454</v>
      </c>
      <c r="K734" s="606" t="s">
        <v>2971</v>
      </c>
      <c r="L734" s="798">
        <v>3632219.36</v>
      </c>
      <c r="M734" s="838" t="s">
        <v>4813</v>
      </c>
      <c r="N734" s="606" t="s">
        <v>2476</v>
      </c>
      <c r="O734" s="607">
        <v>42767.5</v>
      </c>
      <c r="P734" s="607">
        <v>42826.5</v>
      </c>
      <c r="Q734" s="634" t="s">
        <v>110</v>
      </c>
      <c r="R734" s="634" t="s">
        <v>2174</v>
      </c>
      <c r="S734" s="634" t="s">
        <v>1455</v>
      </c>
      <c r="T734" s="635"/>
      <c r="U734" s="634"/>
      <c r="V734" s="634"/>
      <c r="W734" s="637" t="s">
        <v>72</v>
      </c>
      <c r="X734" s="638"/>
      <c r="Y734" s="637"/>
      <c r="Z734" s="636"/>
      <c r="AA734" s="609" t="s">
        <v>1458</v>
      </c>
      <c r="AB734" s="642" t="s">
        <v>263</v>
      </c>
      <c r="AC734" s="652"/>
      <c r="AD734" s="652" t="s">
        <v>113</v>
      </c>
      <c r="AE734" s="653">
        <f t="shared" ref="AE734:AE765" si="14">IF(O734=0,,MONTH(O734))</f>
        <v>2</v>
      </c>
    </row>
    <row r="735" spans="1:31" ht="105" hidden="1" x14ac:dyDescent="0.25">
      <c r="A735" s="608" t="s">
        <v>4091</v>
      </c>
      <c r="B735" s="601" t="s">
        <v>1787</v>
      </c>
      <c r="C735" s="601" t="s">
        <v>2414</v>
      </c>
      <c r="D735" s="602" t="s">
        <v>5262</v>
      </c>
      <c r="E735" s="602" t="s">
        <v>2235</v>
      </c>
      <c r="F735" s="601" t="s">
        <v>1528</v>
      </c>
      <c r="G735" s="602" t="s">
        <v>2156</v>
      </c>
      <c r="H735" s="603">
        <v>14</v>
      </c>
      <c r="I735" s="604" t="s">
        <v>2161</v>
      </c>
      <c r="J735" s="599" t="s">
        <v>1454</v>
      </c>
      <c r="K735" s="606" t="s">
        <v>2972</v>
      </c>
      <c r="L735" s="798">
        <v>884795</v>
      </c>
      <c r="M735" s="838" t="s">
        <v>4813</v>
      </c>
      <c r="N735" s="606" t="s">
        <v>2758</v>
      </c>
      <c r="O735" s="607">
        <v>42767.5</v>
      </c>
      <c r="P735" s="607">
        <v>42795.5</v>
      </c>
      <c r="Q735" s="634" t="s">
        <v>110</v>
      </c>
      <c r="R735" s="634" t="s">
        <v>2174</v>
      </c>
      <c r="S735" s="634" t="s">
        <v>1455</v>
      </c>
      <c r="T735" s="635"/>
      <c r="U735" s="634"/>
      <c r="V735" s="634"/>
      <c r="W735" s="637" t="s">
        <v>73</v>
      </c>
      <c r="X735" s="639" t="s">
        <v>3043</v>
      </c>
      <c r="Y735" s="639" t="s">
        <v>3044</v>
      </c>
      <c r="Z735" s="639" t="s">
        <v>3045</v>
      </c>
      <c r="AA735" s="609" t="s">
        <v>1458</v>
      </c>
      <c r="AB735" s="642" t="s">
        <v>263</v>
      </c>
      <c r="AC735" s="652"/>
      <c r="AD735" s="652" t="s">
        <v>113</v>
      </c>
      <c r="AE735" s="653">
        <f t="shared" si="14"/>
        <v>2</v>
      </c>
    </row>
    <row r="736" spans="1:31" ht="105" hidden="1" x14ac:dyDescent="0.25">
      <c r="A736" s="608" t="s">
        <v>4092</v>
      </c>
      <c r="B736" s="601" t="s">
        <v>2176</v>
      </c>
      <c r="C736" s="601" t="s">
        <v>2037</v>
      </c>
      <c r="D736" s="602" t="s">
        <v>4337</v>
      </c>
      <c r="E736" s="602" t="s">
        <v>1992</v>
      </c>
      <c r="F736" s="601" t="s">
        <v>1587</v>
      </c>
      <c r="G736" s="602" t="s">
        <v>2256</v>
      </c>
      <c r="H736" s="603">
        <v>1</v>
      </c>
      <c r="I736" s="604" t="s">
        <v>2161</v>
      </c>
      <c r="J736" s="599" t="s">
        <v>1454</v>
      </c>
      <c r="K736" s="606" t="s">
        <v>2973</v>
      </c>
      <c r="L736" s="798">
        <v>1623393.59</v>
      </c>
      <c r="M736" s="609" t="s">
        <v>2184</v>
      </c>
      <c r="N736" s="606" t="s">
        <v>2759</v>
      </c>
      <c r="O736" s="607">
        <v>42767.5</v>
      </c>
      <c r="P736" s="607">
        <v>42795.5</v>
      </c>
      <c r="Q736" s="634" t="s">
        <v>110</v>
      </c>
      <c r="R736" s="634" t="s">
        <v>2174</v>
      </c>
      <c r="S736" s="634" t="s">
        <v>1455</v>
      </c>
      <c r="T736" s="635"/>
      <c r="U736" s="634"/>
      <c r="V736" s="634"/>
      <c r="W736" s="637" t="s">
        <v>73</v>
      </c>
      <c r="X736" s="638"/>
      <c r="Y736" s="637"/>
      <c r="Z736" s="636"/>
      <c r="AA736" s="609" t="s">
        <v>1458</v>
      </c>
      <c r="AB736" s="642" t="s">
        <v>263</v>
      </c>
      <c r="AC736" s="652"/>
      <c r="AD736" s="652" t="s">
        <v>113</v>
      </c>
      <c r="AE736" s="653">
        <f t="shared" si="14"/>
        <v>2</v>
      </c>
    </row>
    <row r="737" spans="1:31" ht="105" hidden="1" x14ac:dyDescent="0.25">
      <c r="A737" s="608" t="s">
        <v>4093</v>
      </c>
      <c r="B737" s="601" t="s">
        <v>1851</v>
      </c>
      <c r="C737" s="601" t="s">
        <v>2160</v>
      </c>
      <c r="D737" s="602" t="s">
        <v>5261</v>
      </c>
      <c r="E737" s="602" t="s">
        <v>2241</v>
      </c>
      <c r="F737" s="601" t="s">
        <v>1528</v>
      </c>
      <c r="G737" s="602" t="s">
        <v>2156</v>
      </c>
      <c r="H737" s="603">
        <v>200</v>
      </c>
      <c r="I737" s="604" t="s">
        <v>2161</v>
      </c>
      <c r="J737" s="599" t="s">
        <v>1454</v>
      </c>
      <c r="K737" s="606" t="s">
        <v>2974</v>
      </c>
      <c r="L737" s="798">
        <v>3435452</v>
      </c>
      <c r="M737" s="838" t="s">
        <v>4813</v>
      </c>
      <c r="N737" s="606" t="s">
        <v>2760</v>
      </c>
      <c r="O737" s="607">
        <v>42767.5</v>
      </c>
      <c r="P737" s="607">
        <v>42887</v>
      </c>
      <c r="Q737" s="634" t="s">
        <v>108</v>
      </c>
      <c r="R737" s="634" t="s">
        <v>1456</v>
      </c>
      <c r="S737" s="634" t="s">
        <v>1457</v>
      </c>
      <c r="T737" s="635"/>
      <c r="U737" s="634"/>
      <c r="V737" s="634"/>
      <c r="W737" s="637"/>
      <c r="X737" s="638"/>
      <c r="Y737" s="637"/>
      <c r="Z737" s="636"/>
      <c r="AA737" s="609" t="s">
        <v>1458</v>
      </c>
      <c r="AB737" s="642" t="s">
        <v>263</v>
      </c>
      <c r="AC737" s="652"/>
      <c r="AD737" s="652" t="s">
        <v>113</v>
      </c>
      <c r="AE737" s="653">
        <f t="shared" si="14"/>
        <v>2</v>
      </c>
    </row>
    <row r="738" spans="1:31" ht="105" hidden="1" x14ac:dyDescent="0.25">
      <c r="A738" s="608" t="s">
        <v>4094</v>
      </c>
      <c r="B738" s="601" t="s">
        <v>1851</v>
      </c>
      <c r="C738" s="601" t="s">
        <v>2160</v>
      </c>
      <c r="D738" s="602" t="s">
        <v>5260</v>
      </c>
      <c r="E738" s="602" t="s">
        <v>2442</v>
      </c>
      <c r="F738" s="601" t="s">
        <v>1528</v>
      </c>
      <c r="G738" s="602" t="s">
        <v>2156</v>
      </c>
      <c r="H738" s="603">
        <v>20</v>
      </c>
      <c r="I738" s="604" t="s">
        <v>2161</v>
      </c>
      <c r="J738" s="599" t="s">
        <v>1454</v>
      </c>
      <c r="K738" s="606" t="s">
        <v>2975</v>
      </c>
      <c r="L738" s="798">
        <v>596324.80000000005</v>
      </c>
      <c r="M738" s="609" t="s">
        <v>2184</v>
      </c>
      <c r="N738" s="606" t="s">
        <v>2761</v>
      </c>
      <c r="O738" s="607">
        <v>42795</v>
      </c>
      <c r="P738" s="607">
        <v>42856</v>
      </c>
      <c r="Q738" s="634" t="s">
        <v>108</v>
      </c>
      <c r="R738" s="634" t="s">
        <v>1456</v>
      </c>
      <c r="S738" s="634" t="s">
        <v>1457</v>
      </c>
      <c r="T738" s="635"/>
      <c r="U738" s="634"/>
      <c r="V738" s="634"/>
      <c r="W738" s="637"/>
      <c r="X738" s="638"/>
      <c r="Y738" s="637"/>
      <c r="Z738" s="636"/>
      <c r="AA738" s="609" t="s">
        <v>1458</v>
      </c>
      <c r="AB738" s="642" t="s">
        <v>263</v>
      </c>
      <c r="AC738" s="652"/>
      <c r="AD738" s="652" t="s">
        <v>113</v>
      </c>
      <c r="AE738" s="653">
        <f t="shared" si="14"/>
        <v>3</v>
      </c>
    </row>
    <row r="739" spans="1:31" ht="105" hidden="1" x14ac:dyDescent="0.25">
      <c r="A739" s="608" t="s">
        <v>4095</v>
      </c>
      <c r="B739" s="601" t="s">
        <v>1540</v>
      </c>
      <c r="C739" s="601" t="s">
        <v>1724</v>
      </c>
      <c r="D739" s="602" t="s">
        <v>5259</v>
      </c>
      <c r="E739" s="602" t="s">
        <v>2443</v>
      </c>
      <c r="F739" s="601" t="s">
        <v>1528</v>
      </c>
      <c r="G739" s="602" t="s">
        <v>2156</v>
      </c>
      <c r="H739" s="603">
        <v>2</v>
      </c>
      <c r="I739" s="604" t="s">
        <v>2161</v>
      </c>
      <c r="J739" s="599" t="s">
        <v>1454</v>
      </c>
      <c r="K739" s="606" t="s">
        <v>2976</v>
      </c>
      <c r="L739" s="798">
        <v>519200</v>
      </c>
      <c r="M739" s="609" t="s">
        <v>997</v>
      </c>
      <c r="N739" s="606" t="s">
        <v>2762</v>
      </c>
      <c r="O739" s="607">
        <v>42917</v>
      </c>
      <c r="P739" s="607">
        <v>42979</v>
      </c>
      <c r="Q739" s="634" t="s">
        <v>110</v>
      </c>
      <c r="R739" s="634" t="s">
        <v>2174</v>
      </c>
      <c r="S739" s="634" t="s">
        <v>1455</v>
      </c>
      <c r="T739" s="635"/>
      <c r="U739" s="634"/>
      <c r="V739" s="634"/>
      <c r="W739" s="637" t="s">
        <v>73</v>
      </c>
      <c r="X739" s="638" t="s">
        <v>6424</v>
      </c>
      <c r="Y739" s="637" t="s">
        <v>6425</v>
      </c>
      <c r="Z739" s="636">
        <v>519200</v>
      </c>
      <c r="AA739" s="609" t="s">
        <v>1458</v>
      </c>
      <c r="AB739" s="642" t="s">
        <v>263</v>
      </c>
      <c r="AC739" s="652"/>
      <c r="AD739" s="652" t="s">
        <v>113</v>
      </c>
      <c r="AE739" s="653">
        <f t="shared" si="14"/>
        <v>7</v>
      </c>
    </row>
    <row r="740" spans="1:31" ht="105" hidden="1" x14ac:dyDescent="0.25">
      <c r="A740" s="608" t="s">
        <v>4096</v>
      </c>
      <c r="B740" s="601" t="s">
        <v>1540</v>
      </c>
      <c r="C740" s="601" t="s">
        <v>1724</v>
      </c>
      <c r="D740" s="602" t="s">
        <v>5258</v>
      </c>
      <c r="E740" s="602" t="s">
        <v>2444</v>
      </c>
      <c r="F740" s="601" t="s">
        <v>1528</v>
      </c>
      <c r="G740" s="602" t="s">
        <v>2156</v>
      </c>
      <c r="H740" s="603">
        <v>1</v>
      </c>
      <c r="I740" s="604" t="s">
        <v>2161</v>
      </c>
      <c r="J740" s="599" t="s">
        <v>1454</v>
      </c>
      <c r="K740" s="606" t="s">
        <v>2977</v>
      </c>
      <c r="L740" s="798">
        <v>419200</v>
      </c>
      <c r="M740" s="609" t="s">
        <v>2184</v>
      </c>
      <c r="N740" s="606" t="s">
        <v>2763</v>
      </c>
      <c r="O740" s="607">
        <v>42795</v>
      </c>
      <c r="P740" s="607">
        <v>42826</v>
      </c>
      <c r="Q740" s="634" t="s">
        <v>110</v>
      </c>
      <c r="R740" s="634" t="s">
        <v>2174</v>
      </c>
      <c r="S740" s="634" t="s">
        <v>1455</v>
      </c>
      <c r="T740" s="635"/>
      <c r="U740" s="634"/>
      <c r="V740" s="634"/>
      <c r="W740" s="637" t="s">
        <v>73</v>
      </c>
      <c r="X740" s="638"/>
      <c r="Y740" s="637"/>
      <c r="Z740" s="636"/>
      <c r="AA740" s="609" t="s">
        <v>1458</v>
      </c>
      <c r="AB740" s="642" t="s">
        <v>263</v>
      </c>
      <c r="AC740" s="652"/>
      <c r="AD740" s="652" t="s">
        <v>113</v>
      </c>
      <c r="AE740" s="653">
        <f t="shared" si="14"/>
        <v>3</v>
      </c>
    </row>
    <row r="741" spans="1:31" ht="105" hidden="1" x14ac:dyDescent="0.25">
      <c r="A741" s="608" t="s">
        <v>4097</v>
      </c>
      <c r="B741" s="601" t="s">
        <v>215</v>
      </c>
      <c r="C741" s="601" t="s">
        <v>215</v>
      </c>
      <c r="D741" s="602" t="s">
        <v>5257</v>
      </c>
      <c r="E741" s="602" t="s">
        <v>2445</v>
      </c>
      <c r="F741" s="601" t="s">
        <v>1528</v>
      </c>
      <c r="G741" s="602" t="s">
        <v>2156</v>
      </c>
      <c r="H741" s="603">
        <v>20</v>
      </c>
      <c r="I741" s="604" t="s">
        <v>2161</v>
      </c>
      <c r="J741" s="599" t="s">
        <v>1454</v>
      </c>
      <c r="K741" s="606" t="s">
        <v>5748</v>
      </c>
      <c r="L741" s="798">
        <v>450000</v>
      </c>
      <c r="M741" s="609" t="s">
        <v>2184</v>
      </c>
      <c r="N741" s="606">
        <v>450000</v>
      </c>
      <c r="O741" s="607">
        <v>42948</v>
      </c>
      <c r="P741" s="607">
        <v>43040</v>
      </c>
      <c r="Q741" s="634" t="s">
        <v>108</v>
      </c>
      <c r="R741" s="634" t="s">
        <v>1456</v>
      </c>
      <c r="S741" s="634" t="s">
        <v>1457</v>
      </c>
      <c r="T741" s="635"/>
      <c r="U741" s="634"/>
      <c r="V741" s="634"/>
      <c r="W741" s="637"/>
      <c r="X741" s="638"/>
      <c r="Y741" s="637"/>
      <c r="Z741" s="636"/>
      <c r="AA741" s="609" t="s">
        <v>1458</v>
      </c>
      <c r="AB741" s="642" t="s">
        <v>263</v>
      </c>
      <c r="AC741" s="652"/>
      <c r="AD741" s="652" t="s">
        <v>113</v>
      </c>
      <c r="AE741" s="653">
        <f t="shared" si="14"/>
        <v>8</v>
      </c>
    </row>
    <row r="742" spans="1:31" ht="105" hidden="1" x14ac:dyDescent="0.25">
      <c r="A742" s="608" t="s">
        <v>4098</v>
      </c>
      <c r="B742" s="601" t="s">
        <v>2415</v>
      </c>
      <c r="C742" s="601" t="s">
        <v>2415</v>
      </c>
      <c r="D742" s="602" t="s">
        <v>5256</v>
      </c>
      <c r="E742" s="602" t="s">
        <v>2446</v>
      </c>
      <c r="F742" s="601" t="s">
        <v>1528</v>
      </c>
      <c r="G742" s="602" t="s">
        <v>2156</v>
      </c>
      <c r="H742" s="603">
        <v>40</v>
      </c>
      <c r="I742" s="604" t="s">
        <v>2161</v>
      </c>
      <c r="J742" s="599" t="s">
        <v>1454</v>
      </c>
      <c r="K742" s="606" t="s">
        <v>2978</v>
      </c>
      <c r="L742" s="798">
        <v>177000</v>
      </c>
      <c r="M742" s="609" t="s">
        <v>2184</v>
      </c>
      <c r="N742" s="606">
        <v>177000</v>
      </c>
      <c r="O742" s="607">
        <v>42795</v>
      </c>
      <c r="P742" s="607">
        <v>42826</v>
      </c>
      <c r="Q742" s="634" t="s">
        <v>108</v>
      </c>
      <c r="R742" s="634" t="s">
        <v>1456</v>
      </c>
      <c r="S742" s="634" t="s">
        <v>1457</v>
      </c>
      <c r="T742" s="635"/>
      <c r="U742" s="634"/>
      <c r="V742" s="634"/>
      <c r="W742" s="637"/>
      <c r="X742" s="638"/>
      <c r="Y742" s="637"/>
      <c r="Z742" s="636"/>
      <c r="AA742" s="609" t="s">
        <v>1458</v>
      </c>
      <c r="AB742" s="642" t="s">
        <v>263</v>
      </c>
      <c r="AC742" s="652"/>
      <c r="AD742" s="652" t="s">
        <v>113</v>
      </c>
      <c r="AE742" s="653">
        <f t="shared" si="14"/>
        <v>3</v>
      </c>
    </row>
    <row r="743" spans="1:31" ht="105" hidden="1" x14ac:dyDescent="0.25">
      <c r="A743" s="608" t="s">
        <v>4099</v>
      </c>
      <c r="B743" s="601" t="s">
        <v>1851</v>
      </c>
      <c r="C743" s="601" t="s">
        <v>2416</v>
      </c>
      <c r="D743" s="602" t="s">
        <v>5255</v>
      </c>
      <c r="E743" s="602" t="s">
        <v>2447</v>
      </c>
      <c r="F743" s="601" t="s">
        <v>1528</v>
      </c>
      <c r="G743" s="602" t="s">
        <v>2156</v>
      </c>
      <c r="H743" s="603">
        <v>10</v>
      </c>
      <c r="I743" s="604" t="s">
        <v>2161</v>
      </c>
      <c r="J743" s="599" t="s">
        <v>1454</v>
      </c>
      <c r="K743" s="606" t="s">
        <v>1621</v>
      </c>
      <c r="L743" s="798">
        <v>500000</v>
      </c>
      <c r="M743" s="609" t="s">
        <v>2184</v>
      </c>
      <c r="N743" s="606">
        <v>500000</v>
      </c>
      <c r="O743" s="607">
        <v>42795</v>
      </c>
      <c r="P743" s="607">
        <v>42826</v>
      </c>
      <c r="Q743" s="634" t="s">
        <v>108</v>
      </c>
      <c r="R743" s="634" t="s">
        <v>1456</v>
      </c>
      <c r="S743" s="634" t="s">
        <v>1457</v>
      </c>
      <c r="T743" s="635"/>
      <c r="U743" s="634"/>
      <c r="V743" s="634"/>
      <c r="W743" s="637"/>
      <c r="X743" s="638"/>
      <c r="Y743" s="637"/>
      <c r="Z743" s="636"/>
      <c r="AA743" s="609" t="s">
        <v>1458</v>
      </c>
      <c r="AB743" s="642" t="s">
        <v>263</v>
      </c>
      <c r="AC743" s="652"/>
      <c r="AD743" s="652" t="s">
        <v>113</v>
      </c>
      <c r="AE743" s="653">
        <f t="shared" si="14"/>
        <v>3</v>
      </c>
    </row>
    <row r="744" spans="1:31" ht="105" hidden="1" x14ac:dyDescent="0.25">
      <c r="A744" s="608" t="s">
        <v>4100</v>
      </c>
      <c r="B744" s="601" t="s">
        <v>1851</v>
      </c>
      <c r="C744" s="601" t="s">
        <v>2417</v>
      </c>
      <c r="D744" s="602" t="s">
        <v>5254</v>
      </c>
      <c r="E744" s="602" t="s">
        <v>2448</v>
      </c>
      <c r="F744" s="601" t="s">
        <v>1528</v>
      </c>
      <c r="G744" s="602" t="s">
        <v>2156</v>
      </c>
      <c r="H744" s="603">
        <v>3</v>
      </c>
      <c r="I744" s="604" t="s">
        <v>2161</v>
      </c>
      <c r="J744" s="599" t="s">
        <v>1454</v>
      </c>
      <c r="K744" s="606" t="s">
        <v>2979</v>
      </c>
      <c r="L744" s="798">
        <v>2700000</v>
      </c>
      <c r="M744" s="609" t="s">
        <v>2184</v>
      </c>
      <c r="N744" s="606" t="s">
        <v>2477</v>
      </c>
      <c r="O744" s="607">
        <v>42795</v>
      </c>
      <c r="P744" s="607">
        <v>42826</v>
      </c>
      <c r="Q744" s="634" t="s">
        <v>108</v>
      </c>
      <c r="R744" s="634" t="s">
        <v>1456</v>
      </c>
      <c r="S744" s="634" t="s">
        <v>1457</v>
      </c>
      <c r="T744" s="635"/>
      <c r="U744" s="634"/>
      <c r="V744" s="634"/>
      <c r="W744" s="637"/>
      <c r="X744" s="638"/>
      <c r="Y744" s="637"/>
      <c r="Z744" s="636"/>
      <c r="AA744" s="609" t="s">
        <v>1458</v>
      </c>
      <c r="AB744" s="642" t="s">
        <v>263</v>
      </c>
      <c r="AC744" s="652"/>
      <c r="AD744" s="652" t="s">
        <v>113</v>
      </c>
      <c r="AE744" s="653">
        <f t="shared" si="14"/>
        <v>3</v>
      </c>
    </row>
    <row r="745" spans="1:31" ht="105" hidden="1" x14ac:dyDescent="0.25">
      <c r="A745" s="608" t="s">
        <v>4101</v>
      </c>
      <c r="B745" s="601" t="s">
        <v>1540</v>
      </c>
      <c r="C745" s="601" t="s">
        <v>1724</v>
      </c>
      <c r="D745" s="602" t="s">
        <v>5253</v>
      </c>
      <c r="E745" s="602" t="s">
        <v>2449</v>
      </c>
      <c r="F745" s="601" t="s">
        <v>1528</v>
      </c>
      <c r="G745" s="602" t="s">
        <v>2156</v>
      </c>
      <c r="H745" s="603">
        <v>30</v>
      </c>
      <c r="I745" s="604" t="s">
        <v>2161</v>
      </c>
      <c r="J745" s="599" t="s">
        <v>1454</v>
      </c>
      <c r="K745" s="606" t="s">
        <v>2980</v>
      </c>
      <c r="L745" s="798">
        <v>205942.45</v>
      </c>
      <c r="M745" s="609" t="s">
        <v>2184</v>
      </c>
      <c r="N745" s="606" t="s">
        <v>2478</v>
      </c>
      <c r="O745" s="607">
        <v>42767.5</v>
      </c>
      <c r="P745" s="607">
        <v>42795.5</v>
      </c>
      <c r="Q745" s="634" t="s">
        <v>110</v>
      </c>
      <c r="R745" s="634" t="s">
        <v>2174</v>
      </c>
      <c r="S745" s="634" t="s">
        <v>1455</v>
      </c>
      <c r="T745" s="635"/>
      <c r="U745" s="634"/>
      <c r="V745" s="634"/>
      <c r="W745" s="637" t="s">
        <v>73</v>
      </c>
      <c r="X745" s="638"/>
      <c r="Y745" s="637"/>
      <c r="Z745" s="636"/>
      <c r="AA745" s="609" t="s">
        <v>1458</v>
      </c>
      <c r="AB745" s="642" t="s">
        <v>263</v>
      </c>
      <c r="AC745" s="652"/>
      <c r="AD745" s="652" t="s">
        <v>113</v>
      </c>
      <c r="AE745" s="653">
        <f t="shared" si="14"/>
        <v>2</v>
      </c>
    </row>
    <row r="746" spans="1:31" ht="105" hidden="1" x14ac:dyDescent="0.25">
      <c r="A746" s="608" t="s">
        <v>4102</v>
      </c>
      <c r="B746" s="601" t="s">
        <v>1693</v>
      </c>
      <c r="C746" s="601" t="s">
        <v>1733</v>
      </c>
      <c r="D746" s="602" t="s">
        <v>5252</v>
      </c>
      <c r="E746" s="602" t="s">
        <v>2450</v>
      </c>
      <c r="F746" s="601" t="s">
        <v>1528</v>
      </c>
      <c r="G746" s="602" t="s">
        <v>2156</v>
      </c>
      <c r="H746" s="603">
        <v>110</v>
      </c>
      <c r="I746" s="604" t="s">
        <v>2161</v>
      </c>
      <c r="J746" s="599" t="s">
        <v>1454</v>
      </c>
      <c r="K746" s="606" t="s">
        <v>2981</v>
      </c>
      <c r="L746" s="798">
        <v>1403600.09</v>
      </c>
      <c r="M746" s="838" t="s">
        <v>4813</v>
      </c>
      <c r="N746" s="606" t="s">
        <v>2479</v>
      </c>
      <c r="O746" s="607">
        <v>42767.5</v>
      </c>
      <c r="P746" s="607">
        <v>42795.5</v>
      </c>
      <c r="Q746" s="634" t="s">
        <v>110</v>
      </c>
      <c r="R746" s="634" t="s">
        <v>2174</v>
      </c>
      <c r="S746" s="634" t="s">
        <v>1455</v>
      </c>
      <c r="T746" s="635"/>
      <c r="U746" s="634"/>
      <c r="V746" s="634"/>
      <c r="W746" s="637" t="s">
        <v>72</v>
      </c>
      <c r="X746" s="638"/>
      <c r="Y746" s="637"/>
      <c r="Z746" s="636"/>
      <c r="AA746" s="609" t="s">
        <v>1458</v>
      </c>
      <c r="AB746" s="642" t="s">
        <v>263</v>
      </c>
      <c r="AC746" s="652"/>
      <c r="AD746" s="652" t="s">
        <v>113</v>
      </c>
      <c r="AE746" s="653">
        <f t="shared" si="14"/>
        <v>2</v>
      </c>
    </row>
    <row r="747" spans="1:31" ht="105" hidden="1" x14ac:dyDescent="0.25">
      <c r="A747" s="608" t="s">
        <v>4103</v>
      </c>
      <c r="B747" s="601" t="s">
        <v>2418</v>
      </c>
      <c r="C747" s="601" t="s">
        <v>2419</v>
      </c>
      <c r="D747" s="602" t="s">
        <v>5251</v>
      </c>
      <c r="E747" s="602" t="s">
        <v>2451</v>
      </c>
      <c r="F747" s="601" t="s">
        <v>1528</v>
      </c>
      <c r="G747" s="602" t="s">
        <v>2156</v>
      </c>
      <c r="H747" s="603">
        <v>1</v>
      </c>
      <c r="I747" s="604" t="s">
        <v>2161</v>
      </c>
      <c r="J747" s="599" t="s">
        <v>1454</v>
      </c>
      <c r="K747" s="606" t="s">
        <v>2982</v>
      </c>
      <c r="L747" s="798">
        <v>2884801.68</v>
      </c>
      <c r="M747" s="609" t="s">
        <v>2184</v>
      </c>
      <c r="N747" s="606" t="s">
        <v>2480</v>
      </c>
      <c r="O747" s="607">
        <v>42795</v>
      </c>
      <c r="P747" s="607">
        <v>42795.5</v>
      </c>
      <c r="Q747" s="634" t="s">
        <v>108</v>
      </c>
      <c r="R747" s="634" t="s">
        <v>1456</v>
      </c>
      <c r="S747" s="634" t="s">
        <v>1457</v>
      </c>
      <c r="T747" s="635"/>
      <c r="U747" s="634"/>
      <c r="V747" s="634"/>
      <c r="W747" s="637"/>
      <c r="X747" s="638"/>
      <c r="Y747" s="637"/>
      <c r="Z747" s="636"/>
      <c r="AA747" s="609" t="s">
        <v>1458</v>
      </c>
      <c r="AB747" s="642" t="s">
        <v>263</v>
      </c>
      <c r="AC747" s="652"/>
      <c r="AD747" s="652" t="s">
        <v>113</v>
      </c>
      <c r="AE747" s="653">
        <f t="shared" si="14"/>
        <v>3</v>
      </c>
    </row>
    <row r="748" spans="1:31" ht="105" hidden="1" x14ac:dyDescent="0.25">
      <c r="A748" s="608" t="s">
        <v>4104</v>
      </c>
      <c r="B748" s="601" t="s">
        <v>1876</v>
      </c>
      <c r="C748" s="601" t="s">
        <v>1643</v>
      </c>
      <c r="D748" s="602" t="s">
        <v>5250</v>
      </c>
      <c r="E748" s="602" t="s">
        <v>2452</v>
      </c>
      <c r="F748" s="601" t="s">
        <v>1650</v>
      </c>
      <c r="G748" s="602" t="s">
        <v>2475</v>
      </c>
      <c r="H748" s="603">
        <v>170</v>
      </c>
      <c r="I748" s="604" t="s">
        <v>2161</v>
      </c>
      <c r="J748" s="599" t="s">
        <v>1454</v>
      </c>
      <c r="K748" s="606" t="s">
        <v>2983</v>
      </c>
      <c r="L748" s="798">
        <v>685723.9</v>
      </c>
      <c r="M748" s="609" t="s">
        <v>2184</v>
      </c>
      <c r="N748" s="606" t="s">
        <v>2481</v>
      </c>
      <c r="O748" s="607">
        <v>42776.5</v>
      </c>
      <c r="P748" s="607">
        <v>43070.5</v>
      </c>
      <c r="Q748" s="634" t="s">
        <v>110</v>
      </c>
      <c r="R748" s="634" t="s">
        <v>2174</v>
      </c>
      <c r="S748" s="634" t="s">
        <v>1455</v>
      </c>
      <c r="T748" s="635"/>
      <c r="U748" s="634"/>
      <c r="V748" s="634"/>
      <c r="W748" s="637" t="s">
        <v>268</v>
      </c>
      <c r="X748" s="639" t="s">
        <v>3026</v>
      </c>
      <c r="Y748" s="639" t="s">
        <v>3027</v>
      </c>
      <c r="Z748" s="639" t="s">
        <v>3028</v>
      </c>
      <c r="AA748" s="609" t="s">
        <v>1458</v>
      </c>
      <c r="AB748" s="642" t="s">
        <v>263</v>
      </c>
      <c r="AC748" s="652"/>
      <c r="AD748" s="652" t="s">
        <v>113</v>
      </c>
      <c r="AE748" s="653">
        <f t="shared" si="14"/>
        <v>2</v>
      </c>
    </row>
    <row r="749" spans="1:31" ht="105" hidden="1" x14ac:dyDescent="0.25">
      <c r="A749" s="608" t="s">
        <v>4105</v>
      </c>
      <c r="B749" s="601" t="s">
        <v>1576</v>
      </c>
      <c r="C749" s="601" t="s">
        <v>1577</v>
      </c>
      <c r="D749" s="602" t="s">
        <v>5249</v>
      </c>
      <c r="E749" s="602" t="s">
        <v>2453</v>
      </c>
      <c r="F749" s="601" t="s">
        <v>1528</v>
      </c>
      <c r="G749" s="602" t="s">
        <v>2156</v>
      </c>
      <c r="H749" s="603">
        <v>20</v>
      </c>
      <c r="I749" s="604" t="s">
        <v>2161</v>
      </c>
      <c r="J749" s="599" t="s">
        <v>1454</v>
      </c>
      <c r="K749" s="606" t="s">
        <v>1806</v>
      </c>
      <c r="L749" s="798">
        <v>150000</v>
      </c>
      <c r="M749" s="609" t="s">
        <v>2184</v>
      </c>
      <c r="N749" s="606" t="s">
        <v>2482</v>
      </c>
      <c r="O749" s="607">
        <v>42776.5</v>
      </c>
      <c r="P749" s="607">
        <v>42826.5</v>
      </c>
      <c r="Q749" s="634" t="s">
        <v>110</v>
      </c>
      <c r="R749" s="634" t="s">
        <v>2174</v>
      </c>
      <c r="S749" s="634" t="s">
        <v>1455</v>
      </c>
      <c r="T749" s="635"/>
      <c r="U749" s="634"/>
      <c r="V749" s="634"/>
      <c r="W749" s="637" t="s">
        <v>72</v>
      </c>
      <c r="X749" s="638"/>
      <c r="Y749" s="637"/>
      <c r="Z749" s="636"/>
      <c r="AA749" s="609" t="s">
        <v>1458</v>
      </c>
      <c r="AB749" s="642" t="s">
        <v>263</v>
      </c>
      <c r="AC749" s="652"/>
      <c r="AD749" s="652" t="s">
        <v>113</v>
      </c>
      <c r="AE749" s="653">
        <f t="shared" si="14"/>
        <v>2</v>
      </c>
    </row>
    <row r="750" spans="1:31" ht="105" hidden="1" x14ac:dyDescent="0.25">
      <c r="A750" s="608" t="s">
        <v>4106</v>
      </c>
      <c r="B750" s="601" t="s">
        <v>1752</v>
      </c>
      <c r="C750" s="601" t="s">
        <v>2209</v>
      </c>
      <c r="D750" s="602" t="s">
        <v>5248</v>
      </c>
      <c r="E750" s="602" t="s">
        <v>2453</v>
      </c>
      <c r="F750" s="601" t="s">
        <v>1528</v>
      </c>
      <c r="G750" s="602" t="s">
        <v>2156</v>
      </c>
      <c r="H750" s="603">
        <v>50</v>
      </c>
      <c r="I750" s="604" t="s">
        <v>2161</v>
      </c>
      <c r="J750" s="599" t="s">
        <v>1454</v>
      </c>
      <c r="K750" s="606" t="s">
        <v>5136</v>
      </c>
      <c r="L750" s="798">
        <v>1442807.24</v>
      </c>
      <c r="M750" s="609" t="s">
        <v>2184</v>
      </c>
      <c r="N750" s="606">
        <v>1442807.24</v>
      </c>
      <c r="O750" s="607">
        <v>42776.5</v>
      </c>
      <c r="P750" s="607">
        <v>42826.5</v>
      </c>
      <c r="Q750" s="634" t="s">
        <v>110</v>
      </c>
      <c r="R750" s="634" t="s">
        <v>2174</v>
      </c>
      <c r="S750" s="634" t="s">
        <v>1455</v>
      </c>
      <c r="T750" s="635"/>
      <c r="U750" s="634"/>
      <c r="V750" s="634"/>
      <c r="W750" s="637" t="s">
        <v>73</v>
      </c>
      <c r="X750" s="638" t="s">
        <v>5086</v>
      </c>
      <c r="Y750" s="637" t="s">
        <v>5134</v>
      </c>
      <c r="Z750" s="636">
        <v>1442807.24</v>
      </c>
      <c r="AA750" s="609" t="s">
        <v>1458</v>
      </c>
      <c r="AB750" s="642" t="s">
        <v>263</v>
      </c>
      <c r="AC750" s="652"/>
      <c r="AD750" s="652" t="s">
        <v>113</v>
      </c>
      <c r="AE750" s="653">
        <f t="shared" si="14"/>
        <v>2</v>
      </c>
    </row>
    <row r="751" spans="1:31" ht="105" hidden="1" x14ac:dyDescent="0.25">
      <c r="A751" s="608" t="s">
        <v>4107</v>
      </c>
      <c r="B751" s="601" t="s">
        <v>1576</v>
      </c>
      <c r="C751" s="601" t="s">
        <v>2420</v>
      </c>
      <c r="D751" s="602" t="s">
        <v>5247</v>
      </c>
      <c r="E751" s="602" t="s">
        <v>2453</v>
      </c>
      <c r="F751" s="601" t="s">
        <v>1528</v>
      </c>
      <c r="G751" s="602" t="s">
        <v>2156</v>
      </c>
      <c r="H751" s="603">
        <v>100</v>
      </c>
      <c r="I751" s="604" t="s">
        <v>2161</v>
      </c>
      <c r="J751" s="599" t="s">
        <v>1454</v>
      </c>
      <c r="K751" s="606" t="s">
        <v>1616</v>
      </c>
      <c r="L751" s="798">
        <v>200000</v>
      </c>
      <c r="M751" s="609" t="s">
        <v>2184</v>
      </c>
      <c r="N751" s="606" t="s">
        <v>2284</v>
      </c>
      <c r="O751" s="607">
        <v>42776.5</v>
      </c>
      <c r="P751" s="607">
        <v>42826.5</v>
      </c>
      <c r="Q751" s="634" t="s">
        <v>110</v>
      </c>
      <c r="R751" s="634" t="s">
        <v>2174</v>
      </c>
      <c r="S751" s="634" t="s">
        <v>1455</v>
      </c>
      <c r="T751" s="635"/>
      <c r="U751" s="634"/>
      <c r="V751" s="634"/>
      <c r="W751" s="637" t="s">
        <v>72</v>
      </c>
      <c r="X751" s="638"/>
      <c r="Y751" s="637"/>
      <c r="Z751" s="636"/>
      <c r="AA751" s="609" t="s">
        <v>1458</v>
      </c>
      <c r="AB751" s="642" t="s">
        <v>263</v>
      </c>
      <c r="AC751" s="652"/>
      <c r="AD751" s="652" t="s">
        <v>113</v>
      </c>
      <c r="AE751" s="653">
        <f t="shared" si="14"/>
        <v>2</v>
      </c>
    </row>
    <row r="752" spans="1:31" ht="105" hidden="1" x14ac:dyDescent="0.25">
      <c r="A752" s="608" t="s">
        <v>4108</v>
      </c>
      <c r="B752" s="601" t="s">
        <v>1576</v>
      </c>
      <c r="C752" s="601" t="s">
        <v>1545</v>
      </c>
      <c r="D752" s="602" t="s">
        <v>5246</v>
      </c>
      <c r="E752" s="602" t="s">
        <v>2454</v>
      </c>
      <c r="F752" s="601" t="s">
        <v>1528</v>
      </c>
      <c r="G752" s="602" t="s">
        <v>2156</v>
      </c>
      <c r="H752" s="603">
        <v>20</v>
      </c>
      <c r="I752" s="604" t="s">
        <v>2161</v>
      </c>
      <c r="J752" s="599" t="s">
        <v>1454</v>
      </c>
      <c r="K752" s="606" t="s">
        <v>1637</v>
      </c>
      <c r="L752" s="798">
        <v>1000000</v>
      </c>
      <c r="M752" s="609" t="s">
        <v>2184</v>
      </c>
      <c r="N752" s="606" t="s">
        <v>2164</v>
      </c>
      <c r="O752" s="607">
        <v>42776.5</v>
      </c>
      <c r="P752" s="607">
        <v>42826.5</v>
      </c>
      <c r="Q752" s="634" t="s">
        <v>110</v>
      </c>
      <c r="R752" s="634" t="s">
        <v>2174</v>
      </c>
      <c r="S752" s="634" t="s">
        <v>1455</v>
      </c>
      <c r="T752" s="635"/>
      <c r="U752" s="634"/>
      <c r="V752" s="634"/>
      <c r="W752" s="637" t="s">
        <v>72</v>
      </c>
      <c r="X752" s="638"/>
      <c r="Y752" s="637"/>
      <c r="Z752" s="636"/>
      <c r="AA752" s="609" t="s">
        <v>1458</v>
      </c>
      <c r="AB752" s="642" t="s">
        <v>263</v>
      </c>
      <c r="AC752" s="652"/>
      <c r="AD752" s="652" t="s">
        <v>113</v>
      </c>
      <c r="AE752" s="653">
        <f t="shared" si="14"/>
        <v>2</v>
      </c>
    </row>
    <row r="753" spans="1:31" ht="105" hidden="1" x14ac:dyDescent="0.25">
      <c r="A753" s="608" t="s">
        <v>4109</v>
      </c>
      <c r="B753" s="601" t="s">
        <v>1576</v>
      </c>
      <c r="C753" s="601" t="s">
        <v>1545</v>
      </c>
      <c r="D753" s="602" t="s">
        <v>5245</v>
      </c>
      <c r="E753" s="602" t="s">
        <v>2454</v>
      </c>
      <c r="F753" s="601" t="s">
        <v>1528</v>
      </c>
      <c r="G753" s="602" t="s">
        <v>2156</v>
      </c>
      <c r="H753" s="603">
        <v>15</v>
      </c>
      <c r="I753" s="604" t="s">
        <v>2161</v>
      </c>
      <c r="J753" s="599" t="s">
        <v>1454</v>
      </c>
      <c r="K753" s="606" t="s">
        <v>1627</v>
      </c>
      <c r="L753" s="798">
        <v>750000</v>
      </c>
      <c r="M753" s="609" t="s">
        <v>2184</v>
      </c>
      <c r="N753" s="606" t="s">
        <v>2286</v>
      </c>
      <c r="O753" s="607">
        <v>42776.5</v>
      </c>
      <c r="P753" s="607">
        <v>42826.5</v>
      </c>
      <c r="Q753" s="634" t="s">
        <v>110</v>
      </c>
      <c r="R753" s="634" t="s">
        <v>2174</v>
      </c>
      <c r="S753" s="634" t="s">
        <v>1455</v>
      </c>
      <c r="T753" s="635"/>
      <c r="U753" s="634"/>
      <c r="V753" s="634"/>
      <c r="W753" s="637" t="s">
        <v>72</v>
      </c>
      <c r="X753" s="638"/>
      <c r="Y753" s="637"/>
      <c r="Z753" s="636"/>
      <c r="AA753" s="609" t="s">
        <v>1458</v>
      </c>
      <c r="AB753" s="642" t="s">
        <v>263</v>
      </c>
      <c r="AC753" s="652"/>
      <c r="AD753" s="652" t="s">
        <v>113</v>
      </c>
      <c r="AE753" s="653">
        <f t="shared" si="14"/>
        <v>2</v>
      </c>
    </row>
    <row r="754" spans="1:31" ht="105" hidden="1" x14ac:dyDescent="0.25">
      <c r="A754" s="608" t="s">
        <v>4110</v>
      </c>
      <c r="B754" s="601" t="s">
        <v>1576</v>
      </c>
      <c r="C754" s="601" t="s">
        <v>1545</v>
      </c>
      <c r="D754" s="602" t="s">
        <v>5244</v>
      </c>
      <c r="E754" s="602" t="s">
        <v>2454</v>
      </c>
      <c r="F754" s="601" t="s">
        <v>1528</v>
      </c>
      <c r="G754" s="602" t="s">
        <v>2156</v>
      </c>
      <c r="H754" s="603">
        <v>100</v>
      </c>
      <c r="I754" s="604" t="s">
        <v>2161</v>
      </c>
      <c r="J754" s="599" t="s">
        <v>1454</v>
      </c>
      <c r="K754" s="606" t="s">
        <v>2984</v>
      </c>
      <c r="L754" s="798">
        <v>172000</v>
      </c>
      <c r="M754" s="609" t="s">
        <v>2184</v>
      </c>
      <c r="N754" s="606" t="s">
        <v>2483</v>
      </c>
      <c r="O754" s="607">
        <v>42776.5</v>
      </c>
      <c r="P754" s="607">
        <v>42826.5</v>
      </c>
      <c r="Q754" s="634" t="s">
        <v>110</v>
      </c>
      <c r="R754" s="634" t="s">
        <v>2174</v>
      </c>
      <c r="S754" s="634" t="s">
        <v>1455</v>
      </c>
      <c r="T754" s="635"/>
      <c r="U754" s="634"/>
      <c r="V754" s="634"/>
      <c r="W754" s="637" t="s">
        <v>73</v>
      </c>
      <c r="X754" s="638"/>
      <c r="Y754" s="637"/>
      <c r="Z754" s="636"/>
      <c r="AA754" s="609" t="s">
        <v>1458</v>
      </c>
      <c r="AB754" s="642" t="s">
        <v>263</v>
      </c>
      <c r="AC754" s="652"/>
      <c r="AD754" s="652" t="s">
        <v>113</v>
      </c>
      <c r="AE754" s="653">
        <f t="shared" si="14"/>
        <v>2</v>
      </c>
    </row>
    <row r="755" spans="1:31" ht="105" hidden="1" x14ac:dyDescent="0.25">
      <c r="A755" s="608" t="s">
        <v>4111</v>
      </c>
      <c r="B755" s="601" t="s">
        <v>1531</v>
      </c>
      <c r="C755" s="601" t="s">
        <v>1532</v>
      </c>
      <c r="D755" s="602" t="s">
        <v>5243</v>
      </c>
      <c r="E755" s="602" t="s">
        <v>2453</v>
      </c>
      <c r="F755" s="601" t="s">
        <v>1528</v>
      </c>
      <c r="G755" s="602" t="s">
        <v>2156</v>
      </c>
      <c r="H755" s="603">
        <v>1</v>
      </c>
      <c r="I755" s="604" t="s">
        <v>2161</v>
      </c>
      <c r="J755" s="599" t="s">
        <v>1454</v>
      </c>
      <c r="K755" s="606" t="s">
        <v>6045</v>
      </c>
      <c r="L755" s="798">
        <v>435714.55</v>
      </c>
      <c r="M755" s="838" t="s">
        <v>4813</v>
      </c>
      <c r="N755" s="606">
        <v>435714.55</v>
      </c>
      <c r="O755" s="607">
        <v>42835.5</v>
      </c>
      <c r="P755" s="607">
        <v>42826.5</v>
      </c>
      <c r="Q755" s="634" t="s">
        <v>110</v>
      </c>
      <c r="R755" s="634" t="s">
        <v>2174</v>
      </c>
      <c r="S755" s="634" t="s">
        <v>1455</v>
      </c>
      <c r="T755" s="635"/>
      <c r="U755" s="634"/>
      <c r="V755" s="634"/>
      <c r="W755" s="637" t="s">
        <v>268</v>
      </c>
      <c r="X755" s="638" t="s">
        <v>6043</v>
      </c>
      <c r="Y755" s="637" t="s">
        <v>6044</v>
      </c>
      <c r="Z755" s="636">
        <v>435714.55</v>
      </c>
      <c r="AA755" s="609" t="s">
        <v>1458</v>
      </c>
      <c r="AB755" s="642" t="s">
        <v>263</v>
      </c>
      <c r="AC755" s="652"/>
      <c r="AD755" s="652" t="s">
        <v>113</v>
      </c>
      <c r="AE755" s="653">
        <f t="shared" si="14"/>
        <v>4</v>
      </c>
    </row>
    <row r="756" spans="1:31" ht="105" hidden="1" x14ac:dyDescent="0.25">
      <c r="A756" s="608" t="s">
        <v>4112</v>
      </c>
      <c r="B756" s="601" t="s">
        <v>1576</v>
      </c>
      <c r="C756" s="601" t="s">
        <v>1902</v>
      </c>
      <c r="D756" s="602" t="s">
        <v>5242</v>
      </c>
      <c r="E756" s="602" t="s">
        <v>2453</v>
      </c>
      <c r="F756" s="601" t="s">
        <v>1528</v>
      </c>
      <c r="G756" s="602" t="s">
        <v>2156</v>
      </c>
      <c r="H756" s="603">
        <v>2</v>
      </c>
      <c r="I756" s="604" t="s">
        <v>2161</v>
      </c>
      <c r="J756" s="599" t="s">
        <v>1454</v>
      </c>
      <c r="K756" s="606" t="s">
        <v>2985</v>
      </c>
      <c r="L756" s="798">
        <v>615576</v>
      </c>
      <c r="M756" s="609" t="s">
        <v>2184</v>
      </c>
      <c r="N756" s="606" t="s">
        <v>2484</v>
      </c>
      <c r="O756" s="607">
        <v>42776.5</v>
      </c>
      <c r="P756" s="607">
        <v>42826.5</v>
      </c>
      <c r="Q756" s="634" t="s">
        <v>110</v>
      </c>
      <c r="R756" s="634" t="s">
        <v>2174</v>
      </c>
      <c r="S756" s="634" t="s">
        <v>1455</v>
      </c>
      <c r="T756" s="635"/>
      <c r="U756" s="634"/>
      <c r="V756" s="634"/>
      <c r="W756" s="637" t="s">
        <v>268</v>
      </c>
      <c r="X756" s="638"/>
      <c r="Y756" s="637"/>
      <c r="Z756" s="636"/>
      <c r="AA756" s="609" t="s">
        <v>1458</v>
      </c>
      <c r="AB756" s="642" t="s">
        <v>263</v>
      </c>
      <c r="AC756" s="652"/>
      <c r="AD756" s="652" t="s">
        <v>113</v>
      </c>
      <c r="AE756" s="653">
        <f t="shared" si="14"/>
        <v>2</v>
      </c>
    </row>
    <row r="757" spans="1:31" ht="105" hidden="1" x14ac:dyDescent="0.25">
      <c r="A757" s="608" t="s">
        <v>4113</v>
      </c>
      <c r="B757" s="601" t="s">
        <v>1851</v>
      </c>
      <c r="C757" s="601" t="s">
        <v>2160</v>
      </c>
      <c r="D757" s="602" t="s">
        <v>5241</v>
      </c>
      <c r="E757" s="602" t="s">
        <v>2453</v>
      </c>
      <c r="F757" s="601" t="s">
        <v>1528</v>
      </c>
      <c r="G757" s="602" t="s">
        <v>2156</v>
      </c>
      <c r="H757" s="603">
        <v>20</v>
      </c>
      <c r="I757" s="604" t="s">
        <v>2161</v>
      </c>
      <c r="J757" s="599" t="s">
        <v>1454</v>
      </c>
      <c r="K757" s="606" t="s">
        <v>6033</v>
      </c>
      <c r="L757" s="798">
        <v>227622</v>
      </c>
      <c r="M757" s="838" t="s">
        <v>4813</v>
      </c>
      <c r="N757" s="606">
        <v>227622</v>
      </c>
      <c r="O757" s="607">
        <v>42835.5</v>
      </c>
      <c r="P757" s="607">
        <v>42826.5</v>
      </c>
      <c r="Q757" s="634" t="s">
        <v>110</v>
      </c>
      <c r="R757" s="634" t="s">
        <v>2174</v>
      </c>
      <c r="S757" s="634" t="s">
        <v>1455</v>
      </c>
      <c r="T757" s="635"/>
      <c r="U757" s="634"/>
      <c r="V757" s="634"/>
      <c r="W757" s="637" t="s">
        <v>268</v>
      </c>
      <c r="X757" s="638" t="s">
        <v>6034</v>
      </c>
      <c r="Y757" s="637" t="s">
        <v>3346</v>
      </c>
      <c r="Z757" s="636">
        <v>227622</v>
      </c>
      <c r="AA757" s="609" t="s">
        <v>1458</v>
      </c>
      <c r="AB757" s="642" t="s">
        <v>263</v>
      </c>
      <c r="AC757" s="652"/>
      <c r="AD757" s="652" t="s">
        <v>113</v>
      </c>
      <c r="AE757" s="653">
        <f t="shared" si="14"/>
        <v>4</v>
      </c>
    </row>
    <row r="758" spans="1:31" ht="105" hidden="1" x14ac:dyDescent="0.25">
      <c r="A758" s="608" t="s">
        <v>4114</v>
      </c>
      <c r="B758" s="601" t="s">
        <v>2198</v>
      </c>
      <c r="C758" s="601" t="s">
        <v>2199</v>
      </c>
      <c r="D758" s="602" t="s">
        <v>4336</v>
      </c>
      <c r="E758" s="602" t="s">
        <v>2455</v>
      </c>
      <c r="F758" s="601" t="s">
        <v>1587</v>
      </c>
      <c r="G758" s="602" t="s">
        <v>2256</v>
      </c>
      <c r="H758" s="603">
        <v>1</v>
      </c>
      <c r="I758" s="604" t="s">
        <v>2161</v>
      </c>
      <c r="J758" s="599" t="s">
        <v>1454</v>
      </c>
      <c r="K758" s="606" t="s">
        <v>1775</v>
      </c>
      <c r="L758" s="798">
        <v>6000000</v>
      </c>
      <c r="M758" s="609" t="s">
        <v>2184</v>
      </c>
      <c r="N758" s="606" t="s">
        <v>2485</v>
      </c>
      <c r="O758" s="607">
        <v>42776.5</v>
      </c>
      <c r="P758" s="607">
        <v>43009.5</v>
      </c>
      <c r="Q758" s="634" t="s">
        <v>110</v>
      </c>
      <c r="R758" s="634" t="s">
        <v>2174</v>
      </c>
      <c r="S758" s="634" t="s">
        <v>1455</v>
      </c>
      <c r="T758" s="635"/>
      <c r="U758" s="634"/>
      <c r="V758" s="634"/>
      <c r="W758" s="637" t="s">
        <v>70</v>
      </c>
      <c r="X758" s="639" t="s">
        <v>3036</v>
      </c>
      <c r="Y758" s="639" t="s">
        <v>3037</v>
      </c>
      <c r="Z758" s="639" t="s">
        <v>3038</v>
      </c>
      <c r="AA758" s="609" t="s">
        <v>1458</v>
      </c>
      <c r="AB758" s="642" t="s">
        <v>263</v>
      </c>
      <c r="AC758" s="652"/>
      <c r="AD758" s="652" t="s">
        <v>113</v>
      </c>
      <c r="AE758" s="653">
        <f t="shared" si="14"/>
        <v>2</v>
      </c>
    </row>
    <row r="759" spans="1:31" ht="105" hidden="1" x14ac:dyDescent="0.25">
      <c r="A759" s="608" t="s">
        <v>4115</v>
      </c>
      <c r="B759" s="601" t="s">
        <v>2198</v>
      </c>
      <c r="C759" s="601" t="s">
        <v>2199</v>
      </c>
      <c r="D759" s="602" t="s">
        <v>5240</v>
      </c>
      <c r="E759" s="602" t="s">
        <v>2455</v>
      </c>
      <c r="F759" s="601" t="s">
        <v>1587</v>
      </c>
      <c r="G759" s="602" t="s">
        <v>2256</v>
      </c>
      <c r="H759" s="603">
        <v>1</v>
      </c>
      <c r="I759" s="604" t="s">
        <v>2161</v>
      </c>
      <c r="J759" s="599" t="s">
        <v>1454</v>
      </c>
      <c r="K759" s="606" t="s">
        <v>2986</v>
      </c>
      <c r="L759" s="798">
        <v>4200000</v>
      </c>
      <c r="M759" s="838" t="s">
        <v>4815</v>
      </c>
      <c r="N759" s="606" t="s">
        <v>2486</v>
      </c>
      <c r="O759" s="607">
        <v>42776.5</v>
      </c>
      <c r="P759" s="607">
        <v>42795.5</v>
      </c>
      <c r="Q759" s="634" t="s">
        <v>110</v>
      </c>
      <c r="R759" s="634" t="s">
        <v>2174</v>
      </c>
      <c r="S759" s="634" t="s">
        <v>1455</v>
      </c>
      <c r="T759" s="635"/>
      <c r="U759" s="634"/>
      <c r="V759" s="634"/>
      <c r="W759" s="637" t="s">
        <v>70</v>
      </c>
      <c r="X759" s="639" t="s">
        <v>2330</v>
      </c>
      <c r="Y759" s="639" t="s">
        <v>3033</v>
      </c>
      <c r="Z759" s="639" t="s">
        <v>3034</v>
      </c>
      <c r="AA759" s="609" t="s">
        <v>1458</v>
      </c>
      <c r="AB759" s="642" t="s">
        <v>263</v>
      </c>
      <c r="AC759" s="652"/>
      <c r="AD759" s="652" t="s">
        <v>113</v>
      </c>
      <c r="AE759" s="653">
        <f t="shared" si="14"/>
        <v>2</v>
      </c>
    </row>
    <row r="760" spans="1:31" ht="105" hidden="1" x14ac:dyDescent="0.25">
      <c r="A760" s="608" t="s">
        <v>4116</v>
      </c>
      <c r="B760" s="601" t="s">
        <v>2421</v>
      </c>
      <c r="C760" s="601" t="s">
        <v>2422</v>
      </c>
      <c r="D760" s="602" t="s">
        <v>5239</v>
      </c>
      <c r="E760" s="602" t="s">
        <v>1657</v>
      </c>
      <c r="F760" s="601" t="s">
        <v>1587</v>
      </c>
      <c r="G760" s="602" t="s">
        <v>2256</v>
      </c>
      <c r="H760" s="603">
        <v>1</v>
      </c>
      <c r="I760" s="604" t="s">
        <v>2161</v>
      </c>
      <c r="J760" s="599" t="s">
        <v>1454</v>
      </c>
      <c r="K760" s="606" t="s">
        <v>2497</v>
      </c>
      <c r="L760" s="798">
        <v>194281.91</v>
      </c>
      <c r="M760" s="609" t="s">
        <v>2184</v>
      </c>
      <c r="N760" s="606" t="s">
        <v>2487</v>
      </c>
      <c r="O760" s="607">
        <v>42776.5</v>
      </c>
      <c r="P760" s="607">
        <v>43070.5</v>
      </c>
      <c r="Q760" s="634" t="s">
        <v>108</v>
      </c>
      <c r="R760" s="634" t="s">
        <v>1456</v>
      </c>
      <c r="S760" s="634" t="s">
        <v>1457</v>
      </c>
      <c r="T760" s="635"/>
      <c r="U760" s="634"/>
      <c r="V760" s="634"/>
      <c r="W760" s="637"/>
      <c r="X760" s="638"/>
      <c r="Y760" s="637"/>
      <c r="Z760" s="636"/>
      <c r="AA760" s="609" t="s">
        <v>1458</v>
      </c>
      <c r="AB760" s="642" t="s">
        <v>263</v>
      </c>
      <c r="AC760" s="652"/>
      <c r="AD760" s="652" t="s">
        <v>113</v>
      </c>
      <c r="AE760" s="653">
        <f t="shared" si="14"/>
        <v>2</v>
      </c>
    </row>
    <row r="761" spans="1:31" ht="105" hidden="1" x14ac:dyDescent="0.25">
      <c r="A761" s="608" t="s">
        <v>4117</v>
      </c>
      <c r="B761" s="601" t="s">
        <v>2423</v>
      </c>
      <c r="C761" s="601" t="s">
        <v>2424</v>
      </c>
      <c r="D761" s="602" t="s">
        <v>5238</v>
      </c>
      <c r="E761" s="602" t="s">
        <v>2456</v>
      </c>
      <c r="F761" s="601" t="s">
        <v>1528</v>
      </c>
      <c r="G761" s="602" t="s">
        <v>2156</v>
      </c>
      <c r="H761" s="603">
        <v>1</v>
      </c>
      <c r="I761" s="604" t="s">
        <v>2161</v>
      </c>
      <c r="J761" s="599" t="s">
        <v>1454</v>
      </c>
      <c r="K761" s="606" t="s">
        <v>2987</v>
      </c>
      <c r="L761" s="798">
        <v>115784</v>
      </c>
      <c r="M761" s="838" t="s">
        <v>4818</v>
      </c>
      <c r="N761" s="606" t="s">
        <v>2488</v>
      </c>
      <c r="O761" s="607">
        <v>42776.5</v>
      </c>
      <c r="P761" s="607">
        <v>43100</v>
      </c>
      <c r="Q761" s="634" t="s">
        <v>108</v>
      </c>
      <c r="R761" s="634" t="s">
        <v>1456</v>
      </c>
      <c r="S761" s="634" t="s">
        <v>1457</v>
      </c>
      <c r="T761" s="635"/>
      <c r="U761" s="634"/>
      <c r="V761" s="634"/>
      <c r="W761" s="637"/>
      <c r="X761" s="638"/>
      <c r="Y761" s="637"/>
      <c r="Z761" s="636"/>
      <c r="AA761" s="609" t="s">
        <v>1458</v>
      </c>
      <c r="AB761" s="642" t="s">
        <v>263</v>
      </c>
      <c r="AC761" s="652"/>
      <c r="AD761" s="652" t="s">
        <v>113</v>
      </c>
      <c r="AE761" s="653">
        <f t="shared" si="14"/>
        <v>2</v>
      </c>
    </row>
    <row r="762" spans="1:31" ht="105" hidden="1" x14ac:dyDescent="0.25">
      <c r="A762" s="608" t="s">
        <v>4118</v>
      </c>
      <c r="B762" s="601" t="s">
        <v>1672</v>
      </c>
      <c r="C762" s="601" t="s">
        <v>1673</v>
      </c>
      <c r="D762" s="602" t="s">
        <v>5237</v>
      </c>
      <c r="E762" s="602" t="s">
        <v>2457</v>
      </c>
      <c r="F762" s="601" t="s">
        <v>1587</v>
      </c>
      <c r="G762" s="602" t="s">
        <v>2256</v>
      </c>
      <c r="H762" s="603">
        <v>1</v>
      </c>
      <c r="I762" s="604" t="s">
        <v>2161</v>
      </c>
      <c r="J762" s="599" t="s">
        <v>1454</v>
      </c>
      <c r="K762" s="606" t="s">
        <v>2988</v>
      </c>
      <c r="L762" s="798">
        <v>174772.74</v>
      </c>
      <c r="M762" s="609" t="s">
        <v>2184</v>
      </c>
      <c r="N762" s="606" t="s">
        <v>2489</v>
      </c>
      <c r="O762" s="607">
        <v>42896.5</v>
      </c>
      <c r="P762" s="607">
        <v>43100</v>
      </c>
      <c r="Q762" s="634" t="s">
        <v>108</v>
      </c>
      <c r="R762" s="634" t="s">
        <v>1456</v>
      </c>
      <c r="S762" s="634" t="s">
        <v>1457</v>
      </c>
      <c r="T762" s="635"/>
      <c r="U762" s="634"/>
      <c r="V762" s="634"/>
      <c r="W762" s="637"/>
      <c r="X762" s="638"/>
      <c r="Y762" s="637"/>
      <c r="Z762" s="636"/>
      <c r="AA762" s="609" t="s">
        <v>1458</v>
      </c>
      <c r="AB762" s="642" t="s">
        <v>263</v>
      </c>
      <c r="AC762" s="652"/>
      <c r="AD762" s="652" t="s">
        <v>113</v>
      </c>
      <c r="AE762" s="653">
        <f t="shared" si="14"/>
        <v>6</v>
      </c>
    </row>
    <row r="763" spans="1:31" ht="105" hidden="1" x14ac:dyDescent="0.25">
      <c r="A763" s="608" t="s">
        <v>4119</v>
      </c>
      <c r="B763" s="601" t="s">
        <v>1672</v>
      </c>
      <c r="C763" s="601" t="s">
        <v>1673</v>
      </c>
      <c r="D763" s="602" t="s">
        <v>5236</v>
      </c>
      <c r="E763" s="602" t="s">
        <v>2457</v>
      </c>
      <c r="F763" s="601" t="s">
        <v>1587</v>
      </c>
      <c r="G763" s="602" t="s">
        <v>2256</v>
      </c>
      <c r="H763" s="603">
        <v>1</v>
      </c>
      <c r="I763" s="604" t="s">
        <v>2161</v>
      </c>
      <c r="J763" s="599" t="s">
        <v>1454</v>
      </c>
      <c r="K763" s="606" t="s">
        <v>2989</v>
      </c>
      <c r="L763" s="798">
        <v>146443.94</v>
      </c>
      <c r="M763" s="838" t="s">
        <v>4825</v>
      </c>
      <c r="N763" s="606" t="s">
        <v>2490</v>
      </c>
      <c r="O763" s="607">
        <v>42776.5</v>
      </c>
      <c r="P763" s="607">
        <v>43100</v>
      </c>
      <c r="Q763" s="634" t="s">
        <v>108</v>
      </c>
      <c r="R763" s="634" t="s">
        <v>1456</v>
      </c>
      <c r="S763" s="634" t="s">
        <v>1457</v>
      </c>
      <c r="T763" s="635"/>
      <c r="U763" s="634"/>
      <c r="V763" s="634"/>
      <c r="W763" s="637"/>
      <c r="X763" s="638"/>
      <c r="Y763" s="637"/>
      <c r="Z763" s="636"/>
      <c r="AA763" s="609" t="s">
        <v>1458</v>
      </c>
      <c r="AB763" s="642" t="s">
        <v>263</v>
      </c>
      <c r="AC763" s="652"/>
      <c r="AD763" s="652" t="s">
        <v>113</v>
      </c>
      <c r="AE763" s="653">
        <f t="shared" si="14"/>
        <v>2</v>
      </c>
    </row>
    <row r="764" spans="1:31" ht="105" hidden="1" x14ac:dyDescent="0.25">
      <c r="A764" s="608" t="s">
        <v>4120</v>
      </c>
      <c r="B764" s="601" t="s">
        <v>1672</v>
      </c>
      <c r="C764" s="601" t="s">
        <v>1673</v>
      </c>
      <c r="D764" s="602" t="s">
        <v>5235</v>
      </c>
      <c r="E764" s="602" t="s">
        <v>2457</v>
      </c>
      <c r="F764" s="601" t="s">
        <v>1587</v>
      </c>
      <c r="G764" s="602" t="s">
        <v>2256</v>
      </c>
      <c r="H764" s="603">
        <v>1</v>
      </c>
      <c r="I764" s="604" t="s">
        <v>2161</v>
      </c>
      <c r="J764" s="599" t="s">
        <v>1454</v>
      </c>
      <c r="K764" s="606" t="s">
        <v>2990</v>
      </c>
      <c r="L764" s="798">
        <v>72478.16</v>
      </c>
      <c r="M764" s="609" t="s">
        <v>2184</v>
      </c>
      <c r="N764" s="606" t="s">
        <v>2491</v>
      </c>
      <c r="O764" s="607">
        <v>42776.5</v>
      </c>
      <c r="P764" s="607">
        <v>43100</v>
      </c>
      <c r="Q764" s="634" t="s">
        <v>108</v>
      </c>
      <c r="R764" s="634" t="s">
        <v>1456</v>
      </c>
      <c r="S764" s="634" t="s">
        <v>1457</v>
      </c>
      <c r="T764" s="635"/>
      <c r="U764" s="634"/>
      <c r="V764" s="634"/>
      <c r="W764" s="637"/>
      <c r="X764" s="638"/>
      <c r="Y764" s="637"/>
      <c r="Z764" s="636"/>
      <c r="AA764" s="609" t="s">
        <v>1458</v>
      </c>
      <c r="AB764" s="642" t="s">
        <v>263</v>
      </c>
      <c r="AC764" s="652"/>
      <c r="AD764" s="652" t="s">
        <v>113</v>
      </c>
      <c r="AE764" s="653">
        <f t="shared" si="14"/>
        <v>2</v>
      </c>
    </row>
    <row r="765" spans="1:31" ht="105" hidden="1" x14ac:dyDescent="0.25">
      <c r="A765" s="608" t="s">
        <v>4121</v>
      </c>
      <c r="B765" s="601" t="s">
        <v>1941</v>
      </c>
      <c r="C765" s="601" t="s">
        <v>2195</v>
      </c>
      <c r="D765" s="602" t="s">
        <v>4335</v>
      </c>
      <c r="E765" s="602" t="s">
        <v>2458</v>
      </c>
      <c r="F765" s="601" t="s">
        <v>1528</v>
      </c>
      <c r="G765" s="602" t="s">
        <v>2156</v>
      </c>
      <c r="H765" s="603">
        <v>54</v>
      </c>
      <c r="I765" s="604" t="s">
        <v>2161</v>
      </c>
      <c r="J765" s="599" t="s">
        <v>1454</v>
      </c>
      <c r="K765" s="606" t="s">
        <v>2918</v>
      </c>
      <c r="L765" s="798">
        <v>651081.42000000004</v>
      </c>
      <c r="M765" s="838" t="s">
        <v>4813</v>
      </c>
      <c r="N765" s="606" t="s">
        <v>2277</v>
      </c>
      <c r="O765" s="607">
        <v>42776.5</v>
      </c>
      <c r="P765" s="607">
        <v>42948</v>
      </c>
      <c r="Q765" s="634" t="s">
        <v>110</v>
      </c>
      <c r="R765" s="634" t="s">
        <v>2174</v>
      </c>
      <c r="S765" s="634" t="s">
        <v>1455</v>
      </c>
      <c r="T765" s="635"/>
      <c r="U765" s="634"/>
      <c r="V765" s="634"/>
      <c r="W765" s="637" t="s">
        <v>70</v>
      </c>
      <c r="X765" s="638"/>
      <c r="Y765" s="637"/>
      <c r="Z765" s="636"/>
      <c r="AA765" s="609" t="s">
        <v>1458</v>
      </c>
      <c r="AB765" s="642" t="s">
        <v>263</v>
      </c>
      <c r="AC765" s="652"/>
      <c r="AD765" s="652" t="s">
        <v>113</v>
      </c>
      <c r="AE765" s="653">
        <f t="shared" si="14"/>
        <v>2</v>
      </c>
    </row>
    <row r="766" spans="1:31" ht="105" hidden="1" x14ac:dyDescent="0.25">
      <c r="A766" s="608" t="s">
        <v>4122</v>
      </c>
      <c r="B766" s="601" t="s">
        <v>2199</v>
      </c>
      <c r="C766" s="601" t="s">
        <v>2199</v>
      </c>
      <c r="D766" s="602" t="s">
        <v>4334</v>
      </c>
      <c r="E766" s="602" t="s">
        <v>2022</v>
      </c>
      <c r="F766" s="601" t="s">
        <v>1528</v>
      </c>
      <c r="G766" s="602" t="s">
        <v>2156</v>
      </c>
      <c r="H766" s="603">
        <v>1</v>
      </c>
      <c r="I766" s="604" t="s">
        <v>2161</v>
      </c>
      <c r="J766" s="599" t="s">
        <v>1454</v>
      </c>
      <c r="K766" s="606" t="s">
        <v>2991</v>
      </c>
      <c r="L766" s="798">
        <v>30300000</v>
      </c>
      <c r="M766" s="838" t="s">
        <v>4815</v>
      </c>
      <c r="N766" s="606" t="s">
        <v>2492</v>
      </c>
      <c r="O766" s="607">
        <v>42776.5</v>
      </c>
      <c r="P766" s="607">
        <v>43070.5</v>
      </c>
      <c r="Q766" s="634" t="s">
        <v>110</v>
      </c>
      <c r="R766" s="634" t="s">
        <v>2174</v>
      </c>
      <c r="S766" s="634" t="s">
        <v>1455</v>
      </c>
      <c r="T766" s="635"/>
      <c r="U766" s="634"/>
      <c r="V766" s="634"/>
      <c r="W766" s="637" t="s">
        <v>70</v>
      </c>
      <c r="X766" s="638"/>
      <c r="Y766" s="637"/>
      <c r="Z766" s="636"/>
      <c r="AA766" s="609" t="s">
        <v>1458</v>
      </c>
      <c r="AB766" s="642" t="s">
        <v>263</v>
      </c>
      <c r="AC766" s="652"/>
      <c r="AD766" s="652" t="s">
        <v>113</v>
      </c>
      <c r="AE766" s="653">
        <f t="shared" ref="AE766:AE797" si="15">IF(O766=0,,MONTH(O766))</f>
        <v>2</v>
      </c>
    </row>
    <row r="767" spans="1:31" ht="105" hidden="1" x14ac:dyDescent="0.25">
      <c r="A767" s="608" t="s">
        <v>4123</v>
      </c>
      <c r="B767" s="601" t="s">
        <v>2199</v>
      </c>
      <c r="C767" s="601" t="s">
        <v>2199</v>
      </c>
      <c r="D767" s="602" t="s">
        <v>6053</v>
      </c>
      <c r="E767" s="602" t="s">
        <v>2022</v>
      </c>
      <c r="F767" s="601" t="s">
        <v>1528</v>
      </c>
      <c r="G767" s="602" t="s">
        <v>2156</v>
      </c>
      <c r="H767" s="603">
        <v>1</v>
      </c>
      <c r="I767" s="604" t="s">
        <v>2161</v>
      </c>
      <c r="J767" s="599" t="s">
        <v>1454</v>
      </c>
      <c r="K767" s="606" t="s">
        <v>6054</v>
      </c>
      <c r="L767" s="841">
        <v>30300000</v>
      </c>
      <c r="M767" s="838" t="s">
        <v>4815</v>
      </c>
      <c r="N767" s="606">
        <v>30300000</v>
      </c>
      <c r="O767" s="607">
        <v>42776.5</v>
      </c>
      <c r="P767" s="607">
        <v>43070.5</v>
      </c>
      <c r="Q767" s="634" t="s">
        <v>110</v>
      </c>
      <c r="R767" s="634" t="s">
        <v>2174</v>
      </c>
      <c r="S767" s="634" t="s">
        <v>1455</v>
      </c>
      <c r="T767" s="635"/>
      <c r="U767" s="634"/>
      <c r="V767" s="634"/>
      <c r="W767" s="637" t="s">
        <v>70</v>
      </c>
      <c r="X767" s="638" t="s">
        <v>6055</v>
      </c>
      <c r="Y767" s="637" t="s">
        <v>6056</v>
      </c>
      <c r="Z767" s="636">
        <v>30300000</v>
      </c>
      <c r="AA767" s="609" t="s">
        <v>1458</v>
      </c>
      <c r="AB767" s="642" t="s">
        <v>263</v>
      </c>
      <c r="AC767" s="652"/>
      <c r="AD767" s="652" t="s">
        <v>113</v>
      </c>
      <c r="AE767" s="653">
        <f t="shared" si="15"/>
        <v>2</v>
      </c>
    </row>
    <row r="768" spans="1:31" ht="105" hidden="1" x14ac:dyDescent="0.25">
      <c r="A768" s="608" t="s">
        <v>4124</v>
      </c>
      <c r="B768" s="601" t="s">
        <v>2199</v>
      </c>
      <c r="C768" s="601" t="s">
        <v>2199</v>
      </c>
      <c r="D768" s="602" t="s">
        <v>6064</v>
      </c>
      <c r="E768" s="602" t="s">
        <v>2022</v>
      </c>
      <c r="F768" s="601" t="s">
        <v>1528</v>
      </c>
      <c r="G768" s="602" t="s">
        <v>2156</v>
      </c>
      <c r="H768" s="603">
        <v>1</v>
      </c>
      <c r="I768" s="604" t="s">
        <v>2161</v>
      </c>
      <c r="J768" s="599" t="s">
        <v>1454</v>
      </c>
      <c r="K768" s="606" t="s">
        <v>2992</v>
      </c>
      <c r="L768" s="798">
        <v>81000000</v>
      </c>
      <c r="M768" s="838" t="s">
        <v>4815</v>
      </c>
      <c r="N768" s="606">
        <v>81000000</v>
      </c>
      <c r="O768" s="607">
        <v>42776.5</v>
      </c>
      <c r="P768" s="607">
        <v>43070.5</v>
      </c>
      <c r="Q768" s="634" t="s">
        <v>110</v>
      </c>
      <c r="R768" s="634" t="s">
        <v>2174</v>
      </c>
      <c r="S768" s="634" t="s">
        <v>1455</v>
      </c>
      <c r="T768" s="635"/>
      <c r="U768" s="634"/>
      <c r="V768" s="634"/>
      <c r="W768" s="637" t="s">
        <v>70</v>
      </c>
      <c r="X768" s="638" t="s">
        <v>6065</v>
      </c>
      <c r="Y768" s="634" t="s">
        <v>6066</v>
      </c>
      <c r="Z768" s="636">
        <v>81000000</v>
      </c>
      <c r="AA768" s="609" t="s">
        <v>1458</v>
      </c>
      <c r="AB768" s="642" t="s">
        <v>263</v>
      </c>
      <c r="AC768" s="652"/>
      <c r="AD768" s="652" t="s">
        <v>113</v>
      </c>
      <c r="AE768" s="653">
        <f t="shared" si="15"/>
        <v>2</v>
      </c>
    </row>
    <row r="769" spans="1:31" ht="105" hidden="1" x14ac:dyDescent="0.25">
      <c r="A769" s="608" t="s">
        <v>4125</v>
      </c>
      <c r="B769" s="601" t="s">
        <v>2199</v>
      </c>
      <c r="C769" s="601" t="s">
        <v>2199</v>
      </c>
      <c r="D769" s="602" t="s">
        <v>4333</v>
      </c>
      <c r="E769" s="602" t="s">
        <v>2022</v>
      </c>
      <c r="F769" s="601" t="s">
        <v>1528</v>
      </c>
      <c r="G769" s="602" t="s">
        <v>2156</v>
      </c>
      <c r="H769" s="603">
        <v>1</v>
      </c>
      <c r="I769" s="604" t="s">
        <v>2161</v>
      </c>
      <c r="J769" s="599" t="s">
        <v>1454</v>
      </c>
      <c r="K769" s="606" t="s">
        <v>6057</v>
      </c>
      <c r="L769" s="798">
        <v>25000000</v>
      </c>
      <c r="M769" s="609" t="s">
        <v>2184</v>
      </c>
      <c r="N769" s="606">
        <v>25000000</v>
      </c>
      <c r="O769" s="607">
        <v>42776.5</v>
      </c>
      <c r="P769" s="607">
        <v>43070.5</v>
      </c>
      <c r="Q769" s="634" t="s">
        <v>110</v>
      </c>
      <c r="R769" s="634" t="s">
        <v>2174</v>
      </c>
      <c r="S769" s="634" t="s">
        <v>1455</v>
      </c>
      <c r="T769" s="635"/>
      <c r="U769" s="634"/>
      <c r="V769" s="634"/>
      <c r="W769" s="637" t="s">
        <v>70</v>
      </c>
      <c r="X769" s="638" t="s">
        <v>6058</v>
      </c>
      <c r="Y769" s="637" t="s">
        <v>6059</v>
      </c>
      <c r="Z769" s="636">
        <v>25000000</v>
      </c>
      <c r="AA769" s="609" t="s">
        <v>1458</v>
      </c>
      <c r="AB769" s="642" t="s">
        <v>263</v>
      </c>
      <c r="AC769" s="652"/>
      <c r="AD769" s="652" t="s">
        <v>113</v>
      </c>
      <c r="AE769" s="653">
        <f t="shared" si="15"/>
        <v>2</v>
      </c>
    </row>
    <row r="770" spans="1:31" ht="105" hidden="1" x14ac:dyDescent="0.25">
      <c r="A770" s="608" t="s">
        <v>4126</v>
      </c>
      <c r="B770" s="601" t="s">
        <v>2199</v>
      </c>
      <c r="C770" s="601" t="s">
        <v>2199</v>
      </c>
      <c r="D770" s="602" t="s">
        <v>4332</v>
      </c>
      <c r="E770" s="602" t="s">
        <v>2022</v>
      </c>
      <c r="F770" s="601" t="s">
        <v>1528</v>
      </c>
      <c r="G770" s="602" t="s">
        <v>2156</v>
      </c>
      <c r="H770" s="603">
        <v>1</v>
      </c>
      <c r="I770" s="604" t="s">
        <v>2161</v>
      </c>
      <c r="J770" s="599" t="s">
        <v>1454</v>
      </c>
      <c r="K770" s="606" t="s">
        <v>2993</v>
      </c>
      <c r="L770" s="798">
        <v>4230000</v>
      </c>
      <c r="M770" s="609" t="s">
        <v>2184</v>
      </c>
      <c r="N770" s="606" t="s">
        <v>2494</v>
      </c>
      <c r="O770" s="607">
        <v>42776.5</v>
      </c>
      <c r="P770" s="607">
        <v>43070.5</v>
      </c>
      <c r="Q770" s="634" t="s">
        <v>110</v>
      </c>
      <c r="R770" s="634" t="s">
        <v>2174</v>
      </c>
      <c r="S770" s="634" t="s">
        <v>1455</v>
      </c>
      <c r="T770" s="635"/>
      <c r="U770" s="634"/>
      <c r="V770" s="634"/>
      <c r="W770" s="637" t="s">
        <v>72</v>
      </c>
      <c r="X770" s="638"/>
      <c r="Y770" s="637"/>
      <c r="Z770" s="636"/>
      <c r="AA770" s="609" t="s">
        <v>1458</v>
      </c>
      <c r="AB770" s="642" t="s">
        <v>263</v>
      </c>
      <c r="AC770" s="652"/>
      <c r="AD770" s="652" t="s">
        <v>113</v>
      </c>
      <c r="AE770" s="653">
        <f t="shared" si="15"/>
        <v>2</v>
      </c>
    </row>
    <row r="771" spans="1:31" ht="105" hidden="1" x14ac:dyDescent="0.25">
      <c r="A771" s="608" t="s">
        <v>4127</v>
      </c>
      <c r="B771" s="601" t="s">
        <v>2425</v>
      </c>
      <c r="C771" s="601" t="s">
        <v>2426</v>
      </c>
      <c r="D771" s="602" t="s">
        <v>4331</v>
      </c>
      <c r="E771" s="656" t="s">
        <v>2459</v>
      </c>
      <c r="F771" s="601" t="s">
        <v>1528</v>
      </c>
      <c r="G771" s="602" t="s">
        <v>2156</v>
      </c>
      <c r="H771" s="603">
        <v>45</v>
      </c>
      <c r="I771" s="604" t="s">
        <v>2161</v>
      </c>
      <c r="J771" s="599" t="s">
        <v>1454</v>
      </c>
      <c r="K771" s="606" t="s">
        <v>2994</v>
      </c>
      <c r="L771" s="798">
        <v>208417.5</v>
      </c>
      <c r="M771" s="609" t="s">
        <v>2184</v>
      </c>
      <c r="N771" s="606" t="s">
        <v>2495</v>
      </c>
      <c r="O771" s="607">
        <v>42821.5</v>
      </c>
      <c r="P771" s="607">
        <v>43890.5</v>
      </c>
      <c r="Q771" s="634" t="s">
        <v>108</v>
      </c>
      <c r="R771" s="634" t="s">
        <v>1456</v>
      </c>
      <c r="S771" s="634" t="s">
        <v>1457</v>
      </c>
      <c r="T771" s="635"/>
      <c r="U771" s="634"/>
      <c r="V771" s="634"/>
      <c r="W771" s="637"/>
      <c r="X771" s="638"/>
      <c r="Y771" s="637"/>
      <c r="Z771" s="636"/>
      <c r="AA771" s="609" t="s">
        <v>1458</v>
      </c>
      <c r="AB771" s="642" t="s">
        <v>263</v>
      </c>
      <c r="AC771" s="652"/>
      <c r="AD771" s="652" t="s">
        <v>113</v>
      </c>
      <c r="AE771" s="653">
        <f t="shared" si="15"/>
        <v>3</v>
      </c>
    </row>
    <row r="772" spans="1:31" ht="105" hidden="1" x14ac:dyDescent="0.25">
      <c r="A772" s="608" t="s">
        <v>4128</v>
      </c>
      <c r="B772" s="601" t="s">
        <v>1941</v>
      </c>
      <c r="C772" s="601" t="s">
        <v>1942</v>
      </c>
      <c r="D772" s="602" t="s">
        <v>5234</v>
      </c>
      <c r="E772" s="602" t="s">
        <v>2460</v>
      </c>
      <c r="F772" s="601" t="s">
        <v>1528</v>
      </c>
      <c r="G772" s="602" t="str">
        <f>IFERROR(VLOOKUP(F772,'[4]код океи'!$B$2:$C$448,2,1)," ")</f>
        <v>Штука</v>
      </c>
      <c r="H772" s="603">
        <v>3000</v>
      </c>
      <c r="I772" s="604" t="s">
        <v>2161</v>
      </c>
      <c r="J772" s="599" t="s">
        <v>1454</v>
      </c>
      <c r="K772" s="606" t="s">
        <v>8298</v>
      </c>
      <c r="L772" s="841">
        <v>212931</v>
      </c>
      <c r="M772" s="609" t="s">
        <v>997</v>
      </c>
      <c r="N772" s="606">
        <v>212931</v>
      </c>
      <c r="O772" s="607">
        <v>42917</v>
      </c>
      <c r="P772" s="607">
        <v>43070.5</v>
      </c>
      <c r="Q772" s="634" t="s">
        <v>110</v>
      </c>
      <c r="R772" s="634" t="s">
        <v>2174</v>
      </c>
      <c r="S772" s="634" t="s">
        <v>1455</v>
      </c>
      <c r="T772" s="635"/>
      <c r="U772" s="634"/>
      <c r="V772" s="634" t="s">
        <v>45</v>
      </c>
      <c r="W772" s="637" t="s">
        <v>73</v>
      </c>
      <c r="X772" s="638" t="s">
        <v>5083</v>
      </c>
      <c r="Y772" s="637" t="s">
        <v>5084</v>
      </c>
      <c r="Z772" s="636">
        <v>212931</v>
      </c>
      <c r="AA772" s="609" t="s">
        <v>1458</v>
      </c>
      <c r="AB772" s="642" t="s">
        <v>263</v>
      </c>
      <c r="AC772" s="652"/>
      <c r="AD772" s="652" t="s">
        <v>113</v>
      </c>
      <c r="AE772" s="653">
        <f t="shared" si="15"/>
        <v>7</v>
      </c>
    </row>
    <row r="773" spans="1:31" ht="105" hidden="1" x14ac:dyDescent="0.25">
      <c r="A773" s="608" t="s">
        <v>4129</v>
      </c>
      <c r="B773" s="601" t="s">
        <v>1941</v>
      </c>
      <c r="C773" s="601" t="s">
        <v>1942</v>
      </c>
      <c r="D773" s="602" t="s">
        <v>5233</v>
      </c>
      <c r="E773" s="602" t="s">
        <v>2460</v>
      </c>
      <c r="F773" s="601" t="s">
        <v>1528</v>
      </c>
      <c r="G773" s="602" t="str">
        <f>IFERROR(VLOOKUP(F773,'[4]код океи'!$B$2:$C$448,2,1)," ")</f>
        <v>Штука</v>
      </c>
      <c r="H773" s="603">
        <v>4300</v>
      </c>
      <c r="I773" s="604" t="s">
        <v>2161</v>
      </c>
      <c r="J773" s="599" t="s">
        <v>1454</v>
      </c>
      <c r="K773" s="606" t="s">
        <v>6429</v>
      </c>
      <c r="L773" s="798">
        <v>303507.8</v>
      </c>
      <c r="M773" s="609" t="s">
        <v>997</v>
      </c>
      <c r="N773" s="961">
        <v>303507.8</v>
      </c>
      <c r="O773" s="607">
        <v>42917</v>
      </c>
      <c r="P773" s="607">
        <v>43070</v>
      </c>
      <c r="Q773" s="634" t="s">
        <v>110</v>
      </c>
      <c r="R773" s="634" t="s">
        <v>2174</v>
      </c>
      <c r="S773" s="634" t="s">
        <v>1455</v>
      </c>
      <c r="T773" s="635"/>
      <c r="U773" s="634"/>
      <c r="V773" s="634" t="s">
        <v>45</v>
      </c>
      <c r="W773" s="637" t="s">
        <v>73</v>
      </c>
      <c r="X773" s="638" t="s">
        <v>5083</v>
      </c>
      <c r="Y773" s="637" t="s">
        <v>5084</v>
      </c>
      <c r="Z773" s="636">
        <v>303507.8</v>
      </c>
      <c r="AA773" s="609" t="s">
        <v>1458</v>
      </c>
      <c r="AB773" s="642" t="s">
        <v>263</v>
      </c>
      <c r="AC773" s="652"/>
      <c r="AD773" s="652" t="s">
        <v>113</v>
      </c>
      <c r="AE773" s="653">
        <f t="shared" si="15"/>
        <v>7</v>
      </c>
    </row>
    <row r="774" spans="1:31" ht="105" hidden="1" x14ac:dyDescent="0.25">
      <c r="A774" s="608" t="s">
        <v>4130</v>
      </c>
      <c r="B774" s="601" t="s">
        <v>2427</v>
      </c>
      <c r="C774" s="601" t="s">
        <v>1636</v>
      </c>
      <c r="D774" s="602" t="s">
        <v>4330</v>
      </c>
      <c r="E774" s="602" t="s">
        <v>2022</v>
      </c>
      <c r="F774" s="601" t="s">
        <v>1528</v>
      </c>
      <c r="G774" s="602" t="str">
        <f>IFERROR(VLOOKUP(F774,'[4]код океи'!$B$2:$C$448,2,1)," ")</f>
        <v>Штука</v>
      </c>
      <c r="H774" s="603">
        <v>3</v>
      </c>
      <c r="I774" s="604" t="s">
        <v>2161</v>
      </c>
      <c r="J774" s="599" t="s">
        <v>1454</v>
      </c>
      <c r="K774" s="606" t="s">
        <v>2499</v>
      </c>
      <c r="L774" s="798">
        <v>684508</v>
      </c>
      <c r="M774" s="609" t="s">
        <v>2184</v>
      </c>
      <c r="N774" s="606">
        <v>684508</v>
      </c>
      <c r="O774" s="607">
        <v>42795</v>
      </c>
      <c r="P774" s="607">
        <v>42795</v>
      </c>
      <c r="Q774" s="634" t="s">
        <v>108</v>
      </c>
      <c r="R774" s="634" t="s">
        <v>1456</v>
      </c>
      <c r="S774" s="634" t="s">
        <v>1457</v>
      </c>
      <c r="T774" s="635"/>
      <c r="U774" s="634"/>
      <c r="V774" s="634"/>
      <c r="W774" s="637"/>
      <c r="X774" s="638"/>
      <c r="Y774" s="637"/>
      <c r="Z774" s="636"/>
      <c r="AA774" s="609" t="s">
        <v>1458</v>
      </c>
      <c r="AB774" s="642" t="s">
        <v>263</v>
      </c>
      <c r="AC774" s="652"/>
      <c r="AD774" s="652" t="s">
        <v>113</v>
      </c>
      <c r="AE774" s="653">
        <f t="shared" si="15"/>
        <v>3</v>
      </c>
    </row>
    <row r="775" spans="1:31" ht="105" hidden="1" x14ac:dyDescent="0.25">
      <c r="A775" s="608" t="s">
        <v>4131</v>
      </c>
      <c r="B775" s="601" t="s">
        <v>2023</v>
      </c>
      <c r="C775" s="601" t="s">
        <v>2023</v>
      </c>
      <c r="D775" s="602" t="s">
        <v>5232</v>
      </c>
      <c r="E775" s="602" t="s">
        <v>2022</v>
      </c>
      <c r="F775" s="601" t="s">
        <v>1528</v>
      </c>
      <c r="G775" s="602" t="str">
        <f>IFERROR(VLOOKUP(F775,'[4]код океи'!$B$2:$C$448,2,1)," ")</f>
        <v>Штука</v>
      </c>
      <c r="H775" s="603">
        <v>42</v>
      </c>
      <c r="I775" s="604" t="s">
        <v>2161</v>
      </c>
      <c r="J775" s="599" t="s">
        <v>1454</v>
      </c>
      <c r="K775" s="606" t="s">
        <v>4809</v>
      </c>
      <c r="L775" s="798">
        <v>1665400</v>
      </c>
      <c r="M775" s="609" t="s">
        <v>2184</v>
      </c>
      <c r="N775" s="606">
        <v>1665400</v>
      </c>
      <c r="O775" s="607">
        <v>42795</v>
      </c>
      <c r="P775" s="607">
        <v>43070.5</v>
      </c>
      <c r="Q775" s="634" t="s">
        <v>108</v>
      </c>
      <c r="R775" s="634" t="s">
        <v>1456</v>
      </c>
      <c r="S775" s="634" t="s">
        <v>1457</v>
      </c>
      <c r="T775" s="635"/>
      <c r="U775" s="634"/>
      <c r="V775" s="634"/>
      <c r="W775" s="637"/>
      <c r="X775" s="638"/>
      <c r="Y775" s="637"/>
      <c r="Z775" s="636"/>
      <c r="AA775" s="609" t="s">
        <v>1458</v>
      </c>
      <c r="AB775" s="642" t="s">
        <v>263</v>
      </c>
      <c r="AC775" s="652"/>
      <c r="AD775" s="652" t="s">
        <v>113</v>
      </c>
      <c r="AE775" s="653">
        <f t="shared" si="15"/>
        <v>3</v>
      </c>
    </row>
    <row r="776" spans="1:31" ht="105" hidden="1" x14ac:dyDescent="0.25">
      <c r="A776" s="608" t="s">
        <v>4132</v>
      </c>
      <c r="B776" s="601" t="s">
        <v>301</v>
      </c>
      <c r="C776" s="601" t="s">
        <v>301</v>
      </c>
      <c r="D776" s="602" t="s">
        <v>5231</v>
      </c>
      <c r="E776" s="602" t="s">
        <v>2022</v>
      </c>
      <c r="F776" s="601" t="s">
        <v>1587</v>
      </c>
      <c r="G776" s="602" t="str">
        <f>IFERROR(VLOOKUP(F776,'[4]код океи'!$B$2:$C$448,2,1)," ")</f>
        <v>Комплект</v>
      </c>
      <c r="H776" s="603">
        <v>4</v>
      </c>
      <c r="I776" s="604" t="s">
        <v>2161</v>
      </c>
      <c r="J776" s="599" t="s">
        <v>1454</v>
      </c>
      <c r="K776" s="606" t="s">
        <v>2500</v>
      </c>
      <c r="L776" s="798">
        <v>1416320.02</v>
      </c>
      <c r="M776" s="609" t="s">
        <v>2184</v>
      </c>
      <c r="N776" s="606">
        <v>1416320.02</v>
      </c>
      <c r="O776" s="607">
        <v>42795</v>
      </c>
      <c r="P776" s="607">
        <v>43070.5</v>
      </c>
      <c r="Q776" s="634" t="s">
        <v>108</v>
      </c>
      <c r="R776" s="634" t="s">
        <v>1456</v>
      </c>
      <c r="S776" s="634" t="s">
        <v>1457</v>
      </c>
      <c r="T776" s="635"/>
      <c r="U776" s="634"/>
      <c r="V776" s="634"/>
      <c r="W776" s="637"/>
      <c r="X776" s="638"/>
      <c r="Y776" s="637"/>
      <c r="Z776" s="636"/>
      <c r="AA776" s="609" t="s">
        <v>1458</v>
      </c>
      <c r="AB776" s="642" t="s">
        <v>263</v>
      </c>
      <c r="AC776" s="652"/>
      <c r="AD776" s="652" t="s">
        <v>113</v>
      </c>
      <c r="AE776" s="653">
        <f t="shared" si="15"/>
        <v>3</v>
      </c>
    </row>
    <row r="777" spans="1:31" ht="105" hidden="1" x14ac:dyDescent="0.25">
      <c r="A777" s="608" t="s">
        <v>4133</v>
      </c>
      <c r="B777" s="601" t="s">
        <v>1585</v>
      </c>
      <c r="C777" s="601" t="s">
        <v>1721</v>
      </c>
      <c r="D777" s="602" t="s">
        <v>5230</v>
      </c>
      <c r="E777" s="602" t="s">
        <v>2022</v>
      </c>
      <c r="F777" s="601" t="s">
        <v>1528</v>
      </c>
      <c r="G777" s="602" t="str">
        <f>IFERROR(VLOOKUP(F777,'[4]код океи'!$B$2:$C$448,2,1)," ")</f>
        <v>Штука</v>
      </c>
      <c r="H777" s="603">
        <v>2</v>
      </c>
      <c r="I777" s="604" t="s">
        <v>2161</v>
      </c>
      <c r="J777" s="599" t="s">
        <v>1454</v>
      </c>
      <c r="K777" s="606" t="s">
        <v>2501</v>
      </c>
      <c r="L777" s="798">
        <v>1355014.1</v>
      </c>
      <c r="M777" s="609" t="s">
        <v>2184</v>
      </c>
      <c r="N777" s="606">
        <v>1355014.1</v>
      </c>
      <c r="O777" s="607">
        <v>42795</v>
      </c>
      <c r="P777" s="607">
        <v>43070.5</v>
      </c>
      <c r="Q777" s="634" t="s">
        <v>108</v>
      </c>
      <c r="R777" s="634" t="s">
        <v>1456</v>
      </c>
      <c r="S777" s="634" t="s">
        <v>1457</v>
      </c>
      <c r="T777" s="635"/>
      <c r="U777" s="634"/>
      <c r="V777" s="634"/>
      <c r="W777" s="637"/>
      <c r="X777" s="638"/>
      <c r="Y777" s="637"/>
      <c r="Z777" s="636"/>
      <c r="AA777" s="609" t="s">
        <v>1458</v>
      </c>
      <c r="AB777" s="642" t="s">
        <v>263</v>
      </c>
      <c r="AC777" s="652"/>
      <c r="AD777" s="652" t="s">
        <v>113</v>
      </c>
      <c r="AE777" s="653">
        <f t="shared" si="15"/>
        <v>3</v>
      </c>
    </row>
    <row r="778" spans="1:31" ht="105" hidden="1" x14ac:dyDescent="0.25">
      <c r="A778" s="608" t="s">
        <v>4134</v>
      </c>
      <c r="B778" s="601" t="s">
        <v>1822</v>
      </c>
      <c r="C778" s="601" t="s">
        <v>1894</v>
      </c>
      <c r="D778" s="602" t="s">
        <v>5229</v>
      </c>
      <c r="E778" s="602" t="s">
        <v>2022</v>
      </c>
      <c r="F778" s="601" t="s">
        <v>1528</v>
      </c>
      <c r="G778" s="602" t="str">
        <f>IFERROR(VLOOKUP(F778,'[4]код океи'!$B$2:$C$448,2,1)," ")</f>
        <v>Штука</v>
      </c>
      <c r="H778" s="603">
        <v>1</v>
      </c>
      <c r="I778" s="604" t="s">
        <v>2161</v>
      </c>
      <c r="J778" s="599" t="s">
        <v>1454</v>
      </c>
      <c r="K778" s="606" t="s">
        <v>2502</v>
      </c>
      <c r="L778" s="798">
        <v>1396083.34</v>
      </c>
      <c r="M778" s="609" t="s">
        <v>2184</v>
      </c>
      <c r="N778" s="606">
        <v>1396083.34</v>
      </c>
      <c r="O778" s="607">
        <v>42795</v>
      </c>
      <c r="P778" s="607">
        <v>43070.5</v>
      </c>
      <c r="Q778" s="634" t="s">
        <v>108</v>
      </c>
      <c r="R778" s="634" t="s">
        <v>1456</v>
      </c>
      <c r="S778" s="634" t="s">
        <v>1457</v>
      </c>
      <c r="T778" s="635"/>
      <c r="U778" s="634"/>
      <c r="V778" s="634"/>
      <c r="W778" s="637"/>
      <c r="X778" s="638"/>
      <c r="Y778" s="637"/>
      <c r="Z778" s="636"/>
      <c r="AA778" s="609" t="s">
        <v>1458</v>
      </c>
      <c r="AB778" s="642" t="s">
        <v>263</v>
      </c>
      <c r="AC778" s="652"/>
      <c r="AD778" s="652" t="s">
        <v>113</v>
      </c>
      <c r="AE778" s="653">
        <f t="shared" si="15"/>
        <v>3</v>
      </c>
    </row>
    <row r="779" spans="1:31" ht="105" hidden="1" x14ac:dyDescent="0.25">
      <c r="A779" s="608" t="s">
        <v>4135</v>
      </c>
      <c r="B779" s="601" t="s">
        <v>1636</v>
      </c>
      <c r="C779" s="601" t="s">
        <v>2040</v>
      </c>
      <c r="D779" s="602" t="s">
        <v>5228</v>
      </c>
      <c r="E779" s="602" t="s">
        <v>2022</v>
      </c>
      <c r="F779" s="601" t="s">
        <v>1528</v>
      </c>
      <c r="G779" s="602" t="str">
        <f>IFERROR(VLOOKUP(F779,'[4]код океи'!$B$2:$C$448,2,1)," ")</f>
        <v>Штука</v>
      </c>
      <c r="H779" s="603">
        <v>66</v>
      </c>
      <c r="I779" s="604" t="s">
        <v>2161</v>
      </c>
      <c r="J779" s="599" t="s">
        <v>1454</v>
      </c>
      <c r="K779" s="606" t="s">
        <v>2503</v>
      </c>
      <c r="L779" s="798">
        <v>1739927.3</v>
      </c>
      <c r="M779" s="609" t="s">
        <v>2184</v>
      </c>
      <c r="N779" s="606">
        <v>1739927.3</v>
      </c>
      <c r="O779" s="607">
        <v>42795</v>
      </c>
      <c r="P779" s="607">
        <v>43070.5</v>
      </c>
      <c r="Q779" s="634" t="s">
        <v>110</v>
      </c>
      <c r="R779" s="634" t="s">
        <v>2174</v>
      </c>
      <c r="S779" s="634" t="s">
        <v>1455</v>
      </c>
      <c r="T779" s="635"/>
      <c r="U779" s="634"/>
      <c r="V779" s="634"/>
      <c r="W779" s="637" t="s">
        <v>72</v>
      </c>
      <c r="X779" s="638"/>
      <c r="Y779" s="637"/>
      <c r="Z779" s="636"/>
      <c r="AA779" s="609" t="s">
        <v>1458</v>
      </c>
      <c r="AB779" s="642" t="s">
        <v>263</v>
      </c>
      <c r="AC779" s="652"/>
      <c r="AD779" s="652" t="s">
        <v>113</v>
      </c>
      <c r="AE779" s="653">
        <f t="shared" si="15"/>
        <v>3</v>
      </c>
    </row>
    <row r="780" spans="1:31" ht="105" hidden="1" x14ac:dyDescent="0.25">
      <c r="A780" s="608" t="s">
        <v>4136</v>
      </c>
      <c r="B780" s="601" t="s">
        <v>1636</v>
      </c>
      <c r="C780" s="601" t="s">
        <v>2040</v>
      </c>
      <c r="D780" s="602" t="s">
        <v>5227</v>
      </c>
      <c r="E780" s="602" t="s">
        <v>2022</v>
      </c>
      <c r="F780" s="601" t="s">
        <v>1528</v>
      </c>
      <c r="G780" s="602" t="str">
        <f>IFERROR(VLOOKUP(F780,'[4]код океи'!$B$2:$C$448,2,1)," ")</f>
        <v>Штука</v>
      </c>
      <c r="H780" s="603">
        <v>205</v>
      </c>
      <c r="I780" s="604" t="s">
        <v>2161</v>
      </c>
      <c r="J780" s="599" t="s">
        <v>1454</v>
      </c>
      <c r="K780" s="606" t="s">
        <v>2504</v>
      </c>
      <c r="L780" s="798">
        <v>5012065.5</v>
      </c>
      <c r="M780" s="609" t="s">
        <v>2184</v>
      </c>
      <c r="N780" s="606">
        <v>5012065.5</v>
      </c>
      <c r="O780" s="607">
        <v>42795</v>
      </c>
      <c r="P780" s="607">
        <v>43070.5</v>
      </c>
      <c r="Q780" s="634" t="s">
        <v>110</v>
      </c>
      <c r="R780" s="634" t="s">
        <v>2174</v>
      </c>
      <c r="S780" s="634" t="s">
        <v>1455</v>
      </c>
      <c r="T780" s="635"/>
      <c r="U780" s="634"/>
      <c r="V780" s="634"/>
      <c r="W780" s="637" t="s">
        <v>73</v>
      </c>
      <c r="X780" s="638"/>
      <c r="Y780" s="637"/>
      <c r="Z780" s="636"/>
      <c r="AA780" s="609" t="s">
        <v>1458</v>
      </c>
      <c r="AB780" s="642" t="s">
        <v>263</v>
      </c>
      <c r="AC780" s="652"/>
      <c r="AD780" s="652" t="s">
        <v>113</v>
      </c>
      <c r="AE780" s="653">
        <f t="shared" si="15"/>
        <v>3</v>
      </c>
    </row>
    <row r="781" spans="1:31" ht="105" hidden="1" x14ac:dyDescent="0.25">
      <c r="A781" s="608" t="s">
        <v>4137</v>
      </c>
      <c r="B781" s="601" t="s">
        <v>1636</v>
      </c>
      <c r="C781" s="601" t="s">
        <v>2040</v>
      </c>
      <c r="D781" s="602" t="s">
        <v>5226</v>
      </c>
      <c r="E781" s="602" t="s">
        <v>2022</v>
      </c>
      <c r="F781" s="601" t="s">
        <v>1528</v>
      </c>
      <c r="G781" s="602" t="str">
        <f>IFERROR(VLOOKUP(F781,'[4]код океи'!$B$2:$C$448,2,1)," ")</f>
        <v>Штука</v>
      </c>
      <c r="H781" s="603">
        <v>195</v>
      </c>
      <c r="I781" s="604" t="s">
        <v>2161</v>
      </c>
      <c r="J781" s="599" t="s">
        <v>1454</v>
      </c>
      <c r="K781" s="606" t="s">
        <v>2505</v>
      </c>
      <c r="L781" s="798">
        <v>4896798.0999999996</v>
      </c>
      <c r="M781" s="609" t="s">
        <v>2184</v>
      </c>
      <c r="N781" s="606">
        <v>4896798.0999999996</v>
      </c>
      <c r="O781" s="607">
        <v>42795</v>
      </c>
      <c r="P781" s="607">
        <v>43070.5</v>
      </c>
      <c r="Q781" s="634" t="s">
        <v>110</v>
      </c>
      <c r="R781" s="634" t="s">
        <v>2174</v>
      </c>
      <c r="S781" s="634" t="s">
        <v>1455</v>
      </c>
      <c r="T781" s="635"/>
      <c r="U781" s="634"/>
      <c r="V781" s="634"/>
      <c r="W781" s="637" t="s">
        <v>73</v>
      </c>
      <c r="X781" s="638"/>
      <c r="Y781" s="637"/>
      <c r="Z781" s="636"/>
      <c r="AA781" s="609" t="s">
        <v>1458</v>
      </c>
      <c r="AB781" s="642" t="s">
        <v>263</v>
      </c>
      <c r="AC781" s="652"/>
      <c r="AD781" s="652" t="s">
        <v>113</v>
      </c>
      <c r="AE781" s="653">
        <f t="shared" si="15"/>
        <v>3</v>
      </c>
    </row>
    <row r="782" spans="1:31" ht="105" hidden="1" x14ac:dyDescent="0.25">
      <c r="A782" s="608" t="s">
        <v>4138</v>
      </c>
      <c r="B782" s="601" t="s">
        <v>2176</v>
      </c>
      <c r="C782" s="601" t="s">
        <v>2037</v>
      </c>
      <c r="D782" s="602" t="s">
        <v>5225</v>
      </c>
      <c r="E782" s="602" t="s">
        <v>2027</v>
      </c>
      <c r="F782" s="601" t="s">
        <v>1528</v>
      </c>
      <c r="G782" s="602" t="str">
        <f>IFERROR(VLOOKUP(F782,'[4]код океи'!$B$2:$C$448,2,1)," ")</f>
        <v>Штука</v>
      </c>
      <c r="H782" s="603">
        <v>270</v>
      </c>
      <c r="I782" s="604" t="s">
        <v>2161</v>
      </c>
      <c r="J782" s="599" t="s">
        <v>1454</v>
      </c>
      <c r="K782" s="606" t="s">
        <v>2506</v>
      </c>
      <c r="L782" s="798">
        <v>3972620</v>
      </c>
      <c r="M782" s="609" t="s">
        <v>2184</v>
      </c>
      <c r="N782" s="606">
        <v>3972620</v>
      </c>
      <c r="O782" s="607">
        <v>42826</v>
      </c>
      <c r="P782" s="607">
        <v>43070.5</v>
      </c>
      <c r="Q782" s="634" t="s">
        <v>110</v>
      </c>
      <c r="R782" s="634" t="s">
        <v>2174</v>
      </c>
      <c r="S782" s="634" t="s">
        <v>1455</v>
      </c>
      <c r="T782" s="635"/>
      <c r="U782" s="634"/>
      <c r="V782" s="634"/>
      <c r="W782" s="637" t="s">
        <v>73</v>
      </c>
      <c r="X782" s="638" t="s">
        <v>6026</v>
      </c>
      <c r="Y782" s="637" t="s">
        <v>6027</v>
      </c>
      <c r="Z782" s="636">
        <v>3972620</v>
      </c>
      <c r="AA782" s="609" t="s">
        <v>1458</v>
      </c>
      <c r="AB782" s="642" t="s">
        <v>263</v>
      </c>
      <c r="AC782" s="652"/>
      <c r="AD782" s="652" t="s">
        <v>113</v>
      </c>
      <c r="AE782" s="653">
        <f t="shared" si="15"/>
        <v>4</v>
      </c>
    </row>
    <row r="783" spans="1:31" ht="105" hidden="1" x14ac:dyDescent="0.25">
      <c r="A783" s="608" t="s">
        <v>4139</v>
      </c>
      <c r="B783" s="601" t="s">
        <v>2176</v>
      </c>
      <c r="C783" s="601" t="s">
        <v>2037</v>
      </c>
      <c r="D783" s="602" t="s">
        <v>5224</v>
      </c>
      <c r="E783" s="602" t="s">
        <v>2027</v>
      </c>
      <c r="F783" s="601" t="s">
        <v>1528</v>
      </c>
      <c r="G783" s="602" t="str">
        <f>IFERROR(VLOOKUP(F783,'[4]код океи'!$B$2:$C$448,2,1)," ")</f>
        <v>Штука</v>
      </c>
      <c r="H783" s="603">
        <v>220</v>
      </c>
      <c r="I783" s="604" t="s">
        <v>2161</v>
      </c>
      <c r="J783" s="599" t="s">
        <v>1454</v>
      </c>
      <c r="K783" s="606" t="s">
        <v>2507</v>
      </c>
      <c r="L783" s="798">
        <v>6562448</v>
      </c>
      <c r="M783" s="609" t="s">
        <v>2184</v>
      </c>
      <c r="N783" s="606">
        <v>6562448</v>
      </c>
      <c r="O783" s="607">
        <v>42826</v>
      </c>
      <c r="P783" s="607">
        <v>43070.5</v>
      </c>
      <c r="Q783" s="634" t="s">
        <v>110</v>
      </c>
      <c r="R783" s="634" t="s">
        <v>2174</v>
      </c>
      <c r="S783" s="634" t="s">
        <v>1455</v>
      </c>
      <c r="T783" s="635"/>
      <c r="U783" s="634"/>
      <c r="V783" s="634"/>
      <c r="W783" s="637" t="s">
        <v>73</v>
      </c>
      <c r="X783" s="638" t="s">
        <v>6026</v>
      </c>
      <c r="Y783" s="637" t="s">
        <v>6027</v>
      </c>
      <c r="Z783" s="636">
        <v>6562448</v>
      </c>
      <c r="AA783" s="609" t="s">
        <v>1458</v>
      </c>
      <c r="AB783" s="642" t="s">
        <v>263</v>
      </c>
      <c r="AC783" s="652"/>
      <c r="AD783" s="652" t="s">
        <v>113</v>
      </c>
      <c r="AE783" s="653">
        <f t="shared" si="15"/>
        <v>4</v>
      </c>
    </row>
    <row r="784" spans="1:31" ht="105" hidden="1" x14ac:dyDescent="0.25">
      <c r="A784" s="608" t="s">
        <v>4140</v>
      </c>
      <c r="B784" s="601" t="s">
        <v>2428</v>
      </c>
      <c r="C784" s="601" t="s">
        <v>2429</v>
      </c>
      <c r="D784" s="602" t="s">
        <v>5223</v>
      </c>
      <c r="E784" s="602" t="s">
        <v>2022</v>
      </c>
      <c r="F784" s="601" t="s">
        <v>1528</v>
      </c>
      <c r="G784" s="602" t="str">
        <f>IFERROR(VLOOKUP(F784,'[4]код океи'!$B$2:$C$448,2,1)," ")</f>
        <v>Штука</v>
      </c>
      <c r="H784" s="603">
        <v>2</v>
      </c>
      <c r="I784" s="604" t="s">
        <v>2161</v>
      </c>
      <c r="J784" s="599" t="s">
        <v>1454</v>
      </c>
      <c r="K784" s="606" t="s">
        <v>2508</v>
      </c>
      <c r="L784" s="798">
        <v>1203800</v>
      </c>
      <c r="M784" s="609" t="s">
        <v>2184</v>
      </c>
      <c r="N784" s="606">
        <v>1203800</v>
      </c>
      <c r="O784" s="607">
        <v>42793.5</v>
      </c>
      <c r="P784" s="607">
        <v>43070.5</v>
      </c>
      <c r="Q784" s="634" t="s">
        <v>110</v>
      </c>
      <c r="R784" s="634" t="s">
        <v>2174</v>
      </c>
      <c r="S784" s="634" t="s">
        <v>1455</v>
      </c>
      <c r="T784" s="635"/>
      <c r="U784" s="634"/>
      <c r="V784" s="634"/>
      <c r="W784" s="637" t="s">
        <v>70</v>
      </c>
      <c r="X784" s="638"/>
      <c r="Y784" s="637"/>
      <c r="Z784" s="636"/>
      <c r="AA784" s="609" t="s">
        <v>1458</v>
      </c>
      <c r="AB784" s="642" t="s">
        <v>263</v>
      </c>
      <c r="AC784" s="652"/>
      <c r="AD784" s="652" t="s">
        <v>113</v>
      </c>
      <c r="AE784" s="653">
        <f t="shared" si="15"/>
        <v>2</v>
      </c>
    </row>
    <row r="785" spans="1:31" ht="105" hidden="1" x14ac:dyDescent="0.25">
      <c r="A785" s="608" t="s">
        <v>4141</v>
      </c>
      <c r="B785" s="601" t="s">
        <v>1567</v>
      </c>
      <c r="C785" s="601" t="s">
        <v>2430</v>
      </c>
      <c r="D785" s="602" t="s">
        <v>5222</v>
      </c>
      <c r="E785" s="602" t="s">
        <v>2455</v>
      </c>
      <c r="F785" s="601" t="s">
        <v>1528</v>
      </c>
      <c r="G785" s="602" t="str">
        <f>IFERROR(VLOOKUP(F785,'[4]код океи'!$B$2:$C$448,2,1)," ")</f>
        <v>Штука</v>
      </c>
      <c r="H785" s="603">
        <v>1</v>
      </c>
      <c r="I785" s="604" t="s">
        <v>2161</v>
      </c>
      <c r="J785" s="599" t="s">
        <v>1454</v>
      </c>
      <c r="K785" s="606" t="s">
        <v>2995</v>
      </c>
      <c r="L785" s="798">
        <v>13909887.9</v>
      </c>
      <c r="M785" s="609" t="s">
        <v>2184</v>
      </c>
      <c r="N785" s="606">
        <v>13909887.9</v>
      </c>
      <c r="O785" s="607">
        <v>42795</v>
      </c>
      <c r="P785" s="607">
        <v>42979</v>
      </c>
      <c r="Q785" s="634" t="s">
        <v>100</v>
      </c>
      <c r="R785" s="634" t="s">
        <v>1456</v>
      </c>
      <c r="S785" s="634" t="s">
        <v>1457</v>
      </c>
      <c r="T785" s="635"/>
      <c r="U785" s="634"/>
      <c r="V785" s="634"/>
      <c r="W785" s="637"/>
      <c r="X785" s="638"/>
      <c r="Y785" s="637"/>
      <c r="Z785" s="636"/>
      <c r="AA785" s="609" t="s">
        <v>1458</v>
      </c>
      <c r="AB785" s="642" t="s">
        <v>263</v>
      </c>
      <c r="AC785" s="652"/>
      <c r="AD785" s="652" t="s">
        <v>113</v>
      </c>
      <c r="AE785" s="653">
        <f t="shared" si="15"/>
        <v>3</v>
      </c>
    </row>
    <row r="786" spans="1:31" ht="105" hidden="1" x14ac:dyDescent="0.25">
      <c r="A786" s="608" t="s">
        <v>4142</v>
      </c>
      <c r="B786" s="601" t="s">
        <v>1567</v>
      </c>
      <c r="C786" s="601" t="s">
        <v>2430</v>
      </c>
      <c r="D786" s="602" t="s">
        <v>5221</v>
      </c>
      <c r="E786" s="602" t="s">
        <v>2455</v>
      </c>
      <c r="F786" s="601" t="s">
        <v>1528</v>
      </c>
      <c r="G786" s="602" t="str">
        <f>IFERROR(VLOOKUP(F786,'[4]код океи'!$B$2:$C$448,2,1)," ")</f>
        <v>Штука</v>
      </c>
      <c r="H786" s="603">
        <v>1</v>
      </c>
      <c r="I786" s="604" t="s">
        <v>2161</v>
      </c>
      <c r="J786" s="599" t="s">
        <v>1454</v>
      </c>
      <c r="K786" s="606" t="s">
        <v>2509</v>
      </c>
      <c r="L786" s="798">
        <v>16102217.300000001</v>
      </c>
      <c r="M786" s="609" t="s">
        <v>2184</v>
      </c>
      <c r="N786" s="606">
        <v>16102217.300000001</v>
      </c>
      <c r="O786" s="607">
        <v>42795</v>
      </c>
      <c r="P786" s="607">
        <v>42948</v>
      </c>
      <c r="Q786" s="634" t="s">
        <v>100</v>
      </c>
      <c r="R786" s="634" t="s">
        <v>1456</v>
      </c>
      <c r="S786" s="634" t="s">
        <v>1457</v>
      </c>
      <c r="T786" s="635"/>
      <c r="U786" s="634"/>
      <c r="V786" s="634"/>
      <c r="W786" s="637"/>
      <c r="X786" s="638"/>
      <c r="Y786" s="637"/>
      <c r="Z786" s="636"/>
      <c r="AA786" s="609" t="s">
        <v>1458</v>
      </c>
      <c r="AB786" s="642" t="s">
        <v>263</v>
      </c>
      <c r="AC786" s="652"/>
      <c r="AD786" s="652" t="s">
        <v>113</v>
      </c>
      <c r="AE786" s="653">
        <f t="shared" si="15"/>
        <v>3</v>
      </c>
    </row>
    <row r="787" spans="1:31" ht="105" hidden="1" x14ac:dyDescent="0.25">
      <c r="A787" s="608" t="s">
        <v>4143</v>
      </c>
      <c r="B787" s="601" t="s">
        <v>1787</v>
      </c>
      <c r="C787" s="601" t="s">
        <v>2431</v>
      </c>
      <c r="D787" s="602" t="s">
        <v>5220</v>
      </c>
      <c r="E787" s="602" t="s">
        <v>2455</v>
      </c>
      <c r="F787" s="601" t="s">
        <v>1528</v>
      </c>
      <c r="G787" s="602" t="str">
        <f>IFERROR(VLOOKUP(F787,'[4]код океи'!$B$2:$C$448,2,1)," ")</f>
        <v>Штука</v>
      </c>
      <c r="H787" s="603">
        <v>1</v>
      </c>
      <c r="I787" s="604" t="s">
        <v>2161</v>
      </c>
      <c r="J787" s="599" t="s">
        <v>1454</v>
      </c>
      <c r="K787" s="606" t="s">
        <v>6107</v>
      </c>
      <c r="L787" s="911">
        <v>30993332.98</v>
      </c>
      <c r="M787" s="609" t="s">
        <v>2184</v>
      </c>
      <c r="N787" s="606">
        <v>30993332.98</v>
      </c>
      <c r="O787" s="607">
        <v>42856</v>
      </c>
      <c r="P787" s="607">
        <v>43040</v>
      </c>
      <c r="Q787" s="634" t="s">
        <v>100</v>
      </c>
      <c r="R787" s="634" t="s">
        <v>1456</v>
      </c>
      <c r="S787" s="634" t="s">
        <v>1457</v>
      </c>
      <c r="T787" s="635"/>
      <c r="U787" s="634"/>
      <c r="V787" s="634"/>
      <c r="W787" s="637"/>
      <c r="X787" s="638"/>
      <c r="Y787" s="637"/>
      <c r="Z787" s="636"/>
      <c r="AA787" s="609" t="s">
        <v>1458</v>
      </c>
      <c r="AB787" s="642" t="s">
        <v>263</v>
      </c>
      <c r="AC787" s="652"/>
      <c r="AD787" s="652" t="s">
        <v>113</v>
      </c>
      <c r="AE787" s="653">
        <f t="shared" si="15"/>
        <v>5</v>
      </c>
    </row>
    <row r="788" spans="1:31" ht="105" hidden="1" x14ac:dyDescent="0.25">
      <c r="A788" s="608" t="s">
        <v>4144</v>
      </c>
      <c r="B788" s="601" t="s">
        <v>1540</v>
      </c>
      <c r="C788" s="601" t="s">
        <v>2432</v>
      </c>
      <c r="D788" s="602" t="s">
        <v>5219</v>
      </c>
      <c r="E788" s="602" t="s">
        <v>2461</v>
      </c>
      <c r="F788" s="601" t="s">
        <v>1528</v>
      </c>
      <c r="G788" s="602" t="str">
        <f>IFERROR(VLOOKUP(F788,'[4]код океи'!$B$2:$C$448,2,1)," ")</f>
        <v>Штука</v>
      </c>
      <c r="H788" s="603">
        <v>5100</v>
      </c>
      <c r="I788" s="604" t="s">
        <v>2161</v>
      </c>
      <c r="J788" s="599" t="s">
        <v>1454</v>
      </c>
      <c r="K788" s="606" t="s">
        <v>2510</v>
      </c>
      <c r="L788" s="798">
        <v>765000</v>
      </c>
      <c r="M788" s="609" t="s">
        <v>2184</v>
      </c>
      <c r="N788" s="606">
        <v>765000</v>
      </c>
      <c r="O788" s="607">
        <v>42795</v>
      </c>
      <c r="P788" s="607">
        <v>43070.5</v>
      </c>
      <c r="Q788" s="634" t="s">
        <v>110</v>
      </c>
      <c r="R788" s="634" t="s">
        <v>2174</v>
      </c>
      <c r="S788" s="634" t="s">
        <v>1455</v>
      </c>
      <c r="T788" s="635"/>
      <c r="U788" s="634"/>
      <c r="V788" s="634"/>
      <c r="W788" s="637" t="s">
        <v>70</v>
      </c>
      <c r="X788" s="638"/>
      <c r="Y788" s="637"/>
      <c r="Z788" s="636"/>
      <c r="AA788" s="609" t="s">
        <v>1458</v>
      </c>
      <c r="AB788" s="642" t="s">
        <v>263</v>
      </c>
      <c r="AC788" s="652"/>
      <c r="AD788" s="652" t="s">
        <v>113</v>
      </c>
      <c r="AE788" s="653">
        <f t="shared" si="15"/>
        <v>3</v>
      </c>
    </row>
    <row r="789" spans="1:31" ht="105" hidden="1" x14ac:dyDescent="0.25">
      <c r="A789" s="608" t="s">
        <v>4145</v>
      </c>
      <c r="B789" s="601" t="s">
        <v>1540</v>
      </c>
      <c r="C789" s="601" t="s">
        <v>1545</v>
      </c>
      <c r="D789" s="602" t="s">
        <v>5218</v>
      </c>
      <c r="E789" s="602" t="s">
        <v>2461</v>
      </c>
      <c r="F789" s="601" t="s">
        <v>1528</v>
      </c>
      <c r="G789" s="602" t="str">
        <f>IFERROR(VLOOKUP(F789,'[4]код океи'!$B$2:$C$448,2,1)," ")</f>
        <v>Штука</v>
      </c>
      <c r="H789" s="603">
        <v>1080</v>
      </c>
      <c r="I789" s="604" t="s">
        <v>2161</v>
      </c>
      <c r="J789" s="599" t="s">
        <v>1454</v>
      </c>
      <c r="K789" s="606" t="s">
        <v>2511</v>
      </c>
      <c r="L789" s="798">
        <v>162000</v>
      </c>
      <c r="M789" s="609" t="s">
        <v>2184</v>
      </c>
      <c r="N789" s="606">
        <v>162000</v>
      </c>
      <c r="O789" s="607">
        <v>42795</v>
      </c>
      <c r="P789" s="607">
        <v>43070.5</v>
      </c>
      <c r="Q789" s="634" t="s">
        <v>110</v>
      </c>
      <c r="R789" s="634" t="s">
        <v>2174</v>
      </c>
      <c r="S789" s="634" t="s">
        <v>1455</v>
      </c>
      <c r="T789" s="635"/>
      <c r="U789" s="634"/>
      <c r="V789" s="634"/>
      <c r="W789" s="637" t="s">
        <v>70</v>
      </c>
      <c r="X789" s="638"/>
      <c r="Y789" s="637"/>
      <c r="Z789" s="636"/>
      <c r="AA789" s="609" t="s">
        <v>1458</v>
      </c>
      <c r="AB789" s="642" t="s">
        <v>263</v>
      </c>
      <c r="AC789" s="652"/>
      <c r="AD789" s="652" t="s">
        <v>113</v>
      </c>
      <c r="AE789" s="653">
        <f t="shared" si="15"/>
        <v>3</v>
      </c>
    </row>
    <row r="790" spans="1:31" ht="105" hidden="1" x14ac:dyDescent="0.25">
      <c r="A790" s="608" t="s">
        <v>4146</v>
      </c>
      <c r="B790" s="601" t="s">
        <v>1531</v>
      </c>
      <c r="C790" s="601" t="s">
        <v>1738</v>
      </c>
      <c r="D790" s="602" t="s">
        <v>5217</v>
      </c>
      <c r="E790" s="602" t="s">
        <v>2441</v>
      </c>
      <c r="F790" s="601" t="s">
        <v>1528</v>
      </c>
      <c r="G790" s="602" t="str">
        <f>IFERROR(VLOOKUP(F790,'[4]код океи'!$B$2:$C$448,2,1)," ")</f>
        <v>Штука</v>
      </c>
      <c r="H790" s="603">
        <v>7400</v>
      </c>
      <c r="I790" s="604" t="s">
        <v>2161</v>
      </c>
      <c r="J790" s="599" t="s">
        <v>1454</v>
      </c>
      <c r="K790" s="606" t="s">
        <v>2512</v>
      </c>
      <c r="L790" s="798">
        <v>1406000</v>
      </c>
      <c r="M790" s="609" t="s">
        <v>2184</v>
      </c>
      <c r="N790" s="606">
        <v>1406000</v>
      </c>
      <c r="O790" s="607">
        <v>42795</v>
      </c>
      <c r="P790" s="607">
        <v>43070.5</v>
      </c>
      <c r="Q790" s="634" t="s">
        <v>110</v>
      </c>
      <c r="R790" s="634" t="s">
        <v>2174</v>
      </c>
      <c r="S790" s="634" t="s">
        <v>1455</v>
      </c>
      <c r="T790" s="635"/>
      <c r="U790" s="634"/>
      <c r="V790" s="634"/>
      <c r="W790" s="637" t="s">
        <v>73</v>
      </c>
      <c r="X790" s="638"/>
      <c r="Y790" s="637"/>
      <c r="Z790" s="636"/>
      <c r="AA790" s="609" t="s">
        <v>1458</v>
      </c>
      <c r="AB790" s="642" t="s">
        <v>263</v>
      </c>
      <c r="AC790" s="652"/>
      <c r="AD790" s="652" t="s">
        <v>113</v>
      </c>
      <c r="AE790" s="653">
        <f t="shared" si="15"/>
        <v>3</v>
      </c>
    </row>
    <row r="791" spans="1:31" ht="105" hidden="1" x14ac:dyDescent="0.25">
      <c r="A791" s="608" t="s">
        <v>4147</v>
      </c>
      <c r="B791" s="601" t="s">
        <v>1540</v>
      </c>
      <c r="C791" s="601" t="s">
        <v>2432</v>
      </c>
      <c r="D791" s="602" t="s">
        <v>5216</v>
      </c>
      <c r="E791" s="602" t="s">
        <v>2461</v>
      </c>
      <c r="F791" s="601" t="s">
        <v>1528</v>
      </c>
      <c r="G791" s="602" t="str">
        <f>IFERROR(VLOOKUP(F791,'[4]код океи'!$B$2:$C$448,2,1)," ")</f>
        <v>Штука</v>
      </c>
      <c r="H791" s="603">
        <v>5200</v>
      </c>
      <c r="I791" s="604" t="s">
        <v>2161</v>
      </c>
      <c r="J791" s="599" t="s">
        <v>1454</v>
      </c>
      <c r="K791" s="606" t="s">
        <v>2513</v>
      </c>
      <c r="L791" s="798">
        <v>256000</v>
      </c>
      <c r="M791" s="609" t="s">
        <v>2184</v>
      </c>
      <c r="N791" s="606">
        <v>256000</v>
      </c>
      <c r="O791" s="607">
        <v>42795</v>
      </c>
      <c r="P791" s="607">
        <v>43070.5</v>
      </c>
      <c r="Q791" s="634" t="s">
        <v>110</v>
      </c>
      <c r="R791" s="634" t="s">
        <v>2174</v>
      </c>
      <c r="S791" s="634" t="s">
        <v>1455</v>
      </c>
      <c r="T791" s="635"/>
      <c r="U791" s="634"/>
      <c r="V791" s="634"/>
      <c r="W791" s="637" t="s">
        <v>73</v>
      </c>
      <c r="X791" s="638"/>
      <c r="Y791" s="637"/>
      <c r="Z791" s="636"/>
      <c r="AA791" s="609" t="s">
        <v>1458</v>
      </c>
      <c r="AB791" s="642" t="s">
        <v>263</v>
      </c>
      <c r="AC791" s="652"/>
      <c r="AD791" s="652" t="s">
        <v>113</v>
      </c>
      <c r="AE791" s="653">
        <f t="shared" si="15"/>
        <v>3</v>
      </c>
    </row>
    <row r="792" spans="1:31" ht="105" hidden="1" x14ac:dyDescent="0.25">
      <c r="A792" s="608" t="s">
        <v>4148</v>
      </c>
      <c r="B792" s="601" t="s">
        <v>1951</v>
      </c>
      <c r="C792" s="601" t="s">
        <v>2192</v>
      </c>
      <c r="D792" s="602" t="s">
        <v>5215</v>
      </c>
      <c r="E792" s="602" t="s">
        <v>2178</v>
      </c>
      <c r="F792" s="601" t="s">
        <v>1528</v>
      </c>
      <c r="G792" s="602" t="str">
        <f>IFERROR(VLOOKUP(F792,'[4]код океи'!$B$2:$C$448,2,1)," ")</f>
        <v>Штука</v>
      </c>
      <c r="H792" s="603">
        <v>300</v>
      </c>
      <c r="I792" s="604" t="s">
        <v>2161</v>
      </c>
      <c r="J792" s="599" t="s">
        <v>1454</v>
      </c>
      <c r="K792" s="606" t="s">
        <v>2996</v>
      </c>
      <c r="L792" s="798">
        <v>1194750</v>
      </c>
      <c r="M792" s="609" t="s">
        <v>2184</v>
      </c>
      <c r="N792" s="606">
        <v>1194750</v>
      </c>
      <c r="O792" s="607">
        <v>42795</v>
      </c>
      <c r="P792" s="607">
        <v>43070.5</v>
      </c>
      <c r="Q792" s="634" t="s">
        <v>110</v>
      </c>
      <c r="R792" s="634" t="s">
        <v>2174</v>
      </c>
      <c r="S792" s="634" t="s">
        <v>1455</v>
      </c>
      <c r="T792" s="635"/>
      <c r="U792" s="634"/>
      <c r="V792" s="634"/>
      <c r="W792" s="637" t="s">
        <v>268</v>
      </c>
      <c r="X792" s="638"/>
      <c r="Y792" s="637"/>
      <c r="Z792" s="636"/>
      <c r="AA792" s="609" t="s">
        <v>1458</v>
      </c>
      <c r="AB792" s="642" t="s">
        <v>263</v>
      </c>
      <c r="AC792" s="652"/>
      <c r="AD792" s="652" t="s">
        <v>113</v>
      </c>
      <c r="AE792" s="653">
        <f t="shared" si="15"/>
        <v>3</v>
      </c>
    </row>
    <row r="793" spans="1:31" ht="105" hidden="1" x14ac:dyDescent="0.25">
      <c r="A793" s="608" t="s">
        <v>4149</v>
      </c>
      <c r="B793" s="601" t="s">
        <v>1548</v>
      </c>
      <c r="C793" s="601" t="s">
        <v>2433</v>
      </c>
      <c r="D793" s="602" t="s">
        <v>5214</v>
      </c>
      <c r="E793" s="602" t="s">
        <v>2178</v>
      </c>
      <c r="F793" s="601" t="s">
        <v>1528</v>
      </c>
      <c r="G793" s="602" t="str">
        <f>IFERROR(VLOOKUP(F793,'[4]код океи'!$B$2:$C$448,2,1)," ")</f>
        <v>Штука</v>
      </c>
      <c r="H793" s="603">
        <v>360</v>
      </c>
      <c r="I793" s="604" t="s">
        <v>2161</v>
      </c>
      <c r="J793" s="599" t="s">
        <v>1454</v>
      </c>
      <c r="K793" s="606" t="s">
        <v>2515</v>
      </c>
      <c r="L793" s="798">
        <v>147960</v>
      </c>
      <c r="M793" s="609" t="s">
        <v>2184</v>
      </c>
      <c r="N793" s="606">
        <v>147960</v>
      </c>
      <c r="O793" s="607">
        <v>42795</v>
      </c>
      <c r="P793" s="607">
        <v>43070.5</v>
      </c>
      <c r="Q793" s="634" t="s">
        <v>108</v>
      </c>
      <c r="R793" s="634" t="s">
        <v>1456</v>
      </c>
      <c r="S793" s="634" t="s">
        <v>1457</v>
      </c>
      <c r="T793" s="635"/>
      <c r="U793" s="634"/>
      <c r="V793" s="634"/>
      <c r="W793" s="637"/>
      <c r="X793" s="638"/>
      <c r="Y793" s="637"/>
      <c r="Z793" s="636"/>
      <c r="AA793" s="609" t="s">
        <v>1458</v>
      </c>
      <c r="AB793" s="642" t="s">
        <v>263</v>
      </c>
      <c r="AC793" s="652"/>
      <c r="AD793" s="652" t="s">
        <v>113</v>
      </c>
      <c r="AE793" s="653">
        <f t="shared" si="15"/>
        <v>3</v>
      </c>
    </row>
    <row r="794" spans="1:31" ht="105" hidden="1" x14ac:dyDescent="0.25">
      <c r="A794" s="608" t="s">
        <v>4150</v>
      </c>
      <c r="B794" s="601" t="s">
        <v>1531</v>
      </c>
      <c r="C794" s="601" t="s">
        <v>1532</v>
      </c>
      <c r="D794" s="602" t="s">
        <v>4329</v>
      </c>
      <c r="E794" s="602" t="s">
        <v>2022</v>
      </c>
      <c r="F794" s="601" t="s">
        <v>1528</v>
      </c>
      <c r="G794" s="602" t="str">
        <f>IFERROR(VLOOKUP(F794,'[4]код океи'!$B$2:$C$448,2,1)," ")</f>
        <v>Штука</v>
      </c>
      <c r="H794" s="603">
        <v>360</v>
      </c>
      <c r="I794" s="604" t="s">
        <v>2161</v>
      </c>
      <c r="J794" s="599" t="s">
        <v>1454</v>
      </c>
      <c r="K794" s="606" t="s">
        <v>2516</v>
      </c>
      <c r="L794" s="798">
        <v>6840000</v>
      </c>
      <c r="M794" s="609" t="s">
        <v>2184</v>
      </c>
      <c r="N794" s="606">
        <v>6840000</v>
      </c>
      <c r="O794" s="607">
        <v>42795</v>
      </c>
      <c r="P794" s="607">
        <v>43070.5</v>
      </c>
      <c r="Q794" s="634" t="s">
        <v>110</v>
      </c>
      <c r="R794" s="634" t="s">
        <v>2174</v>
      </c>
      <c r="S794" s="634" t="s">
        <v>1455</v>
      </c>
      <c r="T794" s="635"/>
      <c r="U794" s="634"/>
      <c r="V794" s="634"/>
      <c r="W794" s="637" t="s">
        <v>73</v>
      </c>
      <c r="X794" s="638"/>
      <c r="Y794" s="637"/>
      <c r="Z794" s="636"/>
      <c r="AA794" s="609" t="s">
        <v>1458</v>
      </c>
      <c r="AB794" s="642" t="s">
        <v>263</v>
      </c>
      <c r="AC794" s="652"/>
      <c r="AD794" s="652" t="s">
        <v>113</v>
      </c>
      <c r="AE794" s="653">
        <f t="shared" si="15"/>
        <v>3</v>
      </c>
    </row>
    <row r="795" spans="1:31" ht="105" hidden="1" x14ac:dyDescent="0.25">
      <c r="A795" s="608" t="s">
        <v>4151</v>
      </c>
      <c r="B795" s="601" t="s">
        <v>1540</v>
      </c>
      <c r="C795" s="601" t="s">
        <v>1545</v>
      </c>
      <c r="D795" s="602" t="s">
        <v>5213</v>
      </c>
      <c r="E795" s="602" t="s">
        <v>2022</v>
      </c>
      <c r="F795" s="601" t="s">
        <v>2474</v>
      </c>
      <c r="G795" s="602" t="str">
        <f>IFERROR(VLOOKUP(F795,'[4]код океи'!$B$2:$C$448,2,1)," ")</f>
        <v>Квадратный сантиметр</v>
      </c>
      <c r="H795" s="603">
        <v>8500</v>
      </c>
      <c r="I795" s="604" t="s">
        <v>2161</v>
      </c>
      <c r="J795" s="599" t="s">
        <v>1454</v>
      </c>
      <c r="K795" s="606" t="s">
        <v>2517</v>
      </c>
      <c r="L795" s="798">
        <v>2762500</v>
      </c>
      <c r="M795" s="609" t="s">
        <v>2184</v>
      </c>
      <c r="N795" s="606">
        <v>2762500</v>
      </c>
      <c r="O795" s="607">
        <v>42795</v>
      </c>
      <c r="P795" s="607">
        <v>43070.5</v>
      </c>
      <c r="Q795" s="634" t="s">
        <v>108</v>
      </c>
      <c r="R795" s="634" t="s">
        <v>1456</v>
      </c>
      <c r="S795" s="634" t="s">
        <v>1457</v>
      </c>
      <c r="T795" s="635"/>
      <c r="U795" s="634"/>
      <c r="V795" s="634"/>
      <c r="W795" s="637"/>
      <c r="X795" s="638"/>
      <c r="Y795" s="637"/>
      <c r="Z795" s="636"/>
      <c r="AA795" s="609" t="s">
        <v>1458</v>
      </c>
      <c r="AB795" s="642" t="s">
        <v>263</v>
      </c>
      <c r="AC795" s="652"/>
      <c r="AD795" s="652" t="s">
        <v>113</v>
      </c>
      <c r="AE795" s="653">
        <f t="shared" si="15"/>
        <v>3</v>
      </c>
    </row>
    <row r="796" spans="1:31" ht="105" hidden="1" x14ac:dyDescent="0.25">
      <c r="A796" s="608" t="s">
        <v>4152</v>
      </c>
      <c r="B796" s="601" t="s">
        <v>1540</v>
      </c>
      <c r="C796" s="601" t="s">
        <v>2432</v>
      </c>
      <c r="D796" s="602" t="s">
        <v>5212</v>
      </c>
      <c r="E796" s="602" t="s">
        <v>2441</v>
      </c>
      <c r="F796" s="601" t="s">
        <v>1528</v>
      </c>
      <c r="G796" s="602" t="str">
        <f>IFERROR(VLOOKUP(F796,'[4]код океи'!$B$2:$C$448,2,1)," ")</f>
        <v>Штука</v>
      </c>
      <c r="H796" s="603">
        <v>1175</v>
      </c>
      <c r="I796" s="604" t="s">
        <v>2161</v>
      </c>
      <c r="J796" s="599" t="s">
        <v>1454</v>
      </c>
      <c r="K796" s="606" t="s">
        <v>2518</v>
      </c>
      <c r="L796" s="798">
        <v>215160</v>
      </c>
      <c r="M796" s="609" t="s">
        <v>2184</v>
      </c>
      <c r="N796" s="606">
        <v>215160</v>
      </c>
      <c r="O796" s="607">
        <v>42795</v>
      </c>
      <c r="P796" s="607">
        <v>43070.5</v>
      </c>
      <c r="Q796" s="634" t="s">
        <v>110</v>
      </c>
      <c r="R796" s="634" t="s">
        <v>2174</v>
      </c>
      <c r="S796" s="634" t="s">
        <v>1455</v>
      </c>
      <c r="T796" s="635"/>
      <c r="U796" s="634"/>
      <c r="V796" s="634"/>
      <c r="W796" s="637" t="s">
        <v>268</v>
      </c>
      <c r="X796" s="638"/>
      <c r="Y796" s="637"/>
      <c r="Z796" s="636"/>
      <c r="AA796" s="609" t="s">
        <v>1458</v>
      </c>
      <c r="AB796" s="642" t="s">
        <v>263</v>
      </c>
      <c r="AC796" s="652"/>
      <c r="AD796" s="652" t="s">
        <v>113</v>
      </c>
      <c r="AE796" s="653">
        <f t="shared" si="15"/>
        <v>3</v>
      </c>
    </row>
    <row r="797" spans="1:31" ht="105" hidden="1" x14ac:dyDescent="0.25">
      <c r="A797" s="608" t="s">
        <v>4153</v>
      </c>
      <c r="B797" s="601" t="s">
        <v>1540</v>
      </c>
      <c r="C797" s="601" t="s">
        <v>2432</v>
      </c>
      <c r="D797" s="602" t="s">
        <v>5211</v>
      </c>
      <c r="E797" s="602" t="s">
        <v>2441</v>
      </c>
      <c r="F797" s="601" t="s">
        <v>1528</v>
      </c>
      <c r="G797" s="602" t="str">
        <f>IFERROR(VLOOKUP(F797,'[4]код океи'!$B$2:$C$448,2,1)," ")</f>
        <v>Штука</v>
      </c>
      <c r="H797" s="603">
        <v>800</v>
      </c>
      <c r="I797" s="604" t="s">
        <v>2161</v>
      </c>
      <c r="J797" s="599" t="s">
        <v>1454</v>
      </c>
      <c r="K797" s="606" t="s">
        <v>2519</v>
      </c>
      <c r="L797" s="798">
        <v>145200</v>
      </c>
      <c r="M797" s="609" t="s">
        <v>2184</v>
      </c>
      <c r="N797" s="606">
        <v>145200</v>
      </c>
      <c r="O797" s="607">
        <v>42795</v>
      </c>
      <c r="P797" s="607">
        <v>43070.5</v>
      </c>
      <c r="Q797" s="634" t="s">
        <v>110</v>
      </c>
      <c r="R797" s="634" t="s">
        <v>2174</v>
      </c>
      <c r="S797" s="634" t="s">
        <v>1455</v>
      </c>
      <c r="T797" s="635"/>
      <c r="U797" s="634"/>
      <c r="V797" s="634"/>
      <c r="W797" s="637" t="s">
        <v>268</v>
      </c>
      <c r="X797" s="638"/>
      <c r="Y797" s="637"/>
      <c r="Z797" s="636"/>
      <c r="AA797" s="609" t="s">
        <v>1458</v>
      </c>
      <c r="AB797" s="642" t="s">
        <v>263</v>
      </c>
      <c r="AC797" s="652"/>
      <c r="AD797" s="652" t="s">
        <v>113</v>
      </c>
      <c r="AE797" s="653">
        <f t="shared" si="15"/>
        <v>3</v>
      </c>
    </row>
    <row r="798" spans="1:31" ht="105" hidden="1" x14ac:dyDescent="0.25">
      <c r="A798" s="608" t="s">
        <v>4154</v>
      </c>
      <c r="B798" s="601" t="s">
        <v>1540</v>
      </c>
      <c r="C798" s="601" t="s">
        <v>2432</v>
      </c>
      <c r="D798" s="602" t="s">
        <v>5210</v>
      </c>
      <c r="E798" s="602" t="s">
        <v>2441</v>
      </c>
      <c r="F798" s="601" t="s">
        <v>1528</v>
      </c>
      <c r="G798" s="602" t="str">
        <f>IFERROR(VLOOKUP(F798,'[4]код океи'!$B$2:$C$448,2,1)," ")</f>
        <v>Штука</v>
      </c>
      <c r="H798" s="603">
        <v>1100</v>
      </c>
      <c r="I798" s="604" t="s">
        <v>2161</v>
      </c>
      <c r="J798" s="599" t="s">
        <v>1454</v>
      </c>
      <c r="K798" s="606" t="s">
        <v>1550</v>
      </c>
      <c r="L798" s="798">
        <v>200000</v>
      </c>
      <c r="M798" s="609" t="s">
        <v>2184</v>
      </c>
      <c r="N798" s="606">
        <v>200000</v>
      </c>
      <c r="O798" s="607">
        <v>42795</v>
      </c>
      <c r="P798" s="607">
        <v>43070.5</v>
      </c>
      <c r="Q798" s="634" t="s">
        <v>110</v>
      </c>
      <c r="R798" s="634" t="s">
        <v>2174</v>
      </c>
      <c r="S798" s="634" t="s">
        <v>1455</v>
      </c>
      <c r="T798" s="635"/>
      <c r="U798" s="634"/>
      <c r="V798" s="634"/>
      <c r="W798" s="637" t="s">
        <v>73</v>
      </c>
      <c r="X798" s="638"/>
      <c r="Y798" s="637"/>
      <c r="Z798" s="636"/>
      <c r="AA798" s="609" t="s">
        <v>1458</v>
      </c>
      <c r="AB798" s="642" t="s">
        <v>263</v>
      </c>
      <c r="AC798" s="652"/>
      <c r="AD798" s="652" t="s">
        <v>113</v>
      </c>
      <c r="AE798" s="653">
        <f t="shared" ref="AE798:AE829" si="16">IF(O798=0,,MONTH(O798))</f>
        <v>3</v>
      </c>
    </row>
    <row r="799" spans="1:31" ht="105" hidden="1" x14ac:dyDescent="0.25">
      <c r="A799" s="608" t="s">
        <v>4155</v>
      </c>
      <c r="B799" s="601" t="s">
        <v>1531</v>
      </c>
      <c r="C799" s="601" t="s">
        <v>1738</v>
      </c>
      <c r="D799" s="602" t="s">
        <v>5209</v>
      </c>
      <c r="E799" s="602" t="s">
        <v>2441</v>
      </c>
      <c r="F799" s="601" t="s">
        <v>1528</v>
      </c>
      <c r="G799" s="602" t="str">
        <f>IFERROR(VLOOKUP(F799,'[4]код океи'!$B$2:$C$448,2,1)," ")</f>
        <v>Штука</v>
      </c>
      <c r="H799" s="603">
        <v>1100</v>
      </c>
      <c r="I799" s="604" t="s">
        <v>2161</v>
      </c>
      <c r="J799" s="599" t="s">
        <v>1454</v>
      </c>
      <c r="K799" s="606" t="s">
        <v>2520</v>
      </c>
      <c r="L799" s="798">
        <v>209000</v>
      </c>
      <c r="M799" s="609" t="s">
        <v>2184</v>
      </c>
      <c r="N799" s="606">
        <v>209000</v>
      </c>
      <c r="O799" s="607">
        <v>42795</v>
      </c>
      <c r="P799" s="607">
        <v>43070.5</v>
      </c>
      <c r="Q799" s="634" t="s">
        <v>110</v>
      </c>
      <c r="R799" s="634" t="s">
        <v>2174</v>
      </c>
      <c r="S799" s="634" t="s">
        <v>1455</v>
      </c>
      <c r="T799" s="635"/>
      <c r="U799" s="634"/>
      <c r="V799" s="634"/>
      <c r="W799" s="637" t="s">
        <v>268</v>
      </c>
      <c r="X799" s="638"/>
      <c r="Y799" s="637"/>
      <c r="Z799" s="636"/>
      <c r="AA799" s="609" t="s">
        <v>1458</v>
      </c>
      <c r="AB799" s="642" t="s">
        <v>263</v>
      </c>
      <c r="AC799" s="652"/>
      <c r="AD799" s="652" t="s">
        <v>113</v>
      </c>
      <c r="AE799" s="653">
        <f t="shared" si="16"/>
        <v>3</v>
      </c>
    </row>
    <row r="800" spans="1:31" ht="105" hidden="1" x14ac:dyDescent="0.25">
      <c r="A800" s="608" t="s">
        <v>4156</v>
      </c>
      <c r="B800" s="601" t="s">
        <v>1531</v>
      </c>
      <c r="C800" s="601" t="s">
        <v>1738</v>
      </c>
      <c r="D800" s="602" t="s">
        <v>5208</v>
      </c>
      <c r="E800" s="602" t="s">
        <v>2441</v>
      </c>
      <c r="F800" s="601" t="s">
        <v>1528</v>
      </c>
      <c r="G800" s="602" t="str">
        <f>IFERROR(VLOOKUP(F800,'[4]код океи'!$B$2:$C$448,2,1)," ")</f>
        <v>Штука</v>
      </c>
      <c r="H800" s="603">
        <v>1100</v>
      </c>
      <c r="I800" s="604" t="s">
        <v>2161</v>
      </c>
      <c r="J800" s="599" t="s">
        <v>1454</v>
      </c>
      <c r="K800" s="606" t="s">
        <v>1519</v>
      </c>
      <c r="L800" s="798">
        <v>150000</v>
      </c>
      <c r="M800" s="609" t="s">
        <v>2184</v>
      </c>
      <c r="N800" s="606">
        <v>150000</v>
      </c>
      <c r="O800" s="607">
        <v>42795</v>
      </c>
      <c r="P800" s="607">
        <v>43070.5</v>
      </c>
      <c r="Q800" s="634" t="s">
        <v>110</v>
      </c>
      <c r="R800" s="634" t="s">
        <v>2174</v>
      </c>
      <c r="S800" s="634" t="s">
        <v>1455</v>
      </c>
      <c r="T800" s="635"/>
      <c r="U800" s="634"/>
      <c r="V800" s="634"/>
      <c r="W800" s="637" t="s">
        <v>73</v>
      </c>
      <c r="X800" s="638"/>
      <c r="Y800" s="637"/>
      <c r="Z800" s="636"/>
      <c r="AA800" s="609" t="s">
        <v>1458</v>
      </c>
      <c r="AB800" s="642" t="s">
        <v>263</v>
      </c>
      <c r="AC800" s="652"/>
      <c r="AD800" s="652" t="s">
        <v>113</v>
      </c>
      <c r="AE800" s="653">
        <f t="shared" si="16"/>
        <v>3</v>
      </c>
    </row>
    <row r="801" spans="1:31" ht="105" hidden="1" x14ac:dyDescent="0.25">
      <c r="A801" s="608" t="s">
        <v>4157</v>
      </c>
      <c r="B801" s="601" t="s">
        <v>1951</v>
      </c>
      <c r="C801" s="601" t="s">
        <v>2192</v>
      </c>
      <c r="D801" s="602" t="s">
        <v>5207</v>
      </c>
      <c r="E801" s="602" t="s">
        <v>2178</v>
      </c>
      <c r="F801" s="601" t="s">
        <v>1528</v>
      </c>
      <c r="G801" s="602" t="str">
        <f>IFERROR(VLOOKUP(F801,'[4]код океи'!$B$2:$C$448,2,1)," ")</f>
        <v>Штука</v>
      </c>
      <c r="H801" s="603">
        <v>410</v>
      </c>
      <c r="I801" s="604" t="s">
        <v>2161</v>
      </c>
      <c r="J801" s="599" t="s">
        <v>1454</v>
      </c>
      <c r="K801" s="606" t="s">
        <v>2521</v>
      </c>
      <c r="L801" s="798">
        <v>1720440</v>
      </c>
      <c r="M801" s="609" t="s">
        <v>2184</v>
      </c>
      <c r="N801" s="606">
        <v>1720440</v>
      </c>
      <c r="O801" s="607">
        <v>42795</v>
      </c>
      <c r="P801" s="607">
        <v>43070.5</v>
      </c>
      <c r="Q801" s="634" t="s">
        <v>108</v>
      </c>
      <c r="R801" s="634" t="s">
        <v>1456</v>
      </c>
      <c r="S801" s="634" t="s">
        <v>1457</v>
      </c>
      <c r="T801" s="635"/>
      <c r="U801" s="634"/>
      <c r="V801" s="634"/>
      <c r="W801" s="637"/>
      <c r="X801" s="638"/>
      <c r="Y801" s="637"/>
      <c r="Z801" s="636"/>
      <c r="AA801" s="609" t="s">
        <v>1458</v>
      </c>
      <c r="AB801" s="642" t="s">
        <v>263</v>
      </c>
      <c r="AC801" s="652"/>
      <c r="AD801" s="652" t="s">
        <v>113</v>
      </c>
      <c r="AE801" s="653">
        <f t="shared" si="16"/>
        <v>3</v>
      </c>
    </row>
    <row r="802" spans="1:31" ht="105" hidden="1" x14ac:dyDescent="0.25">
      <c r="A802" s="608" t="s">
        <v>4158</v>
      </c>
      <c r="B802" s="601" t="s">
        <v>2205</v>
      </c>
      <c r="C802" s="601" t="s">
        <v>2434</v>
      </c>
      <c r="D802" s="602" t="s">
        <v>4328</v>
      </c>
      <c r="E802" s="602" t="s">
        <v>2178</v>
      </c>
      <c r="F802" s="601" t="s">
        <v>1528</v>
      </c>
      <c r="G802" s="602" t="str">
        <f>IFERROR(VLOOKUP(F802,'[4]код океи'!$B$2:$C$448,2,1)," ")</f>
        <v>Штука</v>
      </c>
      <c r="H802" s="603">
        <v>40</v>
      </c>
      <c r="I802" s="604" t="s">
        <v>2161</v>
      </c>
      <c r="J802" s="599" t="s">
        <v>1454</v>
      </c>
      <c r="K802" s="606" t="s">
        <v>2522</v>
      </c>
      <c r="L802" s="798">
        <v>3355105.8</v>
      </c>
      <c r="M802" s="609" t="s">
        <v>2184</v>
      </c>
      <c r="N802" s="606">
        <v>3355105.8</v>
      </c>
      <c r="O802" s="607">
        <v>42795</v>
      </c>
      <c r="P802" s="607">
        <v>43070.5</v>
      </c>
      <c r="Q802" s="634" t="s">
        <v>108</v>
      </c>
      <c r="R802" s="634" t="s">
        <v>1456</v>
      </c>
      <c r="S802" s="634" t="s">
        <v>1457</v>
      </c>
      <c r="T802" s="635"/>
      <c r="U802" s="634"/>
      <c r="V802" s="634"/>
      <c r="W802" s="637"/>
      <c r="X802" s="638"/>
      <c r="Y802" s="637"/>
      <c r="Z802" s="636"/>
      <c r="AA802" s="609" t="s">
        <v>1458</v>
      </c>
      <c r="AB802" s="642" t="s">
        <v>263</v>
      </c>
      <c r="AC802" s="652"/>
      <c r="AD802" s="652" t="s">
        <v>113</v>
      </c>
      <c r="AE802" s="653">
        <f t="shared" si="16"/>
        <v>3</v>
      </c>
    </row>
    <row r="803" spans="1:31" ht="105" hidden="1" x14ac:dyDescent="0.25">
      <c r="A803" s="608" t="s">
        <v>4159</v>
      </c>
      <c r="B803" s="601" t="s">
        <v>2435</v>
      </c>
      <c r="C803" s="601" t="s">
        <v>1630</v>
      </c>
      <c r="D803" s="602" t="s">
        <v>5206</v>
      </c>
      <c r="E803" s="602" t="s">
        <v>2178</v>
      </c>
      <c r="F803" s="601" t="s">
        <v>1528</v>
      </c>
      <c r="G803" s="602" t="str">
        <f>IFERROR(VLOOKUP(F803,'[4]код океи'!$B$2:$C$448,2,1)," ")</f>
        <v>Штука</v>
      </c>
      <c r="H803" s="603">
        <v>25000</v>
      </c>
      <c r="I803" s="604" t="s">
        <v>2161</v>
      </c>
      <c r="J803" s="599" t="s">
        <v>1454</v>
      </c>
      <c r="K803" s="606" t="s">
        <v>2523</v>
      </c>
      <c r="L803" s="798">
        <v>900000</v>
      </c>
      <c r="M803" s="609" t="s">
        <v>2184</v>
      </c>
      <c r="N803" s="606">
        <v>900000</v>
      </c>
      <c r="O803" s="607">
        <v>42795</v>
      </c>
      <c r="P803" s="607">
        <v>43070.5</v>
      </c>
      <c r="Q803" s="634" t="s">
        <v>108</v>
      </c>
      <c r="R803" s="634" t="s">
        <v>1456</v>
      </c>
      <c r="S803" s="634" t="s">
        <v>1457</v>
      </c>
      <c r="T803" s="635"/>
      <c r="U803" s="634"/>
      <c r="V803" s="634"/>
      <c r="W803" s="637"/>
      <c r="X803" s="638"/>
      <c r="Y803" s="637"/>
      <c r="Z803" s="636"/>
      <c r="AA803" s="609" t="s">
        <v>1458</v>
      </c>
      <c r="AB803" s="642" t="s">
        <v>263</v>
      </c>
      <c r="AC803" s="652"/>
      <c r="AD803" s="652" t="s">
        <v>113</v>
      </c>
      <c r="AE803" s="653">
        <f t="shared" si="16"/>
        <v>3</v>
      </c>
    </row>
    <row r="804" spans="1:31" ht="105" hidden="1" x14ac:dyDescent="0.25">
      <c r="A804" s="608" t="s">
        <v>4160</v>
      </c>
      <c r="B804" s="601" t="s">
        <v>1531</v>
      </c>
      <c r="C804" s="601" t="s">
        <v>1748</v>
      </c>
      <c r="D804" s="602" t="s">
        <v>4327</v>
      </c>
      <c r="E804" s="602" t="s">
        <v>2462</v>
      </c>
      <c r="F804" s="601" t="s">
        <v>1528</v>
      </c>
      <c r="G804" s="602" t="str">
        <f>IFERROR(VLOOKUP(F804,'[4]код океи'!$B$2:$C$448,2,1)," ")</f>
        <v>Штука</v>
      </c>
      <c r="H804" s="603">
        <v>1</v>
      </c>
      <c r="I804" s="604" t="s">
        <v>2161</v>
      </c>
      <c r="J804" s="599" t="s">
        <v>1454</v>
      </c>
      <c r="K804" s="606" t="s">
        <v>2997</v>
      </c>
      <c r="L804" s="798">
        <v>2600000</v>
      </c>
      <c r="M804" s="609" t="s">
        <v>2184</v>
      </c>
      <c r="N804" s="606">
        <v>2600000</v>
      </c>
      <c r="O804" s="607">
        <v>42795</v>
      </c>
      <c r="P804" s="607">
        <v>43070.5</v>
      </c>
      <c r="Q804" s="634" t="s">
        <v>108</v>
      </c>
      <c r="R804" s="634" t="s">
        <v>1456</v>
      </c>
      <c r="S804" s="634" t="s">
        <v>1457</v>
      </c>
      <c r="T804" s="635"/>
      <c r="U804" s="634"/>
      <c r="V804" s="634"/>
      <c r="W804" s="637"/>
      <c r="X804" s="638"/>
      <c r="Y804" s="637"/>
      <c r="Z804" s="636"/>
      <c r="AA804" s="609" t="s">
        <v>1458</v>
      </c>
      <c r="AB804" s="642" t="s">
        <v>263</v>
      </c>
      <c r="AC804" s="652"/>
      <c r="AD804" s="652" t="s">
        <v>113</v>
      </c>
      <c r="AE804" s="653">
        <f t="shared" si="16"/>
        <v>3</v>
      </c>
    </row>
    <row r="805" spans="1:31" ht="105" hidden="1" x14ac:dyDescent="0.25">
      <c r="A805" s="608" t="s">
        <v>4161</v>
      </c>
      <c r="B805" s="601" t="s">
        <v>1951</v>
      </c>
      <c r="C805" s="601" t="s">
        <v>2192</v>
      </c>
      <c r="D805" s="602" t="s">
        <v>5205</v>
      </c>
      <c r="E805" s="602" t="s">
        <v>2178</v>
      </c>
      <c r="F805" s="601" t="s">
        <v>1528</v>
      </c>
      <c r="G805" s="602" t="str">
        <f>IFERROR(VLOOKUP(F805,'[4]код океи'!$B$2:$C$448,2,1)," ")</f>
        <v>Штука</v>
      </c>
      <c r="H805" s="603">
        <v>340</v>
      </c>
      <c r="I805" s="604" t="s">
        <v>2161</v>
      </c>
      <c r="J805" s="599" t="s">
        <v>1454</v>
      </c>
      <c r="K805" s="606" t="s">
        <v>2524</v>
      </c>
      <c r="L805" s="798">
        <v>1345050</v>
      </c>
      <c r="M805" s="609" t="s">
        <v>2184</v>
      </c>
      <c r="N805" s="606">
        <v>1345050</v>
      </c>
      <c r="O805" s="607">
        <v>42795</v>
      </c>
      <c r="P805" s="607">
        <v>43070.5</v>
      </c>
      <c r="Q805" s="634" t="s">
        <v>108</v>
      </c>
      <c r="R805" s="634" t="s">
        <v>1456</v>
      </c>
      <c r="S805" s="634" t="s">
        <v>1457</v>
      </c>
      <c r="T805" s="635"/>
      <c r="U805" s="634"/>
      <c r="V805" s="634"/>
      <c r="W805" s="637"/>
      <c r="X805" s="638"/>
      <c r="Y805" s="637"/>
      <c r="Z805" s="636"/>
      <c r="AA805" s="609" t="s">
        <v>1458</v>
      </c>
      <c r="AB805" s="642" t="s">
        <v>263</v>
      </c>
      <c r="AC805" s="652"/>
      <c r="AD805" s="652" t="s">
        <v>113</v>
      </c>
      <c r="AE805" s="653">
        <f t="shared" si="16"/>
        <v>3</v>
      </c>
    </row>
    <row r="806" spans="1:31" ht="105" hidden="1" x14ac:dyDescent="0.25">
      <c r="A806" s="608" t="s">
        <v>4162</v>
      </c>
      <c r="B806" s="601" t="s">
        <v>1951</v>
      </c>
      <c r="C806" s="601" t="s">
        <v>2192</v>
      </c>
      <c r="D806" s="602" t="s">
        <v>5204</v>
      </c>
      <c r="E806" s="602" t="s">
        <v>2178</v>
      </c>
      <c r="F806" s="601" t="s">
        <v>1528</v>
      </c>
      <c r="G806" s="602" t="str">
        <f>IFERROR(VLOOKUP(F806,'[4]код океи'!$B$2:$C$448,2,1)," ")</f>
        <v>Штука</v>
      </c>
      <c r="H806" s="603">
        <v>200</v>
      </c>
      <c r="I806" s="604" t="s">
        <v>2161</v>
      </c>
      <c r="J806" s="599" t="s">
        <v>1454</v>
      </c>
      <c r="K806" s="606" t="s">
        <v>2525</v>
      </c>
      <c r="L806" s="798">
        <v>796500</v>
      </c>
      <c r="M806" s="609" t="s">
        <v>2184</v>
      </c>
      <c r="N806" s="606">
        <v>796500</v>
      </c>
      <c r="O806" s="607">
        <v>42795</v>
      </c>
      <c r="P806" s="607">
        <v>43070.5</v>
      </c>
      <c r="Q806" s="634" t="s">
        <v>110</v>
      </c>
      <c r="R806" s="634" t="s">
        <v>2174</v>
      </c>
      <c r="S806" s="634" t="s">
        <v>1455</v>
      </c>
      <c r="T806" s="635"/>
      <c r="U806" s="634"/>
      <c r="V806" s="634"/>
      <c r="W806" s="637" t="s">
        <v>268</v>
      </c>
      <c r="X806" s="638"/>
      <c r="Y806" s="637"/>
      <c r="Z806" s="636"/>
      <c r="AA806" s="609" t="s">
        <v>1458</v>
      </c>
      <c r="AB806" s="642" t="s">
        <v>263</v>
      </c>
      <c r="AC806" s="652"/>
      <c r="AD806" s="652" t="s">
        <v>113</v>
      </c>
      <c r="AE806" s="653">
        <f t="shared" si="16"/>
        <v>3</v>
      </c>
    </row>
    <row r="807" spans="1:31" ht="105" hidden="1" x14ac:dyDescent="0.25">
      <c r="A807" s="608" t="s">
        <v>4163</v>
      </c>
      <c r="B807" s="601" t="s">
        <v>1951</v>
      </c>
      <c r="C807" s="601" t="s">
        <v>2192</v>
      </c>
      <c r="D807" s="602" t="s">
        <v>5203</v>
      </c>
      <c r="E807" s="602" t="s">
        <v>2178</v>
      </c>
      <c r="F807" s="601" t="s">
        <v>1528</v>
      </c>
      <c r="G807" s="602" t="str">
        <f>IFERROR(VLOOKUP(F807,'[4]код океи'!$B$2:$C$448,2,1)," ")</f>
        <v>Штука</v>
      </c>
      <c r="H807" s="603">
        <v>300</v>
      </c>
      <c r="I807" s="604" t="s">
        <v>2161</v>
      </c>
      <c r="J807" s="599" t="s">
        <v>1454</v>
      </c>
      <c r="K807" s="606" t="s">
        <v>2514</v>
      </c>
      <c r="L807" s="798">
        <v>1194750</v>
      </c>
      <c r="M807" s="609" t="s">
        <v>2184</v>
      </c>
      <c r="N807" s="606">
        <v>1194750</v>
      </c>
      <c r="O807" s="607">
        <v>42795</v>
      </c>
      <c r="P807" s="607">
        <v>43070.5</v>
      </c>
      <c r="Q807" s="634" t="s">
        <v>110</v>
      </c>
      <c r="R807" s="634" t="s">
        <v>2174</v>
      </c>
      <c r="S807" s="634" t="s">
        <v>1455</v>
      </c>
      <c r="T807" s="635"/>
      <c r="U807" s="634"/>
      <c r="V807" s="634"/>
      <c r="W807" s="637" t="s">
        <v>70</v>
      </c>
      <c r="X807" s="638"/>
      <c r="Y807" s="637"/>
      <c r="Z807" s="636"/>
      <c r="AA807" s="609" t="s">
        <v>1458</v>
      </c>
      <c r="AB807" s="642" t="s">
        <v>263</v>
      </c>
      <c r="AC807" s="652"/>
      <c r="AD807" s="652" t="s">
        <v>113</v>
      </c>
      <c r="AE807" s="653">
        <f t="shared" si="16"/>
        <v>3</v>
      </c>
    </row>
    <row r="808" spans="1:31" ht="105" hidden="1" x14ac:dyDescent="0.25">
      <c r="A808" s="608" t="s">
        <v>4164</v>
      </c>
      <c r="B808" s="601" t="s">
        <v>1951</v>
      </c>
      <c r="C808" s="601" t="s">
        <v>2192</v>
      </c>
      <c r="D808" s="602" t="s">
        <v>5202</v>
      </c>
      <c r="E808" s="602" t="s">
        <v>2178</v>
      </c>
      <c r="F808" s="601" t="s">
        <v>1528</v>
      </c>
      <c r="G808" s="602" t="str">
        <f>IFERROR(VLOOKUP(F808,'[4]код океи'!$B$2:$C$448,2,1)," ")</f>
        <v>Штука</v>
      </c>
      <c r="H808" s="603">
        <v>75</v>
      </c>
      <c r="I808" s="604" t="s">
        <v>2161</v>
      </c>
      <c r="J808" s="599" t="s">
        <v>1454</v>
      </c>
      <c r="K808" s="606" t="s">
        <v>2526</v>
      </c>
      <c r="L808" s="798">
        <v>298687.5</v>
      </c>
      <c r="M808" s="609" t="s">
        <v>2184</v>
      </c>
      <c r="N808" s="606">
        <v>298687.5</v>
      </c>
      <c r="O808" s="607">
        <v>42795</v>
      </c>
      <c r="P808" s="607">
        <v>43070.5</v>
      </c>
      <c r="Q808" s="634" t="s">
        <v>110</v>
      </c>
      <c r="R808" s="634" t="s">
        <v>2174</v>
      </c>
      <c r="S808" s="634" t="s">
        <v>1455</v>
      </c>
      <c r="T808" s="635"/>
      <c r="U808" s="634"/>
      <c r="V808" s="634"/>
      <c r="W808" s="637" t="s">
        <v>72</v>
      </c>
      <c r="X808" s="638"/>
      <c r="Y808" s="637"/>
      <c r="Z808" s="636"/>
      <c r="AA808" s="609" t="s">
        <v>1458</v>
      </c>
      <c r="AB808" s="642" t="s">
        <v>263</v>
      </c>
      <c r="AC808" s="652"/>
      <c r="AD808" s="652" t="s">
        <v>113</v>
      </c>
      <c r="AE808" s="653">
        <f t="shared" si="16"/>
        <v>3</v>
      </c>
    </row>
    <row r="809" spans="1:31" ht="105" hidden="1" x14ac:dyDescent="0.25">
      <c r="A809" s="608" t="s">
        <v>4165</v>
      </c>
      <c r="B809" s="601" t="s">
        <v>1951</v>
      </c>
      <c r="C809" s="601" t="s">
        <v>2192</v>
      </c>
      <c r="D809" s="602" t="s">
        <v>5201</v>
      </c>
      <c r="E809" s="602" t="s">
        <v>2178</v>
      </c>
      <c r="F809" s="601" t="s">
        <v>1528</v>
      </c>
      <c r="G809" s="602" t="str">
        <f>IFERROR(VLOOKUP(F809,'[4]код океи'!$B$2:$C$448,2,1)," ")</f>
        <v>Штука</v>
      </c>
      <c r="H809" s="603">
        <v>26</v>
      </c>
      <c r="I809" s="604" t="s">
        <v>2161</v>
      </c>
      <c r="J809" s="599" t="s">
        <v>1454</v>
      </c>
      <c r="K809" s="606" t="s">
        <v>2327</v>
      </c>
      <c r="L809" s="798">
        <v>110000</v>
      </c>
      <c r="M809" s="609" t="s">
        <v>2184</v>
      </c>
      <c r="N809" s="606">
        <v>110000</v>
      </c>
      <c r="O809" s="607">
        <v>42795</v>
      </c>
      <c r="P809" s="607">
        <v>43070.5</v>
      </c>
      <c r="Q809" s="634" t="s">
        <v>110</v>
      </c>
      <c r="R809" s="634" t="s">
        <v>2174</v>
      </c>
      <c r="S809" s="634" t="s">
        <v>1455</v>
      </c>
      <c r="T809" s="635"/>
      <c r="U809" s="634"/>
      <c r="V809" s="634"/>
      <c r="W809" s="637" t="s">
        <v>72</v>
      </c>
      <c r="X809" s="638"/>
      <c r="Y809" s="637"/>
      <c r="Z809" s="636"/>
      <c r="AA809" s="609" t="s">
        <v>1458</v>
      </c>
      <c r="AB809" s="642" t="s">
        <v>263</v>
      </c>
      <c r="AC809" s="652"/>
      <c r="AD809" s="652" t="s">
        <v>113</v>
      </c>
      <c r="AE809" s="653">
        <f t="shared" si="16"/>
        <v>3</v>
      </c>
    </row>
    <row r="810" spans="1:31" ht="105" hidden="1" x14ac:dyDescent="0.25">
      <c r="A810" s="608" t="s">
        <v>4166</v>
      </c>
      <c r="B810" s="601" t="s">
        <v>1951</v>
      </c>
      <c r="C810" s="601" t="s">
        <v>2192</v>
      </c>
      <c r="D810" s="602" t="s">
        <v>5200</v>
      </c>
      <c r="E810" s="602" t="s">
        <v>2178</v>
      </c>
      <c r="F810" s="601" t="s">
        <v>1528</v>
      </c>
      <c r="G810" s="602" t="str">
        <f>IFERROR(VLOOKUP(F810,'[4]код океи'!$B$2:$C$448,2,1)," ")</f>
        <v>Штука</v>
      </c>
      <c r="H810" s="603">
        <v>1000</v>
      </c>
      <c r="I810" s="604" t="s">
        <v>2161</v>
      </c>
      <c r="J810" s="599" t="s">
        <v>1454</v>
      </c>
      <c r="K810" s="606" t="s">
        <v>6047</v>
      </c>
      <c r="L810" s="841">
        <v>1634418</v>
      </c>
      <c r="M810" s="838" t="s">
        <v>4813</v>
      </c>
      <c r="N810" s="606">
        <v>1634418</v>
      </c>
      <c r="O810" s="607">
        <v>42826</v>
      </c>
      <c r="P810" s="607">
        <v>43070.5</v>
      </c>
      <c r="Q810" s="634" t="s">
        <v>110</v>
      </c>
      <c r="R810" s="634" t="s">
        <v>2174</v>
      </c>
      <c r="S810" s="634" t="s">
        <v>1455</v>
      </c>
      <c r="T810" s="635"/>
      <c r="U810" s="634"/>
      <c r="V810" s="634"/>
      <c r="W810" s="637" t="s">
        <v>73</v>
      </c>
      <c r="X810" s="638" t="s">
        <v>2337</v>
      </c>
      <c r="Y810" s="637" t="s">
        <v>2342</v>
      </c>
      <c r="Z810" s="636">
        <v>1634418</v>
      </c>
      <c r="AA810" s="609" t="s">
        <v>1458</v>
      </c>
      <c r="AB810" s="642" t="s">
        <v>263</v>
      </c>
      <c r="AC810" s="652"/>
      <c r="AD810" s="652" t="s">
        <v>113</v>
      </c>
      <c r="AE810" s="653">
        <f t="shared" si="16"/>
        <v>4</v>
      </c>
    </row>
    <row r="811" spans="1:31" ht="105" hidden="1" x14ac:dyDescent="0.25">
      <c r="A811" s="608" t="s">
        <v>4167</v>
      </c>
      <c r="B811" s="601" t="s">
        <v>1951</v>
      </c>
      <c r="C811" s="601" t="s">
        <v>2192</v>
      </c>
      <c r="D811" s="602" t="s">
        <v>5199</v>
      </c>
      <c r="E811" s="602" t="s">
        <v>2178</v>
      </c>
      <c r="F811" s="601" t="s">
        <v>1528</v>
      </c>
      <c r="G811" s="602" t="str">
        <f>IFERROR(VLOOKUP(F811,'[4]код океи'!$B$2:$C$448,2,1)," ")</f>
        <v>Штука</v>
      </c>
      <c r="H811" s="603">
        <v>300</v>
      </c>
      <c r="I811" s="604" t="s">
        <v>2161</v>
      </c>
      <c r="J811" s="599" t="s">
        <v>1454</v>
      </c>
      <c r="K811" s="606" t="s">
        <v>2527</v>
      </c>
      <c r="L811" s="798">
        <v>3405000</v>
      </c>
      <c r="M811" s="609" t="s">
        <v>2184</v>
      </c>
      <c r="N811" s="606">
        <v>3405000</v>
      </c>
      <c r="O811" s="607">
        <v>42795</v>
      </c>
      <c r="P811" s="607">
        <v>43070.5</v>
      </c>
      <c r="Q811" s="634" t="s">
        <v>110</v>
      </c>
      <c r="R811" s="634" t="s">
        <v>2174</v>
      </c>
      <c r="S811" s="634" t="s">
        <v>1455</v>
      </c>
      <c r="T811" s="635"/>
      <c r="U811" s="634"/>
      <c r="V811" s="634"/>
      <c r="W811" s="637" t="s">
        <v>268</v>
      </c>
      <c r="X811" s="638"/>
      <c r="Y811" s="637"/>
      <c r="Z811" s="636"/>
      <c r="AA811" s="609" t="s">
        <v>1458</v>
      </c>
      <c r="AB811" s="642" t="s">
        <v>263</v>
      </c>
      <c r="AC811" s="652"/>
      <c r="AD811" s="652" t="s">
        <v>113</v>
      </c>
      <c r="AE811" s="653">
        <f t="shared" si="16"/>
        <v>3</v>
      </c>
    </row>
    <row r="812" spans="1:31" ht="105" hidden="1" x14ac:dyDescent="0.25">
      <c r="A812" s="608" t="s">
        <v>4168</v>
      </c>
      <c r="B812" s="601" t="s">
        <v>2205</v>
      </c>
      <c r="C812" s="601" t="s">
        <v>2434</v>
      </c>
      <c r="D812" s="602" t="s">
        <v>5198</v>
      </c>
      <c r="E812" s="602" t="s">
        <v>2463</v>
      </c>
      <c r="F812" s="601" t="s">
        <v>1528</v>
      </c>
      <c r="G812" s="602" t="str">
        <f>IFERROR(VLOOKUP(F812,'[4]код океи'!$B$2:$C$448,2,1)," ")</f>
        <v>Штука</v>
      </c>
      <c r="H812" s="603">
        <v>1000</v>
      </c>
      <c r="I812" s="604" t="s">
        <v>2161</v>
      </c>
      <c r="J812" s="599" t="s">
        <v>1454</v>
      </c>
      <c r="K812" s="606" t="s">
        <v>8295</v>
      </c>
      <c r="L812" s="798">
        <v>246620</v>
      </c>
      <c r="M812" s="609" t="s">
        <v>4813</v>
      </c>
      <c r="N812" s="606">
        <v>246620</v>
      </c>
      <c r="O812" s="607">
        <v>42887</v>
      </c>
      <c r="P812" s="607">
        <v>43070.5</v>
      </c>
      <c r="Q812" s="634" t="s">
        <v>110</v>
      </c>
      <c r="R812" s="634" t="s">
        <v>2174</v>
      </c>
      <c r="S812" s="634" t="s">
        <v>1455</v>
      </c>
      <c r="T812" s="635"/>
      <c r="U812" s="634"/>
      <c r="V812" s="634" t="s">
        <v>45</v>
      </c>
      <c r="W812" s="637" t="s">
        <v>73</v>
      </c>
      <c r="X812" s="638" t="s">
        <v>2385</v>
      </c>
      <c r="Y812" s="637" t="s">
        <v>2384</v>
      </c>
      <c r="Z812" s="636">
        <v>246620</v>
      </c>
      <c r="AA812" s="609" t="s">
        <v>1458</v>
      </c>
      <c r="AB812" s="642" t="s">
        <v>263</v>
      </c>
      <c r="AC812" s="652"/>
      <c r="AD812" s="652" t="s">
        <v>113</v>
      </c>
      <c r="AE812" s="653">
        <f t="shared" si="16"/>
        <v>6</v>
      </c>
    </row>
    <row r="813" spans="1:31" ht="105" hidden="1" x14ac:dyDescent="0.25">
      <c r="A813" s="608" t="s">
        <v>4169</v>
      </c>
      <c r="B813" s="601" t="s">
        <v>2205</v>
      </c>
      <c r="C813" s="601" t="s">
        <v>2434</v>
      </c>
      <c r="D813" s="602" t="s">
        <v>5197</v>
      </c>
      <c r="E813" s="602" t="s">
        <v>2463</v>
      </c>
      <c r="F813" s="601" t="s">
        <v>1528</v>
      </c>
      <c r="G813" s="602" t="str">
        <f>IFERROR(VLOOKUP(F813,'[4]код океи'!$B$2:$C$448,2,1)," ")</f>
        <v>Штука</v>
      </c>
      <c r="H813" s="603">
        <v>550</v>
      </c>
      <c r="I813" s="604" t="s">
        <v>2161</v>
      </c>
      <c r="J813" s="599" t="s">
        <v>1454</v>
      </c>
      <c r="K813" s="606" t="s">
        <v>5769</v>
      </c>
      <c r="L813" s="798">
        <v>162769.20000000001</v>
      </c>
      <c r="M813" s="609" t="s">
        <v>4813</v>
      </c>
      <c r="N813" s="606">
        <v>162769.20000000001</v>
      </c>
      <c r="O813" s="607">
        <v>42856</v>
      </c>
      <c r="P813" s="607">
        <v>43070.5</v>
      </c>
      <c r="Q813" s="634" t="s">
        <v>110</v>
      </c>
      <c r="R813" s="634" t="s">
        <v>2174</v>
      </c>
      <c r="S813" s="634" t="s">
        <v>1455</v>
      </c>
      <c r="T813" s="635"/>
      <c r="U813" s="634"/>
      <c r="V813" s="634" t="s">
        <v>45</v>
      </c>
      <c r="W813" s="637" t="s">
        <v>73</v>
      </c>
      <c r="X813" s="638" t="s">
        <v>2385</v>
      </c>
      <c r="Y813" s="637" t="s">
        <v>2384</v>
      </c>
      <c r="Z813" s="636">
        <v>162769.20000000001</v>
      </c>
      <c r="AA813" s="609" t="s">
        <v>1458</v>
      </c>
      <c r="AB813" s="642" t="s">
        <v>263</v>
      </c>
      <c r="AC813" s="652"/>
      <c r="AD813" s="652" t="s">
        <v>113</v>
      </c>
      <c r="AE813" s="653">
        <f t="shared" si="16"/>
        <v>5</v>
      </c>
    </row>
    <row r="814" spans="1:31" ht="105" hidden="1" x14ac:dyDescent="0.25">
      <c r="A814" s="608" t="s">
        <v>4170</v>
      </c>
      <c r="B814" s="601" t="s">
        <v>1531</v>
      </c>
      <c r="C814" s="601" t="s">
        <v>1756</v>
      </c>
      <c r="D814" s="602" t="s">
        <v>5196</v>
      </c>
      <c r="E814" s="602" t="s">
        <v>2441</v>
      </c>
      <c r="F814" s="601" t="s">
        <v>1528</v>
      </c>
      <c r="G814" s="602" t="str">
        <f>IFERROR(VLOOKUP(F814,'[4]код океи'!$B$2:$C$448,2,1)," ")</f>
        <v>Штука</v>
      </c>
      <c r="H814" s="603">
        <v>980</v>
      </c>
      <c r="I814" s="604" t="s">
        <v>2161</v>
      </c>
      <c r="J814" s="599" t="s">
        <v>1454</v>
      </c>
      <c r="K814" s="606" t="s">
        <v>2528</v>
      </c>
      <c r="L814" s="798">
        <v>128236.36</v>
      </c>
      <c r="M814" s="609" t="s">
        <v>2184</v>
      </c>
      <c r="N814" s="606">
        <v>128236.36</v>
      </c>
      <c r="O814" s="607">
        <v>42795</v>
      </c>
      <c r="P814" s="607">
        <v>43070.5</v>
      </c>
      <c r="Q814" s="634" t="s">
        <v>110</v>
      </c>
      <c r="R814" s="634" t="s">
        <v>2174</v>
      </c>
      <c r="S814" s="634" t="s">
        <v>1455</v>
      </c>
      <c r="T814" s="635"/>
      <c r="U814" s="634"/>
      <c r="V814" s="634"/>
      <c r="W814" s="637" t="s">
        <v>73</v>
      </c>
      <c r="X814" s="638"/>
      <c r="Y814" s="637"/>
      <c r="Z814" s="636"/>
      <c r="AA814" s="609" t="s">
        <v>1458</v>
      </c>
      <c r="AB814" s="642" t="s">
        <v>263</v>
      </c>
      <c r="AC814" s="652"/>
      <c r="AD814" s="652" t="s">
        <v>113</v>
      </c>
      <c r="AE814" s="653">
        <f t="shared" si="16"/>
        <v>3</v>
      </c>
    </row>
    <row r="815" spans="1:31" ht="105" hidden="1" x14ac:dyDescent="0.25">
      <c r="A815" s="608" t="s">
        <v>4171</v>
      </c>
      <c r="B815" s="601" t="s">
        <v>1540</v>
      </c>
      <c r="C815" s="601" t="s">
        <v>2432</v>
      </c>
      <c r="D815" s="602" t="s">
        <v>5195</v>
      </c>
      <c r="E815" s="602" t="s">
        <v>2441</v>
      </c>
      <c r="F815" s="601" t="s">
        <v>1528</v>
      </c>
      <c r="G815" s="602" t="str">
        <f>IFERROR(VLOOKUP(F815,'[4]код океи'!$B$2:$C$448,2,1)," ")</f>
        <v>Штука</v>
      </c>
      <c r="H815" s="603">
        <v>3400</v>
      </c>
      <c r="I815" s="604" t="s">
        <v>2161</v>
      </c>
      <c r="J815" s="599" t="s">
        <v>1454</v>
      </c>
      <c r="K815" s="606" t="s">
        <v>2529</v>
      </c>
      <c r="L815" s="798">
        <v>506736</v>
      </c>
      <c r="M815" s="609" t="s">
        <v>2184</v>
      </c>
      <c r="N815" s="606">
        <v>506736</v>
      </c>
      <c r="O815" s="607">
        <v>42795</v>
      </c>
      <c r="P815" s="607">
        <v>43070.5</v>
      </c>
      <c r="Q815" s="634" t="s">
        <v>110</v>
      </c>
      <c r="R815" s="634" t="s">
        <v>2174</v>
      </c>
      <c r="S815" s="634" t="s">
        <v>1455</v>
      </c>
      <c r="T815" s="635"/>
      <c r="U815" s="634"/>
      <c r="V815" s="634"/>
      <c r="W815" s="637" t="s">
        <v>73</v>
      </c>
      <c r="X815" s="638"/>
      <c r="Y815" s="637"/>
      <c r="Z815" s="636"/>
      <c r="AA815" s="609" t="s">
        <v>1458</v>
      </c>
      <c r="AB815" s="642" t="s">
        <v>263</v>
      </c>
      <c r="AC815" s="652"/>
      <c r="AD815" s="652" t="s">
        <v>113</v>
      </c>
      <c r="AE815" s="653">
        <f t="shared" si="16"/>
        <v>3</v>
      </c>
    </row>
    <row r="816" spans="1:31" ht="105" hidden="1" x14ac:dyDescent="0.25">
      <c r="A816" s="608" t="s">
        <v>4172</v>
      </c>
      <c r="B816" s="601" t="s">
        <v>1540</v>
      </c>
      <c r="C816" s="601" t="s">
        <v>2432</v>
      </c>
      <c r="D816" s="602" t="s">
        <v>5194</v>
      </c>
      <c r="E816" s="602" t="s">
        <v>2441</v>
      </c>
      <c r="F816" s="601" t="s">
        <v>1528</v>
      </c>
      <c r="G816" s="602" t="str">
        <f>IFERROR(VLOOKUP(F816,'[4]код океи'!$B$2:$C$448,2,1)," ")</f>
        <v>Штука</v>
      </c>
      <c r="H816" s="603">
        <v>2800</v>
      </c>
      <c r="I816" s="604" t="s">
        <v>2161</v>
      </c>
      <c r="J816" s="599" t="s">
        <v>1454</v>
      </c>
      <c r="K816" s="606" t="s">
        <v>2530</v>
      </c>
      <c r="L816" s="798">
        <v>205000</v>
      </c>
      <c r="M816" s="609" t="s">
        <v>2184</v>
      </c>
      <c r="N816" s="606">
        <v>205000</v>
      </c>
      <c r="O816" s="607">
        <v>42795</v>
      </c>
      <c r="P816" s="607">
        <v>43070.5</v>
      </c>
      <c r="Q816" s="634" t="s">
        <v>110</v>
      </c>
      <c r="R816" s="634" t="s">
        <v>2174</v>
      </c>
      <c r="S816" s="634" t="s">
        <v>1455</v>
      </c>
      <c r="T816" s="635"/>
      <c r="U816" s="634"/>
      <c r="V816" s="634"/>
      <c r="W816" s="637" t="s">
        <v>73</v>
      </c>
      <c r="X816" s="638"/>
      <c r="Y816" s="637"/>
      <c r="Z816" s="636"/>
      <c r="AA816" s="609" t="s">
        <v>1458</v>
      </c>
      <c r="AB816" s="642" t="s">
        <v>263</v>
      </c>
      <c r="AC816" s="652"/>
      <c r="AD816" s="652" t="s">
        <v>113</v>
      </c>
      <c r="AE816" s="653">
        <f t="shared" si="16"/>
        <v>3</v>
      </c>
    </row>
    <row r="817" spans="1:31" ht="105" hidden="1" x14ac:dyDescent="0.25">
      <c r="A817" s="608" t="s">
        <v>4173</v>
      </c>
      <c r="B817" s="601" t="s">
        <v>1531</v>
      </c>
      <c r="C817" s="601" t="s">
        <v>1738</v>
      </c>
      <c r="D817" s="602" t="s">
        <v>5193</v>
      </c>
      <c r="E817" s="602" t="s">
        <v>2178</v>
      </c>
      <c r="F817" s="601" t="s">
        <v>1528</v>
      </c>
      <c r="G817" s="602" t="str">
        <f>IFERROR(VLOOKUP(F817,'[4]код океи'!$B$2:$C$448,2,1)," ")</f>
        <v>Штука</v>
      </c>
      <c r="H817" s="603">
        <v>6200</v>
      </c>
      <c r="I817" s="604" t="s">
        <v>2161</v>
      </c>
      <c r="J817" s="599" t="s">
        <v>1454</v>
      </c>
      <c r="K817" s="606" t="s">
        <v>8299</v>
      </c>
      <c r="L817" s="798">
        <v>1072464.24</v>
      </c>
      <c r="M817" s="838" t="s">
        <v>4813</v>
      </c>
      <c r="N817" s="606">
        <v>1072464.24</v>
      </c>
      <c r="O817" s="607">
        <v>42795</v>
      </c>
      <c r="P817" s="607">
        <v>43070.5</v>
      </c>
      <c r="Q817" s="634" t="s">
        <v>110</v>
      </c>
      <c r="R817" s="634" t="s">
        <v>2174</v>
      </c>
      <c r="S817" s="634" t="s">
        <v>1455</v>
      </c>
      <c r="T817" s="635"/>
      <c r="U817" s="634"/>
      <c r="V817" s="634"/>
      <c r="W817" s="637" t="s">
        <v>268</v>
      </c>
      <c r="X817" s="639" t="s">
        <v>3070</v>
      </c>
      <c r="Y817" s="639" t="s">
        <v>3071</v>
      </c>
      <c r="Z817" s="639">
        <v>1072464.24</v>
      </c>
      <c r="AA817" s="609" t="s">
        <v>1458</v>
      </c>
      <c r="AB817" s="642" t="s">
        <v>263</v>
      </c>
      <c r="AC817" s="652"/>
      <c r="AD817" s="652" t="s">
        <v>113</v>
      </c>
      <c r="AE817" s="653">
        <f t="shared" si="16"/>
        <v>3</v>
      </c>
    </row>
    <row r="818" spans="1:31" ht="105" hidden="1" x14ac:dyDescent="0.25">
      <c r="A818" s="608" t="s">
        <v>4174</v>
      </c>
      <c r="B818" s="601" t="s">
        <v>1531</v>
      </c>
      <c r="C818" s="601" t="s">
        <v>1738</v>
      </c>
      <c r="D818" s="602" t="s">
        <v>5192</v>
      </c>
      <c r="E818" s="602" t="s">
        <v>2178</v>
      </c>
      <c r="F818" s="601" t="s">
        <v>1528</v>
      </c>
      <c r="G818" s="602" t="str">
        <f>IFERROR(VLOOKUP(F818,'[4]код океи'!$B$2:$C$448,2,1)," ")</f>
        <v>Штука</v>
      </c>
      <c r="H818" s="603">
        <v>6800</v>
      </c>
      <c r="I818" s="604" t="s">
        <v>2161</v>
      </c>
      <c r="J818" s="599" t="s">
        <v>1454</v>
      </c>
      <c r="K818" s="606" t="s">
        <v>2531</v>
      </c>
      <c r="L818" s="798">
        <v>564140</v>
      </c>
      <c r="M818" s="838" t="s">
        <v>4813</v>
      </c>
      <c r="N818" s="606">
        <v>564140</v>
      </c>
      <c r="O818" s="607">
        <v>42795</v>
      </c>
      <c r="P818" s="607">
        <v>43070.5</v>
      </c>
      <c r="Q818" s="634" t="s">
        <v>110</v>
      </c>
      <c r="R818" s="634" t="s">
        <v>2174</v>
      </c>
      <c r="S818" s="634" t="s">
        <v>1455</v>
      </c>
      <c r="T818" s="635"/>
      <c r="U818" s="634"/>
      <c r="V818" s="634"/>
      <c r="W818" s="637" t="s">
        <v>268</v>
      </c>
      <c r="X818" s="639">
        <v>7709450926</v>
      </c>
      <c r="Y818" s="639" t="s">
        <v>3019</v>
      </c>
      <c r="Z818" s="639" t="s">
        <v>3020</v>
      </c>
      <c r="AA818" s="609" t="s">
        <v>1458</v>
      </c>
      <c r="AB818" s="642" t="s">
        <v>263</v>
      </c>
      <c r="AC818" s="652"/>
      <c r="AD818" s="652" t="s">
        <v>113</v>
      </c>
      <c r="AE818" s="653">
        <f t="shared" si="16"/>
        <v>3</v>
      </c>
    </row>
    <row r="819" spans="1:31" ht="105" hidden="1" x14ac:dyDescent="0.25">
      <c r="A819" s="608" t="s">
        <v>4175</v>
      </c>
      <c r="B819" s="601" t="s">
        <v>1727</v>
      </c>
      <c r="C819" s="601" t="s">
        <v>2177</v>
      </c>
      <c r="D819" s="602" t="s">
        <v>5191</v>
      </c>
      <c r="E819" s="602" t="s">
        <v>2178</v>
      </c>
      <c r="F819" s="601" t="s">
        <v>1528</v>
      </c>
      <c r="G819" s="602" t="str">
        <f>IFERROR(VLOOKUP(F819,'[4]код океи'!$B$2:$C$448,2,1)," ")</f>
        <v>Штука</v>
      </c>
      <c r="H819" s="603">
        <v>2500</v>
      </c>
      <c r="I819" s="604" t="s">
        <v>2161</v>
      </c>
      <c r="J819" s="599" t="s">
        <v>1454</v>
      </c>
      <c r="K819" s="606" t="s">
        <v>2532</v>
      </c>
      <c r="L819" s="798">
        <v>495600</v>
      </c>
      <c r="M819" s="609" t="s">
        <v>2184</v>
      </c>
      <c r="N819" s="606">
        <v>495600</v>
      </c>
      <c r="O819" s="607">
        <v>42795</v>
      </c>
      <c r="P819" s="607">
        <v>43070.5</v>
      </c>
      <c r="Q819" s="634" t="s">
        <v>110</v>
      </c>
      <c r="R819" s="634" t="s">
        <v>2174</v>
      </c>
      <c r="S819" s="634" t="s">
        <v>1455</v>
      </c>
      <c r="T819" s="635"/>
      <c r="U819" s="634"/>
      <c r="V819" s="634"/>
      <c r="W819" s="637" t="s">
        <v>73</v>
      </c>
      <c r="X819" s="639" t="s">
        <v>2391</v>
      </c>
      <c r="Y819" s="639" t="s">
        <v>2390</v>
      </c>
      <c r="Z819" s="639" t="s">
        <v>3050</v>
      </c>
      <c r="AA819" s="609" t="s">
        <v>1458</v>
      </c>
      <c r="AB819" s="642" t="s">
        <v>263</v>
      </c>
      <c r="AC819" s="652"/>
      <c r="AD819" s="652" t="s">
        <v>113</v>
      </c>
      <c r="AE819" s="653">
        <f t="shared" si="16"/>
        <v>3</v>
      </c>
    </row>
    <row r="820" spans="1:31" ht="105" hidden="1" x14ac:dyDescent="0.25">
      <c r="A820" s="608" t="s">
        <v>4176</v>
      </c>
      <c r="B820" s="601" t="s">
        <v>1727</v>
      </c>
      <c r="C820" s="601" t="s">
        <v>2177</v>
      </c>
      <c r="D820" s="602" t="s">
        <v>5190</v>
      </c>
      <c r="E820" s="602" t="s">
        <v>2178</v>
      </c>
      <c r="F820" s="601" t="s">
        <v>1528</v>
      </c>
      <c r="G820" s="602" t="str">
        <f>IFERROR(VLOOKUP(F820,'[4]код океи'!$B$2:$C$448,2,1)," ")</f>
        <v>Штука</v>
      </c>
      <c r="H820" s="603">
        <v>1400</v>
      </c>
      <c r="I820" s="604" t="s">
        <v>2161</v>
      </c>
      <c r="J820" s="599" t="s">
        <v>1454</v>
      </c>
      <c r="K820" s="606" t="s">
        <v>2533</v>
      </c>
      <c r="L820" s="798">
        <v>277536</v>
      </c>
      <c r="M820" s="838" t="s">
        <v>4813</v>
      </c>
      <c r="N820" s="606">
        <v>277536</v>
      </c>
      <c r="O820" s="607">
        <v>42795</v>
      </c>
      <c r="P820" s="607">
        <v>43070.5</v>
      </c>
      <c r="Q820" s="634" t="s">
        <v>110</v>
      </c>
      <c r="R820" s="634" t="s">
        <v>2174</v>
      </c>
      <c r="S820" s="634" t="s">
        <v>1455</v>
      </c>
      <c r="T820" s="635"/>
      <c r="U820" s="634"/>
      <c r="V820" s="634"/>
      <c r="W820" s="637" t="s">
        <v>73</v>
      </c>
      <c r="X820" s="639" t="s">
        <v>2391</v>
      </c>
      <c r="Y820" s="639" t="s">
        <v>2390</v>
      </c>
      <c r="Z820" s="639" t="s">
        <v>3055</v>
      </c>
      <c r="AA820" s="609" t="s">
        <v>1458</v>
      </c>
      <c r="AB820" s="642" t="s">
        <v>263</v>
      </c>
      <c r="AC820" s="652"/>
      <c r="AD820" s="652" t="s">
        <v>113</v>
      </c>
      <c r="AE820" s="653">
        <f t="shared" si="16"/>
        <v>3</v>
      </c>
    </row>
    <row r="821" spans="1:31" ht="105" hidden="1" x14ac:dyDescent="0.25">
      <c r="A821" s="608" t="s">
        <v>4177</v>
      </c>
      <c r="B821" s="601" t="s">
        <v>1727</v>
      </c>
      <c r="C821" s="601" t="s">
        <v>2177</v>
      </c>
      <c r="D821" s="602" t="s">
        <v>4326</v>
      </c>
      <c r="E821" s="602" t="s">
        <v>2178</v>
      </c>
      <c r="F821" s="601" t="s">
        <v>1528</v>
      </c>
      <c r="G821" s="602" t="str">
        <f>IFERROR(VLOOKUP(F821,'[4]код океи'!$B$2:$C$448,2,1)," ")</f>
        <v>Штука</v>
      </c>
      <c r="H821" s="603">
        <v>760</v>
      </c>
      <c r="I821" s="604" t="s">
        <v>2161</v>
      </c>
      <c r="J821" s="599" t="s">
        <v>1454</v>
      </c>
      <c r="K821" s="606" t="s">
        <v>8300</v>
      </c>
      <c r="L821" s="798">
        <v>150662.39999999999</v>
      </c>
      <c r="M821" s="838" t="s">
        <v>4813</v>
      </c>
      <c r="N821" s="606">
        <v>150662.39999999999</v>
      </c>
      <c r="O821" s="607">
        <v>42795</v>
      </c>
      <c r="P821" s="607">
        <v>43070.5</v>
      </c>
      <c r="Q821" s="634" t="s">
        <v>110</v>
      </c>
      <c r="R821" s="634" t="s">
        <v>2174</v>
      </c>
      <c r="S821" s="634" t="s">
        <v>1455</v>
      </c>
      <c r="T821" s="635"/>
      <c r="U821" s="634"/>
      <c r="V821" s="634"/>
      <c r="W821" s="637" t="s">
        <v>73</v>
      </c>
      <c r="X821" s="639" t="s">
        <v>2391</v>
      </c>
      <c r="Y821" s="639" t="s">
        <v>2390</v>
      </c>
      <c r="Z821" s="639">
        <v>150662.39999999999</v>
      </c>
      <c r="AA821" s="609" t="s">
        <v>1458</v>
      </c>
      <c r="AB821" s="642" t="s">
        <v>263</v>
      </c>
      <c r="AC821" s="652"/>
      <c r="AD821" s="652" t="s">
        <v>113</v>
      </c>
      <c r="AE821" s="653">
        <f t="shared" si="16"/>
        <v>3</v>
      </c>
    </row>
    <row r="822" spans="1:31" ht="105" hidden="1" x14ac:dyDescent="0.25">
      <c r="A822" s="608" t="s">
        <v>4178</v>
      </c>
      <c r="B822" s="601" t="s">
        <v>1540</v>
      </c>
      <c r="C822" s="601" t="s">
        <v>2432</v>
      </c>
      <c r="D822" s="602" t="s">
        <v>5189</v>
      </c>
      <c r="E822" s="602" t="s">
        <v>2441</v>
      </c>
      <c r="F822" s="601" t="s">
        <v>1528</v>
      </c>
      <c r="G822" s="602" t="str">
        <f>IFERROR(VLOOKUP(F822,'[4]код океи'!$B$2:$C$448,2,1)," ")</f>
        <v>Штука</v>
      </c>
      <c r="H822" s="603">
        <v>5000</v>
      </c>
      <c r="I822" s="604" t="s">
        <v>2161</v>
      </c>
      <c r="J822" s="599" t="s">
        <v>1454</v>
      </c>
      <c r="K822" s="606" t="s">
        <v>8309</v>
      </c>
      <c r="L822" s="798">
        <v>360195</v>
      </c>
      <c r="M822" s="609" t="s">
        <v>2184</v>
      </c>
      <c r="N822" s="606">
        <v>360195</v>
      </c>
      <c r="O822" s="607">
        <v>42856</v>
      </c>
      <c r="P822" s="607">
        <v>43070.5</v>
      </c>
      <c r="Q822" s="634" t="s">
        <v>110</v>
      </c>
      <c r="R822" s="634" t="s">
        <v>2174</v>
      </c>
      <c r="S822" s="634" t="s">
        <v>1455</v>
      </c>
      <c r="T822" s="635"/>
      <c r="U822" s="634"/>
      <c r="V822" s="634"/>
      <c r="W822" s="637" t="s">
        <v>73</v>
      </c>
      <c r="X822" s="638" t="s">
        <v>5078</v>
      </c>
      <c r="Y822" s="637" t="s">
        <v>5079</v>
      </c>
      <c r="Z822" s="636">
        <v>360195</v>
      </c>
      <c r="AA822" s="609" t="s">
        <v>1458</v>
      </c>
      <c r="AB822" s="642" t="s">
        <v>263</v>
      </c>
      <c r="AC822" s="652"/>
      <c r="AD822" s="652" t="s">
        <v>113</v>
      </c>
      <c r="AE822" s="653">
        <f t="shared" si="16"/>
        <v>5</v>
      </c>
    </row>
    <row r="823" spans="1:31" ht="105" hidden="1" x14ac:dyDescent="0.25">
      <c r="A823" s="608" t="s">
        <v>4179</v>
      </c>
      <c r="B823" s="601" t="s">
        <v>1951</v>
      </c>
      <c r="C823" s="601" t="s">
        <v>2192</v>
      </c>
      <c r="D823" s="602" t="s">
        <v>5188</v>
      </c>
      <c r="E823" s="602" t="s">
        <v>2178</v>
      </c>
      <c r="F823" s="601" t="s">
        <v>1528</v>
      </c>
      <c r="G823" s="602" t="str">
        <f>IFERROR(VLOOKUP(F823,'[4]код океи'!$B$2:$C$448,2,1)," ")</f>
        <v>Штука</v>
      </c>
      <c r="H823" s="603">
        <v>400</v>
      </c>
      <c r="I823" s="604" t="s">
        <v>2161</v>
      </c>
      <c r="J823" s="599" t="s">
        <v>1454</v>
      </c>
      <c r="K823" s="606" t="s">
        <v>5105</v>
      </c>
      <c r="L823" s="798">
        <v>417635.39</v>
      </c>
      <c r="M823" s="609" t="s">
        <v>2184</v>
      </c>
      <c r="N823" s="606">
        <v>417635.39</v>
      </c>
      <c r="O823" s="607">
        <v>42795</v>
      </c>
      <c r="P823" s="607">
        <v>43070.5</v>
      </c>
      <c r="Q823" s="634" t="s">
        <v>110</v>
      </c>
      <c r="R823" s="634" t="s">
        <v>2174</v>
      </c>
      <c r="S823" s="634" t="s">
        <v>1455</v>
      </c>
      <c r="T823" s="635"/>
      <c r="U823" s="634"/>
      <c r="V823" s="634"/>
      <c r="W823" s="637" t="s">
        <v>73</v>
      </c>
      <c r="X823" s="638" t="s">
        <v>5106</v>
      </c>
      <c r="Y823" s="637" t="s">
        <v>5107</v>
      </c>
      <c r="Z823" s="636">
        <v>417635.39</v>
      </c>
      <c r="AA823" s="609" t="s">
        <v>1458</v>
      </c>
      <c r="AB823" s="642" t="s">
        <v>263</v>
      </c>
      <c r="AC823" s="652"/>
      <c r="AD823" s="652" t="s">
        <v>113</v>
      </c>
      <c r="AE823" s="653">
        <f t="shared" si="16"/>
        <v>3</v>
      </c>
    </row>
    <row r="824" spans="1:31" ht="105" hidden="1" x14ac:dyDescent="0.25">
      <c r="A824" s="608" t="s">
        <v>4180</v>
      </c>
      <c r="B824" s="601" t="s">
        <v>2208</v>
      </c>
      <c r="C824" s="601" t="s">
        <v>2209</v>
      </c>
      <c r="D824" s="602" t="s">
        <v>5187</v>
      </c>
      <c r="E824" s="602" t="s">
        <v>2178</v>
      </c>
      <c r="F824" s="601" t="s">
        <v>2254</v>
      </c>
      <c r="G824" s="602" t="str">
        <f>IFERROR(VLOOKUP(F824,'[4]код океи'!$B$2:$C$448,2,1)," ")</f>
        <v>Метр</v>
      </c>
      <c r="H824" s="603">
        <v>5</v>
      </c>
      <c r="I824" s="604" t="s">
        <v>2161</v>
      </c>
      <c r="J824" s="599" t="s">
        <v>1454</v>
      </c>
      <c r="K824" s="606" t="s">
        <v>3111</v>
      </c>
      <c r="L824" s="798">
        <v>2371564</v>
      </c>
      <c r="M824" s="838" t="s">
        <v>4813</v>
      </c>
      <c r="N824" s="606">
        <v>2371564</v>
      </c>
      <c r="O824" s="607">
        <v>42795</v>
      </c>
      <c r="P824" s="607">
        <v>43070.5</v>
      </c>
      <c r="Q824" s="634" t="s">
        <v>110</v>
      </c>
      <c r="R824" s="634" t="s">
        <v>2174</v>
      </c>
      <c r="S824" s="634" t="s">
        <v>1455</v>
      </c>
      <c r="T824" s="635"/>
      <c r="U824" s="634"/>
      <c r="V824" s="634"/>
      <c r="W824" s="637" t="s">
        <v>73</v>
      </c>
      <c r="X824" s="639" t="s">
        <v>3107</v>
      </c>
      <c r="Y824" s="639" t="s">
        <v>3108</v>
      </c>
      <c r="Z824" s="639" t="s">
        <v>3109</v>
      </c>
      <c r="AA824" s="609" t="s">
        <v>1458</v>
      </c>
      <c r="AB824" s="642" t="s">
        <v>263</v>
      </c>
      <c r="AC824" s="652"/>
      <c r="AD824" s="652" t="s">
        <v>113</v>
      </c>
      <c r="AE824" s="653">
        <f t="shared" si="16"/>
        <v>3</v>
      </c>
    </row>
    <row r="825" spans="1:31" ht="105" hidden="1" x14ac:dyDescent="0.25">
      <c r="A825" s="608" t="s">
        <v>4181</v>
      </c>
      <c r="B825" s="601" t="s">
        <v>1540</v>
      </c>
      <c r="C825" s="601" t="s">
        <v>2432</v>
      </c>
      <c r="D825" s="602" t="s">
        <v>5186</v>
      </c>
      <c r="E825" s="602" t="s">
        <v>2441</v>
      </c>
      <c r="F825" s="601" t="s">
        <v>1528</v>
      </c>
      <c r="G825" s="602" t="str">
        <f>IFERROR(VLOOKUP(F825,'[4]код океи'!$B$2:$C$448,2,1)," ")</f>
        <v>Штука</v>
      </c>
      <c r="H825" s="603">
        <v>3600</v>
      </c>
      <c r="I825" s="604" t="s">
        <v>2161</v>
      </c>
      <c r="J825" s="599" t="s">
        <v>1454</v>
      </c>
      <c r="K825" s="606" t="s">
        <v>6837</v>
      </c>
      <c r="L825" s="798">
        <v>650453.76000000001</v>
      </c>
      <c r="M825" s="609" t="s">
        <v>997</v>
      </c>
      <c r="N825" s="606">
        <v>650453.76000000001</v>
      </c>
      <c r="O825" s="607">
        <v>42887</v>
      </c>
      <c r="P825" s="607">
        <v>43070.5</v>
      </c>
      <c r="Q825" s="634" t="s">
        <v>110</v>
      </c>
      <c r="R825" s="634" t="s">
        <v>2174</v>
      </c>
      <c r="S825" s="634" t="s">
        <v>1455</v>
      </c>
      <c r="T825" s="635"/>
      <c r="U825" s="634"/>
      <c r="V825" s="634"/>
      <c r="W825" s="637" t="s">
        <v>73</v>
      </c>
      <c r="X825" s="638" t="s">
        <v>6838</v>
      </c>
      <c r="Y825" s="637" t="s">
        <v>6839</v>
      </c>
      <c r="Z825" s="636">
        <v>650453.76000000001</v>
      </c>
      <c r="AA825" s="609" t="s">
        <v>1458</v>
      </c>
      <c r="AB825" s="642" t="s">
        <v>263</v>
      </c>
      <c r="AC825" s="652"/>
      <c r="AD825" s="652" t="s">
        <v>113</v>
      </c>
      <c r="AE825" s="653">
        <f t="shared" si="16"/>
        <v>6</v>
      </c>
    </row>
    <row r="826" spans="1:31" ht="105" hidden="1" x14ac:dyDescent="0.25">
      <c r="A826" s="608" t="s">
        <v>4182</v>
      </c>
      <c r="B826" s="601" t="s">
        <v>1540</v>
      </c>
      <c r="C826" s="601" t="s">
        <v>2432</v>
      </c>
      <c r="D826" s="602" t="s">
        <v>5185</v>
      </c>
      <c r="E826" s="602" t="s">
        <v>2441</v>
      </c>
      <c r="F826" s="601" t="s">
        <v>1528</v>
      </c>
      <c r="G826" s="602" t="str">
        <f>IFERROR(VLOOKUP(F826,'[4]код океи'!$B$2:$C$448,2,1)," ")</f>
        <v>Штука</v>
      </c>
      <c r="H826" s="603">
        <v>810</v>
      </c>
      <c r="I826" s="604" t="s">
        <v>2161</v>
      </c>
      <c r="J826" s="599" t="s">
        <v>1454</v>
      </c>
      <c r="K826" s="606" t="s">
        <v>2534</v>
      </c>
      <c r="L826" s="798">
        <v>146350</v>
      </c>
      <c r="M826" s="609" t="s">
        <v>2184</v>
      </c>
      <c r="N826" s="606">
        <v>146350</v>
      </c>
      <c r="O826" s="607">
        <v>42795</v>
      </c>
      <c r="P826" s="607">
        <v>43070.5</v>
      </c>
      <c r="Q826" s="634" t="s">
        <v>110</v>
      </c>
      <c r="R826" s="634" t="s">
        <v>2174</v>
      </c>
      <c r="S826" s="634" t="s">
        <v>1455</v>
      </c>
      <c r="T826" s="635"/>
      <c r="U826" s="634"/>
      <c r="V826" s="634"/>
      <c r="W826" s="637" t="s">
        <v>73</v>
      </c>
      <c r="X826" s="638"/>
      <c r="Y826" s="637"/>
      <c r="Z826" s="636"/>
      <c r="AA826" s="609" t="s">
        <v>1458</v>
      </c>
      <c r="AB826" s="642" t="s">
        <v>263</v>
      </c>
      <c r="AC826" s="652"/>
      <c r="AD826" s="652" t="s">
        <v>113</v>
      </c>
      <c r="AE826" s="653">
        <f t="shared" si="16"/>
        <v>3</v>
      </c>
    </row>
    <row r="827" spans="1:31" ht="105" hidden="1" x14ac:dyDescent="0.25">
      <c r="A827" s="608" t="s">
        <v>4183</v>
      </c>
      <c r="B827" s="601" t="s">
        <v>1540</v>
      </c>
      <c r="C827" s="601" t="s">
        <v>2432</v>
      </c>
      <c r="D827" s="602" t="s">
        <v>5184</v>
      </c>
      <c r="E827" s="602" t="s">
        <v>2441</v>
      </c>
      <c r="F827" s="601" t="s">
        <v>1528</v>
      </c>
      <c r="G827" s="602" t="str">
        <f>IFERROR(VLOOKUP(F827,'[4]код океи'!$B$2:$C$448,2,1)," ")</f>
        <v>Штука</v>
      </c>
      <c r="H827" s="603">
        <v>1470</v>
      </c>
      <c r="I827" s="604" t="s">
        <v>2161</v>
      </c>
      <c r="J827" s="599" t="s">
        <v>1454</v>
      </c>
      <c r="K827" s="606" t="s">
        <v>2535</v>
      </c>
      <c r="L827" s="798">
        <v>265600</v>
      </c>
      <c r="M827" s="609" t="s">
        <v>2184</v>
      </c>
      <c r="N827" s="606">
        <v>265600</v>
      </c>
      <c r="O827" s="607">
        <v>42795</v>
      </c>
      <c r="P827" s="607">
        <v>43070.5</v>
      </c>
      <c r="Q827" s="634" t="s">
        <v>110</v>
      </c>
      <c r="R827" s="634" t="s">
        <v>2174</v>
      </c>
      <c r="S827" s="634" t="s">
        <v>1455</v>
      </c>
      <c r="T827" s="635"/>
      <c r="U827" s="634"/>
      <c r="V827" s="634"/>
      <c r="W827" s="637" t="s">
        <v>72</v>
      </c>
      <c r="X827" s="638"/>
      <c r="Y827" s="637"/>
      <c r="Z827" s="636"/>
      <c r="AA827" s="609" t="s">
        <v>1458</v>
      </c>
      <c r="AB827" s="642" t="s">
        <v>263</v>
      </c>
      <c r="AC827" s="652"/>
      <c r="AD827" s="652" t="s">
        <v>113</v>
      </c>
      <c r="AE827" s="653">
        <f t="shared" si="16"/>
        <v>3</v>
      </c>
    </row>
    <row r="828" spans="1:31" ht="105" hidden="1" x14ac:dyDescent="0.25">
      <c r="A828" s="608" t="s">
        <v>4184</v>
      </c>
      <c r="B828" s="601" t="s">
        <v>1540</v>
      </c>
      <c r="C828" s="601" t="s">
        <v>2432</v>
      </c>
      <c r="D828" s="602" t="s">
        <v>5183</v>
      </c>
      <c r="E828" s="602" t="s">
        <v>2441</v>
      </c>
      <c r="F828" s="601" t="s">
        <v>1528</v>
      </c>
      <c r="G828" s="602" t="str">
        <f>IFERROR(VLOOKUP(F828,'[4]код океи'!$B$2:$C$448,2,1)," ")</f>
        <v>Штука</v>
      </c>
      <c r="H828" s="603">
        <v>980</v>
      </c>
      <c r="I828" s="604" t="s">
        <v>2161</v>
      </c>
      <c r="J828" s="599" t="s">
        <v>1454</v>
      </c>
      <c r="K828" s="606" t="s">
        <v>2536</v>
      </c>
      <c r="L828" s="798">
        <v>177067</v>
      </c>
      <c r="M828" s="609" t="s">
        <v>2184</v>
      </c>
      <c r="N828" s="606">
        <v>177067</v>
      </c>
      <c r="O828" s="607">
        <v>42795</v>
      </c>
      <c r="P828" s="607">
        <v>43070.5</v>
      </c>
      <c r="Q828" s="634" t="s">
        <v>110</v>
      </c>
      <c r="R828" s="634" t="s">
        <v>2174</v>
      </c>
      <c r="S828" s="634" t="s">
        <v>1455</v>
      </c>
      <c r="T828" s="635"/>
      <c r="U828" s="634"/>
      <c r="V828" s="634"/>
      <c r="W828" s="637" t="s">
        <v>72</v>
      </c>
      <c r="X828" s="638"/>
      <c r="Y828" s="637"/>
      <c r="Z828" s="636"/>
      <c r="AA828" s="609" t="s">
        <v>1458</v>
      </c>
      <c r="AB828" s="642" t="s">
        <v>263</v>
      </c>
      <c r="AC828" s="652"/>
      <c r="AD828" s="652" t="s">
        <v>113</v>
      </c>
      <c r="AE828" s="653">
        <f t="shared" si="16"/>
        <v>3</v>
      </c>
    </row>
    <row r="829" spans="1:31" ht="105" hidden="1" x14ac:dyDescent="0.25">
      <c r="A829" s="608" t="s">
        <v>4185</v>
      </c>
      <c r="B829" s="601" t="s">
        <v>1576</v>
      </c>
      <c r="C829" s="601" t="s">
        <v>1576</v>
      </c>
      <c r="D829" s="602" t="s">
        <v>4325</v>
      </c>
      <c r="E829" s="602" t="s">
        <v>2464</v>
      </c>
      <c r="F829" s="601" t="s">
        <v>1528</v>
      </c>
      <c r="G829" s="602" t="str">
        <f>IFERROR(VLOOKUP(F829,'[4]код океи'!$B$2:$C$448,2,1)," ")</f>
        <v>Штука</v>
      </c>
      <c r="H829" s="603">
        <v>40</v>
      </c>
      <c r="I829" s="604" t="s">
        <v>2161</v>
      </c>
      <c r="J829" s="599" t="s">
        <v>1454</v>
      </c>
      <c r="K829" s="606" t="s">
        <v>2537</v>
      </c>
      <c r="L829" s="798">
        <v>667508.24</v>
      </c>
      <c r="M829" s="609" t="s">
        <v>2184</v>
      </c>
      <c r="N829" s="606">
        <v>667508.24</v>
      </c>
      <c r="O829" s="607">
        <v>42795</v>
      </c>
      <c r="P829" s="607">
        <v>43070.5</v>
      </c>
      <c r="Q829" s="634" t="s">
        <v>110</v>
      </c>
      <c r="R829" s="634" t="s">
        <v>2174</v>
      </c>
      <c r="S829" s="634" t="s">
        <v>1455</v>
      </c>
      <c r="T829" s="635"/>
      <c r="U829" s="634"/>
      <c r="V829" s="634"/>
      <c r="W829" s="637" t="s">
        <v>73</v>
      </c>
      <c r="X829" s="638"/>
      <c r="Y829" s="637"/>
      <c r="Z829" s="636"/>
      <c r="AA829" s="609" t="s">
        <v>1458</v>
      </c>
      <c r="AB829" s="642" t="s">
        <v>263</v>
      </c>
      <c r="AC829" s="652"/>
      <c r="AD829" s="652" t="s">
        <v>113</v>
      </c>
      <c r="AE829" s="653">
        <f t="shared" si="16"/>
        <v>3</v>
      </c>
    </row>
    <row r="830" spans="1:31" ht="105" hidden="1" x14ac:dyDescent="0.25">
      <c r="A830" s="608" t="s">
        <v>4186</v>
      </c>
      <c r="B830" s="601" t="s">
        <v>1727</v>
      </c>
      <c r="C830" s="601" t="s">
        <v>1728</v>
      </c>
      <c r="D830" s="602" t="s">
        <v>5182</v>
      </c>
      <c r="E830" s="602" t="s">
        <v>2465</v>
      </c>
      <c r="F830" s="601" t="s">
        <v>1528</v>
      </c>
      <c r="G830" s="602" t="str">
        <f>IFERROR(VLOOKUP(F830,'[5]код океи'!$B$2:$C$448,2,1)," ")</f>
        <v>Штука</v>
      </c>
      <c r="H830" s="603">
        <v>2480</v>
      </c>
      <c r="I830" s="604" t="s">
        <v>2161</v>
      </c>
      <c r="J830" s="599" t="s">
        <v>1454</v>
      </c>
      <c r="K830" s="606" t="s">
        <v>2538</v>
      </c>
      <c r="L830" s="798">
        <v>167000</v>
      </c>
      <c r="M830" s="838" t="s">
        <v>4813</v>
      </c>
      <c r="N830" s="606">
        <v>167000</v>
      </c>
      <c r="O830" s="607">
        <v>42795</v>
      </c>
      <c r="P830" s="607">
        <v>42826</v>
      </c>
      <c r="Q830" s="634" t="s">
        <v>110</v>
      </c>
      <c r="R830" s="634" t="s">
        <v>2174</v>
      </c>
      <c r="S830" s="634" t="s">
        <v>1455</v>
      </c>
      <c r="T830" s="635"/>
      <c r="U830" s="634"/>
      <c r="V830" s="634"/>
      <c r="W830" s="637" t="s">
        <v>72</v>
      </c>
      <c r="X830" s="638"/>
      <c r="Y830" s="637"/>
      <c r="Z830" s="636"/>
      <c r="AA830" s="609" t="s">
        <v>1458</v>
      </c>
      <c r="AB830" s="642" t="s">
        <v>263</v>
      </c>
      <c r="AC830" s="652"/>
      <c r="AD830" s="652" t="s">
        <v>113</v>
      </c>
      <c r="AE830" s="653">
        <f t="shared" ref="AE830:AE842" si="17">IF(O830=0,,MONTH(O830))</f>
        <v>3</v>
      </c>
    </row>
    <row r="831" spans="1:31" ht="105" hidden="1" x14ac:dyDescent="0.25">
      <c r="A831" s="608" t="s">
        <v>4187</v>
      </c>
      <c r="B831" s="601" t="s">
        <v>1540</v>
      </c>
      <c r="C831" s="601" t="s">
        <v>1745</v>
      </c>
      <c r="D831" s="602" t="s">
        <v>5181</v>
      </c>
      <c r="E831" s="602" t="s">
        <v>2466</v>
      </c>
      <c r="F831" s="601" t="s">
        <v>1528</v>
      </c>
      <c r="G831" s="602" t="str">
        <f>IFERROR(VLOOKUP(F831,'[5]код океи'!$B$2:$C$448,2,1)," ")</f>
        <v>Штука</v>
      </c>
      <c r="H831" s="603">
        <v>60</v>
      </c>
      <c r="I831" s="604" t="s">
        <v>2161</v>
      </c>
      <c r="J831" s="599" t="s">
        <v>1454</v>
      </c>
      <c r="K831" s="606" t="s">
        <v>2539</v>
      </c>
      <c r="L831" s="798">
        <v>462842.26</v>
      </c>
      <c r="M831" s="838" t="s">
        <v>4813</v>
      </c>
      <c r="N831" s="606">
        <v>462842.26</v>
      </c>
      <c r="O831" s="607">
        <v>42795</v>
      </c>
      <c r="P831" s="607">
        <v>42826</v>
      </c>
      <c r="Q831" s="634" t="s">
        <v>110</v>
      </c>
      <c r="R831" s="634" t="s">
        <v>2174</v>
      </c>
      <c r="S831" s="634" t="s">
        <v>1455</v>
      </c>
      <c r="T831" s="635"/>
      <c r="U831" s="634"/>
      <c r="V831" s="634"/>
      <c r="W831" s="637" t="s">
        <v>72</v>
      </c>
      <c r="X831" s="638" t="s">
        <v>3330</v>
      </c>
      <c r="Y831" s="637" t="s">
        <v>3331</v>
      </c>
      <c r="Z831" s="636">
        <v>462842.26</v>
      </c>
      <c r="AA831" s="609" t="s">
        <v>1458</v>
      </c>
      <c r="AB831" s="642" t="s">
        <v>263</v>
      </c>
      <c r="AC831" s="652"/>
      <c r="AD831" s="652" t="s">
        <v>113</v>
      </c>
      <c r="AE831" s="653">
        <f t="shared" si="17"/>
        <v>3</v>
      </c>
    </row>
    <row r="832" spans="1:31" ht="105" hidden="1" x14ac:dyDescent="0.25">
      <c r="A832" s="608" t="s">
        <v>4188</v>
      </c>
      <c r="B832" s="601" t="s">
        <v>1576</v>
      </c>
      <c r="C832" s="601" t="s">
        <v>1738</v>
      </c>
      <c r="D832" s="602" t="s">
        <v>5180</v>
      </c>
      <c r="E832" s="602" t="s">
        <v>2467</v>
      </c>
      <c r="F832" s="601" t="s">
        <v>1528</v>
      </c>
      <c r="G832" s="602" t="str">
        <f>IFERROR(VLOOKUP(F832,'[5]код океи'!$B$2:$C$448,2,1)," ")</f>
        <v>Штука</v>
      </c>
      <c r="H832" s="603">
        <v>170</v>
      </c>
      <c r="I832" s="604" t="s">
        <v>2161</v>
      </c>
      <c r="J832" s="599" t="s">
        <v>1454</v>
      </c>
      <c r="K832" s="606" t="s">
        <v>8301</v>
      </c>
      <c r="L832" s="798">
        <v>176778.21</v>
      </c>
      <c r="M832" s="609" t="s">
        <v>2184</v>
      </c>
      <c r="N832" s="606">
        <v>176778.21</v>
      </c>
      <c r="O832" s="607">
        <v>42795</v>
      </c>
      <c r="P832" s="607">
        <v>42826</v>
      </c>
      <c r="Q832" s="634" t="s">
        <v>110</v>
      </c>
      <c r="R832" s="634" t="s">
        <v>2174</v>
      </c>
      <c r="S832" s="634" t="s">
        <v>1455</v>
      </c>
      <c r="T832" s="635"/>
      <c r="U832" s="634"/>
      <c r="V832" s="634"/>
      <c r="W832" s="637" t="s">
        <v>72</v>
      </c>
      <c r="X832" s="639" t="s">
        <v>3103</v>
      </c>
      <c r="Y832" s="639" t="s">
        <v>3104</v>
      </c>
      <c r="Z832" s="639" t="s">
        <v>3105</v>
      </c>
      <c r="AA832" s="609" t="s">
        <v>1458</v>
      </c>
      <c r="AB832" s="642" t="s">
        <v>263</v>
      </c>
      <c r="AC832" s="652"/>
      <c r="AD832" s="652" t="s">
        <v>113</v>
      </c>
      <c r="AE832" s="653">
        <f t="shared" si="17"/>
        <v>3</v>
      </c>
    </row>
    <row r="833" spans="1:31" ht="105" hidden="1" x14ac:dyDescent="0.25">
      <c r="A833" s="608" t="s">
        <v>4189</v>
      </c>
      <c r="B833" s="601" t="s">
        <v>1740</v>
      </c>
      <c r="C833" s="601" t="s">
        <v>2436</v>
      </c>
      <c r="D833" s="602" t="s">
        <v>5179</v>
      </c>
      <c r="E833" s="602" t="s">
        <v>2468</v>
      </c>
      <c r="F833" s="601" t="s">
        <v>1528</v>
      </c>
      <c r="G833" s="602" t="str">
        <f>IFERROR(VLOOKUP(F833,'[5]код океи'!$B$2:$C$448,2,1)," ")</f>
        <v>Штука</v>
      </c>
      <c r="H833" s="603">
        <v>20</v>
      </c>
      <c r="I833" s="604" t="s">
        <v>2161</v>
      </c>
      <c r="J833" s="599" t="s">
        <v>1454</v>
      </c>
      <c r="K833" s="606" t="s">
        <v>2540</v>
      </c>
      <c r="L833" s="798">
        <v>1142169.2</v>
      </c>
      <c r="M833" s="838" t="s">
        <v>4813</v>
      </c>
      <c r="N833" s="606">
        <v>1142169.2</v>
      </c>
      <c r="O833" s="607">
        <v>42826</v>
      </c>
      <c r="P833" s="607">
        <v>42826</v>
      </c>
      <c r="Q833" s="634" t="s">
        <v>110</v>
      </c>
      <c r="R833" s="634" t="s">
        <v>2174</v>
      </c>
      <c r="S833" s="634" t="s">
        <v>1455</v>
      </c>
      <c r="T833" s="635"/>
      <c r="U833" s="634"/>
      <c r="V833" s="634" t="s">
        <v>45</v>
      </c>
      <c r="W833" s="637" t="s">
        <v>73</v>
      </c>
      <c r="X833" s="638" t="s">
        <v>6021</v>
      </c>
      <c r="Y833" s="637" t="s">
        <v>6022</v>
      </c>
      <c r="Z833" s="636">
        <v>1142169.2</v>
      </c>
      <c r="AA833" s="609" t="s">
        <v>1458</v>
      </c>
      <c r="AB833" s="642" t="s">
        <v>263</v>
      </c>
      <c r="AC833" s="652"/>
      <c r="AD833" s="652" t="s">
        <v>113</v>
      </c>
      <c r="AE833" s="653">
        <f t="shared" si="17"/>
        <v>4</v>
      </c>
    </row>
    <row r="834" spans="1:31" ht="105" hidden="1" x14ac:dyDescent="0.25">
      <c r="A834" s="608" t="s">
        <v>4190</v>
      </c>
      <c r="B834" s="601" t="s">
        <v>1576</v>
      </c>
      <c r="C834" s="601" t="s">
        <v>1738</v>
      </c>
      <c r="D834" s="602" t="s">
        <v>5178</v>
      </c>
      <c r="E834" s="602" t="s">
        <v>2469</v>
      </c>
      <c r="F834" s="601" t="s">
        <v>1528</v>
      </c>
      <c r="G834" s="602" t="str">
        <f>IFERROR(VLOOKUP(F834,'[5]код океи'!$B$2:$C$448,2,1)," ")</f>
        <v>Штука</v>
      </c>
      <c r="H834" s="603">
        <v>650</v>
      </c>
      <c r="I834" s="604" t="s">
        <v>2161</v>
      </c>
      <c r="J834" s="599" t="s">
        <v>1454</v>
      </c>
      <c r="K834" s="606" t="s">
        <v>2541</v>
      </c>
      <c r="L834" s="798">
        <v>688075.81</v>
      </c>
      <c r="M834" s="609" t="s">
        <v>2184</v>
      </c>
      <c r="N834" s="606">
        <v>688075.81</v>
      </c>
      <c r="O834" s="607">
        <v>42795</v>
      </c>
      <c r="P834" s="607">
        <v>42826</v>
      </c>
      <c r="Q834" s="634" t="s">
        <v>110</v>
      </c>
      <c r="R834" s="634" t="s">
        <v>2174</v>
      </c>
      <c r="S834" s="634" t="s">
        <v>1455</v>
      </c>
      <c r="T834" s="635"/>
      <c r="U834" s="634"/>
      <c r="V834" s="634"/>
      <c r="W834" s="637" t="s">
        <v>72</v>
      </c>
      <c r="X834" s="638"/>
      <c r="Y834" s="637"/>
      <c r="Z834" s="636"/>
      <c r="AA834" s="609" t="s">
        <v>1458</v>
      </c>
      <c r="AB834" s="642" t="s">
        <v>263</v>
      </c>
      <c r="AC834" s="652"/>
      <c r="AD834" s="652" t="s">
        <v>113</v>
      </c>
      <c r="AE834" s="653">
        <f t="shared" si="17"/>
        <v>3</v>
      </c>
    </row>
    <row r="835" spans="1:31" ht="105" hidden="1" x14ac:dyDescent="0.25">
      <c r="A835" s="608" t="s">
        <v>4191</v>
      </c>
      <c r="B835" s="601" t="s">
        <v>1654</v>
      </c>
      <c r="C835" s="601" t="s">
        <v>2437</v>
      </c>
      <c r="D835" s="602" t="s">
        <v>5177</v>
      </c>
      <c r="E835" s="602" t="s">
        <v>2470</v>
      </c>
      <c r="F835" s="601" t="s">
        <v>1645</v>
      </c>
      <c r="G835" s="602" t="str">
        <f>IFERROR(VLOOKUP(F835,'[5]код океи'!$B$2:$C$448,2,1)," ")</f>
        <v>Килограмм</v>
      </c>
      <c r="H835" s="603">
        <v>64.5</v>
      </c>
      <c r="I835" s="604" t="s">
        <v>2161</v>
      </c>
      <c r="J835" s="599" t="s">
        <v>1454</v>
      </c>
      <c r="K835" s="606" t="s">
        <v>6123</v>
      </c>
      <c r="L835" s="911">
        <v>103352.31</v>
      </c>
      <c r="M835" s="838" t="s">
        <v>4813</v>
      </c>
      <c r="N835" s="606">
        <v>103352.31</v>
      </c>
      <c r="O835" s="607">
        <v>42826</v>
      </c>
      <c r="P835" s="607">
        <v>42826</v>
      </c>
      <c r="Q835" s="634" t="s">
        <v>108</v>
      </c>
      <c r="R835" s="634" t="s">
        <v>1456</v>
      </c>
      <c r="S835" s="634" t="s">
        <v>1457</v>
      </c>
      <c r="T835" s="635"/>
      <c r="U835" s="634"/>
      <c r="V835" s="634"/>
      <c r="W835" s="637"/>
      <c r="X835" s="638"/>
      <c r="Y835" s="637"/>
      <c r="Z835" s="636"/>
      <c r="AA835" s="609" t="s">
        <v>1458</v>
      </c>
      <c r="AB835" s="642" t="s">
        <v>263</v>
      </c>
      <c r="AC835" s="652"/>
      <c r="AD835" s="652" t="s">
        <v>113</v>
      </c>
      <c r="AE835" s="653">
        <f t="shared" si="17"/>
        <v>4</v>
      </c>
    </row>
    <row r="836" spans="1:31" ht="105" hidden="1" x14ac:dyDescent="0.25">
      <c r="A836" s="608" t="s">
        <v>4192</v>
      </c>
      <c r="B836" s="601" t="s">
        <v>1913</v>
      </c>
      <c r="C836" s="601" t="s">
        <v>1914</v>
      </c>
      <c r="D836" s="602" t="s">
        <v>5176</v>
      </c>
      <c r="E836" s="602" t="s">
        <v>2471</v>
      </c>
      <c r="F836" s="601" t="s">
        <v>1528</v>
      </c>
      <c r="G836" s="602" t="str">
        <f>IFERROR(VLOOKUP(F836,'[5]код океи'!$B$2:$C$448,2,1)," ")</f>
        <v>Штука</v>
      </c>
      <c r="H836" s="603">
        <v>91</v>
      </c>
      <c r="I836" s="604" t="s">
        <v>2161</v>
      </c>
      <c r="J836" s="599" t="s">
        <v>1454</v>
      </c>
      <c r="K836" s="606" t="s">
        <v>2543</v>
      </c>
      <c r="L836" s="798">
        <v>507748.34</v>
      </c>
      <c r="M836" s="609" t="s">
        <v>2184</v>
      </c>
      <c r="N836" s="606">
        <v>507748.34</v>
      </c>
      <c r="O836" s="607">
        <v>42795</v>
      </c>
      <c r="P836" s="607">
        <v>42826</v>
      </c>
      <c r="Q836" s="634" t="s">
        <v>108</v>
      </c>
      <c r="R836" s="634" t="s">
        <v>1456</v>
      </c>
      <c r="S836" s="634" t="s">
        <v>1457</v>
      </c>
      <c r="T836" s="635"/>
      <c r="U836" s="634"/>
      <c r="V836" s="634"/>
      <c r="W836" s="637"/>
      <c r="X836" s="638"/>
      <c r="Y836" s="637"/>
      <c r="Z836" s="636"/>
      <c r="AA836" s="609" t="s">
        <v>1458</v>
      </c>
      <c r="AB836" s="642" t="s">
        <v>263</v>
      </c>
      <c r="AC836" s="652"/>
      <c r="AD836" s="652" t="s">
        <v>113</v>
      </c>
      <c r="AE836" s="653">
        <f t="shared" si="17"/>
        <v>3</v>
      </c>
    </row>
    <row r="837" spans="1:31" ht="105" hidden="1" x14ac:dyDescent="0.25">
      <c r="A837" s="608" t="s">
        <v>4193</v>
      </c>
      <c r="B837" s="601" t="s">
        <v>1941</v>
      </c>
      <c r="C837" s="601" t="s">
        <v>1941</v>
      </c>
      <c r="D837" s="602" t="s">
        <v>4324</v>
      </c>
      <c r="E837" s="602" t="s">
        <v>1948</v>
      </c>
      <c r="F837" s="601" t="s">
        <v>1528</v>
      </c>
      <c r="G837" s="602" t="str">
        <f>IFERROR(VLOOKUP(F837,'[4]код океи'!$B$2:$C$448,2,1)," ")</f>
        <v>Штука</v>
      </c>
      <c r="H837" s="603">
        <v>700</v>
      </c>
      <c r="I837" s="604" t="s">
        <v>2161</v>
      </c>
      <c r="J837" s="599" t="s">
        <v>1454</v>
      </c>
      <c r="K837" s="606" t="s">
        <v>2544</v>
      </c>
      <c r="L837" s="798">
        <v>833000</v>
      </c>
      <c r="M837" s="838" t="s">
        <v>4813</v>
      </c>
      <c r="N837" s="606">
        <v>833000</v>
      </c>
      <c r="O837" s="607">
        <v>42795</v>
      </c>
      <c r="P837" s="607">
        <v>42856</v>
      </c>
      <c r="Q837" s="634" t="s">
        <v>110</v>
      </c>
      <c r="R837" s="634" t="s">
        <v>2174</v>
      </c>
      <c r="S837" s="634" t="s">
        <v>1455</v>
      </c>
      <c r="T837" s="635"/>
      <c r="U837" s="634"/>
      <c r="V837" s="634"/>
      <c r="W837" s="637" t="s">
        <v>73</v>
      </c>
      <c r="X837" s="639" t="s">
        <v>2334</v>
      </c>
      <c r="Y837" s="639" t="s">
        <v>2335</v>
      </c>
      <c r="Z837" s="639" t="s">
        <v>3084</v>
      </c>
      <c r="AA837" s="609" t="s">
        <v>1458</v>
      </c>
      <c r="AB837" s="642" t="s">
        <v>263</v>
      </c>
      <c r="AC837" s="652"/>
      <c r="AD837" s="652" t="s">
        <v>113</v>
      </c>
      <c r="AE837" s="653">
        <f t="shared" si="17"/>
        <v>3</v>
      </c>
    </row>
    <row r="838" spans="1:31" ht="105" hidden="1" x14ac:dyDescent="0.25">
      <c r="A838" s="608" t="s">
        <v>4194</v>
      </c>
      <c r="B838" s="658" t="s">
        <v>1672</v>
      </c>
      <c r="C838" s="601" t="s">
        <v>1673</v>
      </c>
      <c r="D838" s="659" t="s">
        <v>4323</v>
      </c>
      <c r="E838" s="602" t="s">
        <v>2472</v>
      </c>
      <c r="F838" s="601" t="s">
        <v>1587</v>
      </c>
      <c r="G838" s="602" t="s">
        <v>2256</v>
      </c>
      <c r="H838" s="603">
        <v>1</v>
      </c>
      <c r="I838" s="604" t="s">
        <v>2161</v>
      </c>
      <c r="J838" s="599" t="s">
        <v>1454</v>
      </c>
      <c r="K838" s="606" t="s">
        <v>2545</v>
      </c>
      <c r="L838" s="798">
        <v>273551.43</v>
      </c>
      <c r="M838" s="838" t="s">
        <v>4825</v>
      </c>
      <c r="N838" s="606">
        <v>273551.43</v>
      </c>
      <c r="O838" s="607">
        <v>42795.5</v>
      </c>
      <c r="P838" s="607">
        <v>42795.5</v>
      </c>
      <c r="Q838" s="634" t="s">
        <v>108</v>
      </c>
      <c r="R838" s="634" t="s">
        <v>1456</v>
      </c>
      <c r="S838" s="634" t="s">
        <v>1457</v>
      </c>
      <c r="T838" s="635"/>
      <c r="U838" s="634"/>
      <c r="V838" s="634"/>
      <c r="W838" s="637"/>
      <c r="X838" s="638"/>
      <c r="Y838" s="637"/>
      <c r="Z838" s="636"/>
      <c r="AA838" s="609" t="s">
        <v>1458</v>
      </c>
      <c r="AB838" s="642" t="s">
        <v>263</v>
      </c>
      <c r="AC838" s="652"/>
      <c r="AD838" s="652" t="s">
        <v>113</v>
      </c>
      <c r="AE838" s="653">
        <f t="shared" si="17"/>
        <v>3</v>
      </c>
    </row>
    <row r="839" spans="1:31" ht="105" hidden="1" x14ac:dyDescent="0.25">
      <c r="A839" s="608" t="s">
        <v>4195</v>
      </c>
      <c r="B839" s="658" t="s">
        <v>1672</v>
      </c>
      <c r="C839" s="601" t="s">
        <v>1673</v>
      </c>
      <c r="D839" s="659" t="s">
        <v>4322</v>
      </c>
      <c r="E839" s="602" t="s">
        <v>2472</v>
      </c>
      <c r="F839" s="601" t="s">
        <v>1587</v>
      </c>
      <c r="G839" s="602" t="s">
        <v>2256</v>
      </c>
      <c r="H839" s="603">
        <v>1</v>
      </c>
      <c r="I839" s="604" t="s">
        <v>2161</v>
      </c>
      <c r="J839" s="599" t="s">
        <v>1454</v>
      </c>
      <c r="K839" s="606" t="s">
        <v>2546</v>
      </c>
      <c r="L839" s="798">
        <v>382165.6</v>
      </c>
      <c r="M839" s="838" t="s">
        <v>4813</v>
      </c>
      <c r="N839" s="606">
        <v>382165.6</v>
      </c>
      <c r="O839" s="607">
        <v>42795.5</v>
      </c>
      <c r="P839" s="607">
        <v>42795.5</v>
      </c>
      <c r="Q839" s="634" t="s">
        <v>108</v>
      </c>
      <c r="R839" s="634" t="s">
        <v>1456</v>
      </c>
      <c r="S839" s="634" t="s">
        <v>1457</v>
      </c>
      <c r="T839" s="635"/>
      <c r="U839" s="634"/>
      <c r="V839" s="634"/>
      <c r="W839" s="637"/>
      <c r="X839" s="638"/>
      <c r="Y839" s="637"/>
      <c r="Z839" s="636"/>
      <c r="AA839" s="609" t="s">
        <v>1458</v>
      </c>
      <c r="AB839" s="642" t="s">
        <v>263</v>
      </c>
      <c r="AC839" s="652"/>
      <c r="AD839" s="652" t="s">
        <v>113</v>
      </c>
      <c r="AE839" s="653">
        <f t="shared" si="17"/>
        <v>3</v>
      </c>
    </row>
    <row r="840" spans="1:31" ht="105" hidden="1" x14ac:dyDescent="0.25">
      <c r="A840" s="608" t="s">
        <v>4196</v>
      </c>
      <c r="B840" s="658" t="s">
        <v>1672</v>
      </c>
      <c r="C840" s="601" t="s">
        <v>1673</v>
      </c>
      <c r="D840" s="659" t="s">
        <v>5175</v>
      </c>
      <c r="E840" s="602" t="s">
        <v>2472</v>
      </c>
      <c r="F840" s="601" t="s">
        <v>1587</v>
      </c>
      <c r="G840" s="602" t="s">
        <v>2256</v>
      </c>
      <c r="H840" s="603">
        <v>1</v>
      </c>
      <c r="I840" s="604" t="s">
        <v>2161</v>
      </c>
      <c r="J840" s="599" t="s">
        <v>1454</v>
      </c>
      <c r="K840" s="606" t="s">
        <v>2547</v>
      </c>
      <c r="L840" s="798">
        <v>368349.59</v>
      </c>
      <c r="M840" s="838" t="s">
        <v>4813</v>
      </c>
      <c r="N840" s="606">
        <v>368349.59</v>
      </c>
      <c r="O840" s="607">
        <v>42795.5</v>
      </c>
      <c r="P840" s="607">
        <v>42795.5</v>
      </c>
      <c r="Q840" s="634" t="s">
        <v>108</v>
      </c>
      <c r="R840" s="634" t="s">
        <v>1456</v>
      </c>
      <c r="S840" s="634" t="s">
        <v>1457</v>
      </c>
      <c r="T840" s="635"/>
      <c r="U840" s="634"/>
      <c r="V840" s="634"/>
      <c r="W840" s="637"/>
      <c r="X840" s="638"/>
      <c r="Y840" s="637"/>
      <c r="Z840" s="636"/>
      <c r="AA840" s="609" t="s">
        <v>1458</v>
      </c>
      <c r="AB840" s="642" t="s">
        <v>263</v>
      </c>
      <c r="AC840" s="652"/>
      <c r="AD840" s="652" t="s">
        <v>113</v>
      </c>
      <c r="AE840" s="653">
        <f t="shared" si="17"/>
        <v>3</v>
      </c>
    </row>
    <row r="841" spans="1:31" ht="105" hidden="1" x14ac:dyDescent="0.25">
      <c r="A841" s="608" t="s">
        <v>4197</v>
      </c>
      <c r="B841" s="601" t="s">
        <v>216</v>
      </c>
      <c r="C841" s="601" t="s">
        <v>2438</v>
      </c>
      <c r="D841" s="602" t="s">
        <v>5174</v>
      </c>
      <c r="E841" s="602" t="s">
        <v>2473</v>
      </c>
      <c r="F841" s="601" t="s">
        <v>1645</v>
      </c>
      <c r="G841" s="602" t="str">
        <f>IFERROR(VLOOKUP(F841,'[4]код океи'!$B$2:$C$448,2,1)," ")</f>
        <v>Килограмм</v>
      </c>
      <c r="H841" s="603">
        <v>60</v>
      </c>
      <c r="I841" s="604" t="s">
        <v>2161</v>
      </c>
      <c r="J841" s="599" t="s">
        <v>1454</v>
      </c>
      <c r="K841" s="606" t="s">
        <v>2548</v>
      </c>
      <c r="L841" s="798">
        <v>380000</v>
      </c>
      <c r="M841" s="609" t="s">
        <v>2184</v>
      </c>
      <c r="N841" s="606">
        <v>380000</v>
      </c>
      <c r="O841" s="607">
        <v>42795.5</v>
      </c>
      <c r="P841" s="607">
        <v>43070.5</v>
      </c>
      <c r="Q841" s="634" t="s">
        <v>108</v>
      </c>
      <c r="R841" s="634" t="s">
        <v>1456</v>
      </c>
      <c r="S841" s="634" t="s">
        <v>1457</v>
      </c>
      <c r="T841" s="635"/>
      <c r="U841" s="634"/>
      <c r="V841" s="634"/>
      <c r="W841" s="637"/>
      <c r="X841" s="638"/>
      <c r="Y841" s="637"/>
      <c r="Z841" s="636"/>
      <c r="AA841" s="609" t="s">
        <v>1458</v>
      </c>
      <c r="AB841" s="642" t="s">
        <v>263</v>
      </c>
      <c r="AC841" s="652"/>
      <c r="AD841" s="652" t="s">
        <v>113</v>
      </c>
      <c r="AE841" s="653">
        <f t="shared" si="17"/>
        <v>3</v>
      </c>
    </row>
    <row r="842" spans="1:31" ht="105" hidden="1" x14ac:dyDescent="0.25">
      <c r="A842" s="608" t="s">
        <v>4198</v>
      </c>
      <c r="B842" s="601" t="s">
        <v>2439</v>
      </c>
      <c r="C842" s="601" t="s">
        <v>2440</v>
      </c>
      <c r="D842" s="602" t="s">
        <v>5173</v>
      </c>
      <c r="E842" s="602" t="s">
        <v>1657</v>
      </c>
      <c r="F842" s="601" t="s">
        <v>1587</v>
      </c>
      <c r="G842" s="602" t="str">
        <f>IFERROR(VLOOKUP(F842,'[4]код океи'!$B$2:$C$448,2,1)," ")</f>
        <v>Комплект</v>
      </c>
      <c r="H842" s="603">
        <v>1</v>
      </c>
      <c r="I842" s="604" t="s">
        <v>2161</v>
      </c>
      <c r="J842" s="599" t="s">
        <v>1454</v>
      </c>
      <c r="K842" s="606" t="s">
        <v>2998</v>
      </c>
      <c r="L842" s="798">
        <v>68644.06</v>
      </c>
      <c r="M842" s="838" t="s">
        <v>4813</v>
      </c>
      <c r="N842" s="606">
        <v>68644.06</v>
      </c>
      <c r="O842" s="607">
        <v>42795.5</v>
      </c>
      <c r="P842" s="607">
        <v>43070.5</v>
      </c>
      <c r="Q842" s="634" t="s">
        <v>108</v>
      </c>
      <c r="R842" s="634" t="s">
        <v>1456</v>
      </c>
      <c r="S842" s="634" t="s">
        <v>1457</v>
      </c>
      <c r="T842" s="635"/>
      <c r="U842" s="634"/>
      <c r="V842" s="634"/>
      <c r="W842" s="637"/>
      <c r="X842" s="638"/>
      <c r="Y842" s="637"/>
      <c r="Z842" s="636"/>
      <c r="AA842" s="609" t="s">
        <v>1458</v>
      </c>
      <c r="AB842" s="642" t="s">
        <v>263</v>
      </c>
      <c r="AC842" s="652"/>
      <c r="AD842" s="652" t="s">
        <v>113</v>
      </c>
      <c r="AE842" s="653">
        <f t="shared" si="17"/>
        <v>3</v>
      </c>
    </row>
    <row r="843" spans="1:31" ht="105" hidden="1" x14ac:dyDescent="0.25">
      <c r="A843" s="608" t="s">
        <v>4199</v>
      </c>
      <c r="B843" s="846" t="s">
        <v>1941</v>
      </c>
      <c r="C843" s="846" t="s">
        <v>2195</v>
      </c>
      <c r="D843" s="670" t="s">
        <v>4321</v>
      </c>
      <c r="E843" s="847" t="s">
        <v>1992</v>
      </c>
      <c r="F843" s="846" t="s">
        <v>1528</v>
      </c>
      <c r="G843" s="847" t="s">
        <v>2156</v>
      </c>
      <c r="H843" s="848">
        <v>207</v>
      </c>
      <c r="I843" s="604" t="s">
        <v>2161</v>
      </c>
      <c r="J843" s="599" t="s">
        <v>1454</v>
      </c>
      <c r="K843" s="849" t="s">
        <v>3184</v>
      </c>
      <c r="L843" s="850">
        <v>5949478.5300000003</v>
      </c>
      <c r="M843" s="838" t="s">
        <v>4813</v>
      </c>
      <c r="N843" s="849" t="s">
        <v>3161</v>
      </c>
      <c r="O843" s="851">
        <v>42795.5</v>
      </c>
      <c r="P843" s="851">
        <v>43070.5</v>
      </c>
      <c r="Q843" s="665" t="s">
        <v>110</v>
      </c>
      <c r="R843" s="634" t="s">
        <v>2174</v>
      </c>
      <c r="S843" s="665" t="s">
        <v>1455</v>
      </c>
      <c r="T843" s="666"/>
      <c r="U843" s="665"/>
      <c r="V843" s="665"/>
      <c r="W843" s="668" t="s">
        <v>73</v>
      </c>
      <c r="X843" s="638" t="s">
        <v>2361</v>
      </c>
      <c r="Y843" s="637" t="s">
        <v>2397</v>
      </c>
      <c r="Z843" s="667">
        <v>5949478.5300000003</v>
      </c>
      <c r="AA843" s="609" t="s">
        <v>1458</v>
      </c>
      <c r="AB843" s="642" t="s">
        <v>263</v>
      </c>
      <c r="AC843" s="652"/>
      <c r="AD843" s="652" t="s">
        <v>113</v>
      </c>
      <c r="AE843" s="852">
        <f t="shared" ref="AE843:AE874" si="18">IF(O843=0,,MONTH(O843))</f>
        <v>3</v>
      </c>
    </row>
    <row r="844" spans="1:31" ht="105" hidden="1" x14ac:dyDescent="0.25">
      <c r="A844" s="608" t="s">
        <v>4200</v>
      </c>
      <c r="B844" s="846" t="s">
        <v>1571</v>
      </c>
      <c r="C844" s="846" t="s">
        <v>3114</v>
      </c>
      <c r="D844" s="670" t="s">
        <v>4320</v>
      </c>
      <c r="E844" s="847" t="s">
        <v>2456</v>
      </c>
      <c r="F844" s="846" t="s">
        <v>1587</v>
      </c>
      <c r="G844" s="847" t="s">
        <v>2256</v>
      </c>
      <c r="H844" s="848">
        <v>1</v>
      </c>
      <c r="I844" s="604" t="s">
        <v>2161</v>
      </c>
      <c r="J844" s="599" t="s">
        <v>1454</v>
      </c>
      <c r="K844" s="849" t="s">
        <v>3185</v>
      </c>
      <c r="L844" s="850">
        <v>955366</v>
      </c>
      <c r="M844" s="609" t="s">
        <v>2184</v>
      </c>
      <c r="N844" s="849" t="s">
        <v>3162</v>
      </c>
      <c r="O844" s="851">
        <v>42795.5</v>
      </c>
      <c r="P844" s="851">
        <v>42856</v>
      </c>
      <c r="Q844" s="665" t="s">
        <v>108</v>
      </c>
      <c r="R844" s="634" t="s">
        <v>1456</v>
      </c>
      <c r="S844" s="634" t="s">
        <v>1457</v>
      </c>
      <c r="T844" s="666"/>
      <c r="U844" s="665"/>
      <c r="V844" s="665"/>
      <c r="W844" s="668"/>
      <c r="X844" s="669"/>
      <c r="Y844" s="668"/>
      <c r="Z844" s="667"/>
      <c r="AA844" s="609" t="s">
        <v>1458</v>
      </c>
      <c r="AB844" s="642" t="s">
        <v>263</v>
      </c>
      <c r="AC844" s="652"/>
      <c r="AD844" s="652" t="s">
        <v>113</v>
      </c>
      <c r="AE844" s="852">
        <f t="shared" si="18"/>
        <v>3</v>
      </c>
    </row>
    <row r="845" spans="1:31" ht="105" hidden="1" x14ac:dyDescent="0.25">
      <c r="A845" s="608" t="s">
        <v>4201</v>
      </c>
      <c r="B845" s="846" t="s">
        <v>1548</v>
      </c>
      <c r="C845" s="846" t="s">
        <v>2433</v>
      </c>
      <c r="D845" s="670" t="s">
        <v>4319</v>
      </c>
      <c r="E845" s="847" t="s">
        <v>3135</v>
      </c>
      <c r="F845" s="846" t="s">
        <v>1587</v>
      </c>
      <c r="G845" s="847" t="s">
        <v>2256</v>
      </c>
      <c r="H845" s="848">
        <v>1</v>
      </c>
      <c r="I845" s="604" t="s">
        <v>2161</v>
      </c>
      <c r="J845" s="599" t="s">
        <v>1454</v>
      </c>
      <c r="K845" s="849" t="s">
        <v>3186</v>
      </c>
      <c r="L845" s="850">
        <v>369744.15</v>
      </c>
      <c r="M845" s="838" t="s">
        <v>4813</v>
      </c>
      <c r="N845" s="849" t="s">
        <v>3163</v>
      </c>
      <c r="O845" s="851">
        <v>42826</v>
      </c>
      <c r="P845" s="851">
        <v>43070.5</v>
      </c>
      <c r="Q845" s="665" t="s">
        <v>110</v>
      </c>
      <c r="R845" s="634" t="s">
        <v>2174</v>
      </c>
      <c r="S845" s="665" t="s">
        <v>1455</v>
      </c>
      <c r="T845" s="666"/>
      <c r="U845" s="665"/>
      <c r="V845" s="665"/>
      <c r="W845" s="668" t="s">
        <v>73</v>
      </c>
      <c r="X845" s="638" t="s">
        <v>5072</v>
      </c>
      <c r="Y845" s="637" t="s">
        <v>5073</v>
      </c>
      <c r="Z845" s="667">
        <v>369744.15</v>
      </c>
      <c r="AA845" s="609" t="s">
        <v>1458</v>
      </c>
      <c r="AB845" s="642" t="s">
        <v>263</v>
      </c>
      <c r="AC845" s="652"/>
      <c r="AD845" s="652" t="s">
        <v>113</v>
      </c>
      <c r="AE845" s="852">
        <f t="shared" si="18"/>
        <v>4</v>
      </c>
    </row>
    <row r="846" spans="1:31" ht="105" hidden="1" x14ac:dyDescent="0.25">
      <c r="A846" s="608" t="s">
        <v>4202</v>
      </c>
      <c r="B846" s="846" t="s">
        <v>1531</v>
      </c>
      <c r="C846" s="846" t="s">
        <v>1532</v>
      </c>
      <c r="D846" s="670" t="s">
        <v>5172</v>
      </c>
      <c r="E846" s="847" t="s">
        <v>2441</v>
      </c>
      <c r="F846" s="846" t="s">
        <v>1528</v>
      </c>
      <c r="G846" s="847" t="s">
        <v>2156</v>
      </c>
      <c r="H846" s="848">
        <v>360</v>
      </c>
      <c r="I846" s="604" t="s">
        <v>2161</v>
      </c>
      <c r="J846" s="599" t="s">
        <v>1454</v>
      </c>
      <c r="K846" s="849" t="s">
        <v>3187</v>
      </c>
      <c r="L846" s="850">
        <v>7965094.6399999997</v>
      </c>
      <c r="M846" s="621" t="s">
        <v>5957</v>
      </c>
      <c r="N846" s="849" t="s">
        <v>3164</v>
      </c>
      <c r="O846" s="851">
        <v>42887.5</v>
      </c>
      <c r="P846" s="851">
        <v>43070.5</v>
      </c>
      <c r="Q846" s="665" t="s">
        <v>110</v>
      </c>
      <c r="R846" s="634" t="s">
        <v>2174</v>
      </c>
      <c r="S846" s="665" t="s">
        <v>1455</v>
      </c>
      <c r="T846" s="666"/>
      <c r="U846" s="665"/>
      <c r="V846" s="665" t="s">
        <v>45</v>
      </c>
      <c r="W846" s="668" t="s">
        <v>72</v>
      </c>
      <c r="X846" s="638" t="s">
        <v>5958</v>
      </c>
      <c r="Y846" s="637" t="s">
        <v>5959</v>
      </c>
      <c r="Z846" s="667">
        <v>7965094.6399999997</v>
      </c>
      <c r="AA846" s="609" t="s">
        <v>1458</v>
      </c>
      <c r="AB846" s="642" t="s">
        <v>263</v>
      </c>
      <c r="AC846" s="652"/>
      <c r="AD846" s="652" t="s">
        <v>113</v>
      </c>
      <c r="AE846" s="852">
        <f t="shared" si="18"/>
        <v>6</v>
      </c>
    </row>
    <row r="847" spans="1:31" ht="105" hidden="1" x14ac:dyDescent="0.25">
      <c r="A847" s="608" t="s">
        <v>4203</v>
      </c>
      <c r="B847" s="846" t="s">
        <v>2190</v>
      </c>
      <c r="C847" s="846" t="s">
        <v>2191</v>
      </c>
      <c r="D847" s="670" t="s">
        <v>4318</v>
      </c>
      <c r="E847" s="847" t="s">
        <v>3136</v>
      </c>
      <c r="F847" s="846" t="s">
        <v>1528</v>
      </c>
      <c r="G847" s="847" t="s">
        <v>2156</v>
      </c>
      <c r="H847" s="848">
        <v>7</v>
      </c>
      <c r="I847" s="604" t="s">
        <v>2161</v>
      </c>
      <c r="J847" s="599" t="s">
        <v>1454</v>
      </c>
      <c r="K847" s="849" t="s">
        <v>3188</v>
      </c>
      <c r="L847" s="850">
        <v>101000</v>
      </c>
      <c r="M847" s="838" t="s">
        <v>4840</v>
      </c>
      <c r="N847" s="849" t="s">
        <v>3165</v>
      </c>
      <c r="O847" s="851">
        <v>42795.5</v>
      </c>
      <c r="P847" s="851">
        <v>42795</v>
      </c>
      <c r="Q847" s="665" t="s">
        <v>110</v>
      </c>
      <c r="R847" s="634" t="s">
        <v>2174</v>
      </c>
      <c r="S847" s="665" t="s">
        <v>1455</v>
      </c>
      <c r="T847" s="666"/>
      <c r="U847" s="665"/>
      <c r="V847" s="665"/>
      <c r="W847" s="668" t="s">
        <v>68</v>
      </c>
      <c r="X847" s="638" t="s">
        <v>3314</v>
      </c>
      <c r="Y847" s="637" t="s">
        <v>3315</v>
      </c>
      <c r="Z847" s="667">
        <v>101000</v>
      </c>
      <c r="AA847" s="609" t="s">
        <v>1458</v>
      </c>
      <c r="AB847" s="642" t="s">
        <v>263</v>
      </c>
      <c r="AC847" s="652"/>
      <c r="AD847" s="652" t="s">
        <v>113</v>
      </c>
      <c r="AE847" s="852">
        <f t="shared" si="18"/>
        <v>3</v>
      </c>
    </row>
    <row r="848" spans="1:31" ht="165.75" hidden="1" x14ac:dyDescent="0.25">
      <c r="A848" s="608" t="s">
        <v>4204</v>
      </c>
      <c r="B848" s="846" t="s">
        <v>2023</v>
      </c>
      <c r="C848" s="846" t="s">
        <v>2023</v>
      </c>
      <c r="D848" s="670" t="s">
        <v>5171</v>
      </c>
      <c r="E848" s="847" t="s">
        <v>2022</v>
      </c>
      <c r="F848" s="846" t="s">
        <v>1528</v>
      </c>
      <c r="G848" s="847" t="s">
        <v>2156</v>
      </c>
      <c r="H848" s="848">
        <v>18</v>
      </c>
      <c r="I848" s="604" t="s">
        <v>2161</v>
      </c>
      <c r="J848" s="599" t="s">
        <v>1454</v>
      </c>
      <c r="K848" s="849" t="s">
        <v>3189</v>
      </c>
      <c r="L848" s="850">
        <v>2163100</v>
      </c>
      <c r="M848" s="609" t="s">
        <v>2184</v>
      </c>
      <c r="N848" s="849" t="s">
        <v>3166</v>
      </c>
      <c r="O848" s="851">
        <v>42795.5</v>
      </c>
      <c r="P848" s="851">
        <v>43070.5</v>
      </c>
      <c r="Q848" s="634" t="s">
        <v>108</v>
      </c>
      <c r="R848" s="634" t="s">
        <v>1456</v>
      </c>
      <c r="S848" s="634" t="s">
        <v>1457</v>
      </c>
      <c r="T848" s="666"/>
      <c r="U848" s="665"/>
      <c r="V848" s="665"/>
      <c r="W848" s="668"/>
      <c r="X848" s="669"/>
      <c r="Y848" s="668"/>
      <c r="Z848" s="667"/>
      <c r="AA848" s="609" t="s">
        <v>1458</v>
      </c>
      <c r="AB848" s="642" t="s">
        <v>263</v>
      </c>
      <c r="AC848" s="652"/>
      <c r="AD848" s="652" t="s">
        <v>113</v>
      </c>
      <c r="AE848" s="852">
        <f t="shared" si="18"/>
        <v>3</v>
      </c>
    </row>
    <row r="849" spans="1:31" ht="127.5" hidden="1" x14ac:dyDescent="0.25">
      <c r="A849" s="608" t="s">
        <v>4205</v>
      </c>
      <c r="B849" s="846" t="s">
        <v>301</v>
      </c>
      <c r="C849" s="846" t="s">
        <v>301</v>
      </c>
      <c r="D849" s="670" t="s">
        <v>5170</v>
      </c>
      <c r="E849" s="847" t="s">
        <v>2022</v>
      </c>
      <c r="F849" s="846" t="s">
        <v>1587</v>
      </c>
      <c r="G849" s="847" t="s">
        <v>2256</v>
      </c>
      <c r="H849" s="848">
        <v>3</v>
      </c>
      <c r="I849" s="604" t="s">
        <v>2161</v>
      </c>
      <c r="J849" s="599" t="s">
        <v>1454</v>
      </c>
      <c r="K849" s="849" t="s">
        <v>3190</v>
      </c>
      <c r="L849" s="850">
        <v>1475680</v>
      </c>
      <c r="M849" s="609" t="s">
        <v>2184</v>
      </c>
      <c r="N849" s="849" t="s">
        <v>3167</v>
      </c>
      <c r="O849" s="851">
        <v>42795.5</v>
      </c>
      <c r="P849" s="851">
        <v>43070.5</v>
      </c>
      <c r="Q849" s="634" t="s">
        <v>108</v>
      </c>
      <c r="R849" s="634" t="s">
        <v>1456</v>
      </c>
      <c r="S849" s="634" t="s">
        <v>1457</v>
      </c>
      <c r="T849" s="666"/>
      <c r="U849" s="665"/>
      <c r="V849" s="665"/>
      <c r="W849" s="668"/>
      <c r="X849" s="669"/>
      <c r="Y849" s="668"/>
      <c r="Z849" s="667"/>
      <c r="AA849" s="609" t="s">
        <v>1458</v>
      </c>
      <c r="AB849" s="642" t="s">
        <v>263</v>
      </c>
      <c r="AC849" s="652"/>
      <c r="AD849" s="652" t="s">
        <v>113</v>
      </c>
      <c r="AE849" s="852">
        <f t="shared" si="18"/>
        <v>3</v>
      </c>
    </row>
    <row r="850" spans="1:31" ht="105" hidden="1" x14ac:dyDescent="0.25">
      <c r="A850" s="608" t="s">
        <v>4206</v>
      </c>
      <c r="B850" s="846" t="s">
        <v>1636</v>
      </c>
      <c r="C850" s="846" t="s">
        <v>2040</v>
      </c>
      <c r="D850" s="670" t="s">
        <v>5169</v>
      </c>
      <c r="E850" s="847" t="s">
        <v>2022</v>
      </c>
      <c r="F850" s="846" t="s">
        <v>1528</v>
      </c>
      <c r="G850" s="847" t="s">
        <v>2156</v>
      </c>
      <c r="H850" s="848">
        <v>4</v>
      </c>
      <c r="I850" s="604" t="s">
        <v>2161</v>
      </c>
      <c r="J850" s="599" t="s">
        <v>1454</v>
      </c>
      <c r="K850" s="849" t="s">
        <v>3191</v>
      </c>
      <c r="L850" s="850">
        <v>385385.2</v>
      </c>
      <c r="M850" s="609" t="s">
        <v>2184</v>
      </c>
      <c r="N850" s="849">
        <v>385385.2</v>
      </c>
      <c r="O850" s="851">
        <v>42795.5</v>
      </c>
      <c r="P850" s="851">
        <v>43070.5</v>
      </c>
      <c r="Q850" s="634" t="s">
        <v>108</v>
      </c>
      <c r="R850" s="634" t="s">
        <v>1456</v>
      </c>
      <c r="S850" s="634" t="s">
        <v>1457</v>
      </c>
      <c r="T850" s="666"/>
      <c r="U850" s="665"/>
      <c r="V850" s="665"/>
      <c r="W850" s="668"/>
      <c r="X850" s="669"/>
      <c r="Y850" s="668"/>
      <c r="Z850" s="667"/>
      <c r="AA850" s="609" t="s">
        <v>1458</v>
      </c>
      <c r="AB850" s="642" t="s">
        <v>263</v>
      </c>
      <c r="AC850" s="652"/>
      <c r="AD850" s="652" t="s">
        <v>113</v>
      </c>
      <c r="AE850" s="852">
        <f t="shared" si="18"/>
        <v>3</v>
      </c>
    </row>
    <row r="851" spans="1:31" ht="105" hidden="1" x14ac:dyDescent="0.25">
      <c r="A851" s="608" t="s">
        <v>4207</v>
      </c>
      <c r="B851" s="846" t="s">
        <v>2023</v>
      </c>
      <c r="C851" s="846" t="s">
        <v>2023</v>
      </c>
      <c r="D851" s="670" t="s">
        <v>5168</v>
      </c>
      <c r="E851" s="847" t="s">
        <v>2022</v>
      </c>
      <c r="F851" s="846" t="s">
        <v>1528</v>
      </c>
      <c r="G851" s="847" t="s">
        <v>2156</v>
      </c>
      <c r="H851" s="848">
        <v>4</v>
      </c>
      <c r="I851" s="604" t="s">
        <v>2161</v>
      </c>
      <c r="J851" s="599" t="s">
        <v>1454</v>
      </c>
      <c r="K851" s="849" t="s">
        <v>3192</v>
      </c>
      <c r="L851" s="850">
        <v>610986.67000000004</v>
      </c>
      <c r="M851" s="609" t="s">
        <v>2184</v>
      </c>
      <c r="N851" s="849" t="s">
        <v>3168</v>
      </c>
      <c r="O851" s="851">
        <v>42795.5</v>
      </c>
      <c r="P851" s="851">
        <v>43070.5</v>
      </c>
      <c r="Q851" s="634" t="s">
        <v>108</v>
      </c>
      <c r="R851" s="634" t="s">
        <v>1456</v>
      </c>
      <c r="S851" s="634" t="s">
        <v>1457</v>
      </c>
      <c r="T851" s="666"/>
      <c r="U851" s="665"/>
      <c r="V851" s="665"/>
      <c r="W851" s="668"/>
      <c r="X851" s="669"/>
      <c r="Y851" s="668"/>
      <c r="Z851" s="667"/>
      <c r="AA851" s="609" t="s">
        <v>1458</v>
      </c>
      <c r="AB851" s="642" t="s">
        <v>263</v>
      </c>
      <c r="AC851" s="652"/>
      <c r="AD851" s="652" t="s">
        <v>113</v>
      </c>
      <c r="AE851" s="852">
        <f t="shared" si="18"/>
        <v>3</v>
      </c>
    </row>
    <row r="852" spans="1:31" ht="105" hidden="1" x14ac:dyDescent="0.25">
      <c r="A852" s="608" t="s">
        <v>4208</v>
      </c>
      <c r="B852" s="846" t="s">
        <v>2196</v>
      </c>
      <c r="C852" s="846" t="s">
        <v>2197</v>
      </c>
      <c r="D852" s="670" t="s">
        <v>4317</v>
      </c>
      <c r="E852" s="847" t="s">
        <v>2022</v>
      </c>
      <c r="F852" s="846" t="s">
        <v>1528</v>
      </c>
      <c r="G852" s="847" t="s">
        <v>2156</v>
      </c>
      <c r="H852" s="848">
        <v>1</v>
      </c>
      <c r="I852" s="604" t="s">
        <v>2161</v>
      </c>
      <c r="J852" s="599" t="s">
        <v>1454</v>
      </c>
      <c r="K852" s="849" t="s">
        <v>3193</v>
      </c>
      <c r="L852" s="850">
        <v>1024000</v>
      </c>
      <c r="M852" s="609" t="s">
        <v>2184</v>
      </c>
      <c r="N852" s="849" t="s">
        <v>3169</v>
      </c>
      <c r="O852" s="851">
        <v>42795.5</v>
      </c>
      <c r="P852" s="851">
        <v>43070.5</v>
      </c>
      <c r="Q852" s="634" t="s">
        <v>108</v>
      </c>
      <c r="R852" s="634" t="s">
        <v>1456</v>
      </c>
      <c r="S852" s="634" t="s">
        <v>1457</v>
      </c>
      <c r="T852" s="666"/>
      <c r="U852" s="665"/>
      <c r="V852" s="665"/>
      <c r="W852" s="668"/>
      <c r="X852" s="669"/>
      <c r="Y852" s="668"/>
      <c r="Z852" s="667"/>
      <c r="AA852" s="609" t="s">
        <v>1458</v>
      </c>
      <c r="AB852" s="642" t="s">
        <v>263</v>
      </c>
      <c r="AC852" s="652"/>
      <c r="AD852" s="652" t="s">
        <v>113</v>
      </c>
      <c r="AE852" s="852">
        <f t="shared" si="18"/>
        <v>3</v>
      </c>
    </row>
    <row r="853" spans="1:31" ht="105" hidden="1" x14ac:dyDescent="0.25">
      <c r="A853" s="608" t="s">
        <v>4209</v>
      </c>
      <c r="B853" s="846" t="s">
        <v>216</v>
      </c>
      <c r="C853" s="846" t="s">
        <v>216</v>
      </c>
      <c r="D853" s="670" t="s">
        <v>4316</v>
      </c>
      <c r="E853" s="847" t="s">
        <v>3137</v>
      </c>
      <c r="F853" s="846" t="s">
        <v>1645</v>
      </c>
      <c r="G853" s="847" t="s">
        <v>2259</v>
      </c>
      <c r="H853" s="848">
        <v>1.6</v>
      </c>
      <c r="I853" s="604" t="s">
        <v>2161</v>
      </c>
      <c r="J853" s="599" t="s">
        <v>1454</v>
      </c>
      <c r="K853" s="849" t="s">
        <v>3194</v>
      </c>
      <c r="L853" s="850">
        <v>1045000</v>
      </c>
      <c r="M853" s="838" t="s">
        <v>4813</v>
      </c>
      <c r="N853" s="849" t="s">
        <v>3170</v>
      </c>
      <c r="O853" s="851">
        <v>42795.5</v>
      </c>
      <c r="P853" s="851">
        <v>42826</v>
      </c>
      <c r="Q853" s="634" t="s">
        <v>108</v>
      </c>
      <c r="R853" s="634" t="s">
        <v>1456</v>
      </c>
      <c r="S853" s="634" t="s">
        <v>1457</v>
      </c>
      <c r="T853" s="666"/>
      <c r="U853" s="665"/>
      <c r="V853" s="665"/>
      <c r="W853" s="668"/>
      <c r="X853" s="669"/>
      <c r="Y853" s="668"/>
      <c r="Z853" s="667"/>
      <c r="AA853" s="609" t="s">
        <v>1458</v>
      </c>
      <c r="AB853" s="642" t="s">
        <v>263</v>
      </c>
      <c r="AC853" s="652"/>
      <c r="AD853" s="652" t="s">
        <v>113</v>
      </c>
      <c r="AE853" s="852">
        <f t="shared" si="18"/>
        <v>3</v>
      </c>
    </row>
    <row r="854" spans="1:31" ht="105" hidden="1" x14ac:dyDescent="0.25">
      <c r="A854" s="608" t="s">
        <v>4210</v>
      </c>
      <c r="B854" s="846" t="s">
        <v>216</v>
      </c>
      <c r="C854" s="846" t="s">
        <v>216</v>
      </c>
      <c r="D854" s="670" t="s">
        <v>4315</v>
      </c>
      <c r="E854" s="847" t="s">
        <v>3137</v>
      </c>
      <c r="F854" s="846" t="s">
        <v>1645</v>
      </c>
      <c r="G854" s="847" t="s">
        <v>2259</v>
      </c>
      <c r="H854" s="848">
        <v>1.4</v>
      </c>
      <c r="I854" s="604" t="s">
        <v>2161</v>
      </c>
      <c r="J854" s="599" t="s">
        <v>1454</v>
      </c>
      <c r="K854" s="849" t="s">
        <v>3195</v>
      </c>
      <c r="L854" s="850">
        <v>751000</v>
      </c>
      <c r="M854" s="838" t="s">
        <v>4813</v>
      </c>
      <c r="N854" s="849" t="s">
        <v>3171</v>
      </c>
      <c r="O854" s="851">
        <v>42795.5</v>
      </c>
      <c r="P854" s="851">
        <v>42826</v>
      </c>
      <c r="Q854" s="634" t="s">
        <v>108</v>
      </c>
      <c r="R854" s="634" t="s">
        <v>1456</v>
      </c>
      <c r="S854" s="634" t="s">
        <v>1457</v>
      </c>
      <c r="T854" s="666"/>
      <c r="U854" s="665"/>
      <c r="V854" s="665"/>
      <c r="W854" s="668"/>
      <c r="X854" s="669"/>
      <c r="Y854" s="668"/>
      <c r="Z854" s="667"/>
      <c r="AA854" s="609" t="s">
        <v>1458</v>
      </c>
      <c r="AB854" s="642" t="s">
        <v>263</v>
      </c>
      <c r="AC854" s="652"/>
      <c r="AD854" s="652" t="s">
        <v>113</v>
      </c>
      <c r="AE854" s="852">
        <f t="shared" si="18"/>
        <v>3</v>
      </c>
    </row>
    <row r="855" spans="1:31" ht="105" hidden="1" x14ac:dyDescent="0.25">
      <c r="A855" s="608" t="s">
        <v>4211</v>
      </c>
      <c r="B855" s="846" t="s">
        <v>216</v>
      </c>
      <c r="C855" s="846" t="s">
        <v>216</v>
      </c>
      <c r="D855" s="670" t="s">
        <v>4314</v>
      </c>
      <c r="E855" s="847" t="s">
        <v>3137</v>
      </c>
      <c r="F855" s="846" t="s">
        <v>1645</v>
      </c>
      <c r="G855" s="847" t="s">
        <v>2259</v>
      </c>
      <c r="H855" s="848">
        <v>1.75</v>
      </c>
      <c r="I855" s="604" t="s">
        <v>2161</v>
      </c>
      <c r="J855" s="599" t="s">
        <v>1454</v>
      </c>
      <c r="K855" s="849" t="s">
        <v>3196</v>
      </c>
      <c r="L855" s="850">
        <v>1076000</v>
      </c>
      <c r="M855" s="838" t="s">
        <v>4813</v>
      </c>
      <c r="N855" s="849" t="s">
        <v>3172</v>
      </c>
      <c r="O855" s="851">
        <v>42795.5</v>
      </c>
      <c r="P855" s="851">
        <v>42826</v>
      </c>
      <c r="Q855" s="634" t="s">
        <v>108</v>
      </c>
      <c r="R855" s="634" t="s">
        <v>1456</v>
      </c>
      <c r="S855" s="634" t="s">
        <v>1457</v>
      </c>
      <c r="T855" s="666"/>
      <c r="U855" s="665"/>
      <c r="V855" s="665"/>
      <c r="W855" s="668"/>
      <c r="X855" s="669"/>
      <c r="Y855" s="668"/>
      <c r="Z855" s="667"/>
      <c r="AA855" s="609" t="s">
        <v>1458</v>
      </c>
      <c r="AB855" s="642" t="s">
        <v>263</v>
      </c>
      <c r="AC855" s="652"/>
      <c r="AD855" s="652" t="s">
        <v>113</v>
      </c>
      <c r="AE855" s="852">
        <f t="shared" si="18"/>
        <v>3</v>
      </c>
    </row>
    <row r="856" spans="1:31" ht="105" hidden="1" x14ac:dyDescent="0.25">
      <c r="A856" s="608" t="s">
        <v>4212</v>
      </c>
      <c r="B856" s="846" t="s">
        <v>1759</v>
      </c>
      <c r="C856" s="846" t="s">
        <v>1759</v>
      </c>
      <c r="D856" s="670" t="s">
        <v>4313</v>
      </c>
      <c r="E856" s="847" t="s">
        <v>3138</v>
      </c>
      <c r="F856" s="846" t="s">
        <v>1645</v>
      </c>
      <c r="G856" s="847" t="s">
        <v>2259</v>
      </c>
      <c r="H856" s="848">
        <v>27</v>
      </c>
      <c r="I856" s="604" t="s">
        <v>2161</v>
      </c>
      <c r="J856" s="599" t="s">
        <v>1454</v>
      </c>
      <c r="K856" s="849" t="s">
        <v>3197</v>
      </c>
      <c r="L856" s="850">
        <v>1831950</v>
      </c>
      <c r="M856" s="838" t="s">
        <v>4813</v>
      </c>
      <c r="N856" s="849" t="s">
        <v>3173</v>
      </c>
      <c r="O856" s="851">
        <v>42795.5</v>
      </c>
      <c r="P856" s="851">
        <v>42826.5</v>
      </c>
      <c r="Q856" s="634" t="s">
        <v>108</v>
      </c>
      <c r="R856" s="634" t="s">
        <v>1456</v>
      </c>
      <c r="S856" s="634" t="s">
        <v>1457</v>
      </c>
      <c r="T856" s="666"/>
      <c r="U856" s="665"/>
      <c r="V856" s="665"/>
      <c r="W856" s="668"/>
      <c r="X856" s="669"/>
      <c r="Y856" s="668"/>
      <c r="Z856" s="667"/>
      <c r="AA856" s="609" t="s">
        <v>1458</v>
      </c>
      <c r="AB856" s="642" t="s">
        <v>263</v>
      </c>
      <c r="AC856" s="652"/>
      <c r="AD856" s="652" t="s">
        <v>113</v>
      </c>
      <c r="AE856" s="852">
        <f t="shared" si="18"/>
        <v>3</v>
      </c>
    </row>
    <row r="857" spans="1:31" ht="105" hidden="1" x14ac:dyDescent="0.25">
      <c r="A857" s="608" t="s">
        <v>4213</v>
      </c>
      <c r="B857" s="846" t="s">
        <v>1759</v>
      </c>
      <c r="C857" s="846" t="s">
        <v>1759</v>
      </c>
      <c r="D857" s="670" t="s">
        <v>4312</v>
      </c>
      <c r="E857" s="847" t="s">
        <v>3138</v>
      </c>
      <c r="F857" s="846" t="s">
        <v>1645</v>
      </c>
      <c r="G857" s="847" t="s">
        <v>2259</v>
      </c>
      <c r="H857" s="848">
        <v>25</v>
      </c>
      <c r="I857" s="604" t="s">
        <v>2161</v>
      </c>
      <c r="J857" s="599" t="s">
        <v>1454</v>
      </c>
      <c r="K857" s="849" t="s">
        <v>3198</v>
      </c>
      <c r="L857" s="850">
        <v>1628400</v>
      </c>
      <c r="M857" s="838" t="s">
        <v>4813</v>
      </c>
      <c r="N857" s="849" t="s">
        <v>3174</v>
      </c>
      <c r="O857" s="851">
        <v>42795.5</v>
      </c>
      <c r="P857" s="851">
        <v>42826.5</v>
      </c>
      <c r="Q857" s="634" t="s">
        <v>108</v>
      </c>
      <c r="R857" s="634" t="s">
        <v>1456</v>
      </c>
      <c r="S857" s="634" t="s">
        <v>1457</v>
      </c>
      <c r="T857" s="666"/>
      <c r="U857" s="665"/>
      <c r="V857" s="665"/>
      <c r="W857" s="668"/>
      <c r="X857" s="669"/>
      <c r="Y857" s="668"/>
      <c r="Z857" s="667"/>
      <c r="AA857" s="609" t="s">
        <v>1458</v>
      </c>
      <c r="AB857" s="642" t="s">
        <v>263</v>
      </c>
      <c r="AC857" s="652"/>
      <c r="AD857" s="652" t="s">
        <v>113</v>
      </c>
      <c r="AE857" s="852">
        <f t="shared" si="18"/>
        <v>3</v>
      </c>
    </row>
    <row r="858" spans="1:31" ht="105" hidden="1" x14ac:dyDescent="0.25">
      <c r="A858" s="608" t="s">
        <v>4214</v>
      </c>
      <c r="B858" s="846" t="s">
        <v>1759</v>
      </c>
      <c r="C858" s="846" t="s">
        <v>1759</v>
      </c>
      <c r="D858" s="670" t="s">
        <v>4311</v>
      </c>
      <c r="E858" s="847" t="s">
        <v>3138</v>
      </c>
      <c r="F858" s="846" t="s">
        <v>1645</v>
      </c>
      <c r="G858" s="847" t="s">
        <v>2259</v>
      </c>
      <c r="H858" s="848">
        <v>24</v>
      </c>
      <c r="I858" s="604" t="s">
        <v>2161</v>
      </c>
      <c r="J858" s="599" t="s">
        <v>1454</v>
      </c>
      <c r="K858" s="849" t="s">
        <v>3199</v>
      </c>
      <c r="L858" s="850">
        <v>1696250</v>
      </c>
      <c r="M858" s="609" t="s">
        <v>4813</v>
      </c>
      <c r="N858" s="849" t="s">
        <v>3175</v>
      </c>
      <c r="O858" s="851">
        <v>42795.5</v>
      </c>
      <c r="P858" s="851">
        <v>42826.5</v>
      </c>
      <c r="Q858" s="634" t="s">
        <v>108</v>
      </c>
      <c r="R858" s="634" t="s">
        <v>1456</v>
      </c>
      <c r="S858" s="634" t="s">
        <v>1457</v>
      </c>
      <c r="T858" s="666"/>
      <c r="U858" s="665"/>
      <c r="V858" s="665"/>
      <c r="W858" s="668"/>
      <c r="X858" s="669"/>
      <c r="Y858" s="668"/>
      <c r="Z858" s="667"/>
      <c r="AA858" s="609" t="s">
        <v>1458</v>
      </c>
      <c r="AB858" s="642" t="s">
        <v>263</v>
      </c>
      <c r="AC858" s="652"/>
      <c r="AD858" s="652" t="s">
        <v>113</v>
      </c>
      <c r="AE858" s="852">
        <f t="shared" si="18"/>
        <v>3</v>
      </c>
    </row>
    <row r="859" spans="1:31" ht="105" hidden="1" x14ac:dyDescent="0.25">
      <c r="A859" s="608" t="s">
        <v>4215</v>
      </c>
      <c r="B859" s="846" t="s">
        <v>2198</v>
      </c>
      <c r="C859" s="846" t="s">
        <v>2199</v>
      </c>
      <c r="D859" s="670" t="s">
        <v>4310</v>
      </c>
      <c r="E859" s="847" t="s">
        <v>3139</v>
      </c>
      <c r="F859" s="846" t="s">
        <v>1587</v>
      </c>
      <c r="G859" s="847" t="s">
        <v>2256</v>
      </c>
      <c r="H859" s="848">
        <v>4</v>
      </c>
      <c r="I859" s="604" t="s">
        <v>2161</v>
      </c>
      <c r="J859" s="599" t="s">
        <v>1454</v>
      </c>
      <c r="K859" s="849" t="s">
        <v>2159</v>
      </c>
      <c r="L859" s="850">
        <v>40000000</v>
      </c>
      <c r="M859" s="838" t="s">
        <v>4815</v>
      </c>
      <c r="N859" s="849" t="s">
        <v>2743</v>
      </c>
      <c r="O859" s="851">
        <v>42795.5</v>
      </c>
      <c r="P859" s="851">
        <v>43070.5</v>
      </c>
      <c r="Q859" s="634" t="s">
        <v>110</v>
      </c>
      <c r="R859" s="634" t="s">
        <v>2174</v>
      </c>
      <c r="S859" s="665" t="s">
        <v>1455</v>
      </c>
      <c r="T859" s="666"/>
      <c r="U859" s="665"/>
      <c r="V859" s="665"/>
      <c r="W859" s="668" t="s">
        <v>70</v>
      </c>
      <c r="X859" s="638" t="s">
        <v>3334</v>
      </c>
      <c r="Y859" s="637" t="s">
        <v>3335</v>
      </c>
      <c r="Z859" s="667">
        <v>40000000</v>
      </c>
      <c r="AA859" s="609" t="s">
        <v>1458</v>
      </c>
      <c r="AB859" s="642" t="s">
        <v>263</v>
      </c>
      <c r="AC859" s="652"/>
      <c r="AD859" s="652" t="s">
        <v>113</v>
      </c>
      <c r="AE859" s="852">
        <f t="shared" si="18"/>
        <v>3</v>
      </c>
    </row>
    <row r="860" spans="1:31" ht="105" hidden="1" x14ac:dyDescent="0.25">
      <c r="A860" s="608" t="s">
        <v>4216</v>
      </c>
      <c r="B860" s="846" t="s">
        <v>2198</v>
      </c>
      <c r="C860" s="846" t="s">
        <v>2199</v>
      </c>
      <c r="D860" s="670" t="s">
        <v>4309</v>
      </c>
      <c r="E860" s="847" t="s">
        <v>3139</v>
      </c>
      <c r="F860" s="846" t="s">
        <v>1587</v>
      </c>
      <c r="G860" s="847" t="s">
        <v>2256</v>
      </c>
      <c r="H860" s="848">
        <v>4</v>
      </c>
      <c r="I860" s="604" t="s">
        <v>2161</v>
      </c>
      <c r="J860" s="599" t="s">
        <v>1454</v>
      </c>
      <c r="K860" s="849" t="s">
        <v>1696</v>
      </c>
      <c r="L860" s="850">
        <v>5000000</v>
      </c>
      <c r="M860" s="838" t="s">
        <v>4815</v>
      </c>
      <c r="N860" s="849" t="s">
        <v>2725</v>
      </c>
      <c r="O860" s="851">
        <v>42795.5</v>
      </c>
      <c r="P860" s="851">
        <v>43070.5</v>
      </c>
      <c r="Q860" s="634" t="s">
        <v>110</v>
      </c>
      <c r="R860" s="634" t="s">
        <v>2174</v>
      </c>
      <c r="S860" s="665" t="s">
        <v>1455</v>
      </c>
      <c r="T860" s="666"/>
      <c r="U860" s="665"/>
      <c r="V860" s="665"/>
      <c r="W860" s="668" t="s">
        <v>70</v>
      </c>
      <c r="X860" s="638" t="s">
        <v>2349</v>
      </c>
      <c r="Y860" s="637" t="s">
        <v>2350</v>
      </c>
      <c r="Z860" s="667">
        <v>5000000</v>
      </c>
      <c r="AA860" s="609" t="s">
        <v>1458</v>
      </c>
      <c r="AB860" s="642" t="s">
        <v>263</v>
      </c>
      <c r="AC860" s="652"/>
      <c r="AD860" s="652" t="s">
        <v>113</v>
      </c>
      <c r="AE860" s="852">
        <f t="shared" si="18"/>
        <v>3</v>
      </c>
    </row>
    <row r="861" spans="1:31" ht="105" hidden="1" x14ac:dyDescent="0.25">
      <c r="A861" s="608" t="s">
        <v>4217</v>
      </c>
      <c r="B861" s="846" t="s">
        <v>2198</v>
      </c>
      <c r="C861" s="846" t="s">
        <v>2199</v>
      </c>
      <c r="D861" s="670" t="s">
        <v>5167</v>
      </c>
      <c r="E861" s="847" t="s">
        <v>3139</v>
      </c>
      <c r="F861" s="846" t="s">
        <v>1587</v>
      </c>
      <c r="G861" s="847" t="s">
        <v>2256</v>
      </c>
      <c r="H861" s="848">
        <v>4</v>
      </c>
      <c r="I861" s="604" t="s">
        <v>2161</v>
      </c>
      <c r="J861" s="599" t="s">
        <v>1454</v>
      </c>
      <c r="K861" s="849" t="s">
        <v>3200</v>
      </c>
      <c r="L861" s="850">
        <v>18000000</v>
      </c>
      <c r="M861" s="838" t="s">
        <v>4815</v>
      </c>
      <c r="N861" s="849" t="s">
        <v>3176</v>
      </c>
      <c r="O861" s="851">
        <v>42795.5</v>
      </c>
      <c r="P861" s="851">
        <v>43070.5</v>
      </c>
      <c r="Q861" s="634" t="s">
        <v>110</v>
      </c>
      <c r="R861" s="634" t="s">
        <v>2174</v>
      </c>
      <c r="S861" s="665" t="s">
        <v>1455</v>
      </c>
      <c r="T861" s="666"/>
      <c r="U861" s="665"/>
      <c r="V861" s="665"/>
      <c r="W861" s="668" t="s">
        <v>70</v>
      </c>
      <c r="X861" s="669"/>
      <c r="Y861" s="668"/>
      <c r="Z861" s="667"/>
      <c r="AA861" s="609" t="s">
        <v>1458</v>
      </c>
      <c r="AB861" s="642" t="s">
        <v>263</v>
      </c>
      <c r="AC861" s="652"/>
      <c r="AD861" s="652" t="s">
        <v>113</v>
      </c>
      <c r="AE861" s="852">
        <f t="shared" si="18"/>
        <v>3</v>
      </c>
    </row>
    <row r="862" spans="1:31" ht="105" hidden="1" x14ac:dyDescent="0.25">
      <c r="A862" s="608" t="s">
        <v>4218</v>
      </c>
      <c r="B862" s="846" t="s">
        <v>3115</v>
      </c>
      <c r="C862" s="846" t="s">
        <v>3115</v>
      </c>
      <c r="D862" s="670" t="s">
        <v>4308</v>
      </c>
      <c r="E862" s="847" t="s">
        <v>3140</v>
      </c>
      <c r="F862" s="846" t="s">
        <v>1528</v>
      </c>
      <c r="G862" s="847" t="s">
        <v>2156</v>
      </c>
      <c r="H862" s="848">
        <v>45</v>
      </c>
      <c r="I862" s="604" t="s">
        <v>2161</v>
      </c>
      <c r="J862" s="599" t="s">
        <v>1454</v>
      </c>
      <c r="K862" s="849" t="s">
        <v>3201</v>
      </c>
      <c r="L862" s="850">
        <v>400668</v>
      </c>
      <c r="M862" s="609" t="s">
        <v>2184</v>
      </c>
      <c r="N862" s="849" t="s">
        <v>3177</v>
      </c>
      <c r="O862" s="851">
        <v>42795.5</v>
      </c>
      <c r="P862" s="851">
        <v>43070.5</v>
      </c>
      <c r="Q862" s="634" t="s">
        <v>108</v>
      </c>
      <c r="R862" s="634" t="s">
        <v>1456</v>
      </c>
      <c r="S862" s="634" t="s">
        <v>1457</v>
      </c>
      <c r="T862" s="666"/>
      <c r="U862" s="665"/>
      <c r="V862" s="665"/>
      <c r="W862" s="668"/>
      <c r="X862" s="669"/>
      <c r="Y862" s="668"/>
      <c r="Z862" s="667"/>
      <c r="AA862" s="609" t="s">
        <v>1458</v>
      </c>
      <c r="AB862" s="642" t="s">
        <v>263</v>
      </c>
      <c r="AC862" s="652"/>
      <c r="AD862" s="652" t="s">
        <v>113</v>
      </c>
      <c r="AE862" s="852">
        <f t="shared" si="18"/>
        <v>3</v>
      </c>
    </row>
    <row r="863" spans="1:31" ht="114.75" hidden="1" x14ac:dyDescent="0.25">
      <c r="A863" s="608" t="s">
        <v>4219</v>
      </c>
      <c r="B863" s="846" t="s">
        <v>1974</v>
      </c>
      <c r="C863" s="846" t="s">
        <v>3116</v>
      </c>
      <c r="D863" s="670" t="s">
        <v>4307</v>
      </c>
      <c r="E863" s="847" t="s">
        <v>3141</v>
      </c>
      <c r="F863" s="846" t="s">
        <v>1528</v>
      </c>
      <c r="G863" s="847" t="s">
        <v>2156</v>
      </c>
      <c r="H863" s="848">
        <v>2</v>
      </c>
      <c r="I863" s="604" t="s">
        <v>2161</v>
      </c>
      <c r="J863" s="599" t="s">
        <v>1454</v>
      </c>
      <c r="K863" s="849" t="s">
        <v>3202</v>
      </c>
      <c r="L863" s="850">
        <v>115746</v>
      </c>
      <c r="M863" s="609" t="s">
        <v>2184</v>
      </c>
      <c r="N863" s="849" t="s">
        <v>3178</v>
      </c>
      <c r="O863" s="851">
        <v>42795.5</v>
      </c>
      <c r="P863" s="851">
        <v>43159.5</v>
      </c>
      <c r="Q863" s="634" t="s">
        <v>108</v>
      </c>
      <c r="R863" s="634" t="s">
        <v>1456</v>
      </c>
      <c r="S863" s="634" t="s">
        <v>1457</v>
      </c>
      <c r="T863" s="666"/>
      <c r="U863" s="665"/>
      <c r="V863" s="665"/>
      <c r="W863" s="668"/>
      <c r="X863" s="669"/>
      <c r="Y863" s="668"/>
      <c r="Z863" s="667"/>
      <c r="AA863" s="609" t="s">
        <v>1458</v>
      </c>
      <c r="AB863" s="642" t="s">
        <v>263</v>
      </c>
      <c r="AC863" s="652"/>
      <c r="AD863" s="652" t="s">
        <v>113</v>
      </c>
      <c r="AE863" s="852">
        <f t="shared" si="18"/>
        <v>3</v>
      </c>
    </row>
    <row r="864" spans="1:31" ht="105" hidden="1" x14ac:dyDescent="0.25">
      <c r="A864" s="608" t="s">
        <v>4220</v>
      </c>
      <c r="B864" s="846" t="s">
        <v>1944</v>
      </c>
      <c r="C864" s="846" t="s">
        <v>2203</v>
      </c>
      <c r="D864" s="670" t="s">
        <v>4306</v>
      </c>
      <c r="E864" s="847" t="s">
        <v>3142</v>
      </c>
      <c r="F864" s="846" t="s">
        <v>1528</v>
      </c>
      <c r="G864" s="847" t="s">
        <v>2156</v>
      </c>
      <c r="H864" s="848">
        <v>100</v>
      </c>
      <c r="I864" s="604" t="s">
        <v>2161</v>
      </c>
      <c r="J864" s="599" t="s">
        <v>1454</v>
      </c>
      <c r="K864" s="849" t="s">
        <v>3203</v>
      </c>
      <c r="L864" s="850">
        <v>1230000</v>
      </c>
      <c r="M864" s="609" t="s">
        <v>2184</v>
      </c>
      <c r="N864" s="849" t="s">
        <v>3179</v>
      </c>
      <c r="O864" s="851">
        <v>42795.5</v>
      </c>
      <c r="P864" s="851">
        <v>42826.5</v>
      </c>
      <c r="Q864" s="634" t="s">
        <v>108</v>
      </c>
      <c r="R864" s="634" t="s">
        <v>1456</v>
      </c>
      <c r="S864" s="634" t="s">
        <v>1457</v>
      </c>
      <c r="T864" s="666"/>
      <c r="U864" s="665"/>
      <c r="V864" s="665" t="s">
        <v>45</v>
      </c>
      <c r="W864" s="668"/>
      <c r="X864" s="669"/>
      <c r="Y864" s="668"/>
      <c r="Z864" s="667"/>
      <c r="AA864" s="609" t="s">
        <v>1458</v>
      </c>
      <c r="AB864" s="642" t="s">
        <v>263</v>
      </c>
      <c r="AC864" s="652"/>
      <c r="AD864" s="652" t="s">
        <v>113</v>
      </c>
      <c r="AE864" s="852">
        <f t="shared" si="18"/>
        <v>3</v>
      </c>
    </row>
    <row r="865" spans="1:31" ht="105" hidden="1" x14ac:dyDescent="0.25">
      <c r="A865" s="608" t="s">
        <v>4221</v>
      </c>
      <c r="B865" s="846" t="s">
        <v>216</v>
      </c>
      <c r="C865" s="846" t="s">
        <v>216</v>
      </c>
      <c r="D865" s="670" t="s">
        <v>4305</v>
      </c>
      <c r="E865" s="847" t="s">
        <v>3142</v>
      </c>
      <c r="F865" s="846" t="s">
        <v>1528</v>
      </c>
      <c r="G865" s="847" t="s">
        <v>2156</v>
      </c>
      <c r="H865" s="848">
        <v>100</v>
      </c>
      <c r="I865" s="604" t="s">
        <v>2161</v>
      </c>
      <c r="J865" s="599" t="s">
        <v>1454</v>
      </c>
      <c r="K865" s="849" t="s">
        <v>3204</v>
      </c>
      <c r="L865" s="850">
        <v>1578500</v>
      </c>
      <c r="M865" s="838" t="s">
        <v>4813</v>
      </c>
      <c r="N865" s="849" t="s">
        <v>3180</v>
      </c>
      <c r="O865" s="851">
        <v>42826.5</v>
      </c>
      <c r="P865" s="851">
        <v>42826.5</v>
      </c>
      <c r="Q865" s="634" t="s">
        <v>110</v>
      </c>
      <c r="R865" s="634" t="s">
        <v>113</v>
      </c>
      <c r="S865" s="634" t="s">
        <v>1455</v>
      </c>
      <c r="T865" s="666"/>
      <c r="U865" s="665"/>
      <c r="V865" s="665" t="s">
        <v>45</v>
      </c>
      <c r="W865" s="668" t="s">
        <v>266</v>
      </c>
      <c r="X865" s="638" t="s">
        <v>3370</v>
      </c>
      <c r="Y865" s="637" t="s">
        <v>3371</v>
      </c>
      <c r="Z865" s="667">
        <v>1578500</v>
      </c>
      <c r="AA865" s="609" t="s">
        <v>1458</v>
      </c>
      <c r="AB865" s="642" t="s">
        <v>263</v>
      </c>
      <c r="AC865" s="652"/>
      <c r="AD865" s="652" t="s">
        <v>113</v>
      </c>
      <c r="AE865" s="852">
        <f t="shared" si="18"/>
        <v>4</v>
      </c>
    </row>
    <row r="866" spans="1:31" ht="105" hidden="1" x14ac:dyDescent="0.25">
      <c r="A866" s="608" t="s">
        <v>4222</v>
      </c>
      <c r="B866" s="846" t="s">
        <v>1944</v>
      </c>
      <c r="C866" s="846" t="s">
        <v>2203</v>
      </c>
      <c r="D866" s="670" t="s">
        <v>4304</v>
      </c>
      <c r="E866" s="847" t="s">
        <v>3142</v>
      </c>
      <c r="F866" s="846" t="s">
        <v>1528</v>
      </c>
      <c r="G866" s="847" t="s">
        <v>2156</v>
      </c>
      <c r="H866" s="848">
        <v>120</v>
      </c>
      <c r="I866" s="604" t="s">
        <v>2161</v>
      </c>
      <c r="J866" s="599" t="s">
        <v>1454</v>
      </c>
      <c r="K866" s="849" t="s">
        <v>3205</v>
      </c>
      <c r="L866" s="850">
        <v>996000</v>
      </c>
      <c r="M866" s="609" t="s">
        <v>4813</v>
      </c>
      <c r="N866" s="849" t="s">
        <v>3181</v>
      </c>
      <c r="O866" s="851">
        <v>42795.5</v>
      </c>
      <c r="P866" s="851">
        <v>42826.5</v>
      </c>
      <c r="Q866" s="634" t="s">
        <v>108</v>
      </c>
      <c r="R866" s="634" t="s">
        <v>1456</v>
      </c>
      <c r="S866" s="634" t="s">
        <v>1457</v>
      </c>
      <c r="T866" s="666"/>
      <c r="U866" s="665"/>
      <c r="V866" s="665"/>
      <c r="W866" s="668"/>
      <c r="X866" s="669"/>
      <c r="Y866" s="668"/>
      <c r="Z866" s="667"/>
      <c r="AA866" s="609" t="s">
        <v>1458</v>
      </c>
      <c r="AB866" s="642" t="s">
        <v>263</v>
      </c>
      <c r="AC866" s="652"/>
      <c r="AD866" s="652" t="s">
        <v>113</v>
      </c>
      <c r="AE866" s="852">
        <f t="shared" si="18"/>
        <v>3</v>
      </c>
    </row>
    <row r="867" spans="1:31" ht="127.5" hidden="1" x14ac:dyDescent="0.25">
      <c r="A867" s="608" t="s">
        <v>4223</v>
      </c>
      <c r="B867" s="846" t="s">
        <v>1951</v>
      </c>
      <c r="C867" s="846" t="s">
        <v>2192</v>
      </c>
      <c r="D867" s="670" t="s">
        <v>3253</v>
      </c>
      <c r="E867" s="847" t="s">
        <v>3143</v>
      </c>
      <c r="F867" s="846" t="s">
        <v>1528</v>
      </c>
      <c r="G867" s="847" t="s">
        <v>2156</v>
      </c>
      <c r="H867" s="848">
        <v>20</v>
      </c>
      <c r="I867" s="604" t="s">
        <v>2161</v>
      </c>
      <c r="J867" s="599" t="s">
        <v>1454</v>
      </c>
      <c r="K867" s="849" t="s">
        <v>3206</v>
      </c>
      <c r="L867" s="850">
        <v>174940.2</v>
      </c>
      <c r="M867" s="609" t="s">
        <v>2184</v>
      </c>
      <c r="N867" s="849" t="s">
        <v>3182</v>
      </c>
      <c r="O867" s="851">
        <v>42810.5</v>
      </c>
      <c r="P867" s="851">
        <v>42855.5</v>
      </c>
      <c r="Q867" s="634" t="s">
        <v>110</v>
      </c>
      <c r="R867" s="634" t="s">
        <v>2174</v>
      </c>
      <c r="S867" s="665" t="s">
        <v>1455</v>
      </c>
      <c r="T867" s="666"/>
      <c r="U867" s="665"/>
      <c r="V867" s="665"/>
      <c r="W867" s="668" t="s">
        <v>73</v>
      </c>
      <c r="X867" s="638" t="s">
        <v>2387</v>
      </c>
      <c r="Y867" s="637" t="s">
        <v>2386</v>
      </c>
      <c r="Z867" s="667">
        <v>174940.2</v>
      </c>
      <c r="AA867" s="609" t="s">
        <v>1458</v>
      </c>
      <c r="AB867" s="642" t="s">
        <v>263</v>
      </c>
      <c r="AC867" s="652"/>
      <c r="AD867" s="652" t="s">
        <v>113</v>
      </c>
      <c r="AE867" s="852">
        <f t="shared" si="18"/>
        <v>3</v>
      </c>
    </row>
    <row r="868" spans="1:31" ht="105" hidden="1" x14ac:dyDescent="0.25">
      <c r="A868" s="608" t="s">
        <v>4224</v>
      </c>
      <c r="B868" s="846" t="s">
        <v>1944</v>
      </c>
      <c r="C868" s="846" t="s">
        <v>2203</v>
      </c>
      <c r="D868" s="670" t="s">
        <v>4303</v>
      </c>
      <c r="E868" s="847" t="s">
        <v>2231</v>
      </c>
      <c r="F868" s="846" t="s">
        <v>1528</v>
      </c>
      <c r="G868" s="847" t="str">
        <f>IFERROR(VLOOKUP(F868,'[6]код океи'!$B$2:$C$448,2,1)," ")</f>
        <v>Штука</v>
      </c>
      <c r="H868" s="848">
        <v>2000</v>
      </c>
      <c r="I868" s="604" t="s">
        <v>2161</v>
      </c>
      <c r="J868" s="599" t="s">
        <v>1454</v>
      </c>
      <c r="K868" s="849" t="s">
        <v>4810</v>
      </c>
      <c r="L868" s="850">
        <v>343600</v>
      </c>
      <c r="M868" s="609" t="s">
        <v>2184</v>
      </c>
      <c r="N868" s="849">
        <v>343600</v>
      </c>
      <c r="O868" s="851">
        <v>42810.5</v>
      </c>
      <c r="P868" s="851">
        <v>43070.5</v>
      </c>
      <c r="Q868" s="634" t="s">
        <v>110</v>
      </c>
      <c r="R868" s="634" t="s">
        <v>2174</v>
      </c>
      <c r="S868" s="665" t="s">
        <v>1455</v>
      </c>
      <c r="T868" s="666"/>
      <c r="U868" s="665"/>
      <c r="V868" s="665"/>
      <c r="W868" s="668" t="s">
        <v>70</v>
      </c>
      <c r="X868" s="669"/>
      <c r="Y868" s="668"/>
      <c r="Z868" s="667"/>
      <c r="AA868" s="609" t="s">
        <v>1458</v>
      </c>
      <c r="AB868" s="642" t="s">
        <v>263</v>
      </c>
      <c r="AC868" s="652"/>
      <c r="AD868" s="652" t="s">
        <v>113</v>
      </c>
      <c r="AE868" s="852">
        <f t="shared" si="18"/>
        <v>3</v>
      </c>
    </row>
    <row r="869" spans="1:31" ht="105" hidden="1" x14ac:dyDescent="0.25">
      <c r="A869" s="608" t="s">
        <v>4225</v>
      </c>
      <c r="B869" s="846" t="s">
        <v>2198</v>
      </c>
      <c r="C869" s="846" t="s">
        <v>2199</v>
      </c>
      <c r="D869" s="670" t="s">
        <v>5166</v>
      </c>
      <c r="E869" s="847" t="s">
        <v>2455</v>
      </c>
      <c r="F869" s="846" t="s">
        <v>1587</v>
      </c>
      <c r="G869" s="847" t="str">
        <f>IFERROR(VLOOKUP(F869,'[6]код океи'!$B$2:$C$448,2,1)," ")</f>
        <v>Комплект</v>
      </c>
      <c r="H869" s="848">
        <v>2</v>
      </c>
      <c r="I869" s="961">
        <v>45000000000</v>
      </c>
      <c r="J869" s="599" t="s">
        <v>1454</v>
      </c>
      <c r="K869" s="849" t="s">
        <v>3207</v>
      </c>
      <c r="L869" s="850">
        <v>7800000</v>
      </c>
      <c r="M869" s="609" t="s">
        <v>2184</v>
      </c>
      <c r="N869" s="849">
        <v>7800000</v>
      </c>
      <c r="O869" s="851">
        <v>42810.5</v>
      </c>
      <c r="P869" s="851">
        <v>43009</v>
      </c>
      <c r="Q869" s="634" t="s">
        <v>110</v>
      </c>
      <c r="R869" s="634" t="s">
        <v>2174</v>
      </c>
      <c r="S869" s="634" t="s">
        <v>1455</v>
      </c>
      <c r="T869" s="666"/>
      <c r="U869" s="665"/>
      <c r="V869" s="665"/>
      <c r="W869" s="668" t="s">
        <v>70</v>
      </c>
      <c r="X869" s="638" t="s">
        <v>3036</v>
      </c>
      <c r="Y869" s="637" t="s">
        <v>3037</v>
      </c>
      <c r="Z869" s="667">
        <v>7800000</v>
      </c>
      <c r="AA869" s="609" t="s">
        <v>1458</v>
      </c>
      <c r="AB869" s="642" t="s">
        <v>263</v>
      </c>
      <c r="AC869" s="652"/>
      <c r="AD869" s="652" t="s">
        <v>113</v>
      </c>
      <c r="AE869" s="852">
        <f t="shared" si="18"/>
        <v>3</v>
      </c>
    </row>
    <row r="870" spans="1:31" ht="105" hidden="1" x14ac:dyDescent="0.25">
      <c r="A870" s="608" t="s">
        <v>4226</v>
      </c>
      <c r="B870" s="846" t="s">
        <v>1649</v>
      </c>
      <c r="C870" s="846" t="s">
        <v>2216</v>
      </c>
      <c r="D870" s="670" t="s">
        <v>5165</v>
      </c>
      <c r="E870" s="847" t="s">
        <v>3144</v>
      </c>
      <c r="F870" s="846" t="s">
        <v>2255</v>
      </c>
      <c r="G870" s="847" t="s">
        <v>2261</v>
      </c>
      <c r="H870" s="848">
        <v>170</v>
      </c>
      <c r="I870" s="961">
        <v>45000000000</v>
      </c>
      <c r="J870" s="599" t="s">
        <v>1454</v>
      </c>
      <c r="K870" s="849" t="s">
        <v>3208</v>
      </c>
      <c r="L870" s="850">
        <v>521560</v>
      </c>
      <c r="M870" s="609" t="s">
        <v>2184</v>
      </c>
      <c r="N870" s="849">
        <v>521560</v>
      </c>
      <c r="O870" s="851">
        <v>42810.5</v>
      </c>
      <c r="P870" s="851">
        <v>43070.5</v>
      </c>
      <c r="Q870" s="634" t="s">
        <v>110</v>
      </c>
      <c r="R870" s="634" t="s">
        <v>2174</v>
      </c>
      <c r="S870" s="665" t="s">
        <v>1455</v>
      </c>
      <c r="T870" s="666"/>
      <c r="U870" s="665"/>
      <c r="V870" s="665"/>
      <c r="W870" s="668" t="s">
        <v>73</v>
      </c>
      <c r="X870" s="669"/>
      <c r="Y870" s="668"/>
      <c r="Z870" s="667"/>
      <c r="AA870" s="609" t="s">
        <v>1458</v>
      </c>
      <c r="AB870" s="642" t="s">
        <v>263</v>
      </c>
      <c r="AC870" s="652"/>
      <c r="AD870" s="652" t="s">
        <v>113</v>
      </c>
      <c r="AE870" s="852">
        <f t="shared" si="18"/>
        <v>3</v>
      </c>
    </row>
    <row r="871" spans="1:31" ht="105" hidden="1" x14ac:dyDescent="0.25">
      <c r="A871" s="608" t="s">
        <v>4227</v>
      </c>
      <c r="B871" s="846" t="s">
        <v>1571</v>
      </c>
      <c r="C871" s="846" t="s">
        <v>3114</v>
      </c>
      <c r="D871" s="670" t="s">
        <v>4302</v>
      </c>
      <c r="E871" s="847" t="s">
        <v>3145</v>
      </c>
      <c r="F871" s="846" t="s">
        <v>1587</v>
      </c>
      <c r="G871" s="847" t="str">
        <f>IFERROR(VLOOKUP(F871,'[6]код океи'!$B$2:$C$448,2,1)," ")</f>
        <v>Комплект</v>
      </c>
      <c r="H871" s="848">
        <v>1</v>
      </c>
      <c r="I871" s="604" t="s">
        <v>2161</v>
      </c>
      <c r="J871" s="599" t="s">
        <v>1454</v>
      </c>
      <c r="K871" s="849" t="s">
        <v>3209</v>
      </c>
      <c r="L871" s="850">
        <v>887800</v>
      </c>
      <c r="M871" s="838" t="s">
        <v>4817</v>
      </c>
      <c r="N871" s="849">
        <v>887800</v>
      </c>
      <c r="O871" s="851">
        <v>42810.5</v>
      </c>
      <c r="P871" s="851">
        <v>42826</v>
      </c>
      <c r="Q871" s="634" t="s">
        <v>110</v>
      </c>
      <c r="R871" s="634" t="s">
        <v>2174</v>
      </c>
      <c r="S871" s="665" t="s">
        <v>1455</v>
      </c>
      <c r="T871" s="666"/>
      <c r="U871" s="665"/>
      <c r="V871" s="665"/>
      <c r="W871" s="668" t="s">
        <v>69</v>
      </c>
      <c r="X871" s="669"/>
      <c r="Y871" s="668"/>
      <c r="Z871" s="667"/>
      <c r="AA871" s="609" t="s">
        <v>1458</v>
      </c>
      <c r="AB871" s="642" t="s">
        <v>263</v>
      </c>
      <c r="AC871" s="652"/>
      <c r="AD871" s="652" t="s">
        <v>113</v>
      </c>
      <c r="AE871" s="852">
        <f t="shared" si="18"/>
        <v>3</v>
      </c>
    </row>
    <row r="872" spans="1:31" ht="242.25" hidden="1" x14ac:dyDescent="0.25">
      <c r="A872" s="608" t="s">
        <v>4228</v>
      </c>
      <c r="B872" s="846" t="s">
        <v>2073</v>
      </c>
      <c r="C872" s="846" t="s">
        <v>2074</v>
      </c>
      <c r="D872" s="670" t="s">
        <v>4301</v>
      </c>
      <c r="E872" s="847" t="s">
        <v>2022</v>
      </c>
      <c r="F872" s="846" t="s">
        <v>1528</v>
      </c>
      <c r="G872" s="847" t="str">
        <f>IFERROR(VLOOKUP(F872,'[6]код океи'!$B$2:$C$448,2,1)," ")</f>
        <v>Штука</v>
      </c>
      <c r="H872" s="848">
        <v>1</v>
      </c>
      <c r="I872" s="604" t="s">
        <v>2161</v>
      </c>
      <c r="J872" s="599" t="s">
        <v>1454</v>
      </c>
      <c r="K872" s="849" t="s">
        <v>3210</v>
      </c>
      <c r="L872" s="850" t="s">
        <v>3183</v>
      </c>
      <c r="M872" s="838" t="s">
        <v>4819</v>
      </c>
      <c r="N872" s="849" t="s">
        <v>3183</v>
      </c>
      <c r="O872" s="851">
        <v>42810.5</v>
      </c>
      <c r="P872" s="851">
        <v>42882</v>
      </c>
      <c r="Q872" s="634" t="s">
        <v>110</v>
      </c>
      <c r="R872" s="634" t="s">
        <v>2174</v>
      </c>
      <c r="S872" s="665" t="s">
        <v>1455</v>
      </c>
      <c r="T872" s="666"/>
      <c r="U872" s="665"/>
      <c r="V872" s="665"/>
      <c r="W872" s="668" t="s">
        <v>77</v>
      </c>
      <c r="X872" s="853">
        <v>7717572935</v>
      </c>
      <c r="Y872" s="853" t="s">
        <v>3301</v>
      </c>
      <c r="Z872" s="667">
        <v>288841.58</v>
      </c>
      <c r="AA872" s="609" t="s">
        <v>1458</v>
      </c>
      <c r="AB872" s="642" t="s">
        <v>263</v>
      </c>
      <c r="AC872" s="652"/>
      <c r="AD872" s="652" t="s">
        <v>113</v>
      </c>
      <c r="AE872" s="852">
        <f t="shared" si="18"/>
        <v>3</v>
      </c>
    </row>
    <row r="873" spans="1:31" ht="105" hidden="1" x14ac:dyDescent="0.25">
      <c r="A873" s="608" t="s">
        <v>4229</v>
      </c>
      <c r="B873" s="846" t="s">
        <v>1917</v>
      </c>
      <c r="C873" s="846" t="s">
        <v>1917</v>
      </c>
      <c r="D873" s="670" t="s">
        <v>5164</v>
      </c>
      <c r="E873" s="847" t="s">
        <v>1657</v>
      </c>
      <c r="F873" s="846" t="s">
        <v>1587</v>
      </c>
      <c r="G873" s="847" t="str">
        <f>IFERROR(VLOOKUP(F873,'[6]код океи'!$B$2:$C$448,2,1)," ")</f>
        <v>Комплект</v>
      </c>
      <c r="H873" s="848">
        <v>1</v>
      </c>
      <c r="I873" s="604" t="s">
        <v>2161</v>
      </c>
      <c r="J873" s="599" t="s">
        <v>1454</v>
      </c>
      <c r="K873" s="849" t="s">
        <v>3211</v>
      </c>
      <c r="L873" s="850">
        <v>181003.97</v>
      </c>
      <c r="M873" s="838" t="s">
        <v>4813</v>
      </c>
      <c r="N873" s="849">
        <v>181003.97</v>
      </c>
      <c r="O873" s="851">
        <v>42826</v>
      </c>
      <c r="P873" s="851">
        <v>43100</v>
      </c>
      <c r="Q873" s="634" t="s">
        <v>108</v>
      </c>
      <c r="R873" s="634" t="s">
        <v>1456</v>
      </c>
      <c r="S873" s="634" t="s">
        <v>1457</v>
      </c>
      <c r="T873" s="666"/>
      <c r="U873" s="665"/>
      <c r="V873" s="665"/>
      <c r="W873" s="668"/>
      <c r="X873" s="669"/>
      <c r="Y873" s="668"/>
      <c r="Z873" s="667"/>
      <c r="AA873" s="609" t="s">
        <v>1458</v>
      </c>
      <c r="AB873" s="642" t="s">
        <v>263</v>
      </c>
      <c r="AC873" s="652"/>
      <c r="AD873" s="652" t="s">
        <v>113</v>
      </c>
      <c r="AE873" s="852">
        <f t="shared" si="18"/>
        <v>4</v>
      </c>
    </row>
    <row r="874" spans="1:31" ht="105" hidden="1" x14ac:dyDescent="0.25">
      <c r="A874" s="608" t="s">
        <v>4230</v>
      </c>
      <c r="B874" s="846" t="s">
        <v>1944</v>
      </c>
      <c r="C874" s="846" t="s">
        <v>2203</v>
      </c>
      <c r="D874" s="670" t="s">
        <v>5163</v>
      </c>
      <c r="E874" s="847" t="s">
        <v>3146</v>
      </c>
      <c r="F874" s="846" t="s">
        <v>1528</v>
      </c>
      <c r="G874" s="847" t="s">
        <v>3160</v>
      </c>
      <c r="H874" s="848">
        <v>290</v>
      </c>
      <c r="I874" s="604" t="s">
        <v>2161</v>
      </c>
      <c r="J874" s="599" t="s">
        <v>1454</v>
      </c>
      <c r="K874" s="849" t="s">
        <v>3212</v>
      </c>
      <c r="L874" s="850">
        <v>2994250</v>
      </c>
      <c r="M874" s="838" t="s">
        <v>4813</v>
      </c>
      <c r="N874" s="849">
        <v>2994250</v>
      </c>
      <c r="O874" s="851">
        <v>42810.5</v>
      </c>
      <c r="P874" s="851">
        <v>42795</v>
      </c>
      <c r="Q874" s="634" t="s">
        <v>110</v>
      </c>
      <c r="R874" s="634" t="s">
        <v>2174</v>
      </c>
      <c r="S874" s="665" t="s">
        <v>1455</v>
      </c>
      <c r="T874" s="666"/>
      <c r="U874" s="665"/>
      <c r="V874" s="665"/>
      <c r="W874" s="668" t="s">
        <v>268</v>
      </c>
      <c r="X874" s="638" t="s">
        <v>3308</v>
      </c>
      <c r="Y874" s="637" t="s">
        <v>3309</v>
      </c>
      <c r="Z874" s="667">
        <v>2994250</v>
      </c>
      <c r="AA874" s="609" t="s">
        <v>1458</v>
      </c>
      <c r="AB874" s="642" t="s">
        <v>263</v>
      </c>
      <c r="AC874" s="652"/>
      <c r="AD874" s="652" t="s">
        <v>113</v>
      </c>
      <c r="AE874" s="852">
        <f t="shared" si="18"/>
        <v>3</v>
      </c>
    </row>
    <row r="875" spans="1:31" ht="105" hidden="1" x14ac:dyDescent="0.25">
      <c r="A875" s="608" t="s">
        <v>4231</v>
      </c>
      <c r="B875" s="846" t="s">
        <v>2033</v>
      </c>
      <c r="C875" s="846" t="s">
        <v>2034</v>
      </c>
      <c r="D875" s="670" t="s">
        <v>5162</v>
      </c>
      <c r="E875" s="847" t="s">
        <v>2022</v>
      </c>
      <c r="F875" s="846" t="s">
        <v>1528</v>
      </c>
      <c r="G875" s="847" t="str">
        <f>IFERROR(VLOOKUP(F875,'[6]код океи'!$B$2:$C$448,2,1)," ")</f>
        <v>Штука</v>
      </c>
      <c r="H875" s="848">
        <v>4</v>
      </c>
      <c r="I875" s="604" t="s">
        <v>2161</v>
      </c>
      <c r="J875" s="599" t="s">
        <v>1454</v>
      </c>
      <c r="K875" s="849" t="s">
        <v>3213</v>
      </c>
      <c r="L875" s="850">
        <v>1358666</v>
      </c>
      <c r="M875" s="609" t="s">
        <v>2184</v>
      </c>
      <c r="N875" s="849">
        <v>1358666</v>
      </c>
      <c r="O875" s="851">
        <v>42810.5</v>
      </c>
      <c r="P875" s="851">
        <v>43070</v>
      </c>
      <c r="Q875" s="634" t="s">
        <v>110</v>
      </c>
      <c r="R875" s="634" t="s">
        <v>2174</v>
      </c>
      <c r="S875" s="665" t="s">
        <v>1455</v>
      </c>
      <c r="T875" s="666"/>
      <c r="U875" s="665"/>
      <c r="V875" s="665"/>
      <c r="W875" s="668" t="s">
        <v>268</v>
      </c>
      <c r="X875" s="669"/>
      <c r="Y875" s="668"/>
      <c r="Z875" s="667"/>
      <c r="AA875" s="609" t="s">
        <v>1458</v>
      </c>
      <c r="AB875" s="642" t="s">
        <v>263</v>
      </c>
      <c r="AC875" s="652"/>
      <c r="AD875" s="652" t="s">
        <v>113</v>
      </c>
      <c r="AE875" s="852">
        <f t="shared" ref="AE875:AE906" si="19">IF(O875=0,,MONTH(O875))</f>
        <v>3</v>
      </c>
    </row>
    <row r="876" spans="1:31" ht="105" hidden="1" x14ac:dyDescent="0.25">
      <c r="A876" s="608" t="s">
        <v>4232</v>
      </c>
      <c r="B876" s="846" t="s">
        <v>3117</v>
      </c>
      <c r="C876" s="846" t="s">
        <v>3118</v>
      </c>
      <c r="D876" s="670" t="s">
        <v>4300</v>
      </c>
      <c r="E876" s="847" t="s">
        <v>3147</v>
      </c>
      <c r="F876" s="846" t="s">
        <v>1528</v>
      </c>
      <c r="G876" s="847" t="str">
        <f>IFERROR(VLOOKUP(F876,'[6]код океи'!$B$2:$C$448,2,1)," ")</f>
        <v>Штука</v>
      </c>
      <c r="H876" s="848">
        <v>1</v>
      </c>
      <c r="I876" s="604" t="s">
        <v>2161</v>
      </c>
      <c r="J876" s="599" t="s">
        <v>1454</v>
      </c>
      <c r="K876" s="849" t="s">
        <v>3214</v>
      </c>
      <c r="L876" s="850">
        <v>268200</v>
      </c>
      <c r="M876" s="609" t="s">
        <v>2184</v>
      </c>
      <c r="N876" s="849">
        <v>268200</v>
      </c>
      <c r="O876" s="851">
        <v>42826</v>
      </c>
      <c r="P876" s="851">
        <v>42856</v>
      </c>
      <c r="Q876" s="634" t="s">
        <v>108</v>
      </c>
      <c r="R876" s="634" t="s">
        <v>1456</v>
      </c>
      <c r="S876" s="634" t="s">
        <v>1457</v>
      </c>
      <c r="T876" s="666"/>
      <c r="U876" s="665"/>
      <c r="V876" s="665"/>
      <c r="W876" s="668"/>
      <c r="X876" s="669"/>
      <c r="Y876" s="668"/>
      <c r="Z876" s="667"/>
      <c r="AA876" s="609" t="s">
        <v>1458</v>
      </c>
      <c r="AB876" s="642" t="s">
        <v>263</v>
      </c>
      <c r="AC876" s="652"/>
      <c r="AD876" s="652" t="s">
        <v>113</v>
      </c>
      <c r="AE876" s="852">
        <f t="shared" si="19"/>
        <v>4</v>
      </c>
    </row>
    <row r="877" spans="1:31" ht="105" hidden="1" x14ac:dyDescent="0.25">
      <c r="A877" s="608" t="s">
        <v>4233</v>
      </c>
      <c r="B877" s="846" t="s">
        <v>2208</v>
      </c>
      <c r="C877" s="846" t="s">
        <v>2208</v>
      </c>
      <c r="D877" s="670" t="s">
        <v>4299</v>
      </c>
      <c r="E877" s="847" t="s">
        <v>3139</v>
      </c>
      <c r="F877" s="846" t="s">
        <v>1528</v>
      </c>
      <c r="G877" s="847" t="str">
        <f>IFERROR(VLOOKUP(F877,'[6]код океи'!$B$2:$C$448,2,1)," ")</f>
        <v>Штука</v>
      </c>
      <c r="H877" s="848">
        <v>75</v>
      </c>
      <c r="I877" s="604" t="s">
        <v>2161</v>
      </c>
      <c r="J877" s="599" t="s">
        <v>1454</v>
      </c>
      <c r="K877" s="849" t="s">
        <v>3215</v>
      </c>
      <c r="L877" s="850">
        <v>697266.26</v>
      </c>
      <c r="M877" s="838" t="s">
        <v>4813</v>
      </c>
      <c r="N877" s="849">
        <v>697266.26</v>
      </c>
      <c r="O877" s="851">
        <v>42826</v>
      </c>
      <c r="P877" s="851">
        <v>43009.5</v>
      </c>
      <c r="Q877" s="634" t="s">
        <v>110</v>
      </c>
      <c r="R877" s="634" t="s">
        <v>2174</v>
      </c>
      <c r="S877" s="665" t="s">
        <v>1455</v>
      </c>
      <c r="T877" s="666"/>
      <c r="U877" s="665"/>
      <c r="V877" s="665"/>
      <c r="W877" s="668" t="s">
        <v>73</v>
      </c>
      <c r="X877" s="638" t="s">
        <v>5086</v>
      </c>
      <c r="Y877" s="637" t="s">
        <v>6030</v>
      </c>
      <c r="Z877" s="667">
        <v>697266.26</v>
      </c>
      <c r="AA877" s="609" t="s">
        <v>1458</v>
      </c>
      <c r="AB877" s="642" t="s">
        <v>263</v>
      </c>
      <c r="AC877" s="652"/>
      <c r="AD877" s="652" t="s">
        <v>113</v>
      </c>
      <c r="AE877" s="852">
        <f t="shared" si="19"/>
        <v>4</v>
      </c>
    </row>
    <row r="878" spans="1:31" ht="105" hidden="1" x14ac:dyDescent="0.25">
      <c r="A878" s="608" t="s">
        <v>4234</v>
      </c>
      <c r="B878" s="846" t="s">
        <v>3119</v>
      </c>
      <c r="C878" s="846" t="s">
        <v>2063</v>
      </c>
      <c r="D878" s="670" t="s">
        <v>4298</v>
      </c>
      <c r="E878" s="847" t="s">
        <v>3148</v>
      </c>
      <c r="F878" s="846" t="s">
        <v>1528</v>
      </c>
      <c r="G878" s="847" t="str">
        <f>IFERROR(VLOOKUP(F878,'[6]код океи'!$B$2:$C$448,2,1)," ")</f>
        <v>Штука</v>
      </c>
      <c r="H878" s="848">
        <v>1</v>
      </c>
      <c r="I878" s="604" t="s">
        <v>2161</v>
      </c>
      <c r="J878" s="599" t="s">
        <v>1454</v>
      </c>
      <c r="K878" s="849" t="s">
        <v>3216</v>
      </c>
      <c r="L878" s="850">
        <v>920000</v>
      </c>
      <c r="M878" s="838" t="s">
        <v>4815</v>
      </c>
      <c r="N878" s="849">
        <v>920000</v>
      </c>
      <c r="O878" s="851">
        <v>42826</v>
      </c>
      <c r="P878" s="851">
        <v>43435</v>
      </c>
      <c r="Q878" s="634" t="s">
        <v>110</v>
      </c>
      <c r="R878" s="634" t="s">
        <v>2174</v>
      </c>
      <c r="S878" s="665" t="s">
        <v>1455</v>
      </c>
      <c r="T878" s="666"/>
      <c r="U878" s="665"/>
      <c r="V878" s="665"/>
      <c r="W878" s="668" t="s">
        <v>92</v>
      </c>
      <c r="X878" s="638" t="s">
        <v>6040</v>
      </c>
      <c r="Y878" s="637" t="s">
        <v>6041</v>
      </c>
      <c r="Z878" s="667">
        <v>920000</v>
      </c>
      <c r="AA878" s="609" t="s">
        <v>1458</v>
      </c>
      <c r="AB878" s="642" t="s">
        <v>263</v>
      </c>
      <c r="AC878" s="652"/>
      <c r="AD878" s="652" t="s">
        <v>113</v>
      </c>
      <c r="AE878" s="852">
        <f t="shared" si="19"/>
        <v>4</v>
      </c>
    </row>
    <row r="879" spans="1:31" ht="105" hidden="1" x14ac:dyDescent="0.25">
      <c r="A879" s="608" t="s">
        <v>4235</v>
      </c>
      <c r="B879" s="846" t="s">
        <v>1618</v>
      </c>
      <c r="C879" s="846" t="s">
        <v>1619</v>
      </c>
      <c r="D879" s="670" t="s">
        <v>4297</v>
      </c>
      <c r="E879" s="847" t="s">
        <v>3149</v>
      </c>
      <c r="F879" s="846" t="s">
        <v>1528</v>
      </c>
      <c r="G879" s="847" t="str">
        <f>IFERROR(VLOOKUP(F879,'[6]код океи'!$B$2:$C$448,2,1)," ")</f>
        <v>Штука</v>
      </c>
      <c r="H879" s="848">
        <v>2674</v>
      </c>
      <c r="I879" s="604" t="s">
        <v>2161</v>
      </c>
      <c r="J879" s="599" t="s">
        <v>1454</v>
      </c>
      <c r="K879" s="849" t="s">
        <v>3217</v>
      </c>
      <c r="L879" s="850">
        <v>2069517.63</v>
      </c>
      <c r="M879" s="609" t="s">
        <v>2184</v>
      </c>
      <c r="N879" s="849">
        <v>2069517.63</v>
      </c>
      <c r="O879" s="851">
        <v>42810.5</v>
      </c>
      <c r="P879" s="851">
        <v>43100</v>
      </c>
      <c r="Q879" s="634" t="s">
        <v>110</v>
      </c>
      <c r="R879" s="634" t="s">
        <v>2174</v>
      </c>
      <c r="S879" s="665" t="s">
        <v>1455</v>
      </c>
      <c r="T879" s="666"/>
      <c r="U879" s="665"/>
      <c r="V879" s="665"/>
      <c r="W879" s="668" t="s">
        <v>70</v>
      </c>
      <c r="X879" s="669"/>
      <c r="Y879" s="668"/>
      <c r="Z879" s="667"/>
      <c r="AA879" s="609" t="s">
        <v>1458</v>
      </c>
      <c r="AB879" s="642" t="s">
        <v>263</v>
      </c>
      <c r="AC879" s="652"/>
      <c r="AD879" s="652" t="s">
        <v>113</v>
      </c>
      <c r="AE879" s="852">
        <f t="shared" si="19"/>
        <v>3</v>
      </c>
    </row>
    <row r="880" spans="1:31" ht="114.75" hidden="1" x14ac:dyDescent="0.25">
      <c r="A880" s="608" t="s">
        <v>4236</v>
      </c>
      <c r="B880" s="846" t="s">
        <v>2193</v>
      </c>
      <c r="C880" s="846" t="s">
        <v>3120</v>
      </c>
      <c r="D880" s="670" t="s">
        <v>4296</v>
      </c>
      <c r="E880" s="847" t="s">
        <v>1582</v>
      </c>
      <c r="F880" s="846" t="s">
        <v>1528</v>
      </c>
      <c r="G880" s="847" t="str">
        <f>IFERROR(VLOOKUP(F880,'[6]код океи'!$B$2:$C$448,2,1)," ")</f>
        <v>Штука</v>
      </c>
      <c r="H880" s="848">
        <v>1</v>
      </c>
      <c r="I880" s="604" t="s">
        <v>2161</v>
      </c>
      <c r="J880" s="599" t="s">
        <v>1454</v>
      </c>
      <c r="K880" s="849" t="s">
        <v>3218</v>
      </c>
      <c r="L880" s="850">
        <v>769394.67</v>
      </c>
      <c r="M880" s="838" t="s">
        <v>4828</v>
      </c>
      <c r="N880" s="849">
        <v>769394.67</v>
      </c>
      <c r="O880" s="851">
        <v>42826</v>
      </c>
      <c r="P880" s="851">
        <v>42856</v>
      </c>
      <c r="Q880" s="634" t="s">
        <v>110</v>
      </c>
      <c r="R880" s="634" t="s">
        <v>2174</v>
      </c>
      <c r="S880" s="665" t="s">
        <v>1455</v>
      </c>
      <c r="T880" s="666"/>
      <c r="U880" s="665"/>
      <c r="V880" s="665"/>
      <c r="W880" s="668" t="s">
        <v>67</v>
      </c>
      <c r="X880" s="638" t="s">
        <v>5114</v>
      </c>
      <c r="Y880" s="637" t="s">
        <v>5115</v>
      </c>
      <c r="Z880" s="667">
        <v>769394.67</v>
      </c>
      <c r="AA880" s="609" t="s">
        <v>1458</v>
      </c>
      <c r="AB880" s="642" t="s">
        <v>263</v>
      </c>
      <c r="AC880" s="652"/>
      <c r="AD880" s="652" t="s">
        <v>113</v>
      </c>
      <c r="AE880" s="852">
        <f t="shared" si="19"/>
        <v>4</v>
      </c>
    </row>
    <row r="881" spans="1:31" ht="105" hidden="1" x14ac:dyDescent="0.25">
      <c r="A881" s="608" t="s">
        <v>4237</v>
      </c>
      <c r="B881" s="846" t="s">
        <v>2176</v>
      </c>
      <c r="C881" s="846" t="s">
        <v>2037</v>
      </c>
      <c r="D881" s="670" t="s">
        <v>4295</v>
      </c>
      <c r="E881" s="847" t="s">
        <v>1992</v>
      </c>
      <c r="F881" s="846" t="s">
        <v>1587</v>
      </c>
      <c r="G881" s="847" t="str">
        <f>IFERROR(VLOOKUP(F881,'[6]код океи'!$B$2:$C$448,2,1)," ")</f>
        <v>Комплект</v>
      </c>
      <c r="H881" s="848">
        <v>1</v>
      </c>
      <c r="I881" s="604" t="s">
        <v>2161</v>
      </c>
      <c r="J881" s="599" t="s">
        <v>1454</v>
      </c>
      <c r="K881" s="849" t="s">
        <v>3219</v>
      </c>
      <c r="L881" s="850">
        <v>1623393.59</v>
      </c>
      <c r="M881" s="838" t="s">
        <v>4813</v>
      </c>
      <c r="N881" s="849">
        <v>1623393.59</v>
      </c>
      <c r="O881" s="851">
        <v>42810.5</v>
      </c>
      <c r="P881" s="851">
        <v>43100</v>
      </c>
      <c r="Q881" s="634" t="s">
        <v>110</v>
      </c>
      <c r="R881" s="634" t="s">
        <v>2174</v>
      </c>
      <c r="S881" s="665" t="s">
        <v>1455</v>
      </c>
      <c r="T881" s="666"/>
      <c r="U881" s="665"/>
      <c r="V881" s="665"/>
      <c r="W881" s="668" t="s">
        <v>73</v>
      </c>
      <c r="X881" s="638" t="s">
        <v>2361</v>
      </c>
      <c r="Y881" s="853" t="s">
        <v>1955</v>
      </c>
      <c r="Z881" s="667">
        <v>1623393.59</v>
      </c>
      <c r="AA881" s="609" t="s">
        <v>1458</v>
      </c>
      <c r="AB881" s="642" t="s">
        <v>263</v>
      </c>
      <c r="AC881" s="652"/>
      <c r="AD881" s="652" t="s">
        <v>113</v>
      </c>
      <c r="AE881" s="852">
        <f t="shared" si="19"/>
        <v>3</v>
      </c>
    </row>
    <row r="882" spans="1:31" ht="105" hidden="1" x14ac:dyDescent="0.25">
      <c r="A882" s="608" t="s">
        <v>4238</v>
      </c>
      <c r="B882" s="846" t="s">
        <v>1576</v>
      </c>
      <c r="C882" s="846" t="s">
        <v>1540</v>
      </c>
      <c r="D882" s="670" t="s">
        <v>5161</v>
      </c>
      <c r="E882" s="847" t="s">
        <v>1992</v>
      </c>
      <c r="F882" s="846" t="s">
        <v>1528</v>
      </c>
      <c r="G882" s="847" t="str">
        <f>IFERROR(VLOOKUP(F882,'[6]код океи'!$B$2:$C$448,2,1)," ")</f>
        <v>Штука</v>
      </c>
      <c r="H882" s="848">
        <v>40</v>
      </c>
      <c r="I882" s="604" t="s">
        <v>2161</v>
      </c>
      <c r="J882" s="599" t="s">
        <v>1454</v>
      </c>
      <c r="K882" s="849" t="s">
        <v>2537</v>
      </c>
      <c r="L882" s="850">
        <v>667508.24</v>
      </c>
      <c r="M882" s="838" t="s">
        <v>4813</v>
      </c>
      <c r="N882" s="849">
        <v>667508.24</v>
      </c>
      <c r="O882" s="851">
        <v>42826</v>
      </c>
      <c r="P882" s="851">
        <v>43070</v>
      </c>
      <c r="Q882" s="634" t="s">
        <v>110</v>
      </c>
      <c r="R882" s="634" t="s">
        <v>2174</v>
      </c>
      <c r="S882" s="665" t="s">
        <v>1455</v>
      </c>
      <c r="T882" s="666"/>
      <c r="U882" s="665"/>
      <c r="V882" s="665"/>
      <c r="W882" s="668"/>
      <c r="X882" s="669"/>
      <c r="Y882" s="668"/>
      <c r="Z882" s="667"/>
      <c r="AA882" s="609" t="s">
        <v>1458</v>
      </c>
      <c r="AB882" s="642" t="s">
        <v>263</v>
      </c>
      <c r="AC882" s="652"/>
      <c r="AD882" s="652" t="s">
        <v>113</v>
      </c>
      <c r="AE882" s="852">
        <f t="shared" si="19"/>
        <v>4</v>
      </c>
    </row>
    <row r="883" spans="1:31" ht="105" hidden="1" x14ac:dyDescent="0.25">
      <c r="A883" s="608" t="s">
        <v>4239</v>
      </c>
      <c r="B883" s="846" t="s">
        <v>2095</v>
      </c>
      <c r="C883" s="846" t="s">
        <v>3121</v>
      </c>
      <c r="D883" s="670" t="s">
        <v>5160</v>
      </c>
      <c r="E883" s="847" t="s">
        <v>1992</v>
      </c>
      <c r="F883" s="846" t="s">
        <v>1528</v>
      </c>
      <c r="G883" s="847" t="str">
        <f>IFERROR(VLOOKUP(F883,'[6]код океи'!$B$2:$C$448,2,1)," ")</f>
        <v>Штука</v>
      </c>
      <c r="H883" s="848">
        <v>2</v>
      </c>
      <c r="I883" s="604" t="s">
        <v>2161</v>
      </c>
      <c r="J883" s="599" t="s">
        <v>1454</v>
      </c>
      <c r="K883" s="849" t="s">
        <v>3220</v>
      </c>
      <c r="L883" s="850">
        <v>301608</v>
      </c>
      <c r="M883" s="609" t="s">
        <v>2184</v>
      </c>
      <c r="N883" s="849">
        <v>301608</v>
      </c>
      <c r="O883" s="851">
        <v>42856</v>
      </c>
      <c r="P883" s="851">
        <v>43070</v>
      </c>
      <c r="Q883" s="634" t="s">
        <v>110</v>
      </c>
      <c r="R883" s="634" t="s">
        <v>2174</v>
      </c>
      <c r="S883" s="665" t="s">
        <v>1455</v>
      </c>
      <c r="T883" s="666"/>
      <c r="U883" s="665"/>
      <c r="V883" s="665"/>
      <c r="W883" s="668" t="s">
        <v>73</v>
      </c>
      <c r="X883" s="638" t="s">
        <v>5773</v>
      </c>
      <c r="Y883" s="637" t="s">
        <v>5774</v>
      </c>
      <c r="Z883" s="667">
        <v>301608</v>
      </c>
      <c r="AA883" s="609" t="s">
        <v>1458</v>
      </c>
      <c r="AB883" s="642" t="s">
        <v>263</v>
      </c>
      <c r="AC883" s="652"/>
      <c r="AD883" s="652" t="s">
        <v>113</v>
      </c>
      <c r="AE883" s="852">
        <f t="shared" si="19"/>
        <v>5</v>
      </c>
    </row>
    <row r="884" spans="1:31" ht="105" hidden="1" x14ac:dyDescent="0.25">
      <c r="A884" s="608" t="s">
        <v>4240</v>
      </c>
      <c r="B884" s="846" t="s">
        <v>2205</v>
      </c>
      <c r="C884" s="846" t="s">
        <v>3122</v>
      </c>
      <c r="D884" s="670" t="s">
        <v>4294</v>
      </c>
      <c r="E884" s="847" t="s">
        <v>1992</v>
      </c>
      <c r="F884" s="846" t="s">
        <v>1528</v>
      </c>
      <c r="G884" s="847" t="str">
        <f>IFERROR(VLOOKUP(F884,'[6]код океи'!$B$2:$C$448,2,1)," ")</f>
        <v>Штука</v>
      </c>
      <c r="H884" s="848">
        <v>2</v>
      </c>
      <c r="I884" s="604" t="s">
        <v>2161</v>
      </c>
      <c r="J884" s="599" t="s">
        <v>1454</v>
      </c>
      <c r="K884" s="849" t="s">
        <v>3221</v>
      </c>
      <c r="L884" s="850">
        <v>175547.56</v>
      </c>
      <c r="M884" s="609" t="s">
        <v>2184</v>
      </c>
      <c r="N884" s="849">
        <v>175547.56</v>
      </c>
      <c r="O884" s="851">
        <v>42826</v>
      </c>
      <c r="P884" s="851">
        <v>43070</v>
      </c>
      <c r="Q884" s="634" t="s">
        <v>110</v>
      </c>
      <c r="R884" s="634" t="s">
        <v>2174</v>
      </c>
      <c r="S884" s="665" t="s">
        <v>1455</v>
      </c>
      <c r="T884" s="666"/>
      <c r="U884" s="665"/>
      <c r="V884" s="665"/>
      <c r="W884" s="668"/>
      <c r="X884" s="669"/>
      <c r="Y884" s="668"/>
      <c r="Z884" s="667"/>
      <c r="AA884" s="609" t="s">
        <v>1458</v>
      </c>
      <c r="AB884" s="642" t="s">
        <v>263</v>
      </c>
      <c r="AC884" s="652"/>
      <c r="AD884" s="652" t="s">
        <v>113</v>
      </c>
      <c r="AE884" s="852">
        <f t="shared" si="19"/>
        <v>4</v>
      </c>
    </row>
    <row r="885" spans="1:31" ht="105" hidden="1" x14ac:dyDescent="0.25">
      <c r="A885" s="608" t="s">
        <v>4241</v>
      </c>
      <c r="B885" s="846" t="s">
        <v>1917</v>
      </c>
      <c r="C885" s="846" t="s">
        <v>1917</v>
      </c>
      <c r="D885" s="670" t="s">
        <v>5159</v>
      </c>
      <c r="E885" s="847" t="s">
        <v>1657</v>
      </c>
      <c r="F885" s="846" t="s">
        <v>1587</v>
      </c>
      <c r="G885" s="847" t="str">
        <f>IFERROR(VLOOKUP(F885,'[6]код океи'!$B$2:$C$448,2,1)," ")</f>
        <v>Комплект</v>
      </c>
      <c r="H885" s="848">
        <v>1</v>
      </c>
      <c r="I885" s="604" t="s">
        <v>2161</v>
      </c>
      <c r="J885" s="599" t="s">
        <v>1454</v>
      </c>
      <c r="K885" s="849" t="s">
        <v>3222</v>
      </c>
      <c r="L885" s="850">
        <v>148933.18</v>
      </c>
      <c r="M885" s="609" t="s">
        <v>2184</v>
      </c>
      <c r="N885" s="849">
        <v>148933.18</v>
      </c>
      <c r="O885" s="851">
        <v>42826</v>
      </c>
      <c r="P885" s="851">
        <v>43070</v>
      </c>
      <c r="Q885" s="634" t="s">
        <v>110</v>
      </c>
      <c r="R885" s="634" t="s">
        <v>2174</v>
      </c>
      <c r="S885" s="665" t="s">
        <v>1455</v>
      </c>
      <c r="T885" s="666"/>
      <c r="U885" s="665"/>
      <c r="V885" s="665"/>
      <c r="W885" s="668" t="s">
        <v>266</v>
      </c>
      <c r="X885" s="638" t="s">
        <v>3286</v>
      </c>
      <c r="Y885" s="637" t="s">
        <v>3287</v>
      </c>
      <c r="Z885" s="667">
        <v>148933.18</v>
      </c>
      <c r="AA885" s="609" t="s">
        <v>1458</v>
      </c>
      <c r="AB885" s="642" t="s">
        <v>263</v>
      </c>
      <c r="AC885" s="652"/>
      <c r="AD885" s="652" t="s">
        <v>113</v>
      </c>
      <c r="AE885" s="852">
        <f t="shared" si="19"/>
        <v>4</v>
      </c>
    </row>
    <row r="886" spans="1:31" ht="105" hidden="1" x14ac:dyDescent="0.25">
      <c r="A886" s="608" t="s">
        <v>4242</v>
      </c>
      <c r="B886" s="846" t="s">
        <v>1787</v>
      </c>
      <c r="C886" s="846" t="s">
        <v>3123</v>
      </c>
      <c r="D886" s="670" t="s">
        <v>5158</v>
      </c>
      <c r="E886" s="847" t="s">
        <v>2235</v>
      </c>
      <c r="F886" s="846" t="s">
        <v>1528</v>
      </c>
      <c r="G886" s="847" t="str">
        <f>IFERROR(VLOOKUP(F886,'[6]код океи'!$B$2:$C$448,2,1)," ")</f>
        <v>Штука</v>
      </c>
      <c r="H886" s="848">
        <v>1</v>
      </c>
      <c r="I886" s="604" t="s">
        <v>2161</v>
      </c>
      <c r="J886" s="599" t="s">
        <v>1454</v>
      </c>
      <c r="K886" s="849" t="s">
        <v>3223</v>
      </c>
      <c r="L886" s="850">
        <v>114000</v>
      </c>
      <c r="M886" s="838" t="s">
        <v>4813</v>
      </c>
      <c r="N886" s="849">
        <v>114000</v>
      </c>
      <c r="O886" s="851">
        <v>42826</v>
      </c>
      <c r="P886" s="851">
        <v>42826</v>
      </c>
      <c r="Q886" s="634" t="s">
        <v>110</v>
      </c>
      <c r="R886" s="634" t="s">
        <v>2174</v>
      </c>
      <c r="S886" s="665" t="s">
        <v>1455</v>
      </c>
      <c r="T886" s="666"/>
      <c r="U886" s="665"/>
      <c r="V886" s="665"/>
      <c r="W886" s="668"/>
      <c r="X886" s="669"/>
      <c r="Y886" s="668"/>
      <c r="Z886" s="667"/>
      <c r="AA886" s="609" t="s">
        <v>1458</v>
      </c>
      <c r="AB886" s="642" t="s">
        <v>263</v>
      </c>
      <c r="AC886" s="652"/>
      <c r="AD886" s="652" t="s">
        <v>113</v>
      </c>
      <c r="AE886" s="852">
        <f t="shared" si="19"/>
        <v>4</v>
      </c>
    </row>
    <row r="887" spans="1:31" ht="105" hidden="1" x14ac:dyDescent="0.25">
      <c r="A887" s="608" t="s">
        <v>4243</v>
      </c>
      <c r="B887" s="846" t="s">
        <v>3124</v>
      </c>
      <c r="C887" s="846" t="s">
        <v>215</v>
      </c>
      <c r="D887" s="670" t="s">
        <v>4293</v>
      </c>
      <c r="E887" s="847" t="s">
        <v>3150</v>
      </c>
      <c r="F887" s="846" t="s">
        <v>1528</v>
      </c>
      <c r="G887" s="847" t="str">
        <f>IFERROR(VLOOKUP(F887,'[6]код океи'!$B$2:$C$448,2,1)," ")</f>
        <v>Штука</v>
      </c>
      <c r="H887" s="848">
        <v>250</v>
      </c>
      <c r="I887" s="604" t="s">
        <v>2161</v>
      </c>
      <c r="J887" s="599" t="s">
        <v>1454</v>
      </c>
      <c r="K887" s="849" t="s">
        <v>3224</v>
      </c>
      <c r="L887" s="850">
        <v>1342500</v>
      </c>
      <c r="M887" s="838" t="s">
        <v>4813</v>
      </c>
      <c r="N887" s="849">
        <v>1342500</v>
      </c>
      <c r="O887" s="851">
        <v>42826</v>
      </c>
      <c r="P887" s="851">
        <v>42826</v>
      </c>
      <c r="Q887" s="634" t="s">
        <v>108</v>
      </c>
      <c r="R887" s="634" t="s">
        <v>1456</v>
      </c>
      <c r="S887" s="634" t="s">
        <v>1457</v>
      </c>
      <c r="T887" s="666"/>
      <c r="U887" s="665"/>
      <c r="V887" s="665"/>
      <c r="W887" s="668"/>
      <c r="X887" s="669"/>
      <c r="Y887" s="668"/>
      <c r="Z887" s="667"/>
      <c r="AA887" s="609" t="s">
        <v>1458</v>
      </c>
      <c r="AB887" s="642" t="s">
        <v>263</v>
      </c>
      <c r="AC887" s="652"/>
      <c r="AD887" s="652" t="s">
        <v>113</v>
      </c>
      <c r="AE887" s="852">
        <f t="shared" si="19"/>
        <v>4</v>
      </c>
    </row>
    <row r="888" spans="1:31" ht="105" hidden="1" x14ac:dyDescent="0.25">
      <c r="A888" s="608" t="s">
        <v>4244</v>
      </c>
      <c r="B888" s="846" t="s">
        <v>1917</v>
      </c>
      <c r="C888" s="846" t="s">
        <v>1917</v>
      </c>
      <c r="D888" s="670" t="s">
        <v>5157</v>
      </c>
      <c r="E888" s="847" t="s">
        <v>1657</v>
      </c>
      <c r="F888" s="846" t="s">
        <v>1587</v>
      </c>
      <c r="G888" s="847" t="str">
        <f>IFERROR(VLOOKUP(F888,'[6]код океи'!$B$2:$C$448,2,1)," ")</f>
        <v>Комплект</v>
      </c>
      <c r="H888" s="848">
        <v>1</v>
      </c>
      <c r="I888" s="604" t="s">
        <v>2161</v>
      </c>
      <c r="J888" s="599" t="s">
        <v>1454</v>
      </c>
      <c r="K888" s="849" t="s">
        <v>3225</v>
      </c>
      <c r="L888" s="850">
        <v>296745.52</v>
      </c>
      <c r="M888" s="838" t="s">
        <v>4825</v>
      </c>
      <c r="N888" s="849">
        <v>296745.52</v>
      </c>
      <c r="O888" s="851">
        <v>42826</v>
      </c>
      <c r="P888" s="851">
        <v>43070</v>
      </c>
      <c r="Q888" s="634" t="s">
        <v>108</v>
      </c>
      <c r="R888" s="634" t="s">
        <v>1456</v>
      </c>
      <c r="S888" s="634" t="s">
        <v>1457</v>
      </c>
      <c r="T888" s="666"/>
      <c r="U888" s="665"/>
      <c r="V888" s="665"/>
      <c r="W888" s="668"/>
      <c r="X888" s="669"/>
      <c r="Y888" s="668"/>
      <c r="Z888" s="667"/>
      <c r="AA888" s="609" t="s">
        <v>1458</v>
      </c>
      <c r="AB888" s="642" t="s">
        <v>263</v>
      </c>
      <c r="AC888" s="652"/>
      <c r="AD888" s="652" t="s">
        <v>113</v>
      </c>
      <c r="AE888" s="852">
        <f t="shared" si="19"/>
        <v>4</v>
      </c>
    </row>
    <row r="889" spans="1:31" ht="105" hidden="1" x14ac:dyDescent="0.25">
      <c r="A889" s="608" t="s">
        <v>4245</v>
      </c>
      <c r="B889" s="846" t="s">
        <v>1540</v>
      </c>
      <c r="C889" s="846" t="s">
        <v>1540</v>
      </c>
      <c r="D889" s="670" t="s">
        <v>5156</v>
      </c>
      <c r="E889" s="847" t="s">
        <v>3151</v>
      </c>
      <c r="F889" s="846" t="s">
        <v>1528</v>
      </c>
      <c r="G889" s="847" t="str">
        <f>IFERROR(VLOOKUP(F889,'[6]код океи'!$B$2:$C$448,2,1)," ")</f>
        <v>Штука</v>
      </c>
      <c r="H889" s="848">
        <v>210</v>
      </c>
      <c r="I889" s="604" t="s">
        <v>2161</v>
      </c>
      <c r="J889" s="599" t="s">
        <v>1454</v>
      </c>
      <c r="K889" s="849" t="s">
        <v>3226</v>
      </c>
      <c r="L889" s="850">
        <v>201791.44</v>
      </c>
      <c r="M889" s="609" t="s">
        <v>2184</v>
      </c>
      <c r="N889" s="849">
        <v>201791.44</v>
      </c>
      <c r="O889" s="851">
        <v>42810.5</v>
      </c>
      <c r="P889" s="851">
        <v>42979</v>
      </c>
      <c r="Q889" s="634" t="s">
        <v>110</v>
      </c>
      <c r="R889" s="634" t="s">
        <v>2174</v>
      </c>
      <c r="S889" s="634" t="s">
        <v>1455</v>
      </c>
      <c r="T889" s="666"/>
      <c r="U889" s="665"/>
      <c r="V889" s="665" t="s">
        <v>45</v>
      </c>
      <c r="W889" s="668" t="s">
        <v>72</v>
      </c>
      <c r="X889" s="638" t="s">
        <v>5103</v>
      </c>
      <c r="Y889" s="637" t="s">
        <v>1717</v>
      </c>
      <c r="Z889" s="667">
        <v>201791.44</v>
      </c>
      <c r="AA889" s="609" t="s">
        <v>1458</v>
      </c>
      <c r="AB889" s="642" t="s">
        <v>263</v>
      </c>
      <c r="AC889" s="652"/>
      <c r="AD889" s="652" t="s">
        <v>113</v>
      </c>
      <c r="AE889" s="852">
        <f t="shared" si="19"/>
        <v>3</v>
      </c>
    </row>
    <row r="890" spans="1:31" ht="105" hidden="1" x14ac:dyDescent="0.25">
      <c r="A890" s="608" t="s">
        <v>4246</v>
      </c>
      <c r="B890" s="846" t="s">
        <v>2425</v>
      </c>
      <c r="C890" s="846" t="s">
        <v>3125</v>
      </c>
      <c r="D890" s="670" t="s">
        <v>4292</v>
      </c>
      <c r="E890" s="847" t="s">
        <v>3152</v>
      </c>
      <c r="F890" s="846" t="s">
        <v>1528</v>
      </c>
      <c r="G890" s="847" t="str">
        <f>IFERROR(VLOOKUP(F890,'[6]код океи'!$B$2:$C$448,2,1)," ")</f>
        <v>Штука</v>
      </c>
      <c r="H890" s="848">
        <v>15</v>
      </c>
      <c r="I890" s="604" t="s">
        <v>2161</v>
      </c>
      <c r="J890" s="599" t="s">
        <v>1454</v>
      </c>
      <c r="K890" s="849" t="s">
        <v>3227</v>
      </c>
      <c r="L890" s="850">
        <v>208417.5</v>
      </c>
      <c r="M890" s="609" t="s">
        <v>2184</v>
      </c>
      <c r="N890" s="849">
        <v>208417.5</v>
      </c>
      <c r="O890" s="851">
        <v>42826</v>
      </c>
      <c r="P890" s="851">
        <v>43922</v>
      </c>
      <c r="Q890" s="634" t="s">
        <v>110</v>
      </c>
      <c r="R890" s="634" t="s">
        <v>2174</v>
      </c>
      <c r="S890" s="665" t="s">
        <v>1455</v>
      </c>
      <c r="T890" s="666"/>
      <c r="U890" s="665"/>
      <c r="V890" s="665"/>
      <c r="W890" s="668" t="s">
        <v>92</v>
      </c>
      <c r="X890" s="638" t="s">
        <v>6037</v>
      </c>
      <c r="Y890" s="637" t="s">
        <v>6038</v>
      </c>
      <c r="Z890" s="667">
        <v>208417.5</v>
      </c>
      <c r="AA890" s="609" t="s">
        <v>1458</v>
      </c>
      <c r="AB890" s="642" t="s">
        <v>263</v>
      </c>
      <c r="AC890" s="652"/>
      <c r="AD890" s="652" t="s">
        <v>113</v>
      </c>
      <c r="AE890" s="852">
        <f t="shared" si="19"/>
        <v>4</v>
      </c>
    </row>
    <row r="891" spans="1:31" ht="267.75" hidden="1" x14ac:dyDescent="0.25">
      <c r="A891" s="608" t="s">
        <v>4247</v>
      </c>
      <c r="B891" s="846" t="s">
        <v>2023</v>
      </c>
      <c r="C891" s="846" t="s">
        <v>2023</v>
      </c>
      <c r="D891" s="670" t="s">
        <v>5155</v>
      </c>
      <c r="E891" s="847" t="s">
        <v>2022</v>
      </c>
      <c r="F891" s="846" t="s">
        <v>1528</v>
      </c>
      <c r="G891" s="847" t="str">
        <f>IFERROR(VLOOKUP(F891,'[6]код океи'!$B$2:$C$448,2,1)," ")</f>
        <v>Штука</v>
      </c>
      <c r="H891" s="848">
        <v>18</v>
      </c>
      <c r="I891" s="604" t="s">
        <v>2161</v>
      </c>
      <c r="J891" s="599" t="s">
        <v>1454</v>
      </c>
      <c r="K891" s="849" t="s">
        <v>3228</v>
      </c>
      <c r="L891" s="850">
        <v>1665400</v>
      </c>
      <c r="M891" s="609" t="s">
        <v>2184</v>
      </c>
      <c r="N891" s="849">
        <v>1665400</v>
      </c>
      <c r="O891" s="851">
        <v>42829</v>
      </c>
      <c r="P891" s="851">
        <v>43070</v>
      </c>
      <c r="Q891" s="634" t="s">
        <v>110</v>
      </c>
      <c r="R891" s="634" t="s">
        <v>2174</v>
      </c>
      <c r="S891" s="665" t="s">
        <v>1455</v>
      </c>
      <c r="T891" s="666"/>
      <c r="U891" s="665"/>
      <c r="V891" s="665"/>
      <c r="W891" s="668"/>
      <c r="X891" s="669"/>
      <c r="Y891" s="668"/>
      <c r="Z891" s="667"/>
      <c r="AA891" s="609" t="s">
        <v>1458</v>
      </c>
      <c r="AB891" s="642" t="s">
        <v>263</v>
      </c>
      <c r="AC891" s="652"/>
      <c r="AD891" s="652" t="s">
        <v>113</v>
      </c>
      <c r="AE891" s="852">
        <f t="shared" si="19"/>
        <v>4</v>
      </c>
    </row>
    <row r="892" spans="1:31" ht="178.5" hidden="1" x14ac:dyDescent="0.25">
      <c r="A892" s="608" t="s">
        <v>4248</v>
      </c>
      <c r="B892" s="846" t="s">
        <v>2023</v>
      </c>
      <c r="C892" s="846" t="s">
        <v>2023</v>
      </c>
      <c r="D892" s="670" t="s">
        <v>5154</v>
      </c>
      <c r="E892" s="847" t="s">
        <v>2022</v>
      </c>
      <c r="F892" s="846" t="s">
        <v>1528</v>
      </c>
      <c r="G892" s="847" t="str">
        <f>IFERROR(VLOOKUP(F892,'[6]код океи'!$B$2:$C$448,2,1)," ")</f>
        <v>Штука</v>
      </c>
      <c r="H892" s="848">
        <v>18</v>
      </c>
      <c r="I892" s="604" t="s">
        <v>2161</v>
      </c>
      <c r="J892" s="599" t="s">
        <v>1454</v>
      </c>
      <c r="K892" s="849" t="s">
        <v>3229</v>
      </c>
      <c r="L892" s="850">
        <v>2151600</v>
      </c>
      <c r="M892" s="838" t="s">
        <v>4813</v>
      </c>
      <c r="N892" s="849">
        <v>2151600</v>
      </c>
      <c r="O892" s="851">
        <v>42829</v>
      </c>
      <c r="P892" s="851">
        <v>43070</v>
      </c>
      <c r="Q892" s="634" t="s">
        <v>110</v>
      </c>
      <c r="R892" s="634" t="s">
        <v>2174</v>
      </c>
      <c r="S892" s="665" t="s">
        <v>1455</v>
      </c>
      <c r="T892" s="666"/>
      <c r="U892" s="665"/>
      <c r="V892" s="665"/>
      <c r="W892" s="668"/>
      <c r="X892" s="669"/>
      <c r="Y892" s="668"/>
      <c r="Z892" s="667"/>
      <c r="AA892" s="609" t="s">
        <v>1458</v>
      </c>
      <c r="AB892" s="642" t="s">
        <v>263</v>
      </c>
      <c r="AC892" s="652"/>
      <c r="AD892" s="652" t="s">
        <v>113</v>
      </c>
      <c r="AE892" s="852">
        <f t="shared" si="19"/>
        <v>4</v>
      </c>
    </row>
    <row r="893" spans="1:31" ht="165.75" hidden="1" x14ac:dyDescent="0.25">
      <c r="A893" s="608" t="s">
        <v>4249</v>
      </c>
      <c r="B893" s="846" t="s">
        <v>1576</v>
      </c>
      <c r="C893" s="846" t="s">
        <v>1738</v>
      </c>
      <c r="D893" s="670" t="s">
        <v>5153</v>
      </c>
      <c r="E893" s="847" t="s">
        <v>3153</v>
      </c>
      <c r="F893" s="846" t="s">
        <v>1528</v>
      </c>
      <c r="G893" s="847" t="str">
        <f>IFERROR(VLOOKUP(F893,'[6]код океи'!$B$2:$C$448,2,1)," ")</f>
        <v>Штука</v>
      </c>
      <c r="H893" s="848">
        <v>770</v>
      </c>
      <c r="I893" s="604" t="s">
        <v>2161</v>
      </c>
      <c r="J893" s="599" t="s">
        <v>1454</v>
      </c>
      <c r="K893" s="849" t="s">
        <v>3230</v>
      </c>
      <c r="L893" s="850">
        <v>570457.89</v>
      </c>
      <c r="M893" s="838" t="s">
        <v>4813</v>
      </c>
      <c r="N893" s="849">
        <v>570457.89</v>
      </c>
      <c r="O893" s="851">
        <v>42810.5</v>
      </c>
      <c r="P893" s="851">
        <v>42979</v>
      </c>
      <c r="Q893" s="634" t="s">
        <v>110</v>
      </c>
      <c r="R893" s="634" t="s">
        <v>2174</v>
      </c>
      <c r="S893" s="665" t="s">
        <v>1455</v>
      </c>
      <c r="T893" s="666"/>
      <c r="U893" s="665"/>
      <c r="V893" s="665"/>
      <c r="W893" s="668" t="s">
        <v>72</v>
      </c>
      <c r="X893" s="638" t="s">
        <v>3077</v>
      </c>
      <c r="Y893" s="637" t="s">
        <v>3078</v>
      </c>
      <c r="Z893" s="667">
        <v>570457.89</v>
      </c>
      <c r="AA893" s="609" t="s">
        <v>1458</v>
      </c>
      <c r="AB893" s="642" t="s">
        <v>263</v>
      </c>
      <c r="AC893" s="652"/>
      <c r="AD893" s="652" t="s">
        <v>113</v>
      </c>
      <c r="AE893" s="852">
        <f t="shared" si="19"/>
        <v>3</v>
      </c>
    </row>
    <row r="894" spans="1:31" ht="105" hidden="1" x14ac:dyDescent="0.25">
      <c r="A894" s="608" t="s">
        <v>4250</v>
      </c>
      <c r="B894" s="846" t="s">
        <v>1851</v>
      </c>
      <c r="C894" s="846" t="s">
        <v>2037</v>
      </c>
      <c r="D894" s="670" t="s">
        <v>5152</v>
      </c>
      <c r="E894" s="847" t="s">
        <v>2027</v>
      </c>
      <c r="F894" s="846" t="s">
        <v>1528</v>
      </c>
      <c r="G894" s="847" t="str">
        <f>IFERROR(VLOOKUP(F894,'[6]код океи'!$B$2:$C$448,2,1)," ")</f>
        <v>Штука</v>
      </c>
      <c r="H894" s="848">
        <v>195</v>
      </c>
      <c r="I894" s="604" t="s">
        <v>2161</v>
      </c>
      <c r="J894" s="599" t="s">
        <v>1454</v>
      </c>
      <c r="K894" s="849" t="s">
        <v>3231</v>
      </c>
      <c r="L894" s="850">
        <v>4896952.8</v>
      </c>
      <c r="M894" s="609" t="s">
        <v>4813</v>
      </c>
      <c r="N894" s="849">
        <v>4896952.8</v>
      </c>
      <c r="O894" s="851">
        <v>42829</v>
      </c>
      <c r="P894" s="851">
        <v>43070</v>
      </c>
      <c r="Q894" s="634" t="s">
        <v>110</v>
      </c>
      <c r="R894" s="634" t="s">
        <v>2174</v>
      </c>
      <c r="S894" s="665" t="s">
        <v>1455</v>
      </c>
      <c r="T894" s="666"/>
      <c r="U894" s="665"/>
      <c r="V894" s="665"/>
      <c r="W894" s="668" t="s">
        <v>73</v>
      </c>
      <c r="X894" s="638" t="s">
        <v>5939</v>
      </c>
      <c r="Y894" s="637" t="s">
        <v>5940</v>
      </c>
      <c r="Z894" s="667">
        <v>4896952.8</v>
      </c>
      <c r="AA894" s="609" t="s">
        <v>1458</v>
      </c>
      <c r="AB894" s="642" t="s">
        <v>263</v>
      </c>
      <c r="AC894" s="652"/>
      <c r="AD894" s="652" t="s">
        <v>113</v>
      </c>
      <c r="AE894" s="852">
        <f t="shared" si="19"/>
        <v>4</v>
      </c>
    </row>
    <row r="895" spans="1:31" ht="105" hidden="1" x14ac:dyDescent="0.25">
      <c r="A895" s="608" t="s">
        <v>4251</v>
      </c>
      <c r="B895" s="846" t="s">
        <v>152</v>
      </c>
      <c r="C895" s="846" t="s">
        <v>2042</v>
      </c>
      <c r="D895" s="670" t="s">
        <v>5151</v>
      </c>
      <c r="E895" s="847" t="s">
        <v>2022</v>
      </c>
      <c r="F895" s="846" t="s">
        <v>1528</v>
      </c>
      <c r="G895" s="847" t="str">
        <f>IFERROR(VLOOKUP(F895,'[6]код океи'!$B$2:$C$448,2,1)," ")</f>
        <v>Штука</v>
      </c>
      <c r="H895" s="848">
        <v>95</v>
      </c>
      <c r="I895" s="604" t="s">
        <v>2161</v>
      </c>
      <c r="J895" s="599" t="s">
        <v>1454</v>
      </c>
      <c r="K895" s="849" t="s">
        <v>3232</v>
      </c>
      <c r="L895" s="850">
        <v>451250</v>
      </c>
      <c r="M895" s="838" t="s">
        <v>4813</v>
      </c>
      <c r="N895" s="849">
        <v>451250</v>
      </c>
      <c r="O895" s="851">
        <v>42829</v>
      </c>
      <c r="P895" s="851">
        <v>43070</v>
      </c>
      <c r="Q895" s="634" t="s">
        <v>110</v>
      </c>
      <c r="R895" s="634" t="s">
        <v>2174</v>
      </c>
      <c r="S895" s="665" t="s">
        <v>1455</v>
      </c>
      <c r="T895" s="666"/>
      <c r="U895" s="665"/>
      <c r="V895" s="665"/>
      <c r="W895" s="668" t="s">
        <v>73</v>
      </c>
      <c r="X895" s="638" t="s">
        <v>5111</v>
      </c>
      <c r="Y895" s="637" t="s">
        <v>5112</v>
      </c>
      <c r="Z895" s="667">
        <v>451250</v>
      </c>
      <c r="AA895" s="609" t="s">
        <v>1458</v>
      </c>
      <c r="AB895" s="642" t="s">
        <v>263</v>
      </c>
      <c r="AC895" s="652"/>
      <c r="AD895" s="652" t="s">
        <v>113</v>
      </c>
      <c r="AE895" s="852">
        <f t="shared" si="19"/>
        <v>4</v>
      </c>
    </row>
    <row r="896" spans="1:31" ht="105" hidden="1" x14ac:dyDescent="0.25">
      <c r="A896" s="608" t="s">
        <v>4252</v>
      </c>
      <c r="B896" s="846" t="s">
        <v>152</v>
      </c>
      <c r="C896" s="846" t="s">
        <v>2042</v>
      </c>
      <c r="D896" s="670" t="s">
        <v>5150</v>
      </c>
      <c r="E896" s="854"/>
      <c r="F896" s="846" t="s">
        <v>1528</v>
      </c>
      <c r="G896" s="847" t="str">
        <f>IFERROR(VLOOKUP(F896,'[6]код океи'!$B$2:$C$448,2,1)," ")</f>
        <v>Штука</v>
      </c>
      <c r="H896" s="848">
        <v>105</v>
      </c>
      <c r="I896" s="604" t="s">
        <v>2161</v>
      </c>
      <c r="J896" s="599" t="s">
        <v>1454</v>
      </c>
      <c r="K896" s="849" t="s">
        <v>3233</v>
      </c>
      <c r="L896" s="850">
        <v>498750</v>
      </c>
      <c r="M896" s="838" t="s">
        <v>4813</v>
      </c>
      <c r="N896" s="849">
        <v>498750</v>
      </c>
      <c r="O896" s="851">
        <v>42829</v>
      </c>
      <c r="P896" s="851">
        <v>43070</v>
      </c>
      <c r="Q896" s="634" t="s">
        <v>110</v>
      </c>
      <c r="R896" s="634" t="s">
        <v>2174</v>
      </c>
      <c r="S896" s="665" t="s">
        <v>1455</v>
      </c>
      <c r="T896" s="666"/>
      <c r="U896" s="665"/>
      <c r="V896" s="665"/>
      <c r="W896" s="668" t="s">
        <v>73</v>
      </c>
      <c r="X896" s="638" t="s">
        <v>5111</v>
      </c>
      <c r="Y896" s="637" t="s">
        <v>5112</v>
      </c>
      <c r="Z896" s="667">
        <v>498750</v>
      </c>
      <c r="AA896" s="609" t="s">
        <v>1458</v>
      </c>
      <c r="AB896" s="642" t="s">
        <v>263</v>
      </c>
      <c r="AC896" s="652"/>
      <c r="AD896" s="652" t="s">
        <v>113</v>
      </c>
      <c r="AE896" s="852">
        <f t="shared" si="19"/>
        <v>4</v>
      </c>
    </row>
    <row r="897" spans="1:31" ht="105" hidden="1" x14ac:dyDescent="0.25">
      <c r="A897" s="608" t="s">
        <v>4253</v>
      </c>
      <c r="B897" s="846" t="s">
        <v>1793</v>
      </c>
      <c r="C897" s="846" t="s">
        <v>3126</v>
      </c>
      <c r="D897" s="670" t="s">
        <v>5149</v>
      </c>
      <c r="E897" s="847" t="s">
        <v>2235</v>
      </c>
      <c r="F897" s="846" t="s">
        <v>1528</v>
      </c>
      <c r="G897" s="847" t="str">
        <f>IFERROR(VLOOKUP(F897,'[6]код океи'!$B$2:$C$448,2,1)," ")</f>
        <v>Штука</v>
      </c>
      <c r="H897" s="848">
        <v>2</v>
      </c>
      <c r="I897" s="604" t="s">
        <v>2161</v>
      </c>
      <c r="J897" s="599" t="s">
        <v>1454</v>
      </c>
      <c r="K897" s="849" t="s">
        <v>3234</v>
      </c>
      <c r="L897" s="850">
        <v>656977.42000000004</v>
      </c>
      <c r="M897" s="609" t="s">
        <v>2184</v>
      </c>
      <c r="N897" s="849">
        <v>656977.42000000004</v>
      </c>
      <c r="O897" s="851">
        <v>42810.5</v>
      </c>
      <c r="P897" s="851">
        <v>42859</v>
      </c>
      <c r="Q897" s="634" t="s">
        <v>108</v>
      </c>
      <c r="R897" s="634" t="s">
        <v>1456</v>
      </c>
      <c r="S897" s="634" t="s">
        <v>1457</v>
      </c>
      <c r="T897" s="666"/>
      <c r="U897" s="665"/>
      <c r="V897" s="665"/>
      <c r="W897" s="668"/>
      <c r="X897" s="669"/>
      <c r="Y897" s="668"/>
      <c r="Z897" s="667"/>
      <c r="AA897" s="609" t="s">
        <v>1458</v>
      </c>
      <c r="AB897" s="642" t="s">
        <v>263</v>
      </c>
      <c r="AC897" s="652"/>
      <c r="AD897" s="652" t="s">
        <v>113</v>
      </c>
      <c r="AE897" s="852">
        <f t="shared" si="19"/>
        <v>3</v>
      </c>
    </row>
    <row r="898" spans="1:31" ht="105" hidden="1" x14ac:dyDescent="0.25">
      <c r="A898" s="608" t="s">
        <v>4254</v>
      </c>
      <c r="B898" s="846" t="s">
        <v>1951</v>
      </c>
      <c r="C898" s="846" t="s">
        <v>2192</v>
      </c>
      <c r="D898" s="670" t="s">
        <v>5148</v>
      </c>
      <c r="E898" s="847" t="s">
        <v>2178</v>
      </c>
      <c r="F898" s="846" t="s">
        <v>1528</v>
      </c>
      <c r="G898" s="847" t="str">
        <f>IFERROR(VLOOKUP(F898,'[6]код океи'!$B$2:$C$448,2,1)," ")</f>
        <v>Штука</v>
      </c>
      <c r="H898" s="848">
        <v>600</v>
      </c>
      <c r="I898" s="604" t="s">
        <v>2161</v>
      </c>
      <c r="J898" s="599" t="s">
        <v>1454</v>
      </c>
      <c r="K898" s="849" t="s">
        <v>3235</v>
      </c>
      <c r="L898" s="850">
        <v>2544552</v>
      </c>
      <c r="M898" s="838" t="s">
        <v>4813</v>
      </c>
      <c r="N898" s="849">
        <v>2544552</v>
      </c>
      <c r="O898" s="851">
        <v>42859</v>
      </c>
      <c r="P898" s="851">
        <v>43070</v>
      </c>
      <c r="Q898" s="634" t="s">
        <v>110</v>
      </c>
      <c r="R898" s="634" t="s">
        <v>2174</v>
      </c>
      <c r="S898" s="665" t="s">
        <v>1455</v>
      </c>
      <c r="T898" s="666"/>
      <c r="U898" s="665"/>
      <c r="V898" s="665"/>
      <c r="W898" s="668" t="s">
        <v>73</v>
      </c>
      <c r="X898" s="638" t="s">
        <v>2337</v>
      </c>
      <c r="Y898" s="637" t="s">
        <v>2342</v>
      </c>
      <c r="Z898" s="667">
        <v>2544552</v>
      </c>
      <c r="AA898" s="609" t="s">
        <v>1458</v>
      </c>
      <c r="AB898" s="642" t="s">
        <v>263</v>
      </c>
      <c r="AC898" s="652"/>
      <c r="AD898" s="652" t="s">
        <v>113</v>
      </c>
      <c r="AE898" s="852">
        <f t="shared" si="19"/>
        <v>5</v>
      </c>
    </row>
    <row r="899" spans="1:31" ht="105" hidden="1" x14ac:dyDescent="0.25">
      <c r="A899" s="608" t="s">
        <v>4255</v>
      </c>
      <c r="B899" s="846" t="s">
        <v>1944</v>
      </c>
      <c r="C899" s="846" t="s">
        <v>2203</v>
      </c>
      <c r="D899" s="670" t="s">
        <v>4291</v>
      </c>
      <c r="E899" s="847" t="s">
        <v>3142</v>
      </c>
      <c r="F899" s="846" t="s">
        <v>1528</v>
      </c>
      <c r="G899" s="847" t="s">
        <v>3160</v>
      </c>
      <c r="H899" s="848">
        <v>100</v>
      </c>
      <c r="I899" s="604" t="s">
        <v>2161</v>
      </c>
      <c r="J899" s="599" t="s">
        <v>1454</v>
      </c>
      <c r="K899" s="849" t="s">
        <v>3236</v>
      </c>
      <c r="L899" s="850">
        <v>1229996.6000000001</v>
      </c>
      <c r="M899" s="838" t="s">
        <v>4813</v>
      </c>
      <c r="N899" s="849">
        <v>1229996.6000000001</v>
      </c>
      <c r="O899" s="851">
        <v>42826</v>
      </c>
      <c r="P899" s="851">
        <v>42826</v>
      </c>
      <c r="Q899" s="634" t="s">
        <v>110</v>
      </c>
      <c r="R899" s="634" t="s">
        <v>2174</v>
      </c>
      <c r="S899" s="665" t="s">
        <v>1455</v>
      </c>
      <c r="T899" s="666"/>
      <c r="U899" s="665"/>
      <c r="V899" s="665"/>
      <c r="W899" s="668"/>
      <c r="X899" s="669"/>
      <c r="Y899" s="668"/>
      <c r="Z899" s="667"/>
      <c r="AA899" s="609" t="s">
        <v>1458</v>
      </c>
      <c r="AB899" s="642" t="s">
        <v>263</v>
      </c>
      <c r="AC899" s="652"/>
      <c r="AD899" s="652" t="s">
        <v>113</v>
      </c>
      <c r="AE899" s="852">
        <f t="shared" si="19"/>
        <v>4</v>
      </c>
    </row>
    <row r="900" spans="1:31" ht="105" hidden="1" x14ac:dyDescent="0.25">
      <c r="A900" s="608" t="s">
        <v>4256</v>
      </c>
      <c r="B900" s="846" t="s">
        <v>1944</v>
      </c>
      <c r="C900" s="846" t="s">
        <v>2203</v>
      </c>
      <c r="D900" s="670" t="s">
        <v>4290</v>
      </c>
      <c r="E900" s="847" t="s">
        <v>3142</v>
      </c>
      <c r="F900" s="846" t="s">
        <v>1528</v>
      </c>
      <c r="G900" s="847" t="s">
        <v>3160</v>
      </c>
      <c r="H900" s="848">
        <v>100</v>
      </c>
      <c r="I900" s="604" t="s">
        <v>2161</v>
      </c>
      <c r="J900" s="599" t="s">
        <v>1454</v>
      </c>
      <c r="K900" s="849" t="s">
        <v>3237</v>
      </c>
      <c r="L900" s="850">
        <v>1578500</v>
      </c>
      <c r="M900" s="838" t="s">
        <v>4813</v>
      </c>
      <c r="N900" s="849">
        <v>1578500</v>
      </c>
      <c r="O900" s="851">
        <v>42826</v>
      </c>
      <c r="P900" s="851">
        <v>42826</v>
      </c>
      <c r="Q900" s="634" t="s">
        <v>110</v>
      </c>
      <c r="R900" s="634" t="s">
        <v>2174</v>
      </c>
      <c r="S900" s="665" t="s">
        <v>1455</v>
      </c>
      <c r="T900" s="666"/>
      <c r="U900" s="665"/>
      <c r="V900" s="665"/>
      <c r="W900" s="668"/>
      <c r="X900" s="669"/>
      <c r="Y900" s="668"/>
      <c r="Z900" s="667"/>
      <c r="AA900" s="609" t="s">
        <v>1458</v>
      </c>
      <c r="AB900" s="642" t="s">
        <v>263</v>
      </c>
      <c r="AC900" s="652"/>
      <c r="AD900" s="652" t="s">
        <v>113</v>
      </c>
      <c r="AE900" s="852">
        <f t="shared" si="19"/>
        <v>4</v>
      </c>
    </row>
    <row r="901" spans="1:31" ht="105" hidden="1" x14ac:dyDescent="0.25">
      <c r="A901" s="608" t="s">
        <v>4257</v>
      </c>
      <c r="B901" s="846" t="s">
        <v>1944</v>
      </c>
      <c r="C901" s="846" t="s">
        <v>2203</v>
      </c>
      <c r="D901" s="670" t="s">
        <v>4289</v>
      </c>
      <c r="E901" s="847" t="s">
        <v>3142</v>
      </c>
      <c r="F901" s="846" t="s">
        <v>1528</v>
      </c>
      <c r="G901" s="847" t="s">
        <v>3160</v>
      </c>
      <c r="H901" s="848">
        <v>120</v>
      </c>
      <c r="I901" s="604" t="s">
        <v>2161</v>
      </c>
      <c r="J901" s="599" t="s">
        <v>1454</v>
      </c>
      <c r="K901" s="849" t="s">
        <v>3205</v>
      </c>
      <c r="L901" s="850">
        <v>996000</v>
      </c>
      <c r="M901" s="838" t="s">
        <v>4813</v>
      </c>
      <c r="N901" s="849">
        <v>996000</v>
      </c>
      <c r="O901" s="851">
        <v>42826</v>
      </c>
      <c r="P901" s="851">
        <v>42826</v>
      </c>
      <c r="Q901" s="634" t="s">
        <v>110</v>
      </c>
      <c r="R901" s="634" t="s">
        <v>2174</v>
      </c>
      <c r="S901" s="665" t="s">
        <v>1455</v>
      </c>
      <c r="T901" s="666"/>
      <c r="U901" s="665"/>
      <c r="V901" s="665"/>
      <c r="W901" s="668"/>
      <c r="X901" s="669"/>
      <c r="Y901" s="668"/>
      <c r="Z901" s="667"/>
      <c r="AA901" s="609" t="s">
        <v>1458</v>
      </c>
      <c r="AB901" s="642" t="s">
        <v>263</v>
      </c>
      <c r="AC901" s="652"/>
      <c r="AD901" s="652" t="s">
        <v>113</v>
      </c>
      <c r="AE901" s="852">
        <f t="shared" si="19"/>
        <v>4</v>
      </c>
    </row>
    <row r="902" spans="1:31" ht="105" hidden="1" x14ac:dyDescent="0.25">
      <c r="A902" s="608" t="s">
        <v>4258</v>
      </c>
      <c r="B902" s="846" t="s">
        <v>1944</v>
      </c>
      <c r="C902" s="846" t="s">
        <v>2203</v>
      </c>
      <c r="D902" s="670" t="s">
        <v>4288</v>
      </c>
      <c r="E902" s="847" t="s">
        <v>3142</v>
      </c>
      <c r="F902" s="846" t="s">
        <v>1645</v>
      </c>
      <c r="G902" s="847" t="str">
        <f>IFERROR(VLOOKUP(F902,'[7]код океи'!$B$2:$C$448,2,1)," ")</f>
        <v>Килограмм</v>
      </c>
      <c r="H902" s="848">
        <v>1.75</v>
      </c>
      <c r="I902" s="604" t="s">
        <v>2161</v>
      </c>
      <c r="J902" s="599" t="s">
        <v>1454</v>
      </c>
      <c r="K902" s="849" t="s">
        <v>3238</v>
      </c>
      <c r="L902" s="850">
        <v>1076000</v>
      </c>
      <c r="M902" s="838" t="s">
        <v>4813</v>
      </c>
      <c r="N902" s="849">
        <v>1076000</v>
      </c>
      <c r="O902" s="851">
        <v>42826</v>
      </c>
      <c r="P902" s="851">
        <v>42826</v>
      </c>
      <c r="Q902" s="634" t="s">
        <v>110</v>
      </c>
      <c r="R902" s="634" t="s">
        <v>2174</v>
      </c>
      <c r="S902" s="665" t="s">
        <v>1455</v>
      </c>
      <c r="T902" s="666"/>
      <c r="U902" s="665"/>
      <c r="V902" s="665"/>
      <c r="W902" s="668"/>
      <c r="X902" s="669"/>
      <c r="Y902" s="668"/>
      <c r="Z902" s="667"/>
      <c r="AA902" s="609" t="s">
        <v>1458</v>
      </c>
      <c r="AB902" s="642" t="s">
        <v>263</v>
      </c>
      <c r="AC902" s="652"/>
      <c r="AD902" s="652" t="s">
        <v>113</v>
      </c>
      <c r="AE902" s="852">
        <f t="shared" si="19"/>
        <v>4</v>
      </c>
    </row>
    <row r="903" spans="1:31" ht="105" hidden="1" x14ac:dyDescent="0.25">
      <c r="A903" s="608" t="s">
        <v>4259</v>
      </c>
      <c r="B903" s="846" t="s">
        <v>1944</v>
      </c>
      <c r="C903" s="846" t="s">
        <v>2203</v>
      </c>
      <c r="D903" s="670" t="s">
        <v>4287</v>
      </c>
      <c r="E903" s="847" t="s">
        <v>3142</v>
      </c>
      <c r="F903" s="846" t="s">
        <v>1645</v>
      </c>
      <c r="G903" s="847" t="str">
        <f>IFERROR(VLOOKUP(F903,'[7]код океи'!$B$2:$C$448,2,1)," ")</f>
        <v>Килограмм</v>
      </c>
      <c r="H903" s="848">
        <v>1.6</v>
      </c>
      <c r="I903" s="604" t="s">
        <v>2161</v>
      </c>
      <c r="J903" s="599" t="s">
        <v>1454</v>
      </c>
      <c r="K903" s="849" t="s">
        <v>3239</v>
      </c>
      <c r="L903" s="850">
        <v>1045000</v>
      </c>
      <c r="M903" s="838" t="s">
        <v>4813</v>
      </c>
      <c r="N903" s="849">
        <v>1045000</v>
      </c>
      <c r="O903" s="851">
        <v>42826</v>
      </c>
      <c r="P903" s="851">
        <v>42826</v>
      </c>
      <c r="Q903" s="634" t="s">
        <v>110</v>
      </c>
      <c r="R903" s="634" t="s">
        <v>2174</v>
      </c>
      <c r="S903" s="665" t="s">
        <v>1455</v>
      </c>
      <c r="T903" s="666"/>
      <c r="U903" s="665"/>
      <c r="V903" s="665"/>
      <c r="W903" s="668"/>
      <c r="X903" s="669"/>
      <c r="Y903" s="668"/>
      <c r="Z903" s="667"/>
      <c r="AA903" s="609" t="s">
        <v>1458</v>
      </c>
      <c r="AB903" s="642" t="s">
        <v>263</v>
      </c>
      <c r="AC903" s="652"/>
      <c r="AD903" s="652" t="s">
        <v>113</v>
      </c>
      <c r="AE903" s="852">
        <f t="shared" si="19"/>
        <v>4</v>
      </c>
    </row>
    <row r="904" spans="1:31" ht="105" hidden="1" x14ac:dyDescent="0.25">
      <c r="A904" s="608" t="s">
        <v>4260</v>
      </c>
      <c r="B904" s="846" t="s">
        <v>1944</v>
      </c>
      <c r="C904" s="846" t="s">
        <v>2203</v>
      </c>
      <c r="D904" s="670" t="s">
        <v>4286</v>
      </c>
      <c r="E904" s="847" t="s">
        <v>3142</v>
      </c>
      <c r="F904" s="846" t="s">
        <v>1645</v>
      </c>
      <c r="G904" s="847" t="str">
        <f>IFERROR(VLOOKUP(F904,'[7]код океи'!$B$2:$C$448,2,1)," ")</f>
        <v>Килограмм</v>
      </c>
      <c r="H904" s="848">
        <v>1.4</v>
      </c>
      <c r="I904" s="604" t="s">
        <v>2161</v>
      </c>
      <c r="J904" s="599" t="s">
        <v>1454</v>
      </c>
      <c r="K904" s="849" t="s">
        <v>3240</v>
      </c>
      <c r="L904" s="850">
        <v>751000</v>
      </c>
      <c r="M904" s="838" t="s">
        <v>4813</v>
      </c>
      <c r="N904" s="849">
        <v>751000</v>
      </c>
      <c r="O904" s="851">
        <v>42826</v>
      </c>
      <c r="P904" s="851">
        <v>42826</v>
      </c>
      <c r="Q904" s="634" t="s">
        <v>110</v>
      </c>
      <c r="R904" s="634" t="s">
        <v>2174</v>
      </c>
      <c r="S904" s="665" t="s">
        <v>1455</v>
      </c>
      <c r="T904" s="666"/>
      <c r="U904" s="665"/>
      <c r="V904" s="665"/>
      <c r="W904" s="668"/>
      <c r="X904" s="669"/>
      <c r="Y904" s="668"/>
      <c r="Z904" s="667"/>
      <c r="AA904" s="609" t="s">
        <v>1458</v>
      </c>
      <c r="AB904" s="642" t="s">
        <v>263</v>
      </c>
      <c r="AC904" s="652"/>
      <c r="AD904" s="652" t="s">
        <v>113</v>
      </c>
      <c r="AE904" s="852">
        <f t="shared" si="19"/>
        <v>4</v>
      </c>
    </row>
    <row r="905" spans="1:31" ht="105" hidden="1" x14ac:dyDescent="0.25">
      <c r="A905" s="608" t="s">
        <v>4261</v>
      </c>
      <c r="B905" s="855" t="s">
        <v>1759</v>
      </c>
      <c r="C905" s="846" t="s">
        <v>1759</v>
      </c>
      <c r="D905" s="670" t="s">
        <v>4285</v>
      </c>
      <c r="E905" s="847" t="s">
        <v>3142</v>
      </c>
      <c r="F905" s="846" t="s">
        <v>1645</v>
      </c>
      <c r="G905" s="847" t="str">
        <f>IFERROR(VLOOKUP(F905,'[7]код океи'!$B$2:$C$448,2,1)," ")</f>
        <v>Килограмм</v>
      </c>
      <c r="H905" s="848">
        <v>27</v>
      </c>
      <c r="I905" s="604" t="s">
        <v>2161</v>
      </c>
      <c r="J905" s="599" t="s">
        <v>1454</v>
      </c>
      <c r="K905" s="849" t="s">
        <v>3241</v>
      </c>
      <c r="L905" s="850">
        <v>1831950</v>
      </c>
      <c r="M905" s="838" t="s">
        <v>4813</v>
      </c>
      <c r="N905" s="849">
        <v>1831950</v>
      </c>
      <c r="O905" s="851">
        <v>42826</v>
      </c>
      <c r="P905" s="851">
        <v>42826</v>
      </c>
      <c r="Q905" s="634" t="s">
        <v>110</v>
      </c>
      <c r="R905" s="634" t="s">
        <v>2174</v>
      </c>
      <c r="S905" s="665" t="s">
        <v>1455</v>
      </c>
      <c r="T905" s="666"/>
      <c r="U905" s="665"/>
      <c r="V905" s="665"/>
      <c r="W905" s="668"/>
      <c r="X905" s="669"/>
      <c r="Y905" s="668"/>
      <c r="Z905" s="667"/>
      <c r="AA905" s="609" t="s">
        <v>1458</v>
      </c>
      <c r="AB905" s="642" t="s">
        <v>263</v>
      </c>
      <c r="AC905" s="652"/>
      <c r="AD905" s="652" t="s">
        <v>113</v>
      </c>
      <c r="AE905" s="852">
        <f t="shared" si="19"/>
        <v>4</v>
      </c>
    </row>
    <row r="906" spans="1:31" ht="105" hidden="1" x14ac:dyDescent="0.25">
      <c r="A906" s="608" t="s">
        <v>4262</v>
      </c>
      <c r="B906" s="855" t="s">
        <v>1759</v>
      </c>
      <c r="C906" s="846" t="s">
        <v>1759</v>
      </c>
      <c r="D906" s="670" t="s">
        <v>4284</v>
      </c>
      <c r="E906" s="847" t="s">
        <v>3142</v>
      </c>
      <c r="F906" s="846" t="s">
        <v>1645</v>
      </c>
      <c r="G906" s="847" t="str">
        <f>IFERROR(VLOOKUP(F906,'[7]код океи'!$B$2:$C$448,2,1)," ")</f>
        <v>Килограмм</v>
      </c>
      <c r="H906" s="848">
        <v>25</v>
      </c>
      <c r="I906" s="604" t="s">
        <v>2161</v>
      </c>
      <c r="J906" s="599" t="s">
        <v>1454</v>
      </c>
      <c r="K906" s="849" t="s">
        <v>3242</v>
      </c>
      <c r="L906" s="850">
        <v>1696250</v>
      </c>
      <c r="M906" s="838" t="s">
        <v>4813</v>
      </c>
      <c r="N906" s="849">
        <v>1696250</v>
      </c>
      <c r="O906" s="851">
        <v>42826</v>
      </c>
      <c r="P906" s="851">
        <v>42826</v>
      </c>
      <c r="Q906" s="634" t="s">
        <v>110</v>
      </c>
      <c r="R906" s="634" t="s">
        <v>2174</v>
      </c>
      <c r="S906" s="665" t="s">
        <v>1455</v>
      </c>
      <c r="T906" s="666"/>
      <c r="U906" s="665"/>
      <c r="V906" s="665"/>
      <c r="W906" s="668"/>
      <c r="X906" s="669"/>
      <c r="Y906" s="668"/>
      <c r="Z906" s="667"/>
      <c r="AA906" s="609" t="s">
        <v>1458</v>
      </c>
      <c r="AB906" s="642" t="s">
        <v>263</v>
      </c>
      <c r="AC906" s="652"/>
      <c r="AD906" s="652" t="s">
        <v>113</v>
      </c>
      <c r="AE906" s="852">
        <f t="shared" si="19"/>
        <v>4</v>
      </c>
    </row>
    <row r="907" spans="1:31" ht="105" hidden="1" x14ac:dyDescent="0.25">
      <c r="A907" s="608" t="s">
        <v>4263</v>
      </c>
      <c r="B907" s="855" t="s">
        <v>1759</v>
      </c>
      <c r="C907" s="846" t="s">
        <v>1759</v>
      </c>
      <c r="D907" s="670" t="s">
        <v>4283</v>
      </c>
      <c r="E907" s="847" t="s">
        <v>3142</v>
      </c>
      <c r="F907" s="846" t="s">
        <v>1645</v>
      </c>
      <c r="G907" s="847" t="str">
        <f>IFERROR(VLOOKUP(F907,'[7]код океи'!$B$2:$C$448,2,1)," ")</f>
        <v>Килограмм</v>
      </c>
      <c r="H907" s="848">
        <v>24</v>
      </c>
      <c r="I907" s="604" t="s">
        <v>2161</v>
      </c>
      <c r="J907" s="599" t="s">
        <v>1454</v>
      </c>
      <c r="K907" s="849" t="s">
        <v>3243</v>
      </c>
      <c r="L907" s="850">
        <v>1628400</v>
      </c>
      <c r="M907" s="838" t="s">
        <v>4813</v>
      </c>
      <c r="N907" s="849">
        <v>1628400</v>
      </c>
      <c r="O907" s="851">
        <v>42826</v>
      </c>
      <c r="P907" s="851">
        <v>42826</v>
      </c>
      <c r="Q907" s="634" t="s">
        <v>110</v>
      </c>
      <c r="R907" s="634" t="s">
        <v>2174</v>
      </c>
      <c r="S907" s="665" t="s">
        <v>1455</v>
      </c>
      <c r="T907" s="666"/>
      <c r="U907" s="665"/>
      <c r="V907" s="665"/>
      <c r="W907" s="668"/>
      <c r="X907" s="669"/>
      <c r="Y907" s="668"/>
      <c r="Z907" s="667"/>
      <c r="AA907" s="609" t="s">
        <v>1458</v>
      </c>
      <c r="AB907" s="642" t="s">
        <v>263</v>
      </c>
      <c r="AC907" s="652"/>
      <c r="AD907" s="652" t="s">
        <v>113</v>
      </c>
      <c r="AE907" s="852">
        <f t="shared" ref="AE907:AE970" si="20">IF(O907=0,,MONTH(O907))</f>
        <v>4</v>
      </c>
    </row>
    <row r="908" spans="1:31" ht="105" hidden="1" x14ac:dyDescent="0.25">
      <c r="A908" s="608" t="s">
        <v>4264</v>
      </c>
      <c r="B908" s="846" t="s">
        <v>1531</v>
      </c>
      <c r="C908" s="846" t="s">
        <v>1531</v>
      </c>
      <c r="D908" s="670" t="s">
        <v>4282</v>
      </c>
      <c r="E908" s="847" t="s">
        <v>2022</v>
      </c>
      <c r="F908" s="846" t="s">
        <v>1645</v>
      </c>
      <c r="G908" s="847" t="str">
        <f>IFERROR(VLOOKUP(F908,'[6]код океи'!$B$2:$C$448,2,1)," ")</f>
        <v>Килограмм</v>
      </c>
      <c r="H908" s="848">
        <v>34.316000000000003</v>
      </c>
      <c r="I908" s="604" t="s">
        <v>2161</v>
      </c>
      <c r="J908" s="599" t="s">
        <v>1454</v>
      </c>
      <c r="K908" s="849" t="s">
        <v>3244</v>
      </c>
      <c r="L908" s="850">
        <v>344078</v>
      </c>
      <c r="M908" s="609" t="s">
        <v>2184</v>
      </c>
      <c r="N908" s="849">
        <v>344078</v>
      </c>
      <c r="O908" s="851">
        <v>42826</v>
      </c>
      <c r="P908" s="851">
        <v>43070</v>
      </c>
      <c r="Q908" s="634" t="s">
        <v>110</v>
      </c>
      <c r="R908" s="634" t="s">
        <v>2174</v>
      </c>
      <c r="S908" s="665" t="s">
        <v>1455</v>
      </c>
      <c r="T908" s="666"/>
      <c r="U908" s="665"/>
      <c r="V908" s="665"/>
      <c r="W908" s="668" t="s">
        <v>268</v>
      </c>
      <c r="X908" s="638" t="s">
        <v>3321</v>
      </c>
      <c r="Y908" s="637" t="s">
        <v>3322</v>
      </c>
      <c r="Z908" s="667">
        <v>344078</v>
      </c>
      <c r="AA908" s="609" t="s">
        <v>1458</v>
      </c>
      <c r="AB908" s="642" t="s">
        <v>263</v>
      </c>
      <c r="AC908" s="652"/>
      <c r="AD908" s="652" t="s">
        <v>113</v>
      </c>
      <c r="AE908" s="852">
        <f t="shared" si="20"/>
        <v>4</v>
      </c>
    </row>
    <row r="909" spans="1:31" ht="105" hidden="1" x14ac:dyDescent="0.25">
      <c r="A909" s="608" t="s">
        <v>4265</v>
      </c>
      <c r="B909" s="846" t="s">
        <v>3127</v>
      </c>
      <c r="C909" s="846" t="s">
        <v>3127</v>
      </c>
      <c r="D909" s="670" t="s">
        <v>5147</v>
      </c>
      <c r="E909" s="847" t="s">
        <v>3154</v>
      </c>
      <c r="F909" s="846" t="s">
        <v>1645</v>
      </c>
      <c r="G909" s="847" t="str">
        <f>IFERROR(VLOOKUP(F909,'[7]код океи'!$B$2:$C$448,2,1)," ")</f>
        <v>Килограмм</v>
      </c>
      <c r="H909" s="848">
        <v>100</v>
      </c>
      <c r="I909" s="604" t="s">
        <v>2161</v>
      </c>
      <c r="J909" s="599" t="s">
        <v>1454</v>
      </c>
      <c r="K909" s="849" t="s">
        <v>3245</v>
      </c>
      <c r="L909" s="850">
        <v>345000</v>
      </c>
      <c r="M909" s="609" t="s">
        <v>2184</v>
      </c>
      <c r="N909" s="849">
        <v>345000</v>
      </c>
      <c r="O909" s="851">
        <v>42826</v>
      </c>
      <c r="P909" s="851">
        <v>42887</v>
      </c>
      <c r="Q909" s="634" t="s">
        <v>108</v>
      </c>
      <c r="R909" s="634" t="s">
        <v>1456</v>
      </c>
      <c r="S909" s="634" t="s">
        <v>1457</v>
      </c>
      <c r="T909" s="666"/>
      <c r="U909" s="665"/>
      <c r="V909" s="665"/>
      <c r="W909" s="668"/>
      <c r="X909" s="669"/>
      <c r="Y909" s="668"/>
      <c r="Z909" s="667"/>
      <c r="AA909" s="609" t="s">
        <v>1458</v>
      </c>
      <c r="AB909" s="642" t="s">
        <v>263</v>
      </c>
      <c r="AC909" s="652"/>
      <c r="AD909" s="652" t="s">
        <v>113</v>
      </c>
      <c r="AE909" s="852">
        <f t="shared" si="20"/>
        <v>4</v>
      </c>
    </row>
    <row r="910" spans="1:31" ht="105" hidden="1" x14ac:dyDescent="0.25">
      <c r="A910" s="608" t="s">
        <v>4266</v>
      </c>
      <c r="B910" s="846" t="s">
        <v>138</v>
      </c>
      <c r="C910" s="846" t="s">
        <v>138</v>
      </c>
      <c r="D910" s="671" t="s">
        <v>4281</v>
      </c>
      <c r="E910" s="856" t="s">
        <v>3155</v>
      </c>
      <c r="F910" s="846" t="s">
        <v>1645</v>
      </c>
      <c r="G910" s="847" t="str">
        <f>IFERROR(VLOOKUP(F910,'[6]код океи'!$B$2:$C$448,2,1)," ")</f>
        <v>Килограмм</v>
      </c>
      <c r="H910" s="848">
        <v>38</v>
      </c>
      <c r="I910" s="604" t="s">
        <v>2161</v>
      </c>
      <c r="J910" s="599" t="s">
        <v>1454</v>
      </c>
      <c r="K910" s="849" t="s">
        <v>3246</v>
      </c>
      <c r="L910" s="850">
        <v>1288466.1000000001</v>
      </c>
      <c r="M910" s="609" t="s">
        <v>2184</v>
      </c>
      <c r="N910" s="849">
        <v>1288466.1000000001</v>
      </c>
      <c r="O910" s="851">
        <v>42826</v>
      </c>
      <c r="P910" s="851">
        <v>42948</v>
      </c>
      <c r="Q910" s="634" t="s">
        <v>108</v>
      </c>
      <c r="R910" s="634" t="s">
        <v>1456</v>
      </c>
      <c r="S910" s="634" t="s">
        <v>1457</v>
      </c>
      <c r="T910" s="666"/>
      <c r="U910" s="665"/>
      <c r="V910" s="665"/>
      <c r="W910" s="668"/>
      <c r="X910" s="669"/>
      <c r="Y910" s="668"/>
      <c r="Z910" s="667"/>
      <c r="AA910" s="609" t="s">
        <v>1458</v>
      </c>
      <c r="AB910" s="642" t="s">
        <v>263</v>
      </c>
      <c r="AC910" s="652"/>
      <c r="AD910" s="652" t="s">
        <v>113</v>
      </c>
      <c r="AE910" s="852">
        <f t="shared" si="20"/>
        <v>4</v>
      </c>
    </row>
    <row r="911" spans="1:31" ht="105" hidden="1" x14ac:dyDescent="0.25">
      <c r="A911" s="608" t="s">
        <v>4267</v>
      </c>
      <c r="B911" s="846" t="s">
        <v>3128</v>
      </c>
      <c r="C911" s="846" t="s">
        <v>3129</v>
      </c>
      <c r="D911" s="670" t="s">
        <v>4280</v>
      </c>
      <c r="E911" s="856" t="s">
        <v>3155</v>
      </c>
      <c r="F911" s="846" t="s">
        <v>1528</v>
      </c>
      <c r="G911" s="847" t="s">
        <v>3160</v>
      </c>
      <c r="H911" s="848">
        <v>1075</v>
      </c>
      <c r="I911" s="604" t="s">
        <v>2161</v>
      </c>
      <c r="J911" s="599" t="s">
        <v>1454</v>
      </c>
      <c r="K911" s="849" t="s">
        <v>3247</v>
      </c>
      <c r="L911" s="850">
        <v>376420</v>
      </c>
      <c r="M911" s="609" t="s">
        <v>2184</v>
      </c>
      <c r="N911" s="849">
        <v>376420</v>
      </c>
      <c r="O911" s="851">
        <v>42826</v>
      </c>
      <c r="P911" s="851">
        <v>43070</v>
      </c>
      <c r="Q911" s="634" t="s">
        <v>110</v>
      </c>
      <c r="R911" s="634" t="s">
        <v>2174</v>
      </c>
      <c r="S911" s="665" t="s">
        <v>1455</v>
      </c>
      <c r="T911" s="666"/>
      <c r="U911" s="665"/>
      <c r="V911" s="665"/>
      <c r="W911" s="668" t="s">
        <v>73</v>
      </c>
      <c r="X911" s="638" t="s">
        <v>3324</v>
      </c>
      <c r="Y911" s="637" t="s">
        <v>3325</v>
      </c>
      <c r="Z911" s="667">
        <v>376420</v>
      </c>
      <c r="AA911" s="609" t="s">
        <v>1458</v>
      </c>
      <c r="AB911" s="642" t="s">
        <v>263</v>
      </c>
      <c r="AC911" s="652"/>
      <c r="AD911" s="652" t="s">
        <v>113</v>
      </c>
      <c r="AE911" s="852">
        <f t="shared" si="20"/>
        <v>4</v>
      </c>
    </row>
    <row r="912" spans="1:31" ht="105" hidden="1" x14ac:dyDescent="0.25">
      <c r="A912" s="608" t="s">
        <v>4268</v>
      </c>
      <c r="B912" s="857" t="s">
        <v>3130</v>
      </c>
      <c r="C912" s="846" t="s">
        <v>3131</v>
      </c>
      <c r="D912" s="670" t="s">
        <v>4279</v>
      </c>
      <c r="E912" s="847" t="s">
        <v>3156</v>
      </c>
      <c r="F912" s="846" t="s">
        <v>1528</v>
      </c>
      <c r="G912" s="847" t="str">
        <f>IFERROR(VLOOKUP(F912,'[6]код океи'!$B$2:$C$448,2,1)," ")</f>
        <v>Штука</v>
      </c>
      <c r="H912" s="848">
        <v>1</v>
      </c>
      <c r="I912" s="604" t="s">
        <v>2161</v>
      </c>
      <c r="J912" s="599" t="s">
        <v>1454</v>
      </c>
      <c r="K912" s="849" t="s">
        <v>3248</v>
      </c>
      <c r="L912" s="850">
        <v>255175</v>
      </c>
      <c r="M912" s="838" t="s">
        <v>4825</v>
      </c>
      <c r="N912" s="849">
        <v>255175</v>
      </c>
      <c r="O912" s="851">
        <v>42826</v>
      </c>
      <c r="P912" s="851">
        <v>42917</v>
      </c>
      <c r="Q912" s="634" t="s">
        <v>110</v>
      </c>
      <c r="R912" s="634" t="s">
        <v>2174</v>
      </c>
      <c r="S912" s="665" t="s">
        <v>1455</v>
      </c>
      <c r="T912" s="666"/>
      <c r="U912" s="665"/>
      <c r="V912" s="665"/>
      <c r="W912" s="668" t="s">
        <v>97</v>
      </c>
      <c r="X912" s="638" t="s">
        <v>5126</v>
      </c>
      <c r="Y912" s="637" t="s">
        <v>5127</v>
      </c>
      <c r="Z912" s="667">
        <v>255175</v>
      </c>
      <c r="AA912" s="609" t="s">
        <v>1458</v>
      </c>
      <c r="AB912" s="642" t="s">
        <v>263</v>
      </c>
      <c r="AC912" s="652"/>
      <c r="AD912" s="652" t="s">
        <v>113</v>
      </c>
      <c r="AE912" s="852">
        <f t="shared" si="20"/>
        <v>4</v>
      </c>
    </row>
    <row r="913" spans="1:31" ht="105" hidden="1" x14ac:dyDescent="0.25">
      <c r="A913" s="608" t="s">
        <v>4269</v>
      </c>
      <c r="B913" s="846" t="s">
        <v>1941</v>
      </c>
      <c r="C913" s="846" t="s">
        <v>1941</v>
      </c>
      <c r="D913" s="670" t="s">
        <v>4278</v>
      </c>
      <c r="E913" s="847" t="s">
        <v>3157</v>
      </c>
      <c r="F913" s="846" t="s">
        <v>1528</v>
      </c>
      <c r="G913" s="847" t="str">
        <f>IFERROR(VLOOKUP(F913,'[6]код океи'!$B$2:$C$448,2,1)," ")</f>
        <v>Штука</v>
      </c>
      <c r="H913" s="848">
        <v>200</v>
      </c>
      <c r="I913" s="604" t="s">
        <v>2161</v>
      </c>
      <c r="J913" s="599" t="s">
        <v>1454</v>
      </c>
      <c r="K913" s="849" t="s">
        <v>3249</v>
      </c>
      <c r="L913" s="850">
        <v>713580.22</v>
      </c>
      <c r="M913" s="609" t="s">
        <v>2184</v>
      </c>
      <c r="N913" s="849">
        <v>713580.22</v>
      </c>
      <c r="O913" s="851">
        <v>42826</v>
      </c>
      <c r="P913" s="851">
        <v>42979</v>
      </c>
      <c r="Q913" s="634" t="s">
        <v>110</v>
      </c>
      <c r="R913" s="634" t="s">
        <v>2174</v>
      </c>
      <c r="S913" s="665" t="s">
        <v>1455</v>
      </c>
      <c r="T913" s="666"/>
      <c r="U913" s="665"/>
      <c r="V913" s="665"/>
      <c r="W913" s="668"/>
      <c r="X913" s="669"/>
      <c r="Y913" s="668"/>
      <c r="Z913" s="667"/>
      <c r="AA913" s="609" t="s">
        <v>1458</v>
      </c>
      <c r="AB913" s="642" t="s">
        <v>263</v>
      </c>
      <c r="AC913" s="652"/>
      <c r="AD913" s="652" t="s">
        <v>113</v>
      </c>
      <c r="AE913" s="852">
        <f t="shared" si="20"/>
        <v>4</v>
      </c>
    </row>
    <row r="914" spans="1:31" ht="105" hidden="1" x14ac:dyDescent="0.25">
      <c r="A914" s="608" t="s">
        <v>4270</v>
      </c>
      <c r="B914" s="846" t="s">
        <v>1576</v>
      </c>
      <c r="C914" s="846" t="s">
        <v>1576</v>
      </c>
      <c r="D914" s="670" t="s">
        <v>5146</v>
      </c>
      <c r="E914" s="847" t="s">
        <v>3158</v>
      </c>
      <c r="F914" s="846" t="s">
        <v>1528</v>
      </c>
      <c r="G914" s="847" t="str">
        <f>IFERROR(VLOOKUP(F914,'[6]код океи'!$B$2:$C$448,2,1)," ")</f>
        <v>Штука</v>
      </c>
      <c r="H914" s="848">
        <v>8</v>
      </c>
      <c r="I914" s="604" t="s">
        <v>2161</v>
      </c>
      <c r="J914" s="599" t="s">
        <v>1454</v>
      </c>
      <c r="K914" s="849" t="s">
        <v>3250</v>
      </c>
      <c r="L914" s="850">
        <v>233375.68</v>
      </c>
      <c r="M914" s="609" t="s">
        <v>2184</v>
      </c>
      <c r="N914" s="849">
        <v>233375.68</v>
      </c>
      <c r="O914" s="851">
        <v>42826</v>
      </c>
      <c r="P914" s="851">
        <v>42979</v>
      </c>
      <c r="Q914" s="634" t="s">
        <v>110</v>
      </c>
      <c r="R914" s="634" t="s">
        <v>2174</v>
      </c>
      <c r="S914" s="665" t="s">
        <v>1455</v>
      </c>
      <c r="T914" s="666"/>
      <c r="U914" s="665"/>
      <c r="V914" s="665"/>
      <c r="W914" s="668"/>
      <c r="X914" s="669"/>
      <c r="Y914" s="668"/>
      <c r="Z914" s="667"/>
      <c r="AA914" s="609" t="s">
        <v>1458</v>
      </c>
      <c r="AB914" s="642" t="s">
        <v>263</v>
      </c>
      <c r="AC914" s="652"/>
      <c r="AD914" s="652" t="s">
        <v>113</v>
      </c>
      <c r="AE914" s="852">
        <f t="shared" si="20"/>
        <v>4</v>
      </c>
    </row>
    <row r="915" spans="1:31" ht="105" hidden="1" x14ac:dyDescent="0.25">
      <c r="A915" s="608" t="s">
        <v>4271</v>
      </c>
      <c r="B915" s="846" t="s">
        <v>216</v>
      </c>
      <c r="C915" s="846" t="s">
        <v>2438</v>
      </c>
      <c r="D915" s="670" t="s">
        <v>5145</v>
      </c>
      <c r="E915" s="847" t="s">
        <v>3159</v>
      </c>
      <c r="F915" s="846" t="s">
        <v>1528</v>
      </c>
      <c r="G915" s="847" t="str">
        <f>IFERROR(VLOOKUP(F915,'[6]код океи'!$B$2:$C$448,2,1)," ")</f>
        <v>Штука</v>
      </c>
      <c r="H915" s="848">
        <v>5</v>
      </c>
      <c r="I915" s="604" t="s">
        <v>2161</v>
      </c>
      <c r="J915" s="599" t="s">
        <v>1454</v>
      </c>
      <c r="K915" s="849" t="s">
        <v>3251</v>
      </c>
      <c r="L915" s="850">
        <v>217710</v>
      </c>
      <c r="M915" s="609" t="s">
        <v>2184</v>
      </c>
      <c r="N915" s="849">
        <v>217710</v>
      </c>
      <c r="O915" s="851">
        <v>42826</v>
      </c>
      <c r="P915" s="851">
        <v>43070</v>
      </c>
      <c r="Q915" s="634" t="s">
        <v>108</v>
      </c>
      <c r="R915" s="634" t="s">
        <v>1456</v>
      </c>
      <c r="S915" s="634" t="s">
        <v>1457</v>
      </c>
      <c r="T915" s="666"/>
      <c r="U915" s="665"/>
      <c r="V915" s="665" t="s">
        <v>45</v>
      </c>
      <c r="W915" s="668" t="s">
        <v>268</v>
      </c>
      <c r="X915" s="638" t="s">
        <v>6068</v>
      </c>
      <c r="Y915" s="637" t="s">
        <v>6069</v>
      </c>
      <c r="Z915" s="667">
        <v>217710</v>
      </c>
      <c r="AA915" s="609" t="s">
        <v>1458</v>
      </c>
      <c r="AB915" s="642" t="s">
        <v>263</v>
      </c>
      <c r="AC915" s="652"/>
      <c r="AD915" s="652" t="s">
        <v>113</v>
      </c>
      <c r="AE915" s="852">
        <f t="shared" si="20"/>
        <v>4</v>
      </c>
    </row>
    <row r="916" spans="1:31" ht="105" hidden="1" x14ac:dyDescent="0.25">
      <c r="A916" s="608" t="s">
        <v>4272</v>
      </c>
      <c r="B916" s="846" t="s">
        <v>2073</v>
      </c>
      <c r="C916" s="846" t="s">
        <v>2073</v>
      </c>
      <c r="D916" s="670" t="s">
        <v>4277</v>
      </c>
      <c r="E916" s="847" t="s">
        <v>1485</v>
      </c>
      <c r="F916" s="846" t="s">
        <v>1528</v>
      </c>
      <c r="G916" s="847" t="str">
        <f>IFERROR(VLOOKUP(F916,'[6]код океи'!$B$2:$C$448,2,1)," ")</f>
        <v>Штука</v>
      </c>
      <c r="H916" s="848">
        <v>1</v>
      </c>
      <c r="I916" s="604" t="s">
        <v>2161</v>
      </c>
      <c r="J916" s="599" t="s">
        <v>1454</v>
      </c>
      <c r="K916" s="849" t="s">
        <v>3252</v>
      </c>
      <c r="L916" s="850">
        <v>2072000</v>
      </c>
      <c r="M916" s="838" t="s">
        <v>4819</v>
      </c>
      <c r="N916" s="849">
        <v>2072000</v>
      </c>
      <c r="O916" s="851">
        <v>42826</v>
      </c>
      <c r="P916" s="851">
        <v>43009</v>
      </c>
      <c r="Q916" s="634" t="s">
        <v>108</v>
      </c>
      <c r="R916" s="634" t="s">
        <v>1456</v>
      </c>
      <c r="S916" s="634" t="s">
        <v>1457</v>
      </c>
      <c r="T916" s="666"/>
      <c r="U916" s="665"/>
      <c r="V916" s="665"/>
      <c r="W916" s="668"/>
      <c r="X916" s="669"/>
      <c r="Y916" s="668"/>
      <c r="Z916" s="667"/>
      <c r="AA916" s="609" t="s">
        <v>1458</v>
      </c>
      <c r="AB916" s="642" t="s">
        <v>263</v>
      </c>
      <c r="AC916" s="652"/>
      <c r="AD916" s="652" t="s">
        <v>113</v>
      </c>
      <c r="AE916" s="852">
        <f t="shared" si="20"/>
        <v>4</v>
      </c>
    </row>
    <row r="917" spans="1:31" ht="105" hidden="1" x14ac:dyDescent="0.25">
      <c r="A917" s="608" t="s">
        <v>4273</v>
      </c>
      <c r="B917" s="857" t="s">
        <v>1687</v>
      </c>
      <c r="C917" s="846" t="s">
        <v>3132</v>
      </c>
      <c r="D917" s="670" t="s">
        <v>5144</v>
      </c>
      <c r="E917" s="847" t="s">
        <v>2471</v>
      </c>
      <c r="F917" s="846" t="s">
        <v>1645</v>
      </c>
      <c r="G917" s="847" t="str">
        <f>IFERROR(VLOOKUP(F917,'[8]код океи'!$B$2:$C$448,2,1)," ")</f>
        <v>Килограмм</v>
      </c>
      <c r="H917" s="848">
        <v>1960</v>
      </c>
      <c r="I917" s="604" t="s">
        <v>2161</v>
      </c>
      <c r="J917" s="599" t="s">
        <v>1454</v>
      </c>
      <c r="K917" s="849" t="s">
        <v>5064</v>
      </c>
      <c r="L917" s="850">
        <v>381679.25</v>
      </c>
      <c r="M917" s="838" t="s">
        <v>4813</v>
      </c>
      <c r="N917" s="849">
        <v>381679.25</v>
      </c>
      <c r="O917" s="851">
        <v>42856</v>
      </c>
      <c r="P917" s="851">
        <v>42856</v>
      </c>
      <c r="Q917" s="634" t="s">
        <v>108</v>
      </c>
      <c r="R917" s="634" t="s">
        <v>1456</v>
      </c>
      <c r="S917" s="634" t="s">
        <v>1457</v>
      </c>
      <c r="T917" s="666"/>
      <c r="U917" s="665"/>
      <c r="V917" s="665"/>
      <c r="W917" s="668"/>
      <c r="X917" s="669"/>
      <c r="Y917" s="668"/>
      <c r="Z917" s="667"/>
      <c r="AA917" s="609" t="s">
        <v>1458</v>
      </c>
      <c r="AB917" s="642" t="s">
        <v>263</v>
      </c>
      <c r="AC917" s="652"/>
      <c r="AD917" s="652" t="s">
        <v>113</v>
      </c>
      <c r="AE917" s="852">
        <f t="shared" si="20"/>
        <v>5</v>
      </c>
    </row>
    <row r="918" spans="1:31" ht="105" hidden="1" x14ac:dyDescent="0.25">
      <c r="A918" s="608" t="s">
        <v>4274</v>
      </c>
      <c r="B918" s="857" t="s">
        <v>1652</v>
      </c>
      <c r="C918" s="846" t="s">
        <v>3133</v>
      </c>
      <c r="D918" s="670" t="s">
        <v>5143</v>
      </c>
      <c r="E918" s="847" t="s">
        <v>2471</v>
      </c>
      <c r="F918" s="846" t="s">
        <v>1645</v>
      </c>
      <c r="G918" s="847" t="str">
        <f>IFERROR(VLOOKUP(F918,'[8]код океи'!$B$2:$C$448,2,1)," ")</f>
        <v>Килограмм</v>
      </c>
      <c r="H918" s="848">
        <v>794</v>
      </c>
      <c r="I918" s="604" t="s">
        <v>2161</v>
      </c>
      <c r="J918" s="599" t="s">
        <v>1454</v>
      </c>
      <c r="K918" s="849" t="s">
        <v>5065</v>
      </c>
      <c r="L918" s="850">
        <v>2089393.33</v>
      </c>
      <c r="M918" s="838" t="s">
        <v>4813</v>
      </c>
      <c r="N918" s="849">
        <v>2089393.33</v>
      </c>
      <c r="O918" s="851">
        <v>42826</v>
      </c>
      <c r="P918" s="851">
        <v>42856</v>
      </c>
      <c r="Q918" s="634" t="s">
        <v>108</v>
      </c>
      <c r="R918" s="634" t="s">
        <v>1456</v>
      </c>
      <c r="S918" s="634" t="s">
        <v>1457</v>
      </c>
      <c r="T918" s="666"/>
      <c r="U918" s="665"/>
      <c r="V918" s="665"/>
      <c r="W918" s="668"/>
      <c r="X918" s="669"/>
      <c r="Y918" s="668"/>
      <c r="Z918" s="667"/>
      <c r="AA918" s="609" t="s">
        <v>1458</v>
      </c>
      <c r="AB918" s="642" t="s">
        <v>263</v>
      </c>
      <c r="AC918" s="652"/>
      <c r="AD918" s="652" t="s">
        <v>113</v>
      </c>
      <c r="AE918" s="852">
        <f t="shared" si="20"/>
        <v>4</v>
      </c>
    </row>
    <row r="919" spans="1:31" ht="105" hidden="1" x14ac:dyDescent="0.25">
      <c r="A919" s="608" t="s">
        <v>4275</v>
      </c>
      <c r="B919" s="857" t="s">
        <v>1690</v>
      </c>
      <c r="C919" s="846" t="s">
        <v>3134</v>
      </c>
      <c r="D919" s="670" t="s">
        <v>5142</v>
      </c>
      <c r="E919" s="847" t="s">
        <v>2471</v>
      </c>
      <c r="F919" s="846" t="s">
        <v>1645</v>
      </c>
      <c r="G919" s="847" t="str">
        <f>IFERROR(VLOOKUP(F919,'[8]код океи'!$B$2:$C$448,2,1)," ")</f>
        <v>Килограмм</v>
      </c>
      <c r="H919" s="848">
        <v>294</v>
      </c>
      <c r="I919" s="604" t="s">
        <v>2161</v>
      </c>
      <c r="J919" s="599" t="s">
        <v>1454</v>
      </c>
      <c r="K919" s="849" t="s">
        <v>5066</v>
      </c>
      <c r="L919" s="850">
        <v>148792.67000000001</v>
      </c>
      <c r="M919" s="838" t="s">
        <v>4813</v>
      </c>
      <c r="N919" s="849">
        <v>148792.67000000001</v>
      </c>
      <c r="O919" s="851">
        <v>42826</v>
      </c>
      <c r="P919" s="851">
        <v>42856</v>
      </c>
      <c r="Q919" s="634" t="s">
        <v>108</v>
      </c>
      <c r="R919" s="634" t="s">
        <v>1456</v>
      </c>
      <c r="S919" s="634" t="s">
        <v>1457</v>
      </c>
      <c r="T919" s="666"/>
      <c r="U919" s="665"/>
      <c r="V919" s="665"/>
      <c r="W919" s="668"/>
      <c r="X919" s="669"/>
      <c r="Y919" s="668"/>
      <c r="Z919" s="667"/>
      <c r="AA919" s="609" t="s">
        <v>1458</v>
      </c>
      <c r="AB919" s="642" t="s">
        <v>263</v>
      </c>
      <c r="AC919" s="652"/>
      <c r="AD919" s="652" t="s">
        <v>113</v>
      </c>
      <c r="AE919" s="852">
        <f t="shared" si="20"/>
        <v>4</v>
      </c>
    </row>
    <row r="920" spans="1:31" ht="105" hidden="1" x14ac:dyDescent="0.25">
      <c r="A920" s="608" t="s">
        <v>4276</v>
      </c>
      <c r="B920" s="857" t="s">
        <v>216</v>
      </c>
      <c r="C920" s="846" t="s">
        <v>216</v>
      </c>
      <c r="D920" s="670" t="s">
        <v>5141</v>
      </c>
      <c r="E920" s="847" t="s">
        <v>2471</v>
      </c>
      <c r="F920" s="846" t="s">
        <v>1645</v>
      </c>
      <c r="G920" s="847" t="str">
        <f>IFERROR(VLOOKUP(F920,'[8]код океи'!$B$2:$C$448,2,1)," ")</f>
        <v>Килограмм</v>
      </c>
      <c r="H920" s="848">
        <v>343</v>
      </c>
      <c r="I920" s="604" t="s">
        <v>2161</v>
      </c>
      <c r="J920" s="599" t="s">
        <v>1454</v>
      </c>
      <c r="K920" s="849" t="s">
        <v>5067</v>
      </c>
      <c r="L920" s="850">
        <v>104868.06</v>
      </c>
      <c r="M920" s="838" t="s">
        <v>4813</v>
      </c>
      <c r="N920" s="849">
        <v>104868.06</v>
      </c>
      <c r="O920" s="851">
        <v>42826</v>
      </c>
      <c r="P920" s="851">
        <v>42856</v>
      </c>
      <c r="Q920" s="634" t="s">
        <v>110</v>
      </c>
      <c r="R920" s="634" t="s">
        <v>2174</v>
      </c>
      <c r="S920" s="665" t="s">
        <v>1455</v>
      </c>
      <c r="T920" s="666"/>
      <c r="U920" s="665"/>
      <c r="V920" s="665" t="s">
        <v>45</v>
      </c>
      <c r="W920" s="668" t="s">
        <v>268</v>
      </c>
      <c r="X920" s="638" t="s">
        <v>6023</v>
      </c>
      <c r="Y920" s="637" t="s">
        <v>6024</v>
      </c>
      <c r="Z920" s="667">
        <v>104868.06</v>
      </c>
      <c r="AA920" s="609" t="s">
        <v>1458</v>
      </c>
      <c r="AB920" s="642" t="s">
        <v>263</v>
      </c>
      <c r="AC920" s="652"/>
      <c r="AD920" s="652" t="s">
        <v>113</v>
      </c>
      <c r="AE920" s="852">
        <f t="shared" si="20"/>
        <v>4</v>
      </c>
    </row>
    <row r="921" spans="1:31" ht="105" hidden="1" x14ac:dyDescent="0.25">
      <c r="A921" s="671" t="s">
        <v>4844</v>
      </c>
      <c r="B921" s="842" t="s">
        <v>2208</v>
      </c>
      <c r="C921" s="842" t="s">
        <v>2208</v>
      </c>
      <c r="D921" s="847" t="s">
        <v>5918</v>
      </c>
      <c r="E921" s="847" t="s">
        <v>3139</v>
      </c>
      <c r="F921" s="846" t="s">
        <v>1528</v>
      </c>
      <c r="G921" s="847" t="s">
        <v>2156</v>
      </c>
      <c r="H921" s="858">
        <v>42</v>
      </c>
      <c r="I921" s="604" t="s">
        <v>2161</v>
      </c>
      <c r="J921" s="599" t="s">
        <v>1454</v>
      </c>
      <c r="K921" s="859" t="s">
        <v>4845</v>
      </c>
      <c r="L921" s="850">
        <v>887429.79</v>
      </c>
      <c r="M921" s="609" t="s">
        <v>2184</v>
      </c>
      <c r="N921" s="860">
        <v>887429.79</v>
      </c>
      <c r="O921" s="851">
        <v>42826</v>
      </c>
      <c r="P921" s="851">
        <v>42826</v>
      </c>
      <c r="Q921" s="634" t="s">
        <v>110</v>
      </c>
      <c r="R921" s="634" t="s">
        <v>2174</v>
      </c>
      <c r="S921" s="634" t="s">
        <v>1455</v>
      </c>
      <c r="T921" s="635"/>
      <c r="U921" s="634"/>
      <c r="V921" s="634"/>
      <c r="W921" s="677" t="s">
        <v>73</v>
      </c>
      <c r="X921" s="638" t="s">
        <v>5086</v>
      </c>
      <c r="Y921" s="637" t="s">
        <v>5087</v>
      </c>
      <c r="Z921" s="636">
        <v>887429.79</v>
      </c>
      <c r="AA921" s="609" t="s">
        <v>1458</v>
      </c>
      <c r="AB921" s="843" t="s">
        <v>263</v>
      </c>
      <c r="AC921" s="844"/>
      <c r="AD921" s="844" t="s">
        <v>113</v>
      </c>
      <c r="AE921" s="861">
        <f t="shared" si="20"/>
        <v>4</v>
      </c>
    </row>
    <row r="922" spans="1:31" ht="105" hidden="1" x14ac:dyDescent="0.25">
      <c r="A922" s="671" t="s">
        <v>4846</v>
      </c>
      <c r="B922" s="842" t="s">
        <v>1540</v>
      </c>
      <c r="C922" s="842" t="s">
        <v>2432</v>
      </c>
      <c r="D922" s="847" t="s">
        <v>5917</v>
      </c>
      <c r="E922" s="847" t="s">
        <v>2441</v>
      </c>
      <c r="F922" s="846" t="s">
        <v>1528</v>
      </c>
      <c r="G922" s="847" t="s">
        <v>2156</v>
      </c>
      <c r="H922" s="858">
        <v>3200</v>
      </c>
      <c r="I922" s="604" t="s">
        <v>2161</v>
      </c>
      <c r="J922" s="599" t="s">
        <v>1454</v>
      </c>
      <c r="K922" s="859" t="s">
        <v>5081</v>
      </c>
      <c r="L922" s="871">
        <v>230524.79999999999</v>
      </c>
      <c r="M922" s="609" t="s">
        <v>2184</v>
      </c>
      <c r="N922" s="872">
        <v>230524.79999999999</v>
      </c>
      <c r="O922" s="851">
        <v>42856</v>
      </c>
      <c r="P922" s="851">
        <v>43070</v>
      </c>
      <c r="Q922" s="634" t="s">
        <v>110</v>
      </c>
      <c r="R922" s="634" t="s">
        <v>2174</v>
      </c>
      <c r="S922" s="634" t="s">
        <v>1455</v>
      </c>
      <c r="T922" s="635"/>
      <c r="U922" s="634"/>
      <c r="V922" s="634"/>
      <c r="W922" s="637" t="s">
        <v>73</v>
      </c>
      <c r="X922" s="638" t="s">
        <v>5078</v>
      </c>
      <c r="Y922" s="637" t="s">
        <v>5079</v>
      </c>
      <c r="Z922" s="636">
        <v>230524.79999999999</v>
      </c>
      <c r="AA922" s="609" t="s">
        <v>1458</v>
      </c>
      <c r="AB922" s="843" t="s">
        <v>263</v>
      </c>
      <c r="AC922" s="844"/>
      <c r="AD922" s="844" t="s">
        <v>113</v>
      </c>
      <c r="AE922" s="861">
        <f t="shared" si="20"/>
        <v>5</v>
      </c>
    </row>
    <row r="923" spans="1:31" ht="105" hidden="1" x14ac:dyDescent="0.25">
      <c r="A923" s="671" t="s">
        <v>4847</v>
      </c>
      <c r="B923" s="842" t="s">
        <v>1672</v>
      </c>
      <c r="C923" s="842" t="s">
        <v>1673</v>
      </c>
      <c r="D923" s="847" t="s">
        <v>5916</v>
      </c>
      <c r="E923" s="847" t="s">
        <v>2457</v>
      </c>
      <c r="F923" s="846" t="s">
        <v>1587</v>
      </c>
      <c r="G923" s="847" t="s">
        <v>2256</v>
      </c>
      <c r="H923" s="858">
        <v>1</v>
      </c>
      <c r="I923" s="604" t="s">
        <v>2161</v>
      </c>
      <c r="J923" s="599" t="s">
        <v>1454</v>
      </c>
      <c r="K923" s="859" t="s">
        <v>4848</v>
      </c>
      <c r="L923" s="850">
        <v>169993.46</v>
      </c>
      <c r="M923" s="609" t="s">
        <v>2184</v>
      </c>
      <c r="N923" s="860">
        <v>169993.46</v>
      </c>
      <c r="O923" s="851">
        <v>42856</v>
      </c>
      <c r="P923" s="851">
        <v>42887</v>
      </c>
      <c r="Q923" s="634" t="s">
        <v>108</v>
      </c>
      <c r="R923" s="634" t="s">
        <v>1456</v>
      </c>
      <c r="S923" s="634" t="s">
        <v>1457</v>
      </c>
      <c r="T923" s="635"/>
      <c r="U923" s="634"/>
      <c r="V923" s="634"/>
      <c r="W923" s="637"/>
      <c r="X923" s="638"/>
      <c r="Y923" s="637"/>
      <c r="Z923" s="636"/>
      <c r="AA923" s="609" t="s">
        <v>1458</v>
      </c>
      <c r="AB923" s="843" t="s">
        <v>263</v>
      </c>
      <c r="AC923" s="844"/>
      <c r="AD923" s="844" t="s">
        <v>113</v>
      </c>
      <c r="AE923" s="861">
        <f t="shared" si="20"/>
        <v>5</v>
      </c>
    </row>
    <row r="924" spans="1:31" ht="105" hidden="1" x14ac:dyDescent="0.25">
      <c r="A924" s="671" t="s">
        <v>4849</v>
      </c>
      <c r="B924" s="842" t="s">
        <v>1672</v>
      </c>
      <c r="C924" s="842" t="s">
        <v>1673</v>
      </c>
      <c r="D924" s="847" t="s">
        <v>5915</v>
      </c>
      <c r="E924" s="847" t="s">
        <v>2457</v>
      </c>
      <c r="F924" s="846" t="s">
        <v>1587</v>
      </c>
      <c r="G924" s="847" t="s">
        <v>2256</v>
      </c>
      <c r="H924" s="858">
        <v>1</v>
      </c>
      <c r="I924" s="604" t="s">
        <v>2161</v>
      </c>
      <c r="J924" s="599" t="s">
        <v>1454</v>
      </c>
      <c r="K924" s="859" t="s">
        <v>4850</v>
      </c>
      <c r="L924" s="850">
        <v>173900.49</v>
      </c>
      <c r="M924" s="609" t="s">
        <v>2184</v>
      </c>
      <c r="N924" s="860">
        <v>173900.49</v>
      </c>
      <c r="O924" s="851">
        <v>42887</v>
      </c>
      <c r="P924" s="851">
        <v>42887</v>
      </c>
      <c r="Q924" s="634" t="s">
        <v>108</v>
      </c>
      <c r="R924" s="634" t="s">
        <v>1456</v>
      </c>
      <c r="S924" s="634" t="s">
        <v>1457</v>
      </c>
      <c r="T924" s="635"/>
      <c r="U924" s="634"/>
      <c r="V924" s="634"/>
      <c r="W924" s="637"/>
      <c r="X924" s="638"/>
      <c r="Y924" s="637"/>
      <c r="Z924" s="636"/>
      <c r="AA924" s="609" t="s">
        <v>1458</v>
      </c>
      <c r="AB924" s="843" t="s">
        <v>263</v>
      </c>
      <c r="AC924" s="844"/>
      <c r="AD924" s="844" t="s">
        <v>113</v>
      </c>
      <c r="AE924" s="861">
        <f t="shared" si="20"/>
        <v>6</v>
      </c>
    </row>
    <row r="925" spans="1:31" ht="105" hidden="1" x14ac:dyDescent="0.25">
      <c r="A925" s="671" t="s">
        <v>4851</v>
      </c>
      <c r="B925" s="842" t="s">
        <v>2190</v>
      </c>
      <c r="C925" s="842" t="s">
        <v>2191</v>
      </c>
      <c r="D925" s="847" t="s">
        <v>5914</v>
      </c>
      <c r="E925" s="847" t="s">
        <v>4852</v>
      </c>
      <c r="F925" s="846" t="s">
        <v>1528</v>
      </c>
      <c r="G925" s="847" t="s">
        <v>2156</v>
      </c>
      <c r="H925" s="858">
        <v>26</v>
      </c>
      <c r="I925" s="604" t="s">
        <v>2161</v>
      </c>
      <c r="J925" s="599" t="s">
        <v>1454</v>
      </c>
      <c r="K925" s="859" t="s">
        <v>4853</v>
      </c>
      <c r="L925" s="850">
        <v>449800</v>
      </c>
      <c r="M925" s="609" t="s">
        <v>2184</v>
      </c>
      <c r="N925" s="860">
        <v>449800</v>
      </c>
      <c r="O925" s="851">
        <v>42826</v>
      </c>
      <c r="P925" s="851">
        <v>42856</v>
      </c>
      <c r="Q925" s="634" t="s">
        <v>110</v>
      </c>
      <c r="R925" s="634" t="s">
        <v>2174</v>
      </c>
      <c r="S925" s="634" t="s">
        <v>1455</v>
      </c>
      <c r="T925" s="635"/>
      <c r="U925" s="634"/>
      <c r="V925" s="634"/>
      <c r="W925" s="641" t="s">
        <v>68</v>
      </c>
      <c r="X925" s="638" t="s">
        <v>3314</v>
      </c>
      <c r="Y925" s="637" t="s">
        <v>3315</v>
      </c>
      <c r="Z925" s="636">
        <v>449800</v>
      </c>
      <c r="AA925" s="609" t="s">
        <v>1458</v>
      </c>
      <c r="AB925" s="843" t="s">
        <v>263</v>
      </c>
      <c r="AC925" s="844"/>
      <c r="AD925" s="844" t="s">
        <v>113</v>
      </c>
      <c r="AE925" s="861">
        <f t="shared" si="20"/>
        <v>4</v>
      </c>
    </row>
    <row r="926" spans="1:31" ht="105" hidden="1" x14ac:dyDescent="0.25">
      <c r="A926" s="671" t="s">
        <v>4854</v>
      </c>
      <c r="B926" s="842" t="s">
        <v>1759</v>
      </c>
      <c r="C926" s="842" t="s">
        <v>1759</v>
      </c>
      <c r="D926" s="847" t="s">
        <v>5913</v>
      </c>
      <c r="E926" s="847" t="s">
        <v>3142</v>
      </c>
      <c r="F926" s="846" t="s">
        <v>1645</v>
      </c>
      <c r="G926" s="847" t="s">
        <v>2259</v>
      </c>
      <c r="H926" s="858">
        <v>1.45</v>
      </c>
      <c r="I926" s="604" t="s">
        <v>2161</v>
      </c>
      <c r="J926" s="599" t="s">
        <v>1454</v>
      </c>
      <c r="K926" s="859" t="s">
        <v>4855</v>
      </c>
      <c r="L926" s="850">
        <v>98382.5</v>
      </c>
      <c r="M926" s="609" t="s">
        <v>2184</v>
      </c>
      <c r="N926" s="860">
        <v>98382.5</v>
      </c>
      <c r="O926" s="851">
        <v>42826.5</v>
      </c>
      <c r="P926" s="851">
        <v>42856.5</v>
      </c>
      <c r="Q926" s="634" t="s">
        <v>110</v>
      </c>
      <c r="R926" s="634" t="s">
        <v>2174</v>
      </c>
      <c r="S926" s="634" t="s">
        <v>1455</v>
      </c>
      <c r="T926" s="635"/>
      <c r="U926" s="634"/>
      <c r="V926" s="634"/>
      <c r="W926" s="637"/>
      <c r="X926" s="638"/>
      <c r="Y926" s="637"/>
      <c r="Z926" s="636"/>
      <c r="AA926" s="609" t="s">
        <v>1458</v>
      </c>
      <c r="AB926" s="843" t="s">
        <v>263</v>
      </c>
      <c r="AC926" s="844"/>
      <c r="AD926" s="844" t="s">
        <v>113</v>
      </c>
      <c r="AE926" s="861">
        <f t="shared" si="20"/>
        <v>4</v>
      </c>
    </row>
    <row r="927" spans="1:31" ht="105" hidden="1" x14ac:dyDescent="0.25">
      <c r="A927" s="671" t="s">
        <v>4856</v>
      </c>
      <c r="B927" s="842" t="s">
        <v>4857</v>
      </c>
      <c r="C927" s="842" t="s">
        <v>4857</v>
      </c>
      <c r="D927" s="847" t="s">
        <v>5912</v>
      </c>
      <c r="E927" s="847" t="s">
        <v>4858</v>
      </c>
      <c r="F927" s="846" t="s">
        <v>1528</v>
      </c>
      <c r="G927" s="847" t="s">
        <v>2156</v>
      </c>
      <c r="H927" s="858">
        <v>150</v>
      </c>
      <c r="I927" s="604" t="s">
        <v>2161</v>
      </c>
      <c r="J927" s="599" t="s">
        <v>1454</v>
      </c>
      <c r="K927" s="859" t="s">
        <v>4859</v>
      </c>
      <c r="L927" s="850">
        <v>215965</v>
      </c>
      <c r="M927" s="609" t="s">
        <v>4815</v>
      </c>
      <c r="N927" s="860">
        <v>215965</v>
      </c>
      <c r="O927" s="851">
        <v>42856.5</v>
      </c>
      <c r="P927" s="851">
        <v>42917.5</v>
      </c>
      <c r="Q927" s="634" t="s">
        <v>110</v>
      </c>
      <c r="R927" s="634" t="s">
        <v>2174</v>
      </c>
      <c r="S927" s="634" t="s">
        <v>1455</v>
      </c>
      <c r="T927" s="635"/>
      <c r="U927" s="634"/>
      <c r="V927" s="634"/>
      <c r="W927" s="637" t="s">
        <v>73</v>
      </c>
      <c r="X927" s="638" t="s">
        <v>5072</v>
      </c>
      <c r="Y927" s="637" t="s">
        <v>5073</v>
      </c>
      <c r="Z927" s="636">
        <v>215965</v>
      </c>
      <c r="AA927" s="609" t="s">
        <v>1458</v>
      </c>
      <c r="AB927" s="843" t="s">
        <v>263</v>
      </c>
      <c r="AC927" s="844"/>
      <c r="AD927" s="844" t="s">
        <v>113</v>
      </c>
      <c r="AE927" s="861">
        <f t="shared" si="20"/>
        <v>5</v>
      </c>
    </row>
    <row r="928" spans="1:31" ht="105" hidden="1" x14ac:dyDescent="0.25">
      <c r="A928" s="671" t="s">
        <v>4860</v>
      </c>
      <c r="B928" s="842" t="s">
        <v>3124</v>
      </c>
      <c r="C928" s="842" t="s">
        <v>215</v>
      </c>
      <c r="D928" s="847" t="s">
        <v>5911</v>
      </c>
      <c r="E928" s="847" t="s">
        <v>4861</v>
      </c>
      <c r="F928" s="846" t="s">
        <v>1528</v>
      </c>
      <c r="G928" s="847" t="s">
        <v>2156</v>
      </c>
      <c r="H928" s="858">
        <v>268</v>
      </c>
      <c r="I928" s="604" t="s">
        <v>2161</v>
      </c>
      <c r="J928" s="599" t="s">
        <v>1454</v>
      </c>
      <c r="K928" s="859" t="s">
        <v>4862</v>
      </c>
      <c r="L928" s="850">
        <v>1454704</v>
      </c>
      <c r="M928" s="609" t="s">
        <v>2184</v>
      </c>
      <c r="N928" s="860">
        <v>1454704</v>
      </c>
      <c r="O928" s="851">
        <v>42826.5</v>
      </c>
      <c r="P928" s="851">
        <v>42826.5</v>
      </c>
      <c r="Q928" s="634" t="s">
        <v>108</v>
      </c>
      <c r="R928" s="634" t="s">
        <v>1456</v>
      </c>
      <c r="S928" s="634" t="s">
        <v>1457</v>
      </c>
      <c r="T928" s="635"/>
      <c r="U928" s="634"/>
      <c r="V928" s="634"/>
      <c r="W928" s="637"/>
      <c r="X928" s="638"/>
      <c r="Y928" s="637"/>
      <c r="Z928" s="636"/>
      <c r="AA928" s="609" t="s">
        <v>1458</v>
      </c>
      <c r="AB928" s="843" t="s">
        <v>263</v>
      </c>
      <c r="AC928" s="844"/>
      <c r="AD928" s="844" t="s">
        <v>113</v>
      </c>
      <c r="AE928" s="861">
        <f t="shared" si="20"/>
        <v>4</v>
      </c>
    </row>
    <row r="929" spans="1:31" ht="105" hidden="1" x14ac:dyDescent="0.25">
      <c r="A929" s="671" t="s">
        <v>4863</v>
      </c>
      <c r="B929" s="842" t="s">
        <v>1576</v>
      </c>
      <c r="C929" s="842" t="s">
        <v>4864</v>
      </c>
      <c r="D929" s="847" t="s">
        <v>5910</v>
      </c>
      <c r="E929" s="847" t="s">
        <v>3139</v>
      </c>
      <c r="F929" s="846" t="s">
        <v>1528</v>
      </c>
      <c r="G929" s="847" t="s">
        <v>2156</v>
      </c>
      <c r="H929" s="858">
        <v>5</v>
      </c>
      <c r="I929" s="604" t="s">
        <v>2161</v>
      </c>
      <c r="J929" s="599" t="s">
        <v>1454</v>
      </c>
      <c r="K929" s="862" t="s">
        <v>4865</v>
      </c>
      <c r="L929" s="868">
        <v>198724.29</v>
      </c>
      <c r="M929" s="609" t="s">
        <v>2184</v>
      </c>
      <c r="N929" s="849">
        <v>198724.29</v>
      </c>
      <c r="O929" s="851">
        <v>42826</v>
      </c>
      <c r="P929" s="851">
        <v>42856.5</v>
      </c>
      <c r="Q929" s="634" t="s">
        <v>110</v>
      </c>
      <c r="R929" s="634" t="s">
        <v>2174</v>
      </c>
      <c r="S929" s="634" t="s">
        <v>1455</v>
      </c>
      <c r="T929" s="635"/>
      <c r="U929" s="634"/>
      <c r="V929" s="634"/>
      <c r="W929" s="637"/>
      <c r="X929" s="638"/>
      <c r="Y929" s="637"/>
      <c r="Z929" s="636"/>
      <c r="AA929" s="609" t="s">
        <v>1458</v>
      </c>
      <c r="AB929" s="843" t="s">
        <v>263</v>
      </c>
      <c r="AC929" s="844"/>
      <c r="AD929" s="844" t="s">
        <v>113</v>
      </c>
      <c r="AE929" s="861">
        <f t="shared" si="20"/>
        <v>4</v>
      </c>
    </row>
    <row r="930" spans="1:31" ht="105" hidden="1" x14ac:dyDescent="0.25">
      <c r="A930" s="671" t="s">
        <v>4866</v>
      </c>
      <c r="B930" s="842" t="s">
        <v>2418</v>
      </c>
      <c r="C930" s="842" t="s">
        <v>2419</v>
      </c>
      <c r="D930" s="847" t="s">
        <v>5909</v>
      </c>
      <c r="E930" s="847" t="s">
        <v>4867</v>
      </c>
      <c r="F930" s="846" t="s">
        <v>1528</v>
      </c>
      <c r="G930" s="847" t="s">
        <v>2156</v>
      </c>
      <c r="H930" s="858">
        <v>1</v>
      </c>
      <c r="I930" s="604" t="s">
        <v>2161</v>
      </c>
      <c r="J930" s="599" t="s">
        <v>1454</v>
      </c>
      <c r="K930" s="859" t="s">
        <v>4868</v>
      </c>
      <c r="L930" s="850">
        <v>1926036.94</v>
      </c>
      <c r="M930" s="609" t="s">
        <v>2184</v>
      </c>
      <c r="N930" s="860">
        <v>1926036.94</v>
      </c>
      <c r="O930" s="851">
        <v>42856.5</v>
      </c>
      <c r="P930" s="851">
        <v>42856.5</v>
      </c>
      <c r="Q930" s="634" t="s">
        <v>108</v>
      </c>
      <c r="R930" s="634" t="s">
        <v>1456</v>
      </c>
      <c r="S930" s="634" t="s">
        <v>1457</v>
      </c>
      <c r="T930" s="635"/>
      <c r="U930" s="634"/>
      <c r="V930" s="634"/>
      <c r="W930" s="637"/>
      <c r="X930" s="638"/>
      <c r="Y930" s="637"/>
      <c r="Z930" s="636"/>
      <c r="AA930" s="609" t="s">
        <v>1458</v>
      </c>
      <c r="AB930" s="843" t="s">
        <v>263</v>
      </c>
      <c r="AC930" s="844"/>
      <c r="AD930" s="844" t="s">
        <v>113</v>
      </c>
      <c r="AE930" s="861">
        <f t="shared" si="20"/>
        <v>5</v>
      </c>
    </row>
    <row r="931" spans="1:31" ht="105" hidden="1" x14ac:dyDescent="0.25">
      <c r="A931" s="671" t="s">
        <v>4869</v>
      </c>
      <c r="B931" s="842" t="s">
        <v>4870</v>
      </c>
      <c r="C931" s="842" t="s">
        <v>1733</v>
      </c>
      <c r="D931" s="847" t="s">
        <v>5908</v>
      </c>
      <c r="E931" s="847" t="s">
        <v>4871</v>
      </c>
      <c r="F931" s="846" t="s">
        <v>1528</v>
      </c>
      <c r="G931" s="847" t="s">
        <v>2156</v>
      </c>
      <c r="H931" s="858">
        <v>20</v>
      </c>
      <c r="I931" s="604" t="s">
        <v>2161</v>
      </c>
      <c r="J931" s="599" t="s">
        <v>1454</v>
      </c>
      <c r="K931" s="859" t="s">
        <v>4872</v>
      </c>
      <c r="L931" s="850">
        <v>148680</v>
      </c>
      <c r="M931" s="609" t="s">
        <v>2184</v>
      </c>
      <c r="N931" s="860">
        <v>148680</v>
      </c>
      <c r="O931" s="851">
        <v>42856.5</v>
      </c>
      <c r="P931" s="851">
        <v>43070.5</v>
      </c>
      <c r="Q931" s="634" t="s">
        <v>110</v>
      </c>
      <c r="R931" s="634" t="s">
        <v>2174</v>
      </c>
      <c r="S931" s="634" t="s">
        <v>1455</v>
      </c>
      <c r="T931" s="635"/>
      <c r="U931" s="634"/>
      <c r="V931" s="634"/>
      <c r="W931" s="641" t="s">
        <v>73</v>
      </c>
      <c r="X931" s="638" t="s">
        <v>5097</v>
      </c>
      <c r="Y931" s="637" t="s">
        <v>5098</v>
      </c>
      <c r="Z931" s="636">
        <v>148680</v>
      </c>
      <c r="AA931" s="609" t="s">
        <v>1458</v>
      </c>
      <c r="AB931" s="843" t="s">
        <v>263</v>
      </c>
      <c r="AC931" s="844"/>
      <c r="AD931" s="844" t="s">
        <v>113</v>
      </c>
      <c r="AE931" s="861">
        <f t="shared" si="20"/>
        <v>5</v>
      </c>
    </row>
    <row r="932" spans="1:31" ht="105" hidden="1" x14ac:dyDescent="0.25">
      <c r="A932" s="671" t="s">
        <v>4873</v>
      </c>
      <c r="B932" s="842" t="s">
        <v>2193</v>
      </c>
      <c r="C932" s="842" t="s">
        <v>4874</v>
      </c>
      <c r="D932" s="847" t="s">
        <v>5907</v>
      </c>
      <c r="E932" s="847" t="s">
        <v>4875</v>
      </c>
      <c r="F932" s="846" t="s">
        <v>1528</v>
      </c>
      <c r="G932" s="847" t="s">
        <v>2156</v>
      </c>
      <c r="H932" s="858">
        <v>1</v>
      </c>
      <c r="I932" s="604" t="s">
        <v>2161</v>
      </c>
      <c r="J932" s="599" t="s">
        <v>1454</v>
      </c>
      <c r="K932" s="859" t="s">
        <v>4876</v>
      </c>
      <c r="L932" s="850">
        <v>211266.02</v>
      </c>
      <c r="M932" s="609" t="s">
        <v>4813</v>
      </c>
      <c r="N932" s="860">
        <v>211266.02</v>
      </c>
      <c r="O932" s="851">
        <v>42856.5</v>
      </c>
      <c r="P932" s="851">
        <v>43070.5</v>
      </c>
      <c r="Q932" s="634" t="s">
        <v>110</v>
      </c>
      <c r="R932" s="634" t="s">
        <v>2174</v>
      </c>
      <c r="S932" s="634" t="s">
        <v>1455</v>
      </c>
      <c r="T932" s="635"/>
      <c r="U932" s="634"/>
      <c r="V932" s="634"/>
      <c r="W932" s="637" t="s">
        <v>67</v>
      </c>
      <c r="X932" s="638" t="s">
        <v>5930</v>
      </c>
      <c r="Y932" s="637" t="s">
        <v>5931</v>
      </c>
      <c r="Z932" s="636">
        <v>211266.02</v>
      </c>
      <c r="AA932" s="609" t="s">
        <v>1458</v>
      </c>
      <c r="AB932" s="843" t="s">
        <v>263</v>
      </c>
      <c r="AC932" s="844"/>
      <c r="AD932" s="844" t="s">
        <v>113</v>
      </c>
      <c r="AE932" s="861">
        <f t="shared" si="20"/>
        <v>5</v>
      </c>
    </row>
    <row r="933" spans="1:31" ht="105" hidden="1" x14ac:dyDescent="0.25">
      <c r="A933" s="671" t="s">
        <v>4877</v>
      </c>
      <c r="B933" s="842" t="s">
        <v>4878</v>
      </c>
      <c r="C933" s="842" t="s">
        <v>4878</v>
      </c>
      <c r="D933" s="847" t="s">
        <v>5906</v>
      </c>
      <c r="E933" s="847" t="s">
        <v>4879</v>
      </c>
      <c r="F933" s="846" t="s">
        <v>1528</v>
      </c>
      <c r="G933" s="847" t="s">
        <v>2156</v>
      </c>
      <c r="H933" s="858">
        <v>45</v>
      </c>
      <c r="I933" s="604" t="s">
        <v>2161</v>
      </c>
      <c r="J933" s="599" t="s">
        <v>1454</v>
      </c>
      <c r="K933" s="859" t="s">
        <v>4880</v>
      </c>
      <c r="L933" s="850">
        <v>117000</v>
      </c>
      <c r="M933" s="609" t="s">
        <v>2184</v>
      </c>
      <c r="N933" s="860">
        <v>117000</v>
      </c>
      <c r="O933" s="851">
        <v>42856.5</v>
      </c>
      <c r="P933" s="851">
        <v>43070.5</v>
      </c>
      <c r="Q933" s="634" t="s">
        <v>110</v>
      </c>
      <c r="R933" s="634" t="s">
        <v>2174</v>
      </c>
      <c r="S933" s="634" t="s">
        <v>1455</v>
      </c>
      <c r="T933" s="635"/>
      <c r="U933" s="634"/>
      <c r="V933" s="634"/>
      <c r="W933" s="641" t="s">
        <v>87</v>
      </c>
      <c r="X933" s="638" t="s">
        <v>5122</v>
      </c>
      <c r="Y933" s="637" t="s">
        <v>5123</v>
      </c>
      <c r="Z933" s="636">
        <v>117000</v>
      </c>
      <c r="AA933" s="609" t="s">
        <v>1458</v>
      </c>
      <c r="AB933" s="843" t="s">
        <v>263</v>
      </c>
      <c r="AC933" s="844"/>
      <c r="AD933" s="844" t="s">
        <v>113</v>
      </c>
      <c r="AE933" s="861">
        <f t="shared" si="20"/>
        <v>5</v>
      </c>
    </row>
    <row r="934" spans="1:31" ht="105" hidden="1" x14ac:dyDescent="0.25">
      <c r="A934" s="671" t="s">
        <v>4881</v>
      </c>
      <c r="B934" s="842" t="s">
        <v>1526</v>
      </c>
      <c r="C934" s="842" t="s">
        <v>1900</v>
      </c>
      <c r="D934" s="847" t="s">
        <v>5905</v>
      </c>
      <c r="E934" s="847" t="s">
        <v>2235</v>
      </c>
      <c r="F934" s="846" t="s">
        <v>1528</v>
      </c>
      <c r="G934" s="847" t="s">
        <v>2156</v>
      </c>
      <c r="H934" s="858">
        <v>25</v>
      </c>
      <c r="I934" s="604" t="s">
        <v>2161</v>
      </c>
      <c r="J934" s="599" t="s">
        <v>1454</v>
      </c>
      <c r="K934" s="859" t="s">
        <v>4882</v>
      </c>
      <c r="L934" s="850">
        <v>716111.66</v>
      </c>
      <c r="M934" s="609" t="s">
        <v>2184</v>
      </c>
      <c r="N934" s="860">
        <v>716111.66</v>
      </c>
      <c r="O934" s="851">
        <v>42856.5</v>
      </c>
      <c r="P934" s="851">
        <v>42887.5</v>
      </c>
      <c r="Q934" s="634" t="s">
        <v>108</v>
      </c>
      <c r="R934" s="634" t="s">
        <v>1456</v>
      </c>
      <c r="S934" s="634" t="s">
        <v>1457</v>
      </c>
      <c r="T934" s="635"/>
      <c r="U934" s="634"/>
      <c r="V934" s="634"/>
      <c r="W934" s="637"/>
      <c r="X934" s="638"/>
      <c r="Y934" s="637"/>
      <c r="Z934" s="636"/>
      <c r="AA934" s="609" t="s">
        <v>1458</v>
      </c>
      <c r="AB934" s="843" t="s">
        <v>263</v>
      </c>
      <c r="AC934" s="844"/>
      <c r="AD934" s="844" t="s">
        <v>113</v>
      </c>
      <c r="AE934" s="861">
        <f t="shared" si="20"/>
        <v>5</v>
      </c>
    </row>
    <row r="935" spans="1:31" ht="105" hidden="1" x14ac:dyDescent="0.25">
      <c r="A935" s="671" t="s">
        <v>4883</v>
      </c>
      <c r="B935" s="842" t="s">
        <v>1526</v>
      </c>
      <c r="C935" s="842" t="s">
        <v>1900</v>
      </c>
      <c r="D935" s="847" t="s">
        <v>5904</v>
      </c>
      <c r="E935" s="847" t="s">
        <v>2235</v>
      </c>
      <c r="F935" s="846" t="s">
        <v>1528</v>
      </c>
      <c r="G935" s="847" t="s">
        <v>2156</v>
      </c>
      <c r="H935" s="858">
        <v>142</v>
      </c>
      <c r="I935" s="604" t="s">
        <v>2161</v>
      </c>
      <c r="J935" s="599" t="s">
        <v>1454</v>
      </c>
      <c r="K935" s="859" t="s">
        <v>4884</v>
      </c>
      <c r="L935" s="850">
        <v>371059.57</v>
      </c>
      <c r="M935" s="609" t="s">
        <v>2184</v>
      </c>
      <c r="N935" s="860">
        <v>371059.57</v>
      </c>
      <c r="O935" s="851">
        <v>42856.5</v>
      </c>
      <c r="P935" s="851">
        <v>42887.5</v>
      </c>
      <c r="Q935" s="634" t="s">
        <v>108</v>
      </c>
      <c r="R935" s="634" t="s">
        <v>1456</v>
      </c>
      <c r="S935" s="634" t="s">
        <v>1457</v>
      </c>
      <c r="T935" s="635"/>
      <c r="U935" s="634"/>
      <c r="V935" s="634"/>
      <c r="W935" s="637"/>
      <c r="X935" s="638"/>
      <c r="Y935" s="637"/>
      <c r="Z935" s="636"/>
      <c r="AA935" s="609" t="s">
        <v>1458</v>
      </c>
      <c r="AB935" s="843" t="s">
        <v>263</v>
      </c>
      <c r="AC935" s="844"/>
      <c r="AD935" s="844" t="s">
        <v>113</v>
      </c>
      <c r="AE935" s="861">
        <f t="shared" si="20"/>
        <v>5</v>
      </c>
    </row>
    <row r="936" spans="1:31" ht="105" hidden="1" x14ac:dyDescent="0.25">
      <c r="A936" s="671" t="s">
        <v>4885</v>
      </c>
      <c r="B936" s="842" t="s">
        <v>1540</v>
      </c>
      <c r="C936" s="842" t="s">
        <v>2432</v>
      </c>
      <c r="D936" s="847" t="s">
        <v>5903</v>
      </c>
      <c r="E936" s="847" t="s">
        <v>2461</v>
      </c>
      <c r="F936" s="846" t="s">
        <v>1528</v>
      </c>
      <c r="G936" s="847" t="s">
        <v>2156</v>
      </c>
      <c r="H936" s="858">
        <v>1500</v>
      </c>
      <c r="I936" s="604" t="s">
        <v>2161</v>
      </c>
      <c r="J936" s="599" t="s">
        <v>1454</v>
      </c>
      <c r="K936" s="862" t="s">
        <v>4886</v>
      </c>
      <c r="L936" s="868">
        <v>298121.09999999998</v>
      </c>
      <c r="M936" s="609" t="s">
        <v>2184</v>
      </c>
      <c r="N936" s="849">
        <v>298121.09999999998</v>
      </c>
      <c r="O936" s="851">
        <v>42856</v>
      </c>
      <c r="P936" s="851">
        <v>43070.5</v>
      </c>
      <c r="Q936" s="634" t="s">
        <v>110</v>
      </c>
      <c r="R936" s="634" t="s">
        <v>2174</v>
      </c>
      <c r="S936" s="634" t="s">
        <v>1455</v>
      </c>
      <c r="T936" s="635"/>
      <c r="U936" s="634"/>
      <c r="V936" s="634"/>
      <c r="W936" s="677" t="s">
        <v>268</v>
      </c>
      <c r="X936" s="638" t="s">
        <v>3070</v>
      </c>
      <c r="Y936" s="637" t="s">
        <v>5089</v>
      </c>
      <c r="Z936" s="636">
        <v>298121.09999999998</v>
      </c>
      <c r="AA936" s="609" t="s">
        <v>1458</v>
      </c>
      <c r="AB936" s="843" t="s">
        <v>263</v>
      </c>
      <c r="AC936" s="844"/>
      <c r="AD936" s="844" t="s">
        <v>113</v>
      </c>
      <c r="AE936" s="861">
        <f t="shared" si="20"/>
        <v>5</v>
      </c>
    </row>
    <row r="937" spans="1:31" ht="105" hidden="1" x14ac:dyDescent="0.25">
      <c r="A937" s="671" t="s">
        <v>4887</v>
      </c>
      <c r="B937" s="842" t="s">
        <v>4888</v>
      </c>
      <c r="C937" s="842" t="s">
        <v>4889</v>
      </c>
      <c r="D937" s="847" t="s">
        <v>5902</v>
      </c>
      <c r="E937" s="847" t="s">
        <v>2461</v>
      </c>
      <c r="F937" s="846" t="s">
        <v>1528</v>
      </c>
      <c r="G937" s="847" t="s">
        <v>2156</v>
      </c>
      <c r="H937" s="858">
        <v>1800</v>
      </c>
      <c r="I937" s="604" t="s">
        <v>2161</v>
      </c>
      <c r="J937" s="599" t="s">
        <v>1454</v>
      </c>
      <c r="K937" s="859" t="s">
        <v>4890</v>
      </c>
      <c r="L937" s="850">
        <v>157239.72</v>
      </c>
      <c r="M937" s="609" t="s">
        <v>2184</v>
      </c>
      <c r="N937" s="860">
        <v>157239.72</v>
      </c>
      <c r="O937" s="851">
        <v>42887</v>
      </c>
      <c r="P937" s="851">
        <v>43070.5</v>
      </c>
      <c r="Q937" s="634" t="s">
        <v>110</v>
      </c>
      <c r="R937" s="634" t="s">
        <v>2174</v>
      </c>
      <c r="S937" s="634" t="s">
        <v>1455</v>
      </c>
      <c r="T937" s="635"/>
      <c r="U937" s="634"/>
      <c r="V937" s="634"/>
      <c r="W937" s="637"/>
      <c r="X937" s="638"/>
      <c r="Y937" s="637"/>
      <c r="Z937" s="636"/>
      <c r="AA937" s="609" t="s">
        <v>1458</v>
      </c>
      <c r="AB937" s="843" t="s">
        <v>263</v>
      </c>
      <c r="AC937" s="844"/>
      <c r="AD937" s="844" t="s">
        <v>113</v>
      </c>
      <c r="AE937" s="861">
        <f t="shared" si="20"/>
        <v>6</v>
      </c>
    </row>
    <row r="938" spans="1:31" ht="105" hidden="1" x14ac:dyDescent="0.25">
      <c r="A938" s="671" t="s">
        <v>4891</v>
      </c>
      <c r="B938" s="842" t="s">
        <v>1540</v>
      </c>
      <c r="C938" s="842" t="s">
        <v>1545</v>
      </c>
      <c r="D938" s="847" t="s">
        <v>5901</v>
      </c>
      <c r="E938" s="847" t="s">
        <v>2022</v>
      </c>
      <c r="F938" s="846" t="s">
        <v>2474</v>
      </c>
      <c r="G938" s="847" t="s">
        <v>4892</v>
      </c>
      <c r="H938" s="858">
        <v>3500</v>
      </c>
      <c r="I938" s="604" t="s">
        <v>2161</v>
      </c>
      <c r="J938" s="599" t="s">
        <v>1454</v>
      </c>
      <c r="K938" s="859" t="s">
        <v>4893</v>
      </c>
      <c r="L938" s="850">
        <v>1239000</v>
      </c>
      <c r="M938" s="609" t="s">
        <v>4813</v>
      </c>
      <c r="N938" s="860">
        <v>1239000</v>
      </c>
      <c r="O938" s="851">
        <v>42887</v>
      </c>
      <c r="P938" s="851">
        <v>43070.5</v>
      </c>
      <c r="Q938" s="634" t="s">
        <v>110</v>
      </c>
      <c r="R938" s="634" t="s">
        <v>2174</v>
      </c>
      <c r="S938" s="634" t="s">
        <v>1455</v>
      </c>
      <c r="T938" s="635"/>
      <c r="U938" s="634"/>
      <c r="V938" s="634"/>
      <c r="W938" s="637" t="s">
        <v>73</v>
      </c>
      <c r="X938" s="638" t="s">
        <v>5068</v>
      </c>
      <c r="Y938" s="637" t="s">
        <v>5069</v>
      </c>
      <c r="Z938" s="636">
        <v>1239000</v>
      </c>
      <c r="AA938" s="609" t="s">
        <v>1458</v>
      </c>
      <c r="AB938" s="843" t="s">
        <v>263</v>
      </c>
      <c r="AC938" s="844"/>
      <c r="AD938" s="844" t="s">
        <v>113</v>
      </c>
      <c r="AE938" s="861">
        <f t="shared" si="20"/>
        <v>6</v>
      </c>
    </row>
    <row r="939" spans="1:31" ht="105" hidden="1" x14ac:dyDescent="0.25">
      <c r="A939" s="671" t="s">
        <v>4894</v>
      </c>
      <c r="B939" s="842" t="s">
        <v>1540</v>
      </c>
      <c r="C939" s="842" t="s">
        <v>2207</v>
      </c>
      <c r="D939" s="847" t="s">
        <v>5900</v>
      </c>
      <c r="E939" s="847" t="s">
        <v>2022</v>
      </c>
      <c r="F939" s="846" t="s">
        <v>1528</v>
      </c>
      <c r="G939" s="847" t="s">
        <v>2156</v>
      </c>
      <c r="H939" s="858">
        <v>360</v>
      </c>
      <c r="I939" s="604" t="s">
        <v>2161</v>
      </c>
      <c r="J939" s="599" t="s">
        <v>1454</v>
      </c>
      <c r="K939" s="859" t="s">
        <v>4895</v>
      </c>
      <c r="L939" s="850">
        <v>1768251.6</v>
      </c>
      <c r="M939" s="609" t="s">
        <v>4813</v>
      </c>
      <c r="N939" s="860">
        <v>1768251.6</v>
      </c>
      <c r="O939" s="851">
        <v>42887</v>
      </c>
      <c r="P939" s="851">
        <v>43070.5</v>
      </c>
      <c r="Q939" s="634" t="s">
        <v>110</v>
      </c>
      <c r="R939" s="634" t="s">
        <v>2174</v>
      </c>
      <c r="S939" s="634" t="s">
        <v>1455</v>
      </c>
      <c r="T939" s="635"/>
      <c r="U939" s="634"/>
      <c r="V939" s="634" t="s">
        <v>45</v>
      </c>
      <c r="W939" s="637" t="s">
        <v>73</v>
      </c>
      <c r="X939" s="638" t="s">
        <v>4822</v>
      </c>
      <c r="Y939" s="637" t="s">
        <v>4823</v>
      </c>
      <c r="Z939" s="636">
        <v>1768251.6</v>
      </c>
      <c r="AA939" s="609" t="s">
        <v>1458</v>
      </c>
      <c r="AB939" s="843" t="s">
        <v>263</v>
      </c>
      <c r="AC939" s="844"/>
      <c r="AD939" s="844" t="s">
        <v>113</v>
      </c>
      <c r="AE939" s="861">
        <f t="shared" si="20"/>
        <v>6</v>
      </c>
    </row>
    <row r="940" spans="1:31" ht="105" hidden="1" x14ac:dyDescent="0.25">
      <c r="A940" s="671" t="s">
        <v>4896</v>
      </c>
      <c r="B940" s="842" t="s">
        <v>1540</v>
      </c>
      <c r="C940" s="842" t="s">
        <v>1545</v>
      </c>
      <c r="D940" s="847" t="s">
        <v>5899</v>
      </c>
      <c r="E940" s="847" t="s">
        <v>2022</v>
      </c>
      <c r="F940" s="846" t="s">
        <v>2474</v>
      </c>
      <c r="G940" s="847" t="s">
        <v>4892</v>
      </c>
      <c r="H940" s="858">
        <v>3000</v>
      </c>
      <c r="I940" s="604" t="s">
        <v>2161</v>
      </c>
      <c r="J940" s="599" t="s">
        <v>1454</v>
      </c>
      <c r="K940" s="859" t="s">
        <v>4897</v>
      </c>
      <c r="L940" s="850">
        <v>1062000</v>
      </c>
      <c r="M940" s="609" t="s">
        <v>2184</v>
      </c>
      <c r="N940" s="860">
        <v>1062000</v>
      </c>
      <c r="O940" s="851">
        <v>42887</v>
      </c>
      <c r="P940" s="851">
        <v>43070.5</v>
      </c>
      <c r="Q940" s="634" t="s">
        <v>110</v>
      </c>
      <c r="R940" s="634" t="s">
        <v>2174</v>
      </c>
      <c r="S940" s="634" t="s">
        <v>1455</v>
      </c>
      <c r="T940" s="635"/>
      <c r="U940" s="634"/>
      <c r="V940" s="634"/>
      <c r="W940" s="641" t="s">
        <v>73</v>
      </c>
      <c r="X940" s="638" t="s">
        <v>5068</v>
      </c>
      <c r="Y940" s="637" t="s">
        <v>5120</v>
      </c>
      <c r="Z940" s="636">
        <v>1062000</v>
      </c>
      <c r="AA940" s="609" t="s">
        <v>1458</v>
      </c>
      <c r="AB940" s="843" t="s">
        <v>263</v>
      </c>
      <c r="AC940" s="844"/>
      <c r="AD940" s="844" t="s">
        <v>113</v>
      </c>
      <c r="AE940" s="861">
        <f t="shared" si="20"/>
        <v>6</v>
      </c>
    </row>
    <row r="941" spans="1:31" ht="105" hidden="1" x14ac:dyDescent="0.25">
      <c r="A941" s="671" t="s">
        <v>4898</v>
      </c>
      <c r="B941" s="842" t="s">
        <v>1540</v>
      </c>
      <c r="C941" s="842" t="s">
        <v>1545</v>
      </c>
      <c r="D941" s="847" t="s">
        <v>5898</v>
      </c>
      <c r="E941" s="847" t="s">
        <v>3135</v>
      </c>
      <c r="F941" s="846" t="s">
        <v>1528</v>
      </c>
      <c r="G941" s="847" t="s">
        <v>2156</v>
      </c>
      <c r="H941" s="858">
        <v>180</v>
      </c>
      <c r="I941" s="604" t="s">
        <v>2161</v>
      </c>
      <c r="J941" s="599" t="s">
        <v>1454</v>
      </c>
      <c r="K941" s="859" t="s">
        <v>4899</v>
      </c>
      <c r="L941" s="850">
        <v>261252</v>
      </c>
      <c r="M941" s="609" t="s">
        <v>4813</v>
      </c>
      <c r="N941" s="860">
        <v>261252</v>
      </c>
      <c r="O941" s="851">
        <v>42887.5</v>
      </c>
      <c r="P941" s="851">
        <v>43070.5</v>
      </c>
      <c r="Q941" s="634" t="s">
        <v>110</v>
      </c>
      <c r="R941" s="634" t="s">
        <v>2174</v>
      </c>
      <c r="S941" s="634" t="s">
        <v>1455</v>
      </c>
      <c r="T941" s="635"/>
      <c r="U941" s="634"/>
      <c r="V941" s="634" t="s">
        <v>45</v>
      </c>
      <c r="W941" s="637" t="s">
        <v>73</v>
      </c>
      <c r="X941" s="638" t="s">
        <v>5083</v>
      </c>
      <c r="Y941" s="637" t="s">
        <v>5084</v>
      </c>
      <c r="Z941" s="636">
        <v>261252</v>
      </c>
      <c r="AA941" s="609" t="s">
        <v>1458</v>
      </c>
      <c r="AB941" s="843" t="s">
        <v>263</v>
      </c>
      <c r="AC941" s="844"/>
      <c r="AD941" s="844" t="s">
        <v>113</v>
      </c>
      <c r="AE941" s="861">
        <f t="shared" si="20"/>
        <v>6</v>
      </c>
    </row>
    <row r="942" spans="1:31" ht="105" hidden="1" x14ac:dyDescent="0.25">
      <c r="A942" s="671" t="s">
        <v>4900</v>
      </c>
      <c r="B942" s="842" t="s">
        <v>1540</v>
      </c>
      <c r="C942" s="842" t="s">
        <v>1545</v>
      </c>
      <c r="D942" s="847" t="s">
        <v>5897</v>
      </c>
      <c r="E942" s="847" t="s">
        <v>3135</v>
      </c>
      <c r="F942" s="846" t="s">
        <v>1528</v>
      </c>
      <c r="G942" s="847" t="s">
        <v>2156</v>
      </c>
      <c r="H942" s="858">
        <v>70</v>
      </c>
      <c r="I942" s="604" t="s">
        <v>2161</v>
      </c>
      <c r="J942" s="599" t="s">
        <v>1454</v>
      </c>
      <c r="K942" s="859" t="s">
        <v>4901</v>
      </c>
      <c r="L942" s="850">
        <v>101598</v>
      </c>
      <c r="M942" s="609" t="s">
        <v>2184</v>
      </c>
      <c r="N942" s="860">
        <v>101598</v>
      </c>
      <c r="O942" s="1015">
        <v>43009.625</v>
      </c>
      <c r="P942" s="851">
        <v>43070.5</v>
      </c>
      <c r="Q942" s="634" t="s">
        <v>110</v>
      </c>
      <c r="R942" s="634" t="s">
        <v>2174</v>
      </c>
      <c r="S942" s="634" t="s">
        <v>1455</v>
      </c>
      <c r="T942" s="635"/>
      <c r="U942" s="634"/>
      <c r="V942" s="634" t="s">
        <v>45</v>
      </c>
      <c r="W942" s="637" t="s">
        <v>73</v>
      </c>
      <c r="X942" s="638" t="s">
        <v>5083</v>
      </c>
      <c r="Y942" s="637"/>
      <c r="Z942" s="636"/>
      <c r="AA942" s="609" t="s">
        <v>1458</v>
      </c>
      <c r="AB942" s="843" t="s">
        <v>263</v>
      </c>
      <c r="AC942" s="844"/>
      <c r="AD942" s="844" t="s">
        <v>113</v>
      </c>
      <c r="AE942" s="861">
        <f t="shared" si="20"/>
        <v>10</v>
      </c>
    </row>
    <row r="943" spans="1:31" ht="105" hidden="1" x14ac:dyDescent="0.25">
      <c r="A943" s="671" t="s">
        <v>4902</v>
      </c>
      <c r="B943" s="842" t="s">
        <v>1540</v>
      </c>
      <c r="C943" s="842" t="s">
        <v>1545</v>
      </c>
      <c r="D943" s="847" t="s">
        <v>5896</v>
      </c>
      <c r="E943" s="847" t="s">
        <v>3135</v>
      </c>
      <c r="F943" s="846" t="s">
        <v>1528</v>
      </c>
      <c r="G943" s="847" t="s">
        <v>2156</v>
      </c>
      <c r="H943" s="858">
        <v>330</v>
      </c>
      <c r="I943" s="604" t="s">
        <v>2161</v>
      </c>
      <c r="J943" s="599" t="s">
        <v>1454</v>
      </c>
      <c r="K943" s="859" t="s">
        <v>4903</v>
      </c>
      <c r="L943" s="850">
        <v>478962</v>
      </c>
      <c r="M943" s="609" t="s">
        <v>4813</v>
      </c>
      <c r="N943" s="860">
        <v>478962</v>
      </c>
      <c r="O943" s="851">
        <v>42887.5</v>
      </c>
      <c r="P943" s="851">
        <v>43070.5</v>
      </c>
      <c r="Q943" s="634" t="s">
        <v>110</v>
      </c>
      <c r="R943" s="634" t="s">
        <v>2174</v>
      </c>
      <c r="S943" s="634" t="s">
        <v>1455</v>
      </c>
      <c r="T943" s="635"/>
      <c r="U943" s="634"/>
      <c r="V943" s="634" t="s">
        <v>45</v>
      </c>
      <c r="W943" s="637" t="s">
        <v>73</v>
      </c>
      <c r="X943" s="638" t="s">
        <v>5083</v>
      </c>
      <c r="Y943" s="637" t="s">
        <v>5084</v>
      </c>
      <c r="Z943" s="636">
        <v>478962</v>
      </c>
      <c r="AA943" s="609" t="s">
        <v>1458</v>
      </c>
      <c r="AB943" s="843" t="s">
        <v>263</v>
      </c>
      <c r="AC943" s="844"/>
      <c r="AD943" s="844" t="s">
        <v>113</v>
      </c>
      <c r="AE943" s="861">
        <f t="shared" si="20"/>
        <v>6</v>
      </c>
    </row>
    <row r="944" spans="1:31" ht="105" hidden="1" x14ac:dyDescent="0.25">
      <c r="A944" s="671" t="s">
        <v>4904</v>
      </c>
      <c r="B944" s="842" t="s">
        <v>1540</v>
      </c>
      <c r="C944" s="842" t="s">
        <v>1545</v>
      </c>
      <c r="D944" s="847" t="s">
        <v>5895</v>
      </c>
      <c r="E944" s="847" t="s">
        <v>3135</v>
      </c>
      <c r="F944" s="846" t="s">
        <v>1528</v>
      </c>
      <c r="G944" s="847" t="s">
        <v>2156</v>
      </c>
      <c r="H944" s="858">
        <v>730</v>
      </c>
      <c r="I944" s="604" t="s">
        <v>2161</v>
      </c>
      <c r="J944" s="599" t="s">
        <v>1454</v>
      </c>
      <c r="K944" s="859" t="s">
        <v>4905</v>
      </c>
      <c r="L944" s="850">
        <v>1059522</v>
      </c>
      <c r="M944" s="609" t="s">
        <v>4813</v>
      </c>
      <c r="N944" s="860">
        <v>1059522</v>
      </c>
      <c r="O944" s="851">
        <v>42887.5</v>
      </c>
      <c r="P944" s="851">
        <v>43070.5</v>
      </c>
      <c r="Q944" s="634" t="s">
        <v>110</v>
      </c>
      <c r="R944" s="634" t="s">
        <v>2174</v>
      </c>
      <c r="S944" s="634" t="s">
        <v>1455</v>
      </c>
      <c r="T944" s="635"/>
      <c r="U944" s="634"/>
      <c r="V944" s="634" t="s">
        <v>45</v>
      </c>
      <c r="W944" s="637" t="s">
        <v>73</v>
      </c>
      <c r="X944" s="638" t="s">
        <v>5083</v>
      </c>
      <c r="Y944" s="637" t="s">
        <v>5084</v>
      </c>
      <c r="Z944" s="636">
        <v>1059522</v>
      </c>
      <c r="AA944" s="609" t="s">
        <v>1458</v>
      </c>
      <c r="AB944" s="843" t="s">
        <v>263</v>
      </c>
      <c r="AC944" s="844"/>
      <c r="AD944" s="844" t="s">
        <v>113</v>
      </c>
      <c r="AE944" s="861">
        <f t="shared" si="20"/>
        <v>6</v>
      </c>
    </row>
    <row r="945" spans="1:31" ht="105" hidden="1" x14ac:dyDescent="0.25">
      <c r="A945" s="671" t="s">
        <v>4906</v>
      </c>
      <c r="B945" s="842" t="s">
        <v>1540</v>
      </c>
      <c r="C945" s="842" t="s">
        <v>1545</v>
      </c>
      <c r="D945" s="847" t="s">
        <v>5894</v>
      </c>
      <c r="E945" s="847" t="s">
        <v>3135</v>
      </c>
      <c r="F945" s="846" t="s">
        <v>1528</v>
      </c>
      <c r="G945" s="847" t="s">
        <v>2156</v>
      </c>
      <c r="H945" s="858">
        <v>1100</v>
      </c>
      <c r="I945" s="604" t="s">
        <v>2161</v>
      </c>
      <c r="J945" s="599" t="s">
        <v>1454</v>
      </c>
      <c r="K945" s="859" t="s">
        <v>4907</v>
      </c>
      <c r="L945" s="850">
        <v>1596540</v>
      </c>
      <c r="M945" s="609" t="s">
        <v>2184</v>
      </c>
      <c r="N945" s="860">
        <v>1596540</v>
      </c>
      <c r="O945" s="851">
        <v>43040.5</v>
      </c>
      <c r="P945" s="851">
        <v>43070.5</v>
      </c>
      <c r="Q945" s="634" t="s">
        <v>110</v>
      </c>
      <c r="R945" s="634" t="s">
        <v>2174</v>
      </c>
      <c r="S945" s="634" t="s">
        <v>1455</v>
      </c>
      <c r="T945" s="635"/>
      <c r="U945" s="634"/>
      <c r="V945" s="634" t="s">
        <v>45</v>
      </c>
      <c r="W945" s="637" t="s">
        <v>73</v>
      </c>
      <c r="X945" s="638" t="s">
        <v>5083</v>
      </c>
      <c r="Y945" s="637" t="s">
        <v>5084</v>
      </c>
      <c r="Z945" s="636">
        <v>1596540</v>
      </c>
      <c r="AA945" s="609" t="s">
        <v>1458</v>
      </c>
      <c r="AB945" s="843" t="s">
        <v>263</v>
      </c>
      <c r="AC945" s="844"/>
      <c r="AD945" s="844" t="s">
        <v>113</v>
      </c>
      <c r="AE945" s="861">
        <f t="shared" si="20"/>
        <v>11</v>
      </c>
    </row>
    <row r="946" spans="1:31" ht="105" hidden="1" x14ac:dyDescent="0.25">
      <c r="A946" s="671" t="s">
        <v>4908</v>
      </c>
      <c r="B946" s="842" t="s">
        <v>1951</v>
      </c>
      <c r="C946" s="842" t="s">
        <v>2192</v>
      </c>
      <c r="D946" s="847" t="s">
        <v>5893</v>
      </c>
      <c r="E946" s="847" t="s">
        <v>2178</v>
      </c>
      <c r="F946" s="846" t="s">
        <v>1528</v>
      </c>
      <c r="G946" s="847" t="s">
        <v>2156</v>
      </c>
      <c r="H946" s="858">
        <v>160</v>
      </c>
      <c r="I946" s="604" t="s">
        <v>2161</v>
      </c>
      <c r="J946" s="599" t="s">
        <v>1454</v>
      </c>
      <c r="K946" s="859" t="s">
        <v>4909</v>
      </c>
      <c r="L946" s="850">
        <v>678547.2</v>
      </c>
      <c r="M946" s="609" t="s">
        <v>4813</v>
      </c>
      <c r="N946" s="860">
        <v>678547.2</v>
      </c>
      <c r="O946" s="851">
        <v>42887.5</v>
      </c>
      <c r="P946" s="851">
        <v>43070.5</v>
      </c>
      <c r="Q946" s="634" t="s">
        <v>110</v>
      </c>
      <c r="R946" s="634" t="s">
        <v>2174</v>
      </c>
      <c r="S946" s="634" t="s">
        <v>1455</v>
      </c>
      <c r="T946" s="635"/>
      <c r="U946" s="634"/>
      <c r="V946" s="634" t="s">
        <v>45</v>
      </c>
      <c r="W946" s="637" t="s">
        <v>73</v>
      </c>
      <c r="X946" s="638" t="s">
        <v>5922</v>
      </c>
      <c r="Y946" s="637" t="s">
        <v>5923</v>
      </c>
      <c r="Z946" s="636"/>
      <c r="AA946" s="609" t="s">
        <v>1458</v>
      </c>
      <c r="AB946" s="843" t="s">
        <v>263</v>
      </c>
      <c r="AC946" s="844"/>
      <c r="AD946" s="844" t="s">
        <v>113</v>
      </c>
      <c r="AE946" s="861">
        <f t="shared" si="20"/>
        <v>6</v>
      </c>
    </row>
    <row r="947" spans="1:31" ht="105" hidden="1" x14ac:dyDescent="0.25">
      <c r="A947" s="671" t="s">
        <v>4910</v>
      </c>
      <c r="B947" s="842" t="s">
        <v>1951</v>
      </c>
      <c r="C947" s="842" t="s">
        <v>2192</v>
      </c>
      <c r="D947" s="847" t="s">
        <v>5892</v>
      </c>
      <c r="E947" s="847" t="s">
        <v>2178</v>
      </c>
      <c r="F947" s="846" t="s">
        <v>1528</v>
      </c>
      <c r="G947" s="847" t="s">
        <v>2156</v>
      </c>
      <c r="H947" s="858">
        <v>140</v>
      </c>
      <c r="I947" s="604" t="s">
        <v>2161</v>
      </c>
      <c r="J947" s="599" t="s">
        <v>1454</v>
      </c>
      <c r="K947" s="859" t="s">
        <v>4911</v>
      </c>
      <c r="L947" s="850">
        <v>593728.80000000005</v>
      </c>
      <c r="M947" s="609" t="s">
        <v>4813</v>
      </c>
      <c r="N947" s="860">
        <v>593728.80000000005</v>
      </c>
      <c r="O947" s="851">
        <v>42887.5</v>
      </c>
      <c r="P947" s="851">
        <v>43070.5</v>
      </c>
      <c r="Q947" s="634" t="s">
        <v>110</v>
      </c>
      <c r="R947" s="634" t="s">
        <v>2174</v>
      </c>
      <c r="S947" s="634" t="s">
        <v>1455</v>
      </c>
      <c r="T947" s="635"/>
      <c r="U947" s="634"/>
      <c r="V947" s="634" t="s">
        <v>45</v>
      </c>
      <c r="W947" s="637" t="s">
        <v>73</v>
      </c>
      <c r="X947" s="638" t="s">
        <v>5922</v>
      </c>
      <c r="Y947" s="637" t="s">
        <v>5923</v>
      </c>
      <c r="Z947" s="636">
        <v>593728.80000000005</v>
      </c>
      <c r="AA947" s="609" t="s">
        <v>1458</v>
      </c>
      <c r="AB947" s="843" t="s">
        <v>263</v>
      </c>
      <c r="AC947" s="844"/>
      <c r="AD947" s="844" t="s">
        <v>113</v>
      </c>
      <c r="AE947" s="861">
        <f t="shared" si="20"/>
        <v>6</v>
      </c>
    </row>
    <row r="948" spans="1:31" ht="105" hidden="1" x14ac:dyDescent="0.25">
      <c r="A948" s="671" t="s">
        <v>4912</v>
      </c>
      <c r="B948" s="842" t="s">
        <v>1951</v>
      </c>
      <c r="C948" s="842" t="s">
        <v>2192</v>
      </c>
      <c r="D948" s="847" t="s">
        <v>5891</v>
      </c>
      <c r="E948" s="847" t="s">
        <v>2178</v>
      </c>
      <c r="F948" s="846" t="s">
        <v>1528</v>
      </c>
      <c r="G948" s="847" t="s">
        <v>2156</v>
      </c>
      <c r="H948" s="858">
        <v>230</v>
      </c>
      <c r="I948" s="604" t="s">
        <v>2161</v>
      </c>
      <c r="J948" s="599" t="s">
        <v>1454</v>
      </c>
      <c r="K948" s="859" t="s">
        <v>4913</v>
      </c>
      <c r="L948" s="850">
        <v>278456.40000000002</v>
      </c>
      <c r="M948" s="609" t="s">
        <v>4813</v>
      </c>
      <c r="N948" s="860">
        <v>278456.40000000002</v>
      </c>
      <c r="O948" s="851">
        <v>42887.5</v>
      </c>
      <c r="P948" s="851">
        <v>43070.5</v>
      </c>
      <c r="Q948" s="634" t="s">
        <v>110</v>
      </c>
      <c r="R948" s="634" t="s">
        <v>2174</v>
      </c>
      <c r="S948" s="634" t="s">
        <v>1455</v>
      </c>
      <c r="T948" s="635"/>
      <c r="U948" s="634"/>
      <c r="V948" s="634" t="s">
        <v>45</v>
      </c>
      <c r="W948" s="637" t="s">
        <v>73</v>
      </c>
      <c r="X948" s="638" t="s">
        <v>5922</v>
      </c>
      <c r="Y948" s="637" t="s">
        <v>5923</v>
      </c>
      <c r="Z948" s="636">
        <v>278456.40000000002</v>
      </c>
      <c r="AA948" s="609" t="s">
        <v>1458</v>
      </c>
      <c r="AB948" s="843" t="s">
        <v>263</v>
      </c>
      <c r="AC948" s="844"/>
      <c r="AD948" s="844" t="s">
        <v>113</v>
      </c>
      <c r="AE948" s="861">
        <f t="shared" si="20"/>
        <v>6</v>
      </c>
    </row>
    <row r="949" spans="1:31" ht="105" hidden="1" x14ac:dyDescent="0.25">
      <c r="A949" s="671" t="s">
        <v>4914</v>
      </c>
      <c r="B949" s="842" t="s">
        <v>1951</v>
      </c>
      <c r="C949" s="842" t="s">
        <v>2192</v>
      </c>
      <c r="D949" s="847" t="s">
        <v>5890</v>
      </c>
      <c r="E949" s="847" t="s">
        <v>2178</v>
      </c>
      <c r="F949" s="846" t="s">
        <v>1528</v>
      </c>
      <c r="G949" s="847" t="s">
        <v>2156</v>
      </c>
      <c r="H949" s="858">
        <v>600</v>
      </c>
      <c r="I949" s="604" t="s">
        <v>2161</v>
      </c>
      <c r="J949" s="599" t="s">
        <v>1454</v>
      </c>
      <c r="K949" s="859" t="s">
        <v>4915</v>
      </c>
      <c r="L949" s="850">
        <v>726408</v>
      </c>
      <c r="M949" s="609" t="s">
        <v>4813</v>
      </c>
      <c r="N949" s="860">
        <v>726408</v>
      </c>
      <c r="O949" s="851">
        <v>42887.5</v>
      </c>
      <c r="P949" s="851">
        <v>43070.5</v>
      </c>
      <c r="Q949" s="634" t="s">
        <v>110</v>
      </c>
      <c r="R949" s="634" t="s">
        <v>2174</v>
      </c>
      <c r="S949" s="634" t="s">
        <v>1455</v>
      </c>
      <c r="T949" s="635"/>
      <c r="U949" s="634"/>
      <c r="V949" s="634"/>
      <c r="W949" s="637" t="s">
        <v>73</v>
      </c>
      <c r="X949" s="638" t="s">
        <v>5922</v>
      </c>
      <c r="Y949" s="637" t="s">
        <v>5923</v>
      </c>
      <c r="Z949" s="636">
        <v>726408</v>
      </c>
      <c r="AA949" s="609" t="s">
        <v>1458</v>
      </c>
      <c r="AB949" s="843" t="s">
        <v>263</v>
      </c>
      <c r="AC949" s="844"/>
      <c r="AD949" s="844" t="s">
        <v>113</v>
      </c>
      <c r="AE949" s="861">
        <f t="shared" si="20"/>
        <v>6</v>
      </c>
    </row>
    <row r="950" spans="1:31" ht="105" hidden="1" x14ac:dyDescent="0.25">
      <c r="A950" s="671" t="s">
        <v>4916</v>
      </c>
      <c r="B950" s="842" t="s">
        <v>1951</v>
      </c>
      <c r="C950" s="842" t="s">
        <v>2192</v>
      </c>
      <c r="D950" s="847" t="s">
        <v>5889</v>
      </c>
      <c r="E950" s="847" t="s">
        <v>2178</v>
      </c>
      <c r="F950" s="846" t="s">
        <v>1528</v>
      </c>
      <c r="G950" s="847" t="s">
        <v>2156</v>
      </c>
      <c r="H950" s="858">
        <v>410</v>
      </c>
      <c r="I950" s="604" t="s">
        <v>2161</v>
      </c>
      <c r="J950" s="599" t="s">
        <v>1454</v>
      </c>
      <c r="K950" s="859" t="s">
        <v>4917</v>
      </c>
      <c r="L950" s="850">
        <v>496378.8</v>
      </c>
      <c r="M950" s="609" t="s">
        <v>4813</v>
      </c>
      <c r="N950" s="860">
        <v>496378.8</v>
      </c>
      <c r="O950" s="851">
        <v>42887.5</v>
      </c>
      <c r="P950" s="851">
        <v>43070.5</v>
      </c>
      <c r="Q950" s="634" t="s">
        <v>110</v>
      </c>
      <c r="R950" s="634" t="s">
        <v>2174</v>
      </c>
      <c r="S950" s="634" t="s">
        <v>1455</v>
      </c>
      <c r="T950" s="635"/>
      <c r="U950" s="634"/>
      <c r="V950" s="634" t="s">
        <v>45</v>
      </c>
      <c r="W950" s="637" t="s">
        <v>73</v>
      </c>
      <c r="X950" s="638" t="s">
        <v>5922</v>
      </c>
      <c r="Y950" s="637" t="s">
        <v>5923</v>
      </c>
      <c r="Z950" s="636">
        <v>496378.8</v>
      </c>
      <c r="AA950" s="609" t="s">
        <v>1458</v>
      </c>
      <c r="AB950" s="843" t="s">
        <v>263</v>
      </c>
      <c r="AC950" s="844"/>
      <c r="AD950" s="844" t="s">
        <v>113</v>
      </c>
      <c r="AE950" s="861">
        <f t="shared" si="20"/>
        <v>6</v>
      </c>
    </row>
    <row r="951" spans="1:31" ht="105" hidden="1" x14ac:dyDescent="0.25">
      <c r="A951" s="671" t="s">
        <v>4918</v>
      </c>
      <c r="B951" s="842" t="s">
        <v>2205</v>
      </c>
      <c r="C951" s="842" t="s">
        <v>2434</v>
      </c>
      <c r="D951" s="847" t="s">
        <v>5888</v>
      </c>
      <c r="E951" s="847" t="s">
        <v>2463</v>
      </c>
      <c r="F951" s="846" t="s">
        <v>1528</v>
      </c>
      <c r="G951" s="847" t="s">
        <v>2156</v>
      </c>
      <c r="H951" s="858">
        <v>450</v>
      </c>
      <c r="I951" s="604" t="s">
        <v>2161</v>
      </c>
      <c r="J951" s="599" t="s">
        <v>1454</v>
      </c>
      <c r="K951" s="859" t="s">
        <v>8033</v>
      </c>
      <c r="L951" s="850">
        <v>104320.26</v>
      </c>
      <c r="M951" s="609" t="s">
        <v>997</v>
      </c>
      <c r="N951" s="860">
        <v>104320.26</v>
      </c>
      <c r="O951" s="851">
        <v>43070</v>
      </c>
      <c r="P951" s="851">
        <v>43101</v>
      </c>
      <c r="Q951" s="634" t="s">
        <v>110</v>
      </c>
      <c r="R951" s="634" t="s">
        <v>2174</v>
      </c>
      <c r="S951" s="634" t="s">
        <v>1455</v>
      </c>
      <c r="T951" s="635"/>
      <c r="U951" s="634"/>
      <c r="V951" s="634"/>
      <c r="W951" s="637" t="s">
        <v>73</v>
      </c>
      <c r="X951" s="638" t="s">
        <v>2389</v>
      </c>
      <c r="Y951" s="637" t="s">
        <v>2388</v>
      </c>
      <c r="Z951" s="636">
        <v>104320.26</v>
      </c>
      <c r="AA951" s="609" t="s">
        <v>1458</v>
      </c>
      <c r="AB951" s="843" t="s">
        <v>263</v>
      </c>
      <c r="AC951" s="844"/>
      <c r="AD951" s="844" t="s">
        <v>113</v>
      </c>
      <c r="AE951" s="861">
        <f t="shared" si="20"/>
        <v>12</v>
      </c>
    </row>
    <row r="952" spans="1:31" ht="105" hidden="1" x14ac:dyDescent="0.25">
      <c r="A952" s="671" t="s">
        <v>4919</v>
      </c>
      <c r="B952" s="842" t="s">
        <v>2205</v>
      </c>
      <c r="C952" s="842" t="s">
        <v>2434</v>
      </c>
      <c r="D952" s="847" t="s">
        <v>5887</v>
      </c>
      <c r="E952" s="847" t="s">
        <v>2463</v>
      </c>
      <c r="F952" s="846" t="s">
        <v>1528</v>
      </c>
      <c r="G952" s="847" t="s">
        <v>2156</v>
      </c>
      <c r="H952" s="858">
        <v>1200</v>
      </c>
      <c r="I952" s="604" t="s">
        <v>2161</v>
      </c>
      <c r="J952" s="599" t="s">
        <v>1454</v>
      </c>
      <c r="K952" s="859" t="s">
        <v>4920</v>
      </c>
      <c r="L952" s="850">
        <v>2906340</v>
      </c>
      <c r="M952" s="609" t="s">
        <v>2184</v>
      </c>
      <c r="N952" s="860">
        <v>2906340</v>
      </c>
      <c r="O952" s="851">
        <v>42856.5</v>
      </c>
      <c r="P952" s="851">
        <v>43070.5</v>
      </c>
      <c r="Q952" s="634" t="s">
        <v>110</v>
      </c>
      <c r="R952" s="634" t="s">
        <v>2174</v>
      </c>
      <c r="S952" s="634" t="s">
        <v>1455</v>
      </c>
      <c r="T952" s="635"/>
      <c r="U952" s="634"/>
      <c r="V952" s="634"/>
      <c r="W952" s="637"/>
      <c r="X952" s="638"/>
      <c r="Y952" s="637"/>
      <c r="Z952" s="636"/>
      <c r="AA952" s="609" t="s">
        <v>1458</v>
      </c>
      <c r="AB952" s="843" t="s">
        <v>263</v>
      </c>
      <c r="AC952" s="844"/>
      <c r="AD952" s="844" t="s">
        <v>113</v>
      </c>
      <c r="AE952" s="861">
        <f t="shared" si="20"/>
        <v>5</v>
      </c>
    </row>
    <row r="953" spans="1:31" ht="105" hidden="1" x14ac:dyDescent="0.25">
      <c r="A953" s="671" t="s">
        <v>4921</v>
      </c>
      <c r="B953" s="842" t="s">
        <v>2205</v>
      </c>
      <c r="C953" s="842" t="s">
        <v>2434</v>
      </c>
      <c r="D953" s="847" t="s">
        <v>5886</v>
      </c>
      <c r="E953" s="847" t="s">
        <v>2463</v>
      </c>
      <c r="F953" s="846" t="s">
        <v>1528</v>
      </c>
      <c r="G953" s="847" t="s">
        <v>2156</v>
      </c>
      <c r="H953" s="858">
        <v>280</v>
      </c>
      <c r="I953" s="604" t="s">
        <v>2161</v>
      </c>
      <c r="J953" s="599" t="s">
        <v>1454</v>
      </c>
      <c r="K953" s="859" t="s">
        <v>4922</v>
      </c>
      <c r="L953" s="850">
        <v>678146</v>
      </c>
      <c r="M953" s="609" t="s">
        <v>2184</v>
      </c>
      <c r="N953" s="860">
        <v>678146</v>
      </c>
      <c r="O953" s="851">
        <v>43009</v>
      </c>
      <c r="P953" s="851">
        <v>43070.5</v>
      </c>
      <c r="Q953" s="634" t="s">
        <v>110</v>
      </c>
      <c r="R953" s="634" t="s">
        <v>2174</v>
      </c>
      <c r="S953" s="634" t="s">
        <v>1455</v>
      </c>
      <c r="T953" s="635"/>
      <c r="U953" s="634"/>
      <c r="V953" s="634" t="s">
        <v>45</v>
      </c>
      <c r="W953" s="637" t="s">
        <v>73</v>
      </c>
      <c r="X953" s="638" t="s">
        <v>2385</v>
      </c>
      <c r="Y953" s="637" t="s">
        <v>2384</v>
      </c>
      <c r="Z953" s="636">
        <v>678146</v>
      </c>
      <c r="AA953" s="609" t="s">
        <v>1458</v>
      </c>
      <c r="AB953" s="843" t="s">
        <v>263</v>
      </c>
      <c r="AC953" s="844"/>
      <c r="AD953" s="844" t="s">
        <v>113</v>
      </c>
      <c r="AE953" s="861">
        <f t="shared" si="20"/>
        <v>10</v>
      </c>
    </row>
    <row r="954" spans="1:31" ht="105" hidden="1" x14ac:dyDescent="0.25">
      <c r="A954" s="671" t="s">
        <v>4923</v>
      </c>
      <c r="B954" s="842" t="s">
        <v>2205</v>
      </c>
      <c r="C954" s="842" t="s">
        <v>2434</v>
      </c>
      <c r="D954" s="847" t="s">
        <v>5885</v>
      </c>
      <c r="E954" s="847" t="s">
        <v>2463</v>
      </c>
      <c r="F954" s="846" t="s">
        <v>1528</v>
      </c>
      <c r="G954" s="847" t="s">
        <v>2156</v>
      </c>
      <c r="H954" s="858">
        <v>320</v>
      </c>
      <c r="I954" s="604" t="s">
        <v>2161</v>
      </c>
      <c r="J954" s="599" t="s">
        <v>1454</v>
      </c>
      <c r="K954" s="859" t="s">
        <v>4924</v>
      </c>
      <c r="L954" s="850">
        <v>775024</v>
      </c>
      <c r="M954" s="609" t="s">
        <v>997</v>
      </c>
      <c r="N954" s="860">
        <v>775024</v>
      </c>
      <c r="O954" s="851">
        <v>42948.5</v>
      </c>
      <c r="P954" s="851">
        <v>43070.5</v>
      </c>
      <c r="Q954" s="634" t="s">
        <v>110</v>
      </c>
      <c r="R954" s="634" t="s">
        <v>2174</v>
      </c>
      <c r="S954" s="634" t="s">
        <v>1455</v>
      </c>
      <c r="T954" s="635"/>
      <c r="U954" s="634"/>
      <c r="V954" s="634" t="s">
        <v>45</v>
      </c>
      <c r="W954" s="637" t="s">
        <v>73</v>
      </c>
      <c r="X954" s="638" t="s">
        <v>2385</v>
      </c>
      <c r="Y954" s="637" t="s">
        <v>2384</v>
      </c>
      <c r="Z954" s="636">
        <v>775024</v>
      </c>
      <c r="AA954" s="609" t="s">
        <v>1458</v>
      </c>
      <c r="AB954" s="843" t="s">
        <v>263</v>
      </c>
      <c r="AC954" s="844"/>
      <c r="AD954" s="844" t="s">
        <v>113</v>
      </c>
      <c r="AE954" s="861">
        <f t="shared" si="20"/>
        <v>8</v>
      </c>
    </row>
    <row r="955" spans="1:31" ht="105" hidden="1" x14ac:dyDescent="0.25">
      <c r="A955" s="671" t="s">
        <v>4925</v>
      </c>
      <c r="B955" s="842" t="s">
        <v>4926</v>
      </c>
      <c r="C955" s="842" t="s">
        <v>4926</v>
      </c>
      <c r="D955" s="847" t="s">
        <v>5884</v>
      </c>
      <c r="E955" s="847" t="s">
        <v>4927</v>
      </c>
      <c r="F955" s="846" t="s">
        <v>1528</v>
      </c>
      <c r="G955" s="847" t="s">
        <v>2156</v>
      </c>
      <c r="H955" s="858">
        <v>70</v>
      </c>
      <c r="I955" s="604" t="s">
        <v>2161</v>
      </c>
      <c r="J955" s="599" t="s">
        <v>1454</v>
      </c>
      <c r="K955" s="859" t="s">
        <v>4928</v>
      </c>
      <c r="L955" s="850">
        <v>500000</v>
      </c>
      <c r="M955" s="609" t="s">
        <v>2184</v>
      </c>
      <c r="N955" s="860">
        <v>500000</v>
      </c>
      <c r="O955" s="851">
        <v>42856.5</v>
      </c>
      <c r="P955" s="851">
        <v>43070.5</v>
      </c>
      <c r="Q955" s="634" t="s">
        <v>108</v>
      </c>
      <c r="R955" s="634" t="s">
        <v>1456</v>
      </c>
      <c r="S955" s="634" t="s">
        <v>1457</v>
      </c>
      <c r="T955" s="635"/>
      <c r="U955" s="634"/>
      <c r="V955" s="634"/>
      <c r="W955" s="637"/>
      <c r="X955" s="638"/>
      <c r="Y955" s="637"/>
      <c r="Z955" s="636"/>
      <c r="AA955" s="609" t="s">
        <v>1458</v>
      </c>
      <c r="AB955" s="843" t="s">
        <v>263</v>
      </c>
      <c r="AC955" s="844"/>
      <c r="AD955" s="844" t="s">
        <v>113</v>
      </c>
      <c r="AE955" s="861">
        <f t="shared" si="20"/>
        <v>5</v>
      </c>
    </row>
    <row r="956" spans="1:31" ht="105" hidden="1" x14ac:dyDescent="0.25">
      <c r="A956" s="671" t="s">
        <v>4929</v>
      </c>
      <c r="B956" s="842" t="s">
        <v>4926</v>
      </c>
      <c r="C956" s="842" t="s">
        <v>4926</v>
      </c>
      <c r="D956" s="847" t="s">
        <v>5883</v>
      </c>
      <c r="E956" s="847" t="s">
        <v>4930</v>
      </c>
      <c r="F956" s="846" t="s">
        <v>1528</v>
      </c>
      <c r="G956" s="847" t="s">
        <v>2156</v>
      </c>
      <c r="H956" s="858">
        <v>50</v>
      </c>
      <c r="I956" s="604" t="s">
        <v>2161</v>
      </c>
      <c r="J956" s="599" t="s">
        <v>1454</v>
      </c>
      <c r="K956" s="859" t="s">
        <v>4931</v>
      </c>
      <c r="L956" s="850">
        <v>130000</v>
      </c>
      <c r="M956" s="609" t="s">
        <v>2184</v>
      </c>
      <c r="N956" s="860">
        <v>130000</v>
      </c>
      <c r="O956" s="851">
        <v>42856.5</v>
      </c>
      <c r="P956" s="851">
        <v>43070.5</v>
      </c>
      <c r="Q956" s="634" t="s">
        <v>108</v>
      </c>
      <c r="R956" s="634" t="s">
        <v>1456</v>
      </c>
      <c r="S956" s="634" t="s">
        <v>1457</v>
      </c>
      <c r="T956" s="635"/>
      <c r="U956" s="634"/>
      <c r="V956" s="634"/>
      <c r="W956" s="637"/>
      <c r="X956" s="638"/>
      <c r="Y956" s="637"/>
      <c r="Z956" s="636"/>
      <c r="AA956" s="609" t="s">
        <v>1458</v>
      </c>
      <c r="AB956" s="843" t="s">
        <v>263</v>
      </c>
      <c r="AC956" s="844"/>
      <c r="AD956" s="844" t="s">
        <v>113</v>
      </c>
      <c r="AE956" s="861">
        <f t="shared" si="20"/>
        <v>5</v>
      </c>
    </row>
    <row r="957" spans="1:31" ht="105" hidden="1" x14ac:dyDescent="0.25">
      <c r="A957" s="671" t="s">
        <v>4932</v>
      </c>
      <c r="B957" s="842" t="s">
        <v>4926</v>
      </c>
      <c r="C957" s="842" t="s">
        <v>4926</v>
      </c>
      <c r="D957" s="847" t="s">
        <v>5882</v>
      </c>
      <c r="E957" s="847" t="s">
        <v>4933</v>
      </c>
      <c r="F957" s="846" t="s">
        <v>1528</v>
      </c>
      <c r="G957" s="847" t="s">
        <v>2156</v>
      </c>
      <c r="H957" s="858">
        <v>1371</v>
      </c>
      <c r="I957" s="604" t="s">
        <v>2161</v>
      </c>
      <c r="J957" s="599" t="s">
        <v>1454</v>
      </c>
      <c r="K957" s="859" t="s">
        <v>4934</v>
      </c>
      <c r="L957" s="850">
        <v>135852.92000000001</v>
      </c>
      <c r="M957" s="609" t="s">
        <v>2184</v>
      </c>
      <c r="N957" s="860">
        <v>135852.92000000001</v>
      </c>
      <c r="O957" s="851">
        <v>42856.5</v>
      </c>
      <c r="P957" s="851">
        <v>43070.5</v>
      </c>
      <c r="Q957" s="634" t="s">
        <v>108</v>
      </c>
      <c r="R957" s="634" t="s">
        <v>1456</v>
      </c>
      <c r="S957" s="634" t="s">
        <v>1457</v>
      </c>
      <c r="T957" s="635"/>
      <c r="U957" s="634"/>
      <c r="V957" s="634"/>
      <c r="W957" s="637"/>
      <c r="X957" s="638"/>
      <c r="Y957" s="637"/>
      <c r="Z957" s="636"/>
      <c r="AA957" s="609" t="s">
        <v>1458</v>
      </c>
      <c r="AB957" s="843" t="s">
        <v>263</v>
      </c>
      <c r="AC957" s="844"/>
      <c r="AD957" s="844" t="s">
        <v>113</v>
      </c>
      <c r="AE957" s="861">
        <f t="shared" si="20"/>
        <v>5</v>
      </c>
    </row>
    <row r="958" spans="1:31" ht="105" hidden="1" x14ac:dyDescent="0.25">
      <c r="A958" s="671" t="s">
        <v>4935</v>
      </c>
      <c r="B958" s="842" t="s">
        <v>4926</v>
      </c>
      <c r="C958" s="842" t="s">
        <v>4926</v>
      </c>
      <c r="D958" s="847" t="s">
        <v>5881</v>
      </c>
      <c r="E958" s="847" t="s">
        <v>4936</v>
      </c>
      <c r="F958" s="846" t="s">
        <v>1528</v>
      </c>
      <c r="G958" s="847" t="s">
        <v>2156</v>
      </c>
      <c r="H958" s="858">
        <v>5</v>
      </c>
      <c r="I958" s="604" t="s">
        <v>2161</v>
      </c>
      <c r="J958" s="599" t="s">
        <v>1454</v>
      </c>
      <c r="K958" s="859" t="s">
        <v>4937</v>
      </c>
      <c r="L958" s="850">
        <v>150000</v>
      </c>
      <c r="M958" s="609" t="s">
        <v>2184</v>
      </c>
      <c r="N958" s="860">
        <v>150000</v>
      </c>
      <c r="O958" s="851">
        <v>42887.5</v>
      </c>
      <c r="P958" s="851">
        <v>43070.5</v>
      </c>
      <c r="Q958" s="634" t="s">
        <v>108</v>
      </c>
      <c r="R958" s="634" t="s">
        <v>1456</v>
      </c>
      <c r="S958" s="634" t="s">
        <v>1457</v>
      </c>
      <c r="T958" s="635"/>
      <c r="U958" s="634"/>
      <c r="V958" s="634"/>
      <c r="W958" s="637"/>
      <c r="X958" s="638"/>
      <c r="Y958" s="637"/>
      <c r="Z958" s="636"/>
      <c r="AA958" s="609" t="s">
        <v>1458</v>
      </c>
      <c r="AB958" s="843" t="s">
        <v>263</v>
      </c>
      <c r="AC958" s="844"/>
      <c r="AD958" s="844" t="s">
        <v>113</v>
      </c>
      <c r="AE958" s="861">
        <f t="shared" si="20"/>
        <v>6</v>
      </c>
    </row>
    <row r="959" spans="1:31" ht="105" hidden="1" x14ac:dyDescent="0.25">
      <c r="A959" s="671" t="s">
        <v>4938</v>
      </c>
      <c r="B959" s="842" t="s">
        <v>4926</v>
      </c>
      <c r="C959" s="842" t="s">
        <v>4926</v>
      </c>
      <c r="D959" s="847" t="s">
        <v>5880</v>
      </c>
      <c r="E959" s="847" t="s">
        <v>4927</v>
      </c>
      <c r="F959" s="846" t="s">
        <v>1528</v>
      </c>
      <c r="G959" s="847" t="s">
        <v>2156</v>
      </c>
      <c r="H959" s="858">
        <v>15</v>
      </c>
      <c r="I959" s="604" t="s">
        <v>2161</v>
      </c>
      <c r="J959" s="599" t="s">
        <v>1454</v>
      </c>
      <c r="K959" s="859" t="s">
        <v>4939</v>
      </c>
      <c r="L959" s="850">
        <v>200000</v>
      </c>
      <c r="M959" s="609" t="s">
        <v>2184</v>
      </c>
      <c r="N959" s="860">
        <v>200000</v>
      </c>
      <c r="O959" s="851">
        <v>42856.5</v>
      </c>
      <c r="P959" s="851">
        <v>43070.5</v>
      </c>
      <c r="Q959" s="634" t="s">
        <v>108</v>
      </c>
      <c r="R959" s="634" t="s">
        <v>1456</v>
      </c>
      <c r="S959" s="634" t="s">
        <v>1457</v>
      </c>
      <c r="T959" s="635"/>
      <c r="U959" s="634"/>
      <c r="V959" s="634"/>
      <c r="W959" s="637"/>
      <c r="X959" s="638"/>
      <c r="Y959" s="637"/>
      <c r="Z959" s="636"/>
      <c r="AA959" s="609" t="s">
        <v>1458</v>
      </c>
      <c r="AB959" s="843" t="s">
        <v>263</v>
      </c>
      <c r="AC959" s="844"/>
      <c r="AD959" s="844" t="s">
        <v>113</v>
      </c>
      <c r="AE959" s="861">
        <f t="shared" si="20"/>
        <v>5</v>
      </c>
    </row>
    <row r="960" spans="1:31" ht="105" hidden="1" x14ac:dyDescent="0.25">
      <c r="A960" s="671" t="s">
        <v>4940</v>
      </c>
      <c r="B960" s="842" t="s">
        <v>1851</v>
      </c>
      <c r="C960" s="842" t="s">
        <v>2160</v>
      </c>
      <c r="D960" s="847" t="s">
        <v>5879</v>
      </c>
      <c r="E960" s="847" t="s">
        <v>4941</v>
      </c>
      <c r="F960" s="846" t="s">
        <v>1528</v>
      </c>
      <c r="G960" s="847" t="s">
        <v>2156</v>
      </c>
      <c r="H960" s="858">
        <v>200</v>
      </c>
      <c r="I960" s="604" t="s">
        <v>2161</v>
      </c>
      <c r="J960" s="599" t="s">
        <v>1454</v>
      </c>
      <c r="K960" s="859" t="s">
        <v>4942</v>
      </c>
      <c r="L960" s="850">
        <v>2356696</v>
      </c>
      <c r="M960" s="609" t="s">
        <v>2184</v>
      </c>
      <c r="N960" s="860">
        <v>2356696</v>
      </c>
      <c r="O960" s="851">
        <v>42826.5</v>
      </c>
      <c r="P960" s="851">
        <v>42887.5</v>
      </c>
      <c r="Q960" s="634" t="s">
        <v>110</v>
      </c>
      <c r="R960" s="634" t="s">
        <v>2174</v>
      </c>
      <c r="S960" s="634" t="s">
        <v>1455</v>
      </c>
      <c r="T960" s="635"/>
      <c r="U960" s="634"/>
      <c r="V960" s="634"/>
      <c r="W960" s="677" t="s">
        <v>266</v>
      </c>
      <c r="X960" s="638" t="s">
        <v>3324</v>
      </c>
      <c r="Y960" s="637" t="s">
        <v>3325</v>
      </c>
      <c r="Z960" s="636">
        <v>2356696</v>
      </c>
      <c r="AA960" s="609" t="s">
        <v>1458</v>
      </c>
      <c r="AB960" s="843" t="s">
        <v>263</v>
      </c>
      <c r="AC960" s="844"/>
      <c r="AD960" s="844" t="s">
        <v>113</v>
      </c>
      <c r="AE960" s="861">
        <f t="shared" si="20"/>
        <v>4</v>
      </c>
    </row>
    <row r="961" spans="1:31" ht="105" hidden="1" x14ac:dyDescent="0.25">
      <c r="A961" s="671" t="s">
        <v>4943</v>
      </c>
      <c r="B961" s="842" t="s">
        <v>1690</v>
      </c>
      <c r="C961" s="842" t="s">
        <v>3134</v>
      </c>
      <c r="D961" s="847" t="s">
        <v>5878</v>
      </c>
      <c r="E961" s="847" t="s">
        <v>4944</v>
      </c>
      <c r="F961" s="846" t="s">
        <v>1645</v>
      </c>
      <c r="G961" s="847" t="s">
        <v>2259</v>
      </c>
      <c r="H961" s="858">
        <v>865</v>
      </c>
      <c r="I961" s="604" t="s">
        <v>2161</v>
      </c>
      <c r="J961" s="599" t="s">
        <v>1454</v>
      </c>
      <c r="K961" s="859" t="s">
        <v>4945</v>
      </c>
      <c r="L961" s="850">
        <v>416095.02</v>
      </c>
      <c r="M961" s="609" t="s">
        <v>2184</v>
      </c>
      <c r="N961" s="860">
        <v>416095.02</v>
      </c>
      <c r="O961" s="851">
        <v>42856.5</v>
      </c>
      <c r="P961" s="851">
        <v>42887.5</v>
      </c>
      <c r="Q961" s="634" t="s">
        <v>108</v>
      </c>
      <c r="R961" s="634" t="s">
        <v>1456</v>
      </c>
      <c r="S961" s="634" t="s">
        <v>1457</v>
      </c>
      <c r="T961" s="635"/>
      <c r="U961" s="634"/>
      <c r="V961" s="634"/>
      <c r="W961" s="637"/>
      <c r="X961" s="638"/>
      <c r="Y961" s="637"/>
      <c r="Z961" s="636"/>
      <c r="AA961" s="609" t="s">
        <v>1458</v>
      </c>
      <c r="AB961" s="843" t="s">
        <v>263</v>
      </c>
      <c r="AC961" s="844"/>
      <c r="AD961" s="844" t="s">
        <v>113</v>
      </c>
      <c r="AE961" s="861">
        <f t="shared" si="20"/>
        <v>5</v>
      </c>
    </row>
    <row r="962" spans="1:31" ht="105" hidden="1" x14ac:dyDescent="0.25">
      <c r="A962" s="671" t="s">
        <v>4946</v>
      </c>
      <c r="B962" s="842" t="s">
        <v>1687</v>
      </c>
      <c r="C962" s="842" t="s">
        <v>3132</v>
      </c>
      <c r="D962" s="847" t="s">
        <v>5877</v>
      </c>
      <c r="E962" s="847" t="s">
        <v>4944</v>
      </c>
      <c r="F962" s="846" t="s">
        <v>1645</v>
      </c>
      <c r="G962" s="847" t="s">
        <v>2259</v>
      </c>
      <c r="H962" s="858">
        <v>8500</v>
      </c>
      <c r="I962" s="604" t="s">
        <v>2161</v>
      </c>
      <c r="J962" s="599" t="s">
        <v>1454</v>
      </c>
      <c r="K962" s="859" t="s">
        <v>4947</v>
      </c>
      <c r="L962" s="850">
        <v>357866.25</v>
      </c>
      <c r="M962" s="609" t="s">
        <v>2184</v>
      </c>
      <c r="N962" s="860">
        <v>357866.25</v>
      </c>
      <c r="O962" s="851">
        <v>42887.5</v>
      </c>
      <c r="P962" s="851">
        <v>42887.5</v>
      </c>
      <c r="Q962" s="634" t="s">
        <v>108</v>
      </c>
      <c r="R962" s="634" t="s">
        <v>1456</v>
      </c>
      <c r="S962" s="634" t="s">
        <v>1457</v>
      </c>
      <c r="T962" s="635"/>
      <c r="U962" s="634"/>
      <c r="V962" s="634"/>
      <c r="W962" s="637"/>
      <c r="X962" s="638"/>
      <c r="Y962" s="637"/>
      <c r="Z962" s="636"/>
      <c r="AA962" s="609" t="s">
        <v>1458</v>
      </c>
      <c r="AB962" s="843" t="s">
        <v>263</v>
      </c>
      <c r="AC962" s="844"/>
      <c r="AD962" s="844" t="s">
        <v>113</v>
      </c>
      <c r="AE962" s="861">
        <f t="shared" si="20"/>
        <v>6</v>
      </c>
    </row>
    <row r="963" spans="1:31" ht="105" hidden="1" x14ac:dyDescent="0.25">
      <c r="A963" s="671" t="s">
        <v>4948</v>
      </c>
      <c r="B963" s="842" t="s">
        <v>1687</v>
      </c>
      <c r="C963" s="842" t="s">
        <v>3132</v>
      </c>
      <c r="D963" s="847" t="s">
        <v>5876</v>
      </c>
      <c r="E963" s="847" t="s">
        <v>4944</v>
      </c>
      <c r="F963" s="846" t="s">
        <v>1645</v>
      </c>
      <c r="G963" s="847" t="s">
        <v>2259</v>
      </c>
      <c r="H963" s="858">
        <v>1179.8</v>
      </c>
      <c r="I963" s="604" t="s">
        <v>2161</v>
      </c>
      <c r="J963" s="599" t="s">
        <v>1454</v>
      </c>
      <c r="K963" s="859" t="s">
        <v>4949</v>
      </c>
      <c r="L963" s="850">
        <v>782772.33</v>
      </c>
      <c r="M963" s="609" t="s">
        <v>2184</v>
      </c>
      <c r="N963" s="860">
        <v>782772.33</v>
      </c>
      <c r="O963" s="851">
        <v>42856.5</v>
      </c>
      <c r="P963" s="851">
        <v>42887.5</v>
      </c>
      <c r="Q963" s="634" t="s">
        <v>108</v>
      </c>
      <c r="R963" s="634" t="s">
        <v>112</v>
      </c>
      <c r="S963" s="634" t="s">
        <v>1457</v>
      </c>
      <c r="T963" s="635"/>
      <c r="U963" s="634"/>
      <c r="V963" s="634"/>
      <c r="W963" s="637"/>
      <c r="X963" s="638"/>
      <c r="Y963" s="637"/>
      <c r="Z963" s="636"/>
      <c r="AA963" s="609" t="s">
        <v>1458</v>
      </c>
      <c r="AB963" s="843" t="s">
        <v>263</v>
      </c>
      <c r="AC963" s="844"/>
      <c r="AD963" s="844" t="s">
        <v>113</v>
      </c>
      <c r="AE963" s="861">
        <f t="shared" si="20"/>
        <v>5</v>
      </c>
    </row>
    <row r="964" spans="1:31" ht="105" hidden="1" x14ac:dyDescent="0.25">
      <c r="A964" s="671" t="s">
        <v>4950</v>
      </c>
      <c r="B964" s="842" t="s">
        <v>232</v>
      </c>
      <c r="C964" s="842" t="s">
        <v>1733</v>
      </c>
      <c r="D964" s="847" t="s">
        <v>5875</v>
      </c>
      <c r="E964" s="847" t="s">
        <v>1715</v>
      </c>
      <c r="F964" s="846" t="s">
        <v>1528</v>
      </c>
      <c r="G964" s="847" t="s">
        <v>2156</v>
      </c>
      <c r="H964" s="858">
        <v>20</v>
      </c>
      <c r="I964" s="604" t="s">
        <v>2161</v>
      </c>
      <c r="J964" s="599" t="s">
        <v>1454</v>
      </c>
      <c r="K964" s="859" t="s">
        <v>4872</v>
      </c>
      <c r="L964" s="850">
        <v>148680</v>
      </c>
      <c r="M964" s="609" t="s">
        <v>2184</v>
      </c>
      <c r="N964" s="860">
        <v>148680</v>
      </c>
      <c r="O964" s="851">
        <v>42856.5</v>
      </c>
      <c r="P964" s="851">
        <v>42856.5</v>
      </c>
      <c r="Q964" s="634" t="s">
        <v>110</v>
      </c>
      <c r="R964" s="634" t="s">
        <v>2174</v>
      </c>
      <c r="S964" s="634" t="s">
        <v>1455</v>
      </c>
      <c r="T964" s="635"/>
      <c r="U964" s="634"/>
      <c r="V964" s="634"/>
      <c r="W964" s="637"/>
      <c r="X964" s="638"/>
      <c r="Y964" s="637"/>
      <c r="Z964" s="636"/>
      <c r="AA964" s="609" t="s">
        <v>1458</v>
      </c>
      <c r="AB964" s="843" t="s">
        <v>263</v>
      </c>
      <c r="AC964" s="844"/>
      <c r="AD964" s="844" t="s">
        <v>113</v>
      </c>
      <c r="AE964" s="861">
        <f t="shared" si="20"/>
        <v>5</v>
      </c>
    </row>
    <row r="965" spans="1:31" ht="105" hidden="1" x14ac:dyDescent="0.25">
      <c r="A965" s="671" t="s">
        <v>4951</v>
      </c>
      <c r="B965" s="842" t="s">
        <v>1727</v>
      </c>
      <c r="C965" s="842" t="s">
        <v>1727</v>
      </c>
      <c r="D965" s="847" t="s">
        <v>5874</v>
      </c>
      <c r="E965" s="847" t="s">
        <v>4952</v>
      </c>
      <c r="F965" s="846" t="s">
        <v>1528</v>
      </c>
      <c r="G965" s="847" t="s">
        <v>2156</v>
      </c>
      <c r="H965" s="858">
        <v>80</v>
      </c>
      <c r="I965" s="604" t="s">
        <v>2161</v>
      </c>
      <c r="J965" s="599" t="s">
        <v>1454</v>
      </c>
      <c r="K965" s="859" t="s">
        <v>4953</v>
      </c>
      <c r="L965" s="850">
        <v>285975.36</v>
      </c>
      <c r="M965" s="609" t="s">
        <v>2184</v>
      </c>
      <c r="N965" s="860">
        <v>285975.36</v>
      </c>
      <c r="O965" s="851">
        <v>42856.5</v>
      </c>
      <c r="P965" s="851">
        <v>42856.5</v>
      </c>
      <c r="Q965" s="634" t="s">
        <v>110</v>
      </c>
      <c r="R965" s="634" t="s">
        <v>2174</v>
      </c>
      <c r="S965" s="634" t="s">
        <v>1455</v>
      </c>
      <c r="T965" s="635"/>
      <c r="U965" s="634"/>
      <c r="V965" s="634"/>
      <c r="W965" s="641" t="s">
        <v>72</v>
      </c>
      <c r="X965" s="638" t="s">
        <v>5083</v>
      </c>
      <c r="Y965" s="637" t="s">
        <v>5084</v>
      </c>
      <c r="Z965" s="636">
        <v>285975.36</v>
      </c>
      <c r="AA965" s="609" t="s">
        <v>1458</v>
      </c>
      <c r="AB965" s="843" t="s">
        <v>263</v>
      </c>
      <c r="AC965" s="844"/>
      <c r="AD965" s="844" t="s">
        <v>113</v>
      </c>
      <c r="AE965" s="861">
        <f t="shared" si="20"/>
        <v>5</v>
      </c>
    </row>
    <row r="966" spans="1:31" ht="105" hidden="1" x14ac:dyDescent="0.25">
      <c r="A966" s="671" t="s">
        <v>4954</v>
      </c>
      <c r="B966" s="842" t="s">
        <v>1727</v>
      </c>
      <c r="C966" s="842" t="s">
        <v>1727</v>
      </c>
      <c r="D966" s="847" t="s">
        <v>5873</v>
      </c>
      <c r="E966" s="847" t="s">
        <v>4955</v>
      </c>
      <c r="F966" s="846" t="s">
        <v>1528</v>
      </c>
      <c r="G966" s="847" t="s">
        <v>2156</v>
      </c>
      <c r="H966" s="858">
        <v>112</v>
      </c>
      <c r="I966" s="604" t="s">
        <v>2161</v>
      </c>
      <c r="J966" s="599" t="s">
        <v>1454</v>
      </c>
      <c r="K966" s="859" t="s">
        <v>4956</v>
      </c>
      <c r="L966" s="850">
        <v>156798.39999999999</v>
      </c>
      <c r="M966" s="609" t="s">
        <v>2184</v>
      </c>
      <c r="N966" s="860">
        <v>156798.39999999999</v>
      </c>
      <c r="O966" s="851">
        <v>42856.5</v>
      </c>
      <c r="P966" s="851">
        <v>42856.5</v>
      </c>
      <c r="Q966" s="634" t="s">
        <v>110</v>
      </c>
      <c r="R966" s="634" t="s">
        <v>2174</v>
      </c>
      <c r="S966" s="634" t="s">
        <v>1455</v>
      </c>
      <c r="T966" s="635"/>
      <c r="U966" s="634"/>
      <c r="V966" s="634"/>
      <c r="W966" s="637"/>
      <c r="X966" s="638"/>
      <c r="Y966" s="637"/>
      <c r="Z966" s="636"/>
      <c r="AA966" s="609" t="s">
        <v>1458</v>
      </c>
      <c r="AB966" s="843" t="s">
        <v>263</v>
      </c>
      <c r="AC966" s="844"/>
      <c r="AD966" s="844" t="s">
        <v>113</v>
      </c>
      <c r="AE966" s="861">
        <f t="shared" si="20"/>
        <v>5</v>
      </c>
    </row>
    <row r="967" spans="1:31" ht="105" hidden="1" x14ac:dyDescent="0.25">
      <c r="A967" s="671" t="s">
        <v>4957</v>
      </c>
      <c r="B967" s="842" t="s">
        <v>1740</v>
      </c>
      <c r="C967" s="842" t="s">
        <v>2436</v>
      </c>
      <c r="D967" s="847" t="s">
        <v>5872</v>
      </c>
      <c r="E967" s="847" t="s">
        <v>2468</v>
      </c>
      <c r="F967" s="846" t="s">
        <v>1528</v>
      </c>
      <c r="G967" s="847" t="s">
        <v>2156</v>
      </c>
      <c r="H967" s="858">
        <v>20</v>
      </c>
      <c r="I967" s="604" t="s">
        <v>2161</v>
      </c>
      <c r="J967" s="599" t="s">
        <v>1454</v>
      </c>
      <c r="K967" s="859" t="s">
        <v>4958</v>
      </c>
      <c r="L967" s="850">
        <v>1142169.2</v>
      </c>
      <c r="M967" s="609" t="s">
        <v>2184</v>
      </c>
      <c r="N967" s="860">
        <v>1142169.2</v>
      </c>
      <c r="O967" s="851">
        <v>42857.5</v>
      </c>
      <c r="P967" s="851">
        <v>42857.5</v>
      </c>
      <c r="Q967" s="634" t="s">
        <v>110</v>
      </c>
      <c r="R967" s="634" t="s">
        <v>2174</v>
      </c>
      <c r="S967" s="634" t="s">
        <v>1455</v>
      </c>
      <c r="T967" s="635"/>
      <c r="U967" s="634"/>
      <c r="V967" s="634"/>
      <c r="W967" s="637"/>
      <c r="X967" s="638"/>
      <c r="Y967" s="637"/>
      <c r="Z967" s="636"/>
      <c r="AA967" s="609" t="s">
        <v>1458</v>
      </c>
      <c r="AB967" s="843" t="s">
        <v>263</v>
      </c>
      <c r="AC967" s="844"/>
      <c r="AD967" s="844" t="s">
        <v>113</v>
      </c>
      <c r="AE967" s="861">
        <f t="shared" si="20"/>
        <v>5</v>
      </c>
    </row>
    <row r="968" spans="1:31" ht="105" hidden="1" x14ac:dyDescent="0.25">
      <c r="A968" s="671" t="s">
        <v>4959</v>
      </c>
      <c r="B968" s="842" t="s">
        <v>138</v>
      </c>
      <c r="C968" s="842" t="s">
        <v>138</v>
      </c>
      <c r="D968" s="847" t="s">
        <v>5871</v>
      </c>
      <c r="E968" s="847" t="s">
        <v>2244</v>
      </c>
      <c r="F968" s="846" t="s">
        <v>1645</v>
      </c>
      <c r="G968" s="847" t="s">
        <v>2259</v>
      </c>
      <c r="H968" s="858">
        <v>3379.1</v>
      </c>
      <c r="I968" s="604" t="s">
        <v>2161</v>
      </c>
      <c r="J968" s="599" t="s">
        <v>1454</v>
      </c>
      <c r="K968" s="859" t="s">
        <v>4960</v>
      </c>
      <c r="L968" s="850">
        <v>1350000</v>
      </c>
      <c r="M968" s="609" t="s">
        <v>2184</v>
      </c>
      <c r="N968" s="860">
        <v>1350000</v>
      </c>
      <c r="O968" s="851">
        <v>42858.5</v>
      </c>
      <c r="P968" s="851">
        <v>42858.5</v>
      </c>
      <c r="Q968" s="634" t="s">
        <v>110</v>
      </c>
      <c r="R968" s="634" t="s">
        <v>2174</v>
      </c>
      <c r="S968" s="634" t="s">
        <v>1455</v>
      </c>
      <c r="T968" s="635"/>
      <c r="U968" s="634"/>
      <c r="V968" s="634"/>
      <c r="W968" s="637"/>
      <c r="X968" s="638"/>
      <c r="Y968" s="637"/>
      <c r="Z968" s="636"/>
      <c r="AA968" s="609" t="s">
        <v>1458</v>
      </c>
      <c r="AB968" s="843" t="s">
        <v>263</v>
      </c>
      <c r="AC968" s="844"/>
      <c r="AD968" s="844" t="s">
        <v>113</v>
      </c>
      <c r="AE968" s="861">
        <f t="shared" si="20"/>
        <v>5</v>
      </c>
    </row>
    <row r="969" spans="1:31" ht="105" hidden="1" x14ac:dyDescent="0.25">
      <c r="A969" s="671" t="s">
        <v>4961</v>
      </c>
      <c r="B969" s="842" t="s">
        <v>1793</v>
      </c>
      <c r="C969" s="842" t="s">
        <v>4962</v>
      </c>
      <c r="D969" s="847" t="s">
        <v>5870</v>
      </c>
      <c r="E969" s="856" t="s">
        <v>4963</v>
      </c>
      <c r="F969" s="846" t="s">
        <v>1528</v>
      </c>
      <c r="G969" s="847" t="s">
        <v>2156</v>
      </c>
      <c r="H969" s="858">
        <v>18</v>
      </c>
      <c r="I969" s="604" t="s">
        <v>2161</v>
      </c>
      <c r="J969" s="599" t="s">
        <v>1454</v>
      </c>
      <c r="K969" s="859" t="s">
        <v>6087</v>
      </c>
      <c r="L969" s="850">
        <v>19472</v>
      </c>
      <c r="M969" s="609" t="s">
        <v>2184</v>
      </c>
      <c r="N969" s="860">
        <v>19472</v>
      </c>
      <c r="O969" s="851">
        <v>42850.5</v>
      </c>
      <c r="P969" s="851">
        <v>43100.5</v>
      </c>
      <c r="Q969" s="634" t="s">
        <v>108</v>
      </c>
      <c r="R969" s="634" t="s">
        <v>1456</v>
      </c>
      <c r="S969" s="634" t="s">
        <v>1457</v>
      </c>
      <c r="T969" s="635"/>
      <c r="U969" s="634"/>
      <c r="V969" s="634"/>
      <c r="W969" s="637"/>
      <c r="X969" s="638"/>
      <c r="Y969" s="637"/>
      <c r="Z969" s="636"/>
      <c r="AA969" s="609" t="s">
        <v>1458</v>
      </c>
      <c r="AB969" s="843" t="s">
        <v>263</v>
      </c>
      <c r="AC969" s="915">
        <v>42850</v>
      </c>
      <c r="AD969" s="844" t="s">
        <v>113</v>
      </c>
      <c r="AE969" s="861">
        <f t="shared" si="20"/>
        <v>4</v>
      </c>
    </row>
    <row r="970" spans="1:31" ht="105" hidden="1" x14ac:dyDescent="0.25">
      <c r="A970" s="671" t="s">
        <v>4964</v>
      </c>
      <c r="B970" s="842" t="s">
        <v>4965</v>
      </c>
      <c r="C970" s="842" t="s">
        <v>4966</v>
      </c>
      <c r="D970" s="847" t="s">
        <v>5869</v>
      </c>
      <c r="E970" s="847" t="s">
        <v>4852</v>
      </c>
      <c r="F970" s="846" t="s">
        <v>1528</v>
      </c>
      <c r="G970" s="847" t="str">
        <f>IFERROR(VLOOKUP(F970,'[1]код океи'!$B$2:$C$448,2,1)," ")</f>
        <v>Штука</v>
      </c>
      <c r="H970" s="858">
        <v>1</v>
      </c>
      <c r="I970" s="604" t="s">
        <v>2161</v>
      </c>
      <c r="J970" s="599" t="s">
        <v>1454</v>
      </c>
      <c r="K970" s="862" t="s">
        <v>4967</v>
      </c>
      <c r="L970" s="868">
        <v>1980000</v>
      </c>
      <c r="M970" s="609" t="s">
        <v>2184</v>
      </c>
      <c r="N970" s="849">
        <v>1980000</v>
      </c>
      <c r="O970" s="851">
        <v>42856</v>
      </c>
      <c r="P970" s="851">
        <v>42979</v>
      </c>
      <c r="Q970" s="634" t="s">
        <v>108</v>
      </c>
      <c r="R970" s="634" t="s">
        <v>1456</v>
      </c>
      <c r="S970" s="634" t="s">
        <v>1457</v>
      </c>
      <c r="T970" s="635"/>
      <c r="U970" s="634"/>
      <c r="V970" s="634"/>
      <c r="W970" s="637"/>
      <c r="X970" s="638"/>
      <c r="Y970" s="637"/>
      <c r="Z970" s="636"/>
      <c r="AA970" s="609" t="s">
        <v>1458</v>
      </c>
      <c r="AB970" s="843" t="s">
        <v>263</v>
      </c>
      <c r="AC970" s="844"/>
      <c r="AD970" s="844" t="s">
        <v>113</v>
      </c>
      <c r="AE970" s="861">
        <f t="shared" si="20"/>
        <v>5</v>
      </c>
    </row>
    <row r="971" spans="1:31" ht="105" hidden="1" x14ac:dyDescent="0.25">
      <c r="A971" s="671" t="s">
        <v>4968</v>
      </c>
      <c r="B971" s="842" t="s">
        <v>2193</v>
      </c>
      <c r="C971" s="842" t="s">
        <v>2194</v>
      </c>
      <c r="D971" s="847" t="s">
        <v>5868</v>
      </c>
      <c r="E971" s="847" t="s">
        <v>4852</v>
      </c>
      <c r="F971" s="846" t="s">
        <v>1528</v>
      </c>
      <c r="G971" s="847" t="str">
        <f>IFERROR(VLOOKUP(F971,'[1]код океи'!$B$2:$C$448,2,1)," ")</f>
        <v>Штука</v>
      </c>
      <c r="H971" s="858">
        <v>1</v>
      </c>
      <c r="I971" s="604" t="s">
        <v>2161</v>
      </c>
      <c r="J971" s="599" t="s">
        <v>1454</v>
      </c>
      <c r="K971" s="862" t="s">
        <v>4969</v>
      </c>
      <c r="L971" s="868">
        <v>170000</v>
      </c>
      <c r="M971" s="609" t="s">
        <v>2184</v>
      </c>
      <c r="N971" s="849">
        <v>170000</v>
      </c>
      <c r="O971" s="851">
        <v>42850.5</v>
      </c>
      <c r="P971" s="851">
        <v>42856</v>
      </c>
      <c r="Q971" s="634" t="s">
        <v>110</v>
      </c>
      <c r="R971" s="634" t="s">
        <v>2174</v>
      </c>
      <c r="S971" s="634" t="s">
        <v>1455</v>
      </c>
      <c r="T971" s="635"/>
      <c r="U971" s="634"/>
      <c r="V971" s="634"/>
      <c r="W971" s="637"/>
      <c r="X971" s="638"/>
      <c r="Y971" s="637"/>
      <c r="Z971" s="636"/>
      <c r="AA971" s="609" t="s">
        <v>1458</v>
      </c>
      <c r="AB971" s="843" t="s">
        <v>263</v>
      </c>
      <c r="AC971" s="844"/>
      <c r="AD971" s="844" t="s">
        <v>113</v>
      </c>
      <c r="AE971" s="861">
        <f t="shared" ref="AE971:AE1010" si="21">IF(O971=0,,MONTH(O971))</f>
        <v>4</v>
      </c>
    </row>
    <row r="972" spans="1:31" ht="105" hidden="1" x14ac:dyDescent="0.25">
      <c r="A972" s="671" t="s">
        <v>4970</v>
      </c>
      <c r="B972" s="842" t="s">
        <v>1636</v>
      </c>
      <c r="C972" s="842" t="s">
        <v>2040</v>
      </c>
      <c r="D972" s="847" t="s">
        <v>5867</v>
      </c>
      <c r="E972" s="847" t="s">
        <v>2022</v>
      </c>
      <c r="F972" s="846" t="s">
        <v>1528</v>
      </c>
      <c r="G972" s="847" t="str">
        <f>IFERROR(VLOOKUP(F972,'[1]код океи'!$B$2:$C$448,2,1)," ")</f>
        <v>Штука</v>
      </c>
      <c r="H972" s="858">
        <v>4</v>
      </c>
      <c r="I972" s="604" t="s">
        <v>2161</v>
      </c>
      <c r="J972" s="599" t="s">
        <v>1454</v>
      </c>
      <c r="K972" s="862" t="s">
        <v>4971</v>
      </c>
      <c r="L972" s="868">
        <v>380000</v>
      </c>
      <c r="M972" s="609" t="s">
        <v>2184</v>
      </c>
      <c r="N972" s="849">
        <v>380000</v>
      </c>
      <c r="O972" s="851">
        <v>42850.5</v>
      </c>
      <c r="P972" s="851">
        <v>43100.5</v>
      </c>
      <c r="Q972" s="634" t="s">
        <v>110</v>
      </c>
      <c r="R972" s="634" t="s">
        <v>2174</v>
      </c>
      <c r="S972" s="634" t="s">
        <v>1455</v>
      </c>
      <c r="T972" s="635"/>
      <c r="U972" s="634"/>
      <c r="V972" s="634"/>
      <c r="W972" s="637"/>
      <c r="X972" s="638"/>
      <c r="Y972" s="637"/>
      <c r="Z972" s="636"/>
      <c r="AA972" s="609" t="s">
        <v>1458</v>
      </c>
      <c r="AB972" s="843" t="s">
        <v>263</v>
      </c>
      <c r="AC972" s="844"/>
      <c r="AD972" s="844" t="s">
        <v>113</v>
      </c>
      <c r="AE972" s="861">
        <f t="shared" si="21"/>
        <v>4</v>
      </c>
    </row>
    <row r="973" spans="1:31" ht="105" hidden="1" x14ac:dyDescent="0.25">
      <c r="A973" s="671" t="s">
        <v>4972</v>
      </c>
      <c r="B973" s="842" t="s">
        <v>1906</v>
      </c>
      <c r="C973" s="842" t="s">
        <v>1907</v>
      </c>
      <c r="D973" s="847" t="s">
        <v>5866</v>
      </c>
      <c r="E973" s="847" t="s">
        <v>2235</v>
      </c>
      <c r="F973" s="846" t="s">
        <v>1528</v>
      </c>
      <c r="G973" s="847" t="str">
        <f>IFERROR(VLOOKUP(F973,'[1]код океи'!$B$2:$C$448,2,1)," ")</f>
        <v>Штука</v>
      </c>
      <c r="H973" s="858">
        <v>10</v>
      </c>
      <c r="I973" s="604" t="s">
        <v>2161</v>
      </c>
      <c r="J973" s="599" t="s">
        <v>1454</v>
      </c>
      <c r="K973" s="862" t="s">
        <v>4973</v>
      </c>
      <c r="L973" s="868">
        <v>1978822.67</v>
      </c>
      <c r="M973" s="609" t="s">
        <v>2184</v>
      </c>
      <c r="N973" s="849">
        <v>1978822.67</v>
      </c>
      <c r="O973" s="851">
        <v>42858.5</v>
      </c>
      <c r="P973" s="851">
        <v>43100.5</v>
      </c>
      <c r="Q973" s="634" t="s">
        <v>108</v>
      </c>
      <c r="R973" s="634" t="s">
        <v>1456</v>
      </c>
      <c r="S973" s="634" t="s">
        <v>1457</v>
      </c>
      <c r="T973" s="635"/>
      <c r="U973" s="634"/>
      <c r="V973" s="634"/>
      <c r="W973" s="637"/>
      <c r="X973" s="638"/>
      <c r="Y973" s="637"/>
      <c r="Z973" s="636"/>
      <c r="AA973" s="609" t="s">
        <v>1458</v>
      </c>
      <c r="AB973" s="843" t="s">
        <v>263</v>
      </c>
      <c r="AC973" s="844"/>
      <c r="AD973" s="844" t="s">
        <v>113</v>
      </c>
      <c r="AE973" s="861">
        <f t="shared" si="21"/>
        <v>5</v>
      </c>
    </row>
    <row r="974" spans="1:31" ht="105" hidden="1" x14ac:dyDescent="0.25">
      <c r="A974" s="671" t="s">
        <v>4974</v>
      </c>
      <c r="B974" s="842" t="s">
        <v>1906</v>
      </c>
      <c r="C974" s="842" t="s">
        <v>1907</v>
      </c>
      <c r="D974" s="847" t="s">
        <v>5865</v>
      </c>
      <c r="E974" s="847" t="s">
        <v>2235</v>
      </c>
      <c r="F974" s="846" t="s">
        <v>1528</v>
      </c>
      <c r="G974" s="847" t="str">
        <f>IFERROR(VLOOKUP(F974,'[1]код океи'!$B$2:$C$448,2,1)," ")</f>
        <v>Штука</v>
      </c>
      <c r="H974" s="858">
        <v>3</v>
      </c>
      <c r="I974" s="604" t="s">
        <v>2161</v>
      </c>
      <c r="J974" s="599" t="s">
        <v>1454</v>
      </c>
      <c r="K974" s="862" t="s">
        <v>4975</v>
      </c>
      <c r="L974" s="868">
        <v>482895.33</v>
      </c>
      <c r="M974" s="609" t="s">
        <v>2184</v>
      </c>
      <c r="N974" s="849">
        <v>482895.33</v>
      </c>
      <c r="O974" s="851">
        <v>42858.5</v>
      </c>
      <c r="P974" s="851">
        <v>43100.5</v>
      </c>
      <c r="Q974" s="634" t="s">
        <v>108</v>
      </c>
      <c r="R974" s="634" t="s">
        <v>1456</v>
      </c>
      <c r="S974" s="634" t="s">
        <v>1457</v>
      </c>
      <c r="T974" s="635"/>
      <c r="U974" s="634"/>
      <c r="V974" s="634"/>
      <c r="W974" s="637"/>
      <c r="X974" s="638"/>
      <c r="Y974" s="637"/>
      <c r="Z974" s="636"/>
      <c r="AA974" s="609" t="s">
        <v>1458</v>
      </c>
      <c r="AB974" s="843" t="s">
        <v>263</v>
      </c>
      <c r="AC974" s="844"/>
      <c r="AD974" s="844" t="s">
        <v>113</v>
      </c>
      <c r="AE974" s="861">
        <f t="shared" si="21"/>
        <v>5</v>
      </c>
    </row>
    <row r="975" spans="1:31" ht="105" hidden="1" x14ac:dyDescent="0.25">
      <c r="A975" s="671" t="s">
        <v>4976</v>
      </c>
      <c r="B975" s="842" t="s">
        <v>1793</v>
      </c>
      <c r="C975" s="842" t="s">
        <v>4977</v>
      </c>
      <c r="D975" s="847" t="s">
        <v>5864</v>
      </c>
      <c r="E975" s="847" t="s">
        <v>2235</v>
      </c>
      <c r="F975" s="846" t="s">
        <v>1587</v>
      </c>
      <c r="G975" s="847" t="str">
        <f>IFERROR(VLOOKUP(F975,'[1]код океи'!$B$2:$C$448,2,1)," ")</f>
        <v>Комплект</v>
      </c>
      <c r="H975" s="858">
        <v>1</v>
      </c>
      <c r="I975" s="604" t="s">
        <v>2161</v>
      </c>
      <c r="J975" s="599" t="s">
        <v>1454</v>
      </c>
      <c r="K975" s="862" t="s">
        <v>4978</v>
      </c>
      <c r="L975" s="868">
        <v>1573174.49</v>
      </c>
      <c r="M975" s="609" t="s">
        <v>2184</v>
      </c>
      <c r="N975" s="849">
        <v>1573174.49</v>
      </c>
      <c r="O975" s="851">
        <v>42858.5</v>
      </c>
      <c r="P975" s="851">
        <v>43100.5</v>
      </c>
      <c r="Q975" s="634" t="s">
        <v>108</v>
      </c>
      <c r="R975" s="634" t="s">
        <v>1456</v>
      </c>
      <c r="S975" s="634" t="s">
        <v>1457</v>
      </c>
      <c r="T975" s="635"/>
      <c r="U975" s="634"/>
      <c r="V975" s="634"/>
      <c r="W975" s="637"/>
      <c r="X975" s="638"/>
      <c r="Y975" s="637"/>
      <c r="Z975" s="636"/>
      <c r="AA975" s="609" t="s">
        <v>1458</v>
      </c>
      <c r="AB975" s="843" t="s">
        <v>263</v>
      </c>
      <c r="AC975" s="844"/>
      <c r="AD975" s="844" t="s">
        <v>113</v>
      </c>
      <c r="AE975" s="861">
        <f t="shared" si="21"/>
        <v>5</v>
      </c>
    </row>
    <row r="976" spans="1:31" ht="105" hidden="1" x14ac:dyDescent="0.25">
      <c r="A976" s="671" t="s">
        <v>4979</v>
      </c>
      <c r="B976" s="842" t="s">
        <v>1793</v>
      </c>
      <c r="C976" s="842" t="s">
        <v>4977</v>
      </c>
      <c r="D976" s="847" t="s">
        <v>5863</v>
      </c>
      <c r="E976" s="847" t="s">
        <v>2235</v>
      </c>
      <c r="F976" s="846" t="s">
        <v>1528</v>
      </c>
      <c r="G976" s="847" t="str">
        <f>IFERROR(VLOOKUP(F976,'[1]код океи'!$B$2:$C$448,2,1)," ")</f>
        <v>Штука</v>
      </c>
      <c r="H976" s="858">
        <v>3</v>
      </c>
      <c r="I976" s="604" t="s">
        <v>2161</v>
      </c>
      <c r="J976" s="599" t="s">
        <v>1454</v>
      </c>
      <c r="K976" s="862" t="s">
        <v>4980</v>
      </c>
      <c r="L976" s="868">
        <v>1423120.96</v>
      </c>
      <c r="M976" s="609" t="s">
        <v>2184</v>
      </c>
      <c r="N976" s="849">
        <v>1423120.96</v>
      </c>
      <c r="O976" s="851">
        <v>42858.5</v>
      </c>
      <c r="P976" s="851">
        <v>43100.5</v>
      </c>
      <c r="Q976" s="634" t="s">
        <v>108</v>
      </c>
      <c r="R976" s="634" t="s">
        <v>1456</v>
      </c>
      <c r="S976" s="634" t="s">
        <v>1457</v>
      </c>
      <c r="T976" s="635"/>
      <c r="U976" s="634"/>
      <c r="V976" s="634"/>
      <c r="W976" s="637"/>
      <c r="X976" s="638"/>
      <c r="Y976" s="637"/>
      <c r="Z976" s="636"/>
      <c r="AA976" s="609" t="s">
        <v>1458</v>
      </c>
      <c r="AB976" s="843" t="s">
        <v>263</v>
      </c>
      <c r="AC976" s="844"/>
      <c r="AD976" s="844" t="s">
        <v>113</v>
      </c>
      <c r="AE976" s="861">
        <f t="shared" si="21"/>
        <v>5</v>
      </c>
    </row>
    <row r="977" spans="1:31" ht="105" hidden="1" x14ac:dyDescent="0.25">
      <c r="A977" s="671" t="s">
        <v>4981</v>
      </c>
      <c r="B977" s="842" t="s">
        <v>4982</v>
      </c>
      <c r="C977" s="842" t="s">
        <v>4982</v>
      </c>
      <c r="D977" s="856" t="s">
        <v>5862</v>
      </c>
      <c r="E977" s="847" t="s">
        <v>2235</v>
      </c>
      <c r="F977" s="846" t="s">
        <v>1528</v>
      </c>
      <c r="G977" s="847" t="str">
        <f>IFERROR(VLOOKUP(F977,'[1]код океи'!$B$2:$C$448,2,1)," ")</f>
        <v>Штука</v>
      </c>
      <c r="H977" s="858">
        <v>6</v>
      </c>
      <c r="I977" s="604" t="s">
        <v>2161</v>
      </c>
      <c r="J977" s="599" t="s">
        <v>1454</v>
      </c>
      <c r="K977" s="862" t="s">
        <v>4983</v>
      </c>
      <c r="L977" s="868">
        <v>476640.4</v>
      </c>
      <c r="M977" s="609" t="s">
        <v>2184</v>
      </c>
      <c r="N977" s="849">
        <v>476640.4</v>
      </c>
      <c r="O977" s="851">
        <v>42858.5</v>
      </c>
      <c r="P977" s="851">
        <v>43100.5</v>
      </c>
      <c r="Q977" s="634" t="s">
        <v>108</v>
      </c>
      <c r="R977" s="634" t="s">
        <v>1456</v>
      </c>
      <c r="S977" s="634" t="s">
        <v>1457</v>
      </c>
      <c r="T977" s="635"/>
      <c r="U977" s="634"/>
      <c r="V977" s="634"/>
      <c r="W977" s="637"/>
      <c r="X977" s="638"/>
      <c r="Y977" s="637"/>
      <c r="Z977" s="636"/>
      <c r="AA977" s="609" t="s">
        <v>1458</v>
      </c>
      <c r="AB977" s="843" t="s">
        <v>263</v>
      </c>
      <c r="AC977" s="844"/>
      <c r="AD977" s="844" t="s">
        <v>113</v>
      </c>
      <c r="AE977" s="861">
        <f t="shared" si="21"/>
        <v>5</v>
      </c>
    </row>
    <row r="978" spans="1:31" ht="105" hidden="1" x14ac:dyDescent="0.25">
      <c r="A978" s="671" t="s">
        <v>4984</v>
      </c>
      <c r="B978" s="842" t="s">
        <v>2131</v>
      </c>
      <c r="C978" s="842" t="s">
        <v>4985</v>
      </c>
      <c r="D978" s="847" t="s">
        <v>5861</v>
      </c>
      <c r="E978" s="847" t="s">
        <v>2235</v>
      </c>
      <c r="F978" s="846" t="s">
        <v>1528</v>
      </c>
      <c r="G978" s="847" t="str">
        <f>IFERROR(VLOOKUP(F978,'[1]код океи'!$B$2:$C$448,2,1)," ")</f>
        <v>Штука</v>
      </c>
      <c r="H978" s="858">
        <v>1</v>
      </c>
      <c r="I978" s="604" t="s">
        <v>2161</v>
      </c>
      <c r="J978" s="599" t="s">
        <v>1454</v>
      </c>
      <c r="K978" s="862" t="s">
        <v>4986</v>
      </c>
      <c r="L978" s="868">
        <v>306961.67</v>
      </c>
      <c r="M978" s="609" t="s">
        <v>2184</v>
      </c>
      <c r="N978" s="849">
        <v>306961.67</v>
      </c>
      <c r="O978" s="851">
        <v>42858.5</v>
      </c>
      <c r="P978" s="851">
        <v>43100.5</v>
      </c>
      <c r="Q978" s="634" t="s">
        <v>108</v>
      </c>
      <c r="R978" s="634" t="s">
        <v>1456</v>
      </c>
      <c r="S978" s="634" t="s">
        <v>1457</v>
      </c>
      <c r="T978" s="635"/>
      <c r="U978" s="634"/>
      <c r="V978" s="634"/>
      <c r="W978" s="637"/>
      <c r="X978" s="638"/>
      <c r="Y978" s="637"/>
      <c r="Z978" s="636"/>
      <c r="AA978" s="609" t="s">
        <v>1458</v>
      </c>
      <c r="AB978" s="843" t="s">
        <v>263</v>
      </c>
      <c r="AC978" s="844"/>
      <c r="AD978" s="844" t="s">
        <v>113</v>
      </c>
      <c r="AE978" s="861">
        <f t="shared" si="21"/>
        <v>5</v>
      </c>
    </row>
    <row r="979" spans="1:31" ht="105" hidden="1" x14ac:dyDescent="0.25">
      <c r="A979" s="671" t="s">
        <v>4987</v>
      </c>
      <c r="B979" s="842" t="s">
        <v>1793</v>
      </c>
      <c r="C979" s="842" t="s">
        <v>4988</v>
      </c>
      <c r="D979" s="847" t="s">
        <v>5860</v>
      </c>
      <c r="E979" s="847" t="s">
        <v>2235</v>
      </c>
      <c r="F979" s="846" t="s">
        <v>1528</v>
      </c>
      <c r="G979" s="847" t="str">
        <f>IFERROR(VLOOKUP(F979,'[1]код океи'!$B$2:$C$448,2,1)," ")</f>
        <v>Штука</v>
      </c>
      <c r="H979" s="858">
        <v>1</v>
      </c>
      <c r="I979" s="604" t="s">
        <v>2161</v>
      </c>
      <c r="J979" s="599" t="s">
        <v>1454</v>
      </c>
      <c r="K979" s="862" t="s">
        <v>4989</v>
      </c>
      <c r="L979" s="868">
        <v>141494.67000000001</v>
      </c>
      <c r="M979" s="609" t="s">
        <v>2184</v>
      </c>
      <c r="N979" s="849">
        <v>141494.67000000001</v>
      </c>
      <c r="O979" s="851">
        <v>42858.5</v>
      </c>
      <c r="P979" s="851">
        <v>43100.5</v>
      </c>
      <c r="Q979" s="634" t="s">
        <v>108</v>
      </c>
      <c r="R979" s="634" t="s">
        <v>1456</v>
      </c>
      <c r="S979" s="634" t="s">
        <v>1457</v>
      </c>
      <c r="T979" s="635"/>
      <c r="U979" s="634"/>
      <c r="V979" s="634"/>
      <c r="W979" s="637"/>
      <c r="X979" s="638"/>
      <c r="Y979" s="637"/>
      <c r="Z979" s="636"/>
      <c r="AA979" s="609" t="s">
        <v>1458</v>
      </c>
      <c r="AB979" s="843" t="s">
        <v>263</v>
      </c>
      <c r="AC979" s="844"/>
      <c r="AD979" s="844" t="s">
        <v>113</v>
      </c>
      <c r="AE979" s="861">
        <f t="shared" si="21"/>
        <v>5</v>
      </c>
    </row>
    <row r="980" spans="1:31" ht="105" hidden="1" x14ac:dyDescent="0.25">
      <c r="A980" s="671" t="s">
        <v>4990</v>
      </c>
      <c r="B980" s="842" t="s">
        <v>1851</v>
      </c>
      <c r="C980" s="842" t="s">
        <v>1852</v>
      </c>
      <c r="D980" s="847" t="s">
        <v>5859</v>
      </c>
      <c r="E980" s="847" t="s">
        <v>2235</v>
      </c>
      <c r="F980" s="846" t="s">
        <v>1587</v>
      </c>
      <c r="G980" s="847" t="str">
        <f>IFERROR(VLOOKUP(F980,'[1]код океи'!$B$2:$C$448,2,1)," ")</f>
        <v>Комплект</v>
      </c>
      <c r="H980" s="858">
        <v>1</v>
      </c>
      <c r="I980" s="604" t="s">
        <v>2161</v>
      </c>
      <c r="J980" s="599" t="s">
        <v>1454</v>
      </c>
      <c r="K980" s="862" t="s">
        <v>4991</v>
      </c>
      <c r="L980" s="868">
        <v>4253983.03</v>
      </c>
      <c r="M980" s="609" t="s">
        <v>2184</v>
      </c>
      <c r="N980" s="849">
        <v>4253983.03</v>
      </c>
      <c r="O980" s="851">
        <v>42858.5</v>
      </c>
      <c r="P980" s="851">
        <v>43100.5</v>
      </c>
      <c r="Q980" s="634" t="s">
        <v>108</v>
      </c>
      <c r="R980" s="634" t="s">
        <v>1456</v>
      </c>
      <c r="S980" s="634" t="s">
        <v>1457</v>
      </c>
      <c r="T980" s="635"/>
      <c r="U980" s="634"/>
      <c r="V980" s="634"/>
      <c r="W980" s="637"/>
      <c r="X980" s="638"/>
      <c r="Y980" s="637"/>
      <c r="Z980" s="636"/>
      <c r="AA980" s="609" t="s">
        <v>1458</v>
      </c>
      <c r="AB980" s="843" t="s">
        <v>263</v>
      </c>
      <c r="AC980" s="844"/>
      <c r="AD980" s="844" t="s">
        <v>113</v>
      </c>
      <c r="AE980" s="861">
        <f t="shared" si="21"/>
        <v>5</v>
      </c>
    </row>
    <row r="981" spans="1:31" ht="105" hidden="1" x14ac:dyDescent="0.25">
      <c r="A981" s="671" t="s">
        <v>4992</v>
      </c>
      <c r="B981" s="842" t="s">
        <v>1851</v>
      </c>
      <c r="C981" s="842" t="s">
        <v>1852</v>
      </c>
      <c r="D981" s="847" t="s">
        <v>5858</v>
      </c>
      <c r="E981" s="847" t="s">
        <v>2235</v>
      </c>
      <c r="F981" s="846" t="s">
        <v>1587</v>
      </c>
      <c r="G981" s="847" t="str">
        <f>IFERROR(VLOOKUP(F981,'[1]код океи'!$B$2:$C$448,2,1)," ")</f>
        <v>Комплект</v>
      </c>
      <c r="H981" s="858">
        <v>1</v>
      </c>
      <c r="I981" s="604" t="s">
        <v>2161</v>
      </c>
      <c r="J981" s="599" t="s">
        <v>1454</v>
      </c>
      <c r="K981" s="862" t="s">
        <v>4993</v>
      </c>
      <c r="L981" s="868">
        <v>4205379.3600000003</v>
      </c>
      <c r="M981" s="609" t="s">
        <v>2184</v>
      </c>
      <c r="N981" s="849">
        <v>4205379.3600000003</v>
      </c>
      <c r="O981" s="851">
        <v>42858.5</v>
      </c>
      <c r="P981" s="851">
        <v>43100.5</v>
      </c>
      <c r="Q981" s="634" t="s">
        <v>108</v>
      </c>
      <c r="R981" s="634" t="s">
        <v>1456</v>
      </c>
      <c r="S981" s="634" t="s">
        <v>1457</v>
      </c>
      <c r="T981" s="635"/>
      <c r="U981" s="634"/>
      <c r="V981" s="634"/>
      <c r="W981" s="637"/>
      <c r="X981" s="638"/>
      <c r="Y981" s="637"/>
      <c r="Z981" s="636"/>
      <c r="AA981" s="609" t="s">
        <v>1458</v>
      </c>
      <c r="AB981" s="843" t="s">
        <v>263</v>
      </c>
      <c r="AC981" s="844"/>
      <c r="AD981" s="844" t="s">
        <v>113</v>
      </c>
      <c r="AE981" s="861">
        <f t="shared" si="21"/>
        <v>5</v>
      </c>
    </row>
    <row r="982" spans="1:31" ht="105" hidden="1" x14ac:dyDescent="0.25">
      <c r="A982" s="671" t="s">
        <v>4994</v>
      </c>
      <c r="B982" s="842" t="s">
        <v>1526</v>
      </c>
      <c r="C982" s="842" t="s">
        <v>1900</v>
      </c>
      <c r="D982" s="847" t="s">
        <v>5857</v>
      </c>
      <c r="E982" s="847" t="s">
        <v>2235</v>
      </c>
      <c r="F982" s="846" t="s">
        <v>1528</v>
      </c>
      <c r="G982" s="847" t="str">
        <f>IFERROR(VLOOKUP(F982,'[1]код океи'!$B$2:$C$448,2,1)," ")</f>
        <v>Штука</v>
      </c>
      <c r="H982" s="858">
        <v>1</v>
      </c>
      <c r="I982" s="604" t="s">
        <v>2161</v>
      </c>
      <c r="J982" s="599" t="s">
        <v>1454</v>
      </c>
      <c r="K982" s="862" t="s">
        <v>4995</v>
      </c>
      <c r="L982" s="868">
        <v>11555030.470000001</v>
      </c>
      <c r="M982" s="609" t="s">
        <v>2184</v>
      </c>
      <c r="N982" s="849">
        <v>11555030.470000001</v>
      </c>
      <c r="O982" s="851">
        <v>42858.5</v>
      </c>
      <c r="P982" s="851">
        <v>43100.5</v>
      </c>
      <c r="Q982" s="634" t="s">
        <v>108</v>
      </c>
      <c r="R982" s="634" t="s">
        <v>1456</v>
      </c>
      <c r="S982" s="634" t="s">
        <v>1457</v>
      </c>
      <c r="T982" s="635"/>
      <c r="U982" s="634"/>
      <c r="V982" s="634"/>
      <c r="W982" s="637"/>
      <c r="X982" s="638"/>
      <c r="Y982" s="637"/>
      <c r="Z982" s="636"/>
      <c r="AA982" s="609" t="s">
        <v>1458</v>
      </c>
      <c r="AB982" s="843" t="s">
        <v>263</v>
      </c>
      <c r="AC982" s="844"/>
      <c r="AD982" s="844" t="s">
        <v>113</v>
      </c>
      <c r="AE982" s="861">
        <f t="shared" si="21"/>
        <v>5</v>
      </c>
    </row>
    <row r="983" spans="1:31" ht="105" hidden="1" x14ac:dyDescent="0.25">
      <c r="A983" s="671" t="s">
        <v>4996</v>
      </c>
      <c r="B983" s="842" t="s">
        <v>3130</v>
      </c>
      <c r="C983" s="842" t="s">
        <v>3130</v>
      </c>
      <c r="D983" s="847" t="s">
        <v>5856</v>
      </c>
      <c r="E983" s="847" t="s">
        <v>2027</v>
      </c>
      <c r="F983" s="846" t="s">
        <v>1587</v>
      </c>
      <c r="G983" s="847" t="str">
        <f>IFERROR(VLOOKUP(F983,'[1]код океи'!$B$2:$C$448,2,1)," ")</f>
        <v>Комплект</v>
      </c>
      <c r="H983" s="858">
        <v>3</v>
      </c>
      <c r="I983" s="604" t="s">
        <v>2161</v>
      </c>
      <c r="J983" s="599" t="s">
        <v>1454</v>
      </c>
      <c r="K983" s="862" t="s">
        <v>4997</v>
      </c>
      <c r="L983" s="868">
        <v>578200</v>
      </c>
      <c r="M983" s="609" t="s">
        <v>2184</v>
      </c>
      <c r="N983" s="849">
        <v>578200</v>
      </c>
      <c r="O983" s="851">
        <v>42850.5</v>
      </c>
      <c r="P983" s="851">
        <v>43100.5</v>
      </c>
      <c r="Q983" s="634" t="s">
        <v>110</v>
      </c>
      <c r="R983" s="634" t="s">
        <v>2174</v>
      </c>
      <c r="S983" s="634" t="s">
        <v>1455</v>
      </c>
      <c r="T983" s="635"/>
      <c r="U983" s="634"/>
      <c r="V983" s="634"/>
      <c r="W983" s="677" t="s">
        <v>97</v>
      </c>
      <c r="X983" s="638" t="s">
        <v>5137</v>
      </c>
      <c r="Y983" s="637" t="s">
        <v>5138</v>
      </c>
      <c r="Z983" s="636">
        <v>578200</v>
      </c>
      <c r="AA983" s="609" t="s">
        <v>1458</v>
      </c>
      <c r="AB983" s="843" t="s">
        <v>263</v>
      </c>
      <c r="AC983" s="844"/>
      <c r="AD983" s="844" t="s">
        <v>113</v>
      </c>
      <c r="AE983" s="861">
        <f t="shared" si="21"/>
        <v>4</v>
      </c>
    </row>
    <row r="984" spans="1:31" ht="105" hidden="1" x14ac:dyDescent="0.25">
      <c r="A984" s="671" t="s">
        <v>4998</v>
      </c>
      <c r="B984" s="842" t="s">
        <v>2433</v>
      </c>
      <c r="C984" s="842" t="s">
        <v>1548</v>
      </c>
      <c r="D984" s="847" t="s">
        <v>5855</v>
      </c>
      <c r="E984" s="847" t="s">
        <v>2235</v>
      </c>
      <c r="F984" s="846" t="s">
        <v>1587</v>
      </c>
      <c r="G984" s="847" t="str">
        <f>IFERROR(VLOOKUP(F984,'[1]код океи'!$B$2:$C$448,2,1)," ")</f>
        <v>Комплект</v>
      </c>
      <c r="H984" s="858">
        <v>1</v>
      </c>
      <c r="I984" s="604" t="s">
        <v>2161</v>
      </c>
      <c r="J984" s="599" t="s">
        <v>1454</v>
      </c>
      <c r="K984" s="862" t="s">
        <v>4999</v>
      </c>
      <c r="L984" s="868">
        <v>949544.01</v>
      </c>
      <c r="M984" s="609" t="s">
        <v>2184</v>
      </c>
      <c r="N984" s="849">
        <v>949544.01</v>
      </c>
      <c r="O984" s="851">
        <v>42858.5</v>
      </c>
      <c r="P984" s="851">
        <v>42917.5</v>
      </c>
      <c r="Q984" s="634" t="s">
        <v>108</v>
      </c>
      <c r="R984" s="634" t="s">
        <v>1456</v>
      </c>
      <c r="S984" s="634" t="s">
        <v>1457</v>
      </c>
      <c r="T984" s="635"/>
      <c r="U984" s="634"/>
      <c r="V984" s="634"/>
      <c r="W984" s="637"/>
      <c r="X984" s="638"/>
      <c r="Y984" s="637"/>
      <c r="Z984" s="636"/>
      <c r="AA984" s="609" t="s">
        <v>1458</v>
      </c>
      <c r="AB984" s="843" t="s">
        <v>263</v>
      </c>
      <c r="AC984" s="844"/>
      <c r="AD984" s="844" t="s">
        <v>113</v>
      </c>
      <c r="AE984" s="861">
        <f t="shared" si="21"/>
        <v>5</v>
      </c>
    </row>
    <row r="985" spans="1:31" ht="105" hidden="1" x14ac:dyDescent="0.25">
      <c r="A985" s="671" t="s">
        <v>5000</v>
      </c>
      <c r="B985" s="842" t="s">
        <v>5001</v>
      </c>
      <c r="C985" s="842" t="s">
        <v>5001</v>
      </c>
      <c r="D985" s="847" t="s">
        <v>5854</v>
      </c>
      <c r="E985" s="847" t="s">
        <v>2235</v>
      </c>
      <c r="F985" s="846" t="s">
        <v>1587</v>
      </c>
      <c r="G985" s="847" t="str">
        <f>IFERROR(VLOOKUP(F985,'[1]код океи'!$B$2:$C$448,2,1)," ")</f>
        <v>Комплект</v>
      </c>
      <c r="H985" s="858">
        <v>1</v>
      </c>
      <c r="I985" s="604" t="s">
        <v>2161</v>
      </c>
      <c r="J985" s="599" t="s">
        <v>1454</v>
      </c>
      <c r="K985" s="862" t="s">
        <v>5002</v>
      </c>
      <c r="L985" s="868">
        <v>221100</v>
      </c>
      <c r="M985" s="609" t="s">
        <v>2184</v>
      </c>
      <c r="N985" s="849">
        <v>221100</v>
      </c>
      <c r="O985" s="851">
        <v>42858.5</v>
      </c>
      <c r="P985" s="851">
        <v>42917.5</v>
      </c>
      <c r="Q985" s="634" t="s">
        <v>108</v>
      </c>
      <c r="R985" s="634" t="s">
        <v>1456</v>
      </c>
      <c r="S985" s="634" t="s">
        <v>1457</v>
      </c>
      <c r="T985" s="635"/>
      <c r="U985" s="634"/>
      <c r="V985" s="634"/>
      <c r="W985" s="637"/>
      <c r="X985" s="638"/>
      <c r="Y985" s="637"/>
      <c r="Z985" s="636"/>
      <c r="AA985" s="609" t="s">
        <v>1458</v>
      </c>
      <c r="AB985" s="843" t="s">
        <v>263</v>
      </c>
      <c r="AC985" s="844"/>
      <c r="AD985" s="844" t="s">
        <v>113</v>
      </c>
      <c r="AE985" s="861">
        <f t="shared" si="21"/>
        <v>5</v>
      </c>
    </row>
    <row r="986" spans="1:31" ht="105" hidden="1" x14ac:dyDescent="0.25">
      <c r="A986" s="671" t="s">
        <v>5003</v>
      </c>
      <c r="B986" s="842" t="s">
        <v>1787</v>
      </c>
      <c r="C986" s="842" t="s">
        <v>2210</v>
      </c>
      <c r="D986" s="847" t="s">
        <v>5853</v>
      </c>
      <c r="E986" s="847" t="s">
        <v>2235</v>
      </c>
      <c r="F986" s="846" t="s">
        <v>1587</v>
      </c>
      <c r="G986" s="847" t="str">
        <f>IFERROR(VLOOKUP(F986,'[1]код океи'!$B$2:$C$448,2,1)," ")</f>
        <v>Комплект</v>
      </c>
      <c r="H986" s="858">
        <v>1</v>
      </c>
      <c r="I986" s="604" t="s">
        <v>2161</v>
      </c>
      <c r="J986" s="599" t="s">
        <v>1454</v>
      </c>
      <c r="K986" s="862" t="s">
        <v>5004</v>
      </c>
      <c r="L986" s="868">
        <v>210655.2</v>
      </c>
      <c r="M986" s="609" t="s">
        <v>2184</v>
      </c>
      <c r="N986" s="849">
        <v>210655.2</v>
      </c>
      <c r="O986" s="851">
        <v>42858.5</v>
      </c>
      <c r="P986" s="851">
        <v>42917.5</v>
      </c>
      <c r="Q986" s="634" t="s">
        <v>108</v>
      </c>
      <c r="R986" s="634" t="s">
        <v>1456</v>
      </c>
      <c r="S986" s="634" t="s">
        <v>1457</v>
      </c>
      <c r="T986" s="635"/>
      <c r="U986" s="634"/>
      <c r="V986" s="634"/>
      <c r="W986" s="637"/>
      <c r="X986" s="638"/>
      <c r="Y986" s="637"/>
      <c r="Z986" s="636"/>
      <c r="AA986" s="609" t="s">
        <v>1458</v>
      </c>
      <c r="AB986" s="843" t="s">
        <v>263</v>
      </c>
      <c r="AC986" s="844"/>
      <c r="AD986" s="844" t="s">
        <v>113</v>
      </c>
      <c r="AE986" s="861">
        <f t="shared" si="21"/>
        <v>5</v>
      </c>
    </row>
    <row r="987" spans="1:31" ht="105" hidden="1" x14ac:dyDescent="0.25">
      <c r="A987" s="671" t="s">
        <v>5005</v>
      </c>
      <c r="B987" s="842" t="s">
        <v>1793</v>
      </c>
      <c r="C987" s="842" t="s">
        <v>5006</v>
      </c>
      <c r="D987" s="847" t="s">
        <v>5852</v>
      </c>
      <c r="E987" s="847" t="s">
        <v>2235</v>
      </c>
      <c r="F987" s="846" t="s">
        <v>1587</v>
      </c>
      <c r="G987" s="847" t="str">
        <f>IFERROR(VLOOKUP(F987,'[1]код океи'!$B$2:$C$448,2,1)," ")</f>
        <v>Комплект</v>
      </c>
      <c r="H987" s="858">
        <v>1</v>
      </c>
      <c r="I987" s="604" t="s">
        <v>2161</v>
      </c>
      <c r="J987" s="599" t="s">
        <v>1454</v>
      </c>
      <c r="K987" s="862" t="s">
        <v>5007</v>
      </c>
      <c r="L987" s="868">
        <v>1297988</v>
      </c>
      <c r="M987" s="609" t="s">
        <v>2184</v>
      </c>
      <c r="N987" s="849">
        <v>1297988</v>
      </c>
      <c r="O987" s="851">
        <v>42858.5</v>
      </c>
      <c r="P987" s="851">
        <v>42917.5</v>
      </c>
      <c r="Q987" s="634" t="s">
        <v>108</v>
      </c>
      <c r="R987" s="634" t="s">
        <v>1456</v>
      </c>
      <c r="S987" s="634" t="s">
        <v>1457</v>
      </c>
      <c r="T987" s="635"/>
      <c r="U987" s="634"/>
      <c r="V987" s="634"/>
      <c r="W987" s="637"/>
      <c r="X987" s="638"/>
      <c r="Y987" s="637"/>
      <c r="Z987" s="636"/>
      <c r="AA987" s="609" t="s">
        <v>1458</v>
      </c>
      <c r="AB987" s="843" t="s">
        <v>263</v>
      </c>
      <c r="AC987" s="844"/>
      <c r="AD987" s="844" t="s">
        <v>113</v>
      </c>
      <c r="AE987" s="861">
        <f t="shared" si="21"/>
        <v>5</v>
      </c>
    </row>
    <row r="988" spans="1:31" ht="105" hidden="1" x14ac:dyDescent="0.25">
      <c r="A988" s="671" t="s">
        <v>5008</v>
      </c>
      <c r="B988" s="842" t="s">
        <v>1480</v>
      </c>
      <c r="C988" s="842" t="s">
        <v>5009</v>
      </c>
      <c r="D988" s="847" t="s">
        <v>5851</v>
      </c>
      <c r="E988" s="847" t="s">
        <v>5010</v>
      </c>
      <c r="F988" s="846" t="s">
        <v>1528</v>
      </c>
      <c r="G988" s="847" t="str">
        <f>IFERROR(VLOOKUP(F988,'[1]код океи'!$B$2:$C$448,2,1)," ")</f>
        <v>Штука</v>
      </c>
      <c r="H988" s="858">
        <v>2</v>
      </c>
      <c r="I988" s="604" t="s">
        <v>2161</v>
      </c>
      <c r="J988" s="599" t="s">
        <v>1454</v>
      </c>
      <c r="K988" s="862" t="s">
        <v>5011</v>
      </c>
      <c r="L988" s="868">
        <v>299680</v>
      </c>
      <c r="M988" s="609" t="s">
        <v>4813</v>
      </c>
      <c r="N988" s="849">
        <v>299680</v>
      </c>
      <c r="O988" s="851">
        <v>42858.5</v>
      </c>
      <c r="P988" s="851">
        <v>42917.5</v>
      </c>
      <c r="Q988" s="634" t="s">
        <v>110</v>
      </c>
      <c r="R988" s="634" t="s">
        <v>2174</v>
      </c>
      <c r="S988" s="634" t="s">
        <v>1455</v>
      </c>
      <c r="T988" s="635"/>
      <c r="U988" s="634"/>
      <c r="V988" s="634"/>
      <c r="W988" s="637" t="s">
        <v>97</v>
      </c>
      <c r="X988" s="638" t="s">
        <v>5075</v>
      </c>
      <c r="Y988" s="637" t="s">
        <v>5076</v>
      </c>
      <c r="Z988" s="636">
        <v>299680</v>
      </c>
      <c r="AA988" s="609" t="s">
        <v>1458</v>
      </c>
      <c r="AB988" s="843" t="s">
        <v>263</v>
      </c>
      <c r="AC988" s="844"/>
      <c r="AD988" s="844" t="s">
        <v>113</v>
      </c>
      <c r="AE988" s="861">
        <f t="shared" si="21"/>
        <v>5</v>
      </c>
    </row>
    <row r="989" spans="1:31" ht="105" hidden="1" x14ac:dyDescent="0.25">
      <c r="A989" s="671" t="s">
        <v>5012</v>
      </c>
      <c r="B989" s="842" t="s">
        <v>5013</v>
      </c>
      <c r="C989" s="842" t="s">
        <v>5014</v>
      </c>
      <c r="D989" s="847" t="s">
        <v>5850</v>
      </c>
      <c r="E989" s="847" t="s">
        <v>5015</v>
      </c>
      <c r="F989" s="846" t="s">
        <v>1528</v>
      </c>
      <c r="G989" s="847" t="str">
        <f>IFERROR(VLOOKUP(F989,'[1]код океи'!$B$2:$C$448,2,1)," ")</f>
        <v>Штука</v>
      </c>
      <c r="H989" s="858">
        <v>1</v>
      </c>
      <c r="I989" s="604" t="s">
        <v>2161</v>
      </c>
      <c r="J989" s="599" t="s">
        <v>1454</v>
      </c>
      <c r="K989" s="862" t="s">
        <v>5016</v>
      </c>
      <c r="L989" s="868">
        <v>3100000</v>
      </c>
      <c r="M989" s="609" t="s">
        <v>2184</v>
      </c>
      <c r="N989" s="849">
        <v>3100000</v>
      </c>
      <c r="O989" s="851">
        <v>42858.5</v>
      </c>
      <c r="P989" s="851">
        <v>42948</v>
      </c>
      <c r="Q989" s="847" t="s">
        <v>106</v>
      </c>
      <c r="R989" s="634" t="s">
        <v>1456</v>
      </c>
      <c r="S989" s="634" t="s">
        <v>1457</v>
      </c>
      <c r="T989" s="635"/>
      <c r="U989" s="634"/>
      <c r="V989" s="634"/>
      <c r="W989" s="637"/>
      <c r="X989" s="638"/>
      <c r="Y989" s="637"/>
      <c r="Z989" s="636"/>
      <c r="AA989" s="609" t="s">
        <v>1458</v>
      </c>
      <c r="AB989" s="843" t="s">
        <v>263</v>
      </c>
      <c r="AC989" s="844"/>
      <c r="AD989" s="844" t="s">
        <v>113</v>
      </c>
      <c r="AE989" s="861">
        <f t="shared" si="21"/>
        <v>5</v>
      </c>
    </row>
    <row r="990" spans="1:31" ht="105" hidden="1" x14ac:dyDescent="0.25">
      <c r="A990" s="671" t="s">
        <v>5017</v>
      </c>
      <c r="B990" s="842" t="s">
        <v>5018</v>
      </c>
      <c r="C990" s="842" t="s">
        <v>1673</v>
      </c>
      <c r="D990" s="847" t="s">
        <v>5849</v>
      </c>
      <c r="E990" s="847" t="s">
        <v>2457</v>
      </c>
      <c r="F990" s="846" t="s">
        <v>1587</v>
      </c>
      <c r="G990" s="847" t="str">
        <f>IFERROR(VLOOKUP(F990,'[1]код океи'!$B$2:$C$448,2,1)," ")</f>
        <v>Комплект</v>
      </c>
      <c r="H990" s="858">
        <v>1</v>
      </c>
      <c r="I990" s="604" t="s">
        <v>2161</v>
      </c>
      <c r="J990" s="599" t="s">
        <v>1454</v>
      </c>
      <c r="K990" s="862" t="s">
        <v>5019</v>
      </c>
      <c r="L990" s="868">
        <v>116410.79</v>
      </c>
      <c r="M990" s="609" t="s">
        <v>2184</v>
      </c>
      <c r="N990" s="849">
        <v>116410.79</v>
      </c>
      <c r="O990" s="851">
        <v>42889.5</v>
      </c>
      <c r="P990" s="851">
        <v>42887.5</v>
      </c>
      <c r="Q990" s="634" t="s">
        <v>108</v>
      </c>
      <c r="R990" s="634" t="s">
        <v>1456</v>
      </c>
      <c r="S990" s="634" t="s">
        <v>1457</v>
      </c>
      <c r="T990" s="635"/>
      <c r="U990" s="634"/>
      <c r="V990" s="634"/>
      <c r="W990" s="637"/>
      <c r="X990" s="638"/>
      <c r="Y990" s="637"/>
      <c r="Z990" s="636"/>
      <c r="AA990" s="609" t="s">
        <v>1458</v>
      </c>
      <c r="AB990" s="843" t="s">
        <v>263</v>
      </c>
      <c r="AC990" s="844"/>
      <c r="AD990" s="844" t="s">
        <v>113</v>
      </c>
      <c r="AE990" s="861">
        <f t="shared" si="21"/>
        <v>6</v>
      </c>
    </row>
    <row r="991" spans="1:31" ht="105" hidden="1" x14ac:dyDescent="0.25">
      <c r="A991" s="671" t="s">
        <v>5020</v>
      </c>
      <c r="B991" s="842" t="s">
        <v>1480</v>
      </c>
      <c r="C991" s="842" t="s">
        <v>5009</v>
      </c>
      <c r="D991" s="847" t="s">
        <v>5848</v>
      </c>
      <c r="E991" s="847" t="s">
        <v>5010</v>
      </c>
      <c r="F991" s="846" t="s">
        <v>1528</v>
      </c>
      <c r="G991" s="847" t="str">
        <f>IFERROR(VLOOKUP(F991,'[1]код океи'!$B$2:$C$448,2,1)," ")</f>
        <v>Штука</v>
      </c>
      <c r="H991" s="858">
        <v>2</v>
      </c>
      <c r="I991" s="604" t="s">
        <v>2161</v>
      </c>
      <c r="J991" s="599" t="s">
        <v>1454</v>
      </c>
      <c r="K991" s="862" t="s">
        <v>5011</v>
      </c>
      <c r="L991" s="868">
        <v>299680</v>
      </c>
      <c r="M991" s="609" t="s">
        <v>2184</v>
      </c>
      <c r="N991" s="849">
        <v>299680</v>
      </c>
      <c r="O991" s="851">
        <v>42858.5</v>
      </c>
      <c r="P991" s="851">
        <v>42917.5</v>
      </c>
      <c r="Q991" s="634" t="s">
        <v>110</v>
      </c>
      <c r="R991" s="634" t="s">
        <v>2174</v>
      </c>
      <c r="S991" s="634" t="s">
        <v>1455</v>
      </c>
      <c r="T991" s="635"/>
      <c r="U991" s="634"/>
      <c r="V991" s="634"/>
      <c r="W991" s="637"/>
      <c r="X991" s="638"/>
      <c r="Y991" s="637"/>
      <c r="Z991" s="636"/>
      <c r="AA991" s="609" t="s">
        <v>1458</v>
      </c>
      <c r="AB991" s="843" t="s">
        <v>263</v>
      </c>
      <c r="AC991" s="844"/>
      <c r="AD991" s="844" t="s">
        <v>113</v>
      </c>
      <c r="AE991" s="861">
        <f t="shared" si="21"/>
        <v>5</v>
      </c>
    </row>
    <row r="992" spans="1:31" ht="105" hidden="1" x14ac:dyDescent="0.25">
      <c r="A992" s="671" t="s">
        <v>5021</v>
      </c>
      <c r="B992" s="845" t="s">
        <v>1759</v>
      </c>
      <c r="C992" s="842" t="s">
        <v>1759</v>
      </c>
      <c r="D992" s="863" t="s">
        <v>5847</v>
      </c>
      <c r="E992" s="847" t="s">
        <v>3142</v>
      </c>
      <c r="F992" s="846" t="s">
        <v>1645</v>
      </c>
      <c r="G992" s="847" t="s">
        <v>2259</v>
      </c>
      <c r="H992" s="858">
        <v>42</v>
      </c>
      <c r="I992" s="604" t="s">
        <v>2161</v>
      </c>
      <c r="J992" s="599" t="s">
        <v>1454</v>
      </c>
      <c r="K992" s="862" t="s">
        <v>5022</v>
      </c>
      <c r="L992" s="868">
        <v>2849700</v>
      </c>
      <c r="M992" s="609" t="s">
        <v>2184</v>
      </c>
      <c r="N992" s="849">
        <v>2849700</v>
      </c>
      <c r="O992" s="851">
        <v>42856</v>
      </c>
      <c r="P992" s="851">
        <v>42856</v>
      </c>
      <c r="Q992" s="634" t="s">
        <v>110</v>
      </c>
      <c r="R992" s="634" t="s">
        <v>2174</v>
      </c>
      <c r="S992" s="634" t="s">
        <v>1455</v>
      </c>
      <c r="T992" s="635"/>
      <c r="U992" s="634"/>
      <c r="V992" s="634"/>
      <c r="W992" s="677" t="s">
        <v>268</v>
      </c>
      <c r="X992" s="638" t="s">
        <v>3364</v>
      </c>
      <c r="Y992" s="637" t="s">
        <v>3365</v>
      </c>
      <c r="Z992" s="636">
        <v>2849700</v>
      </c>
      <c r="AA992" s="609" t="s">
        <v>1458</v>
      </c>
      <c r="AB992" s="843" t="s">
        <v>263</v>
      </c>
      <c r="AC992" s="844"/>
      <c r="AD992" s="844" t="s">
        <v>113</v>
      </c>
      <c r="AE992" s="861">
        <f t="shared" si="21"/>
        <v>5</v>
      </c>
    </row>
    <row r="993" spans="1:31" ht="105" hidden="1" x14ac:dyDescent="0.25">
      <c r="A993" s="671" t="s">
        <v>5023</v>
      </c>
      <c r="B993" s="842" t="s">
        <v>1944</v>
      </c>
      <c r="C993" s="842" t="s">
        <v>5024</v>
      </c>
      <c r="D993" s="864" t="s">
        <v>5846</v>
      </c>
      <c r="E993" s="847" t="s">
        <v>3142</v>
      </c>
      <c r="F993" s="846" t="s">
        <v>1645</v>
      </c>
      <c r="G993" s="847" t="s">
        <v>2259</v>
      </c>
      <c r="H993" s="858">
        <v>2.8</v>
      </c>
      <c r="I993" s="604" t="s">
        <v>2161</v>
      </c>
      <c r="J993" s="599" t="s">
        <v>1454</v>
      </c>
      <c r="K993" s="862" t="s">
        <v>5025</v>
      </c>
      <c r="L993" s="868">
        <v>1499500</v>
      </c>
      <c r="M993" s="609" t="s">
        <v>2184</v>
      </c>
      <c r="N993" s="849">
        <v>1499500</v>
      </c>
      <c r="O993" s="851">
        <v>42856</v>
      </c>
      <c r="P993" s="851">
        <v>42856</v>
      </c>
      <c r="Q993" s="634" t="s">
        <v>110</v>
      </c>
      <c r="R993" s="634" t="s">
        <v>2174</v>
      </c>
      <c r="S993" s="634" t="s">
        <v>1455</v>
      </c>
      <c r="T993" s="635"/>
      <c r="U993" s="634"/>
      <c r="V993" s="634"/>
      <c r="W993" s="641" t="s">
        <v>268</v>
      </c>
      <c r="X993" s="638" t="s">
        <v>3359</v>
      </c>
      <c r="Y993" s="637" t="s">
        <v>3360</v>
      </c>
      <c r="Z993" s="636">
        <v>1499500</v>
      </c>
      <c r="AA993" s="609" t="s">
        <v>1458</v>
      </c>
      <c r="AB993" s="843" t="s">
        <v>263</v>
      </c>
      <c r="AC993" s="844"/>
      <c r="AD993" s="844" t="s">
        <v>113</v>
      </c>
      <c r="AE993" s="861">
        <f t="shared" si="21"/>
        <v>5</v>
      </c>
    </row>
    <row r="994" spans="1:31" ht="105" hidden="1" x14ac:dyDescent="0.25">
      <c r="A994" s="671" t="s">
        <v>5026</v>
      </c>
      <c r="B994" s="845" t="s">
        <v>1593</v>
      </c>
      <c r="C994" s="842" t="s">
        <v>5027</v>
      </c>
      <c r="D994" s="874" t="s">
        <v>6013</v>
      </c>
      <c r="E994" s="847" t="s">
        <v>4852</v>
      </c>
      <c r="F994" s="846" t="s">
        <v>1528</v>
      </c>
      <c r="G994" s="847" t="str">
        <f>IFERROR(VLOOKUP(F994,'[1]код океи'!$B$2:$C$448,2,1)," ")</f>
        <v>Штука</v>
      </c>
      <c r="H994" s="865">
        <v>12</v>
      </c>
      <c r="I994" s="604" t="s">
        <v>2161</v>
      </c>
      <c r="J994" s="599" t="s">
        <v>1454</v>
      </c>
      <c r="K994" s="866" t="s">
        <v>6012</v>
      </c>
      <c r="L994" s="869">
        <v>80625000</v>
      </c>
      <c r="M994" s="609" t="s">
        <v>2184</v>
      </c>
      <c r="N994" s="867">
        <v>80625000</v>
      </c>
      <c r="O994" s="851">
        <v>42856</v>
      </c>
      <c r="P994" s="851">
        <v>42887.5</v>
      </c>
      <c r="Q994" s="634" t="s">
        <v>110</v>
      </c>
      <c r="R994" s="634" t="s">
        <v>113</v>
      </c>
      <c r="S994" s="634" t="s">
        <v>1455</v>
      </c>
      <c r="T994" s="635"/>
      <c r="U994" s="634"/>
      <c r="V994" s="634"/>
      <c r="W994" s="637" t="s">
        <v>96</v>
      </c>
      <c r="X994" s="638" t="s">
        <v>6010</v>
      </c>
      <c r="Y994" s="637" t="s">
        <v>6011</v>
      </c>
      <c r="Z994" s="636">
        <v>80625000</v>
      </c>
      <c r="AA994" s="609" t="s">
        <v>1458</v>
      </c>
      <c r="AB994" s="843" t="s">
        <v>263</v>
      </c>
      <c r="AC994" s="844"/>
      <c r="AD994" s="844" t="s">
        <v>113</v>
      </c>
      <c r="AE994" s="861">
        <f t="shared" si="21"/>
        <v>5</v>
      </c>
    </row>
    <row r="995" spans="1:31" ht="105" hidden="1" x14ac:dyDescent="0.25">
      <c r="A995" s="671" t="s">
        <v>5029</v>
      </c>
      <c r="B995" s="842" t="s">
        <v>1531</v>
      </c>
      <c r="C995" s="842" t="s">
        <v>5030</v>
      </c>
      <c r="D995" s="847" t="s">
        <v>5845</v>
      </c>
      <c r="E995" s="847" t="s">
        <v>5031</v>
      </c>
      <c r="F995" s="846" t="s">
        <v>1528</v>
      </c>
      <c r="G995" s="847" t="str">
        <f>IFERROR(VLOOKUP(F995,'[1]код океи'!$B$2:$C$448,2,1)," ")</f>
        <v>Штука</v>
      </c>
      <c r="H995" s="858">
        <v>200</v>
      </c>
      <c r="I995" s="604" t="s">
        <v>2161</v>
      </c>
      <c r="J995" s="599" t="s">
        <v>1454</v>
      </c>
      <c r="K995" s="862" t="s">
        <v>5032</v>
      </c>
      <c r="L995" s="868">
        <v>119102</v>
      </c>
      <c r="M995" s="609" t="s">
        <v>2184</v>
      </c>
      <c r="N995" s="849">
        <v>119102</v>
      </c>
      <c r="O995" s="851">
        <v>42887</v>
      </c>
      <c r="P995" s="851">
        <v>42887.5</v>
      </c>
      <c r="Q995" s="634" t="s">
        <v>108</v>
      </c>
      <c r="R995" s="634" t="s">
        <v>1456</v>
      </c>
      <c r="S995" s="634" t="s">
        <v>1457</v>
      </c>
      <c r="T995" s="635"/>
      <c r="U995" s="634"/>
      <c r="V995" s="634"/>
      <c r="W995" s="637"/>
      <c r="X995" s="638"/>
      <c r="Y995" s="637"/>
      <c r="Z995" s="636"/>
      <c r="AA995" s="609" t="s">
        <v>1458</v>
      </c>
      <c r="AB995" s="843" t="s">
        <v>263</v>
      </c>
      <c r="AC995" s="844"/>
      <c r="AD995" s="844" t="s">
        <v>113</v>
      </c>
      <c r="AE995" s="861">
        <f t="shared" si="21"/>
        <v>6</v>
      </c>
    </row>
    <row r="996" spans="1:31" ht="105" hidden="1" x14ac:dyDescent="0.25">
      <c r="A996" s="671" t="s">
        <v>5033</v>
      </c>
      <c r="B996" s="842" t="s">
        <v>1531</v>
      </c>
      <c r="C996" s="842" t="s">
        <v>1576</v>
      </c>
      <c r="D996" s="847" t="s">
        <v>5844</v>
      </c>
      <c r="E996" s="847" t="s">
        <v>5034</v>
      </c>
      <c r="F996" s="846" t="s">
        <v>1528</v>
      </c>
      <c r="G996" s="847" t="str">
        <f>IFERROR(VLOOKUP(F996,'[1]код океи'!$B$2:$C$448,2,1)," ")</f>
        <v>Штука</v>
      </c>
      <c r="H996" s="858">
        <v>108</v>
      </c>
      <c r="I996" s="604" t="s">
        <v>2161</v>
      </c>
      <c r="J996" s="599" t="s">
        <v>1454</v>
      </c>
      <c r="K996" s="862" t="s">
        <v>5035</v>
      </c>
      <c r="L996" s="868">
        <v>449863.2</v>
      </c>
      <c r="M996" s="609" t="s">
        <v>4813</v>
      </c>
      <c r="N996" s="849">
        <v>449863.2</v>
      </c>
      <c r="O996" s="851">
        <v>42856</v>
      </c>
      <c r="P996" s="851">
        <v>42979</v>
      </c>
      <c r="Q996" s="634" t="s">
        <v>110</v>
      </c>
      <c r="R996" s="634" t="s">
        <v>2174</v>
      </c>
      <c r="S996" s="634" t="s">
        <v>1455</v>
      </c>
      <c r="T996" s="635"/>
      <c r="U996" s="634"/>
      <c r="V996" s="634" t="s">
        <v>45</v>
      </c>
      <c r="W996" s="637" t="s">
        <v>72</v>
      </c>
      <c r="X996" s="638" t="s">
        <v>3103</v>
      </c>
      <c r="Y996" s="637" t="s">
        <v>5920</v>
      </c>
      <c r="Z996" s="636">
        <v>449863.2</v>
      </c>
      <c r="AA996" s="609" t="s">
        <v>1458</v>
      </c>
      <c r="AB996" s="843" t="s">
        <v>263</v>
      </c>
      <c r="AC996" s="844"/>
      <c r="AD996" s="844" t="s">
        <v>113</v>
      </c>
      <c r="AE996" s="861">
        <f t="shared" si="21"/>
        <v>5</v>
      </c>
    </row>
    <row r="997" spans="1:31" ht="105" hidden="1" x14ac:dyDescent="0.25">
      <c r="A997" s="671" t="s">
        <v>5036</v>
      </c>
      <c r="B997" s="842" t="s">
        <v>5037</v>
      </c>
      <c r="C997" s="842" t="s">
        <v>5037</v>
      </c>
      <c r="D997" s="847" t="s">
        <v>5984</v>
      </c>
      <c r="E997" s="847" t="s">
        <v>4852</v>
      </c>
      <c r="F997" s="846" t="s">
        <v>1528</v>
      </c>
      <c r="G997" s="847" t="str">
        <f>IFERROR(VLOOKUP(F997,'[1]код океи'!$B$2:$C$448,2,1)," ")</f>
        <v>Штука</v>
      </c>
      <c r="H997" s="858">
        <v>12</v>
      </c>
      <c r="I997" s="604" t="s">
        <v>2161</v>
      </c>
      <c r="J997" s="599" t="s">
        <v>1454</v>
      </c>
      <c r="K997" s="862" t="s">
        <v>5028</v>
      </c>
      <c r="L997" s="868">
        <v>548225</v>
      </c>
      <c r="M997" s="609" t="s">
        <v>2184</v>
      </c>
      <c r="N997" s="849">
        <v>548225</v>
      </c>
      <c r="O997" s="851">
        <v>42856</v>
      </c>
      <c r="P997" s="851">
        <v>44713</v>
      </c>
      <c r="Q997" s="634" t="s">
        <v>108</v>
      </c>
      <c r="R997" s="634" t="s">
        <v>112</v>
      </c>
      <c r="S997" s="634" t="s">
        <v>1457</v>
      </c>
      <c r="T997" s="635"/>
      <c r="U997" s="634"/>
      <c r="V997" s="634"/>
      <c r="W997" s="637"/>
      <c r="X997" s="638"/>
      <c r="Y997" s="637"/>
      <c r="Z997" s="636"/>
      <c r="AA997" s="609" t="s">
        <v>1458</v>
      </c>
      <c r="AB997" s="843" t="s">
        <v>263</v>
      </c>
      <c r="AC997" s="844"/>
      <c r="AD997" s="844" t="s">
        <v>113</v>
      </c>
      <c r="AE997" s="861">
        <f t="shared" si="21"/>
        <v>5</v>
      </c>
    </row>
    <row r="998" spans="1:31" ht="105" hidden="1" x14ac:dyDescent="0.25">
      <c r="A998" s="671" t="s">
        <v>5038</v>
      </c>
      <c r="B998" s="842" t="s">
        <v>1941</v>
      </c>
      <c r="C998" s="842" t="s">
        <v>1941</v>
      </c>
      <c r="D998" s="847" t="s">
        <v>5843</v>
      </c>
      <c r="E998" s="847" t="s">
        <v>1948</v>
      </c>
      <c r="F998" s="846" t="s">
        <v>1587</v>
      </c>
      <c r="G998" s="847" t="str">
        <f>IFERROR(VLOOKUP(F998,'[1]код океи'!$B$2:$C$448,2,1)," ")</f>
        <v>Комплект</v>
      </c>
      <c r="H998" s="858">
        <v>34</v>
      </c>
      <c r="I998" s="604" t="s">
        <v>2161</v>
      </c>
      <c r="J998" s="599" t="s">
        <v>1454</v>
      </c>
      <c r="K998" s="862" t="s">
        <v>5039</v>
      </c>
      <c r="L998" s="868">
        <v>14110000</v>
      </c>
      <c r="M998" s="609" t="s">
        <v>4813</v>
      </c>
      <c r="N998" s="849">
        <v>14110000</v>
      </c>
      <c r="O998" s="851">
        <v>42887</v>
      </c>
      <c r="P998" s="851">
        <v>43009</v>
      </c>
      <c r="Q998" s="634" t="s">
        <v>110</v>
      </c>
      <c r="R998" s="634" t="s">
        <v>2174</v>
      </c>
      <c r="S998" s="634" t="s">
        <v>1455</v>
      </c>
      <c r="T998" s="635"/>
      <c r="U998" s="634"/>
      <c r="V998" s="634"/>
      <c r="W998" s="637" t="s">
        <v>73</v>
      </c>
      <c r="X998" s="638" t="s">
        <v>2334</v>
      </c>
      <c r="Y998" s="637" t="s">
        <v>2335</v>
      </c>
      <c r="Z998" s="636">
        <v>14110000</v>
      </c>
      <c r="AA998" s="609" t="s">
        <v>1458</v>
      </c>
      <c r="AB998" s="843" t="s">
        <v>263</v>
      </c>
      <c r="AC998" s="844"/>
      <c r="AD998" s="844" t="s">
        <v>113</v>
      </c>
      <c r="AE998" s="861">
        <f t="shared" si="21"/>
        <v>6</v>
      </c>
    </row>
    <row r="999" spans="1:31" ht="105" hidden="1" x14ac:dyDescent="0.25">
      <c r="A999" s="671" t="s">
        <v>5040</v>
      </c>
      <c r="B999" s="842" t="s">
        <v>1941</v>
      </c>
      <c r="C999" s="842" t="s">
        <v>1941</v>
      </c>
      <c r="D999" s="847" t="s">
        <v>5842</v>
      </c>
      <c r="E999" s="847" t="s">
        <v>1948</v>
      </c>
      <c r="F999" s="846" t="s">
        <v>1587</v>
      </c>
      <c r="G999" s="847" t="str">
        <f>IFERROR(VLOOKUP(F999,'[1]код океи'!$B$2:$C$448,2,1)," ")</f>
        <v>Комплект</v>
      </c>
      <c r="H999" s="858">
        <v>12</v>
      </c>
      <c r="I999" s="604" t="s">
        <v>2161</v>
      </c>
      <c r="J999" s="599" t="s">
        <v>1454</v>
      </c>
      <c r="K999" s="862" t="s">
        <v>5041</v>
      </c>
      <c r="L999" s="868">
        <v>4500000</v>
      </c>
      <c r="M999" s="609" t="s">
        <v>2184</v>
      </c>
      <c r="N999" s="849">
        <v>4500000</v>
      </c>
      <c r="O999" s="851">
        <v>42887</v>
      </c>
      <c r="P999" s="851">
        <v>43009</v>
      </c>
      <c r="Q999" s="634" t="s">
        <v>110</v>
      </c>
      <c r="R999" s="634" t="s">
        <v>2174</v>
      </c>
      <c r="S999" s="634" t="s">
        <v>1455</v>
      </c>
      <c r="T999" s="635"/>
      <c r="U999" s="634"/>
      <c r="V999" s="634"/>
      <c r="W999" s="637"/>
      <c r="X999" s="638"/>
      <c r="Y999" s="637"/>
      <c r="Z999" s="636"/>
      <c r="AA999" s="609" t="s">
        <v>1458</v>
      </c>
      <c r="AB999" s="843" t="s">
        <v>263</v>
      </c>
      <c r="AC999" s="844"/>
      <c r="AD999" s="844" t="s">
        <v>113</v>
      </c>
      <c r="AE999" s="861">
        <f t="shared" si="21"/>
        <v>6</v>
      </c>
    </row>
    <row r="1000" spans="1:31" ht="105" hidden="1" x14ac:dyDescent="0.25">
      <c r="A1000" s="671" t="s">
        <v>5042</v>
      </c>
      <c r="B1000" s="842" t="s">
        <v>1576</v>
      </c>
      <c r="C1000" s="842" t="s">
        <v>1576</v>
      </c>
      <c r="D1000" s="847" t="s">
        <v>5841</v>
      </c>
      <c r="E1000" s="847" t="s">
        <v>1948</v>
      </c>
      <c r="F1000" s="846" t="s">
        <v>1528</v>
      </c>
      <c r="G1000" s="847" t="str">
        <f>IFERROR(VLOOKUP(F1000,'[1]код океи'!$B$2:$C$448,2,1)," ")</f>
        <v>Штука</v>
      </c>
      <c r="H1000" s="858">
        <v>200</v>
      </c>
      <c r="I1000" s="604" t="s">
        <v>2161</v>
      </c>
      <c r="J1000" s="599" t="s">
        <v>1454</v>
      </c>
      <c r="K1000" s="862" t="s">
        <v>5043</v>
      </c>
      <c r="L1000" s="868">
        <v>450760</v>
      </c>
      <c r="M1000" s="609" t="s">
        <v>4813</v>
      </c>
      <c r="N1000" s="849">
        <v>450760</v>
      </c>
      <c r="O1000" s="851">
        <v>42887</v>
      </c>
      <c r="P1000" s="851">
        <v>43070</v>
      </c>
      <c r="Q1000" s="634" t="s">
        <v>110</v>
      </c>
      <c r="R1000" s="634" t="s">
        <v>2174</v>
      </c>
      <c r="S1000" s="634" t="s">
        <v>1455</v>
      </c>
      <c r="T1000" s="635"/>
      <c r="U1000" s="634"/>
      <c r="V1000" s="634" t="s">
        <v>45</v>
      </c>
      <c r="W1000" s="637" t="s">
        <v>73</v>
      </c>
      <c r="X1000" s="638" t="s">
        <v>2385</v>
      </c>
      <c r="Y1000" s="637" t="s">
        <v>2384</v>
      </c>
      <c r="Z1000" s="636">
        <v>450760</v>
      </c>
      <c r="AA1000" s="609" t="s">
        <v>1458</v>
      </c>
      <c r="AB1000" s="843" t="s">
        <v>263</v>
      </c>
      <c r="AC1000" s="844"/>
      <c r="AD1000" s="844" t="s">
        <v>113</v>
      </c>
      <c r="AE1000" s="861">
        <f t="shared" si="21"/>
        <v>6</v>
      </c>
    </row>
    <row r="1001" spans="1:31" ht="105" hidden="1" x14ac:dyDescent="0.25">
      <c r="A1001" s="671" t="s">
        <v>5044</v>
      </c>
      <c r="B1001" s="842" t="s">
        <v>1951</v>
      </c>
      <c r="C1001" s="842" t="s">
        <v>1951</v>
      </c>
      <c r="D1001" s="847" t="s">
        <v>5840</v>
      </c>
      <c r="E1001" s="847" t="s">
        <v>1948</v>
      </c>
      <c r="F1001" s="846" t="s">
        <v>1587</v>
      </c>
      <c r="G1001" s="847" t="str">
        <f>IFERROR(VLOOKUP(F1001,'[1]код океи'!$B$2:$C$448,2,1)," ")</f>
        <v>Комплект</v>
      </c>
      <c r="H1001" s="858">
        <v>38</v>
      </c>
      <c r="I1001" s="604" t="s">
        <v>2161</v>
      </c>
      <c r="J1001" s="599" t="s">
        <v>1454</v>
      </c>
      <c r="K1001" s="862" t="s">
        <v>5045</v>
      </c>
      <c r="L1001" s="868">
        <v>496929.28000000003</v>
      </c>
      <c r="M1001" s="609" t="s">
        <v>2184</v>
      </c>
      <c r="N1001" s="849">
        <v>496929.28000000003</v>
      </c>
      <c r="O1001" s="851">
        <v>42887</v>
      </c>
      <c r="P1001" s="851">
        <v>43070</v>
      </c>
      <c r="Q1001" s="634" t="s">
        <v>110</v>
      </c>
      <c r="R1001" s="634" t="s">
        <v>2174</v>
      </c>
      <c r="S1001" s="634" t="s">
        <v>1455</v>
      </c>
      <c r="T1001" s="635"/>
      <c r="U1001" s="634"/>
      <c r="V1001" s="634"/>
      <c r="W1001" s="637"/>
      <c r="X1001" s="638"/>
      <c r="Y1001" s="637"/>
      <c r="Z1001" s="636"/>
      <c r="AA1001" s="609" t="s">
        <v>1458</v>
      </c>
      <c r="AB1001" s="843" t="s">
        <v>263</v>
      </c>
      <c r="AC1001" s="844"/>
      <c r="AD1001" s="844" t="s">
        <v>113</v>
      </c>
      <c r="AE1001" s="861">
        <f t="shared" si="21"/>
        <v>6</v>
      </c>
    </row>
    <row r="1002" spans="1:31" ht="105" hidden="1" x14ac:dyDescent="0.25">
      <c r="A1002" s="671" t="s">
        <v>5046</v>
      </c>
      <c r="B1002" s="842" t="s">
        <v>2439</v>
      </c>
      <c r="C1002" s="842" t="s">
        <v>2440</v>
      </c>
      <c r="D1002" s="847" t="s">
        <v>5839</v>
      </c>
      <c r="E1002" s="847" t="s">
        <v>1657</v>
      </c>
      <c r="F1002" s="846" t="s">
        <v>1587</v>
      </c>
      <c r="G1002" s="847" t="str">
        <f>IFERROR(VLOOKUP(F1002,'[1]код океи'!$B$2:$C$448,2,1)," ")</f>
        <v>Комплект</v>
      </c>
      <c r="H1002" s="858">
        <v>1</v>
      </c>
      <c r="I1002" s="604" t="s">
        <v>2161</v>
      </c>
      <c r="J1002" s="599" t="s">
        <v>1454</v>
      </c>
      <c r="K1002" s="862" t="s">
        <v>2998</v>
      </c>
      <c r="L1002" s="868">
        <v>68644.06</v>
      </c>
      <c r="M1002" s="609" t="s">
        <v>2184</v>
      </c>
      <c r="N1002" s="849">
        <v>68644.06</v>
      </c>
      <c r="O1002" s="851">
        <v>42856</v>
      </c>
      <c r="P1002" s="851">
        <v>43070</v>
      </c>
      <c r="Q1002" s="634" t="s">
        <v>108</v>
      </c>
      <c r="R1002" s="634" t="s">
        <v>1456</v>
      </c>
      <c r="S1002" s="634" t="s">
        <v>1457</v>
      </c>
      <c r="T1002" s="635"/>
      <c r="U1002" s="634"/>
      <c r="V1002" s="634"/>
      <c r="W1002" s="637"/>
      <c r="X1002" s="638"/>
      <c r="Y1002" s="637"/>
      <c r="Z1002" s="636"/>
      <c r="AA1002" s="609" t="s">
        <v>1458</v>
      </c>
      <c r="AB1002" s="843" t="s">
        <v>263</v>
      </c>
      <c r="AC1002" s="844"/>
      <c r="AD1002" s="844" t="s">
        <v>113</v>
      </c>
      <c r="AE1002" s="861">
        <f t="shared" si="21"/>
        <v>5</v>
      </c>
    </row>
    <row r="1003" spans="1:31" ht="105" hidden="1" x14ac:dyDescent="0.25">
      <c r="A1003" s="671" t="s">
        <v>5047</v>
      </c>
      <c r="B1003" s="842" t="s">
        <v>1540</v>
      </c>
      <c r="C1003" s="842" t="s">
        <v>2207</v>
      </c>
      <c r="D1003" s="847" t="s">
        <v>5838</v>
      </c>
      <c r="E1003" s="847" t="s">
        <v>2461</v>
      </c>
      <c r="F1003" s="846" t="s">
        <v>1528</v>
      </c>
      <c r="G1003" s="847" t="str">
        <f>IFERROR(VLOOKUP(F1003,'[1]код океи'!$B$2:$C$448,2,1)," ")</f>
        <v>Штука</v>
      </c>
      <c r="H1003" s="858">
        <v>64</v>
      </c>
      <c r="I1003" s="604" t="s">
        <v>2161</v>
      </c>
      <c r="J1003" s="599" t="s">
        <v>1454</v>
      </c>
      <c r="K1003" s="862" t="s">
        <v>5048</v>
      </c>
      <c r="L1003" s="868">
        <v>326420</v>
      </c>
      <c r="M1003" s="609" t="s">
        <v>4813</v>
      </c>
      <c r="N1003" s="849">
        <v>326420</v>
      </c>
      <c r="O1003" s="851">
        <v>42887</v>
      </c>
      <c r="P1003" s="851">
        <v>43070</v>
      </c>
      <c r="Q1003" s="634" t="s">
        <v>110</v>
      </c>
      <c r="R1003" s="634" t="s">
        <v>2174</v>
      </c>
      <c r="S1003" s="634" t="s">
        <v>1455</v>
      </c>
      <c r="T1003" s="635"/>
      <c r="U1003" s="634"/>
      <c r="V1003" s="634" t="s">
        <v>45</v>
      </c>
      <c r="W1003" s="637" t="s">
        <v>73</v>
      </c>
      <c r="X1003" s="638" t="s">
        <v>4822</v>
      </c>
      <c r="Y1003" s="637" t="s">
        <v>5942</v>
      </c>
      <c r="Z1003" s="636">
        <v>326420</v>
      </c>
      <c r="AA1003" s="609" t="s">
        <v>1458</v>
      </c>
      <c r="AB1003" s="843" t="s">
        <v>263</v>
      </c>
      <c r="AC1003" s="844"/>
      <c r="AD1003" s="844" t="s">
        <v>113</v>
      </c>
      <c r="AE1003" s="861">
        <f t="shared" si="21"/>
        <v>6</v>
      </c>
    </row>
    <row r="1004" spans="1:31" ht="105" hidden="1" x14ac:dyDescent="0.25">
      <c r="A1004" s="671" t="s">
        <v>5049</v>
      </c>
      <c r="B1004" s="842" t="s">
        <v>1531</v>
      </c>
      <c r="C1004" s="842" t="s">
        <v>1738</v>
      </c>
      <c r="D1004" s="847" t="s">
        <v>5837</v>
      </c>
      <c r="E1004" s="847" t="s">
        <v>2461</v>
      </c>
      <c r="F1004" s="846" t="s">
        <v>1528</v>
      </c>
      <c r="G1004" s="847" t="str">
        <f>IFERROR(VLOOKUP(F1004,'[1]код океи'!$B$2:$C$448,2,1)," ")</f>
        <v>Штука</v>
      </c>
      <c r="H1004" s="858">
        <v>400</v>
      </c>
      <c r="I1004" s="604" t="s">
        <v>2161</v>
      </c>
      <c r="J1004" s="599" t="s">
        <v>1454</v>
      </c>
      <c r="K1004" s="862" t="s">
        <v>5050</v>
      </c>
      <c r="L1004" s="868">
        <v>160875.89000000001</v>
      </c>
      <c r="M1004" s="609" t="s">
        <v>997</v>
      </c>
      <c r="N1004" s="849">
        <v>160875.89000000001</v>
      </c>
      <c r="O1004" s="851">
        <v>42887</v>
      </c>
      <c r="P1004" s="851">
        <v>43070</v>
      </c>
      <c r="Q1004" s="634" t="s">
        <v>110</v>
      </c>
      <c r="R1004" s="634" t="s">
        <v>2174</v>
      </c>
      <c r="S1004" s="634" t="s">
        <v>1455</v>
      </c>
      <c r="T1004" s="635"/>
      <c r="U1004" s="634"/>
      <c r="V1004" s="634" t="s">
        <v>45</v>
      </c>
      <c r="W1004" s="637" t="s">
        <v>73</v>
      </c>
      <c r="X1004" s="638" t="s">
        <v>3077</v>
      </c>
      <c r="Y1004" s="637" t="s">
        <v>3078</v>
      </c>
      <c r="Z1004" s="636">
        <v>160875.89000000001</v>
      </c>
      <c r="AA1004" s="609" t="s">
        <v>1458</v>
      </c>
      <c r="AB1004" s="843" t="s">
        <v>263</v>
      </c>
      <c r="AC1004" s="844"/>
      <c r="AD1004" s="844" t="s">
        <v>113</v>
      </c>
      <c r="AE1004" s="861">
        <f t="shared" si="21"/>
        <v>6</v>
      </c>
    </row>
    <row r="1005" spans="1:31" ht="105" hidden="1" x14ac:dyDescent="0.25">
      <c r="A1005" s="671" t="s">
        <v>5051</v>
      </c>
      <c r="B1005" s="842" t="s">
        <v>1540</v>
      </c>
      <c r="C1005" s="842" t="s">
        <v>2432</v>
      </c>
      <c r="D1005" s="847" t="s">
        <v>5836</v>
      </c>
      <c r="E1005" s="847" t="s">
        <v>2441</v>
      </c>
      <c r="F1005" s="846" t="s">
        <v>1528</v>
      </c>
      <c r="G1005" s="847" t="str">
        <f>IFERROR(VLOOKUP(F1005,'[1]код океи'!$B$2:$C$448,2,1)," ")</f>
        <v>Штука</v>
      </c>
      <c r="H1005" s="858">
        <v>1400</v>
      </c>
      <c r="I1005" s="604" t="s">
        <v>2161</v>
      </c>
      <c r="J1005" s="599" t="s">
        <v>1454</v>
      </c>
      <c r="K1005" s="862" t="s">
        <v>5052</v>
      </c>
      <c r="L1005" s="868">
        <v>124359.6</v>
      </c>
      <c r="M1005" s="609" t="s">
        <v>2184</v>
      </c>
      <c r="N1005" s="849">
        <v>124359.6</v>
      </c>
      <c r="O1005" s="851">
        <v>42887</v>
      </c>
      <c r="P1005" s="851">
        <v>43070</v>
      </c>
      <c r="Q1005" s="634" t="s">
        <v>110</v>
      </c>
      <c r="R1005" s="634" t="s">
        <v>2174</v>
      </c>
      <c r="S1005" s="634" t="s">
        <v>1455</v>
      </c>
      <c r="T1005" s="635"/>
      <c r="U1005" s="634"/>
      <c r="V1005" s="634"/>
      <c r="W1005" s="637"/>
      <c r="X1005" s="638"/>
      <c r="Y1005" s="637"/>
      <c r="Z1005" s="636"/>
      <c r="AA1005" s="609" t="s">
        <v>1458</v>
      </c>
      <c r="AB1005" s="843" t="s">
        <v>263</v>
      </c>
      <c r="AC1005" s="844"/>
      <c r="AD1005" s="844" t="s">
        <v>113</v>
      </c>
      <c r="AE1005" s="861">
        <f t="shared" si="21"/>
        <v>6</v>
      </c>
    </row>
    <row r="1006" spans="1:31" ht="105" hidden="1" x14ac:dyDescent="0.25">
      <c r="A1006" s="671" t="s">
        <v>5053</v>
      </c>
      <c r="B1006" s="842" t="s">
        <v>1727</v>
      </c>
      <c r="C1006" s="842" t="s">
        <v>2177</v>
      </c>
      <c r="D1006" s="847" t="s">
        <v>5835</v>
      </c>
      <c r="E1006" s="847" t="s">
        <v>2178</v>
      </c>
      <c r="F1006" s="846" t="s">
        <v>1528</v>
      </c>
      <c r="G1006" s="847" t="str">
        <f>IFERROR(VLOOKUP(F1006,'[1]код океи'!$B$2:$C$448,2,1)," ")</f>
        <v>Штука</v>
      </c>
      <c r="H1006" s="858">
        <v>1780</v>
      </c>
      <c r="I1006" s="604" t="s">
        <v>2161</v>
      </c>
      <c r="J1006" s="599" t="s">
        <v>1454</v>
      </c>
      <c r="K1006" s="862" t="s">
        <v>5054</v>
      </c>
      <c r="L1006" s="868">
        <v>352867.2</v>
      </c>
      <c r="M1006" s="609" t="s">
        <v>2184</v>
      </c>
      <c r="N1006" s="849">
        <v>352867.2</v>
      </c>
      <c r="O1006" s="851">
        <v>42887</v>
      </c>
      <c r="P1006" s="851">
        <v>43070</v>
      </c>
      <c r="Q1006" s="634" t="s">
        <v>110</v>
      </c>
      <c r="R1006" s="634" t="s">
        <v>2174</v>
      </c>
      <c r="S1006" s="634" t="s">
        <v>1455</v>
      </c>
      <c r="T1006" s="635"/>
      <c r="U1006" s="634"/>
      <c r="V1006" s="634"/>
      <c r="W1006" s="637"/>
      <c r="X1006" s="638"/>
      <c r="Y1006" s="637"/>
      <c r="Z1006" s="636"/>
      <c r="AA1006" s="609" t="s">
        <v>1458</v>
      </c>
      <c r="AB1006" s="843" t="s">
        <v>263</v>
      </c>
      <c r="AC1006" s="844"/>
      <c r="AD1006" s="844" t="s">
        <v>113</v>
      </c>
      <c r="AE1006" s="861">
        <f t="shared" si="21"/>
        <v>6</v>
      </c>
    </row>
    <row r="1007" spans="1:31" ht="105" hidden="1" x14ac:dyDescent="0.25">
      <c r="A1007" s="671" t="s">
        <v>5055</v>
      </c>
      <c r="B1007" s="842" t="s">
        <v>1540</v>
      </c>
      <c r="C1007" s="842" t="s">
        <v>1545</v>
      </c>
      <c r="D1007" s="847" t="s">
        <v>5834</v>
      </c>
      <c r="E1007" s="847" t="s">
        <v>2022</v>
      </c>
      <c r="F1007" s="846" t="s">
        <v>2474</v>
      </c>
      <c r="G1007" s="847" t="str">
        <f>IFERROR(VLOOKUP(F1007,'[1]код океи'!$B$2:$C$448,2,1)," ")</f>
        <v>Квадратный сантиметр</v>
      </c>
      <c r="H1007" s="858">
        <v>7663.9</v>
      </c>
      <c r="I1007" s="604" t="s">
        <v>2161</v>
      </c>
      <c r="J1007" s="599" t="s">
        <v>1454</v>
      </c>
      <c r="K1007" s="862" t="s">
        <v>5056</v>
      </c>
      <c r="L1007" s="868">
        <v>2490767</v>
      </c>
      <c r="M1007" s="609" t="s">
        <v>2184</v>
      </c>
      <c r="N1007" s="849">
        <v>2490767</v>
      </c>
      <c r="O1007" s="851">
        <v>42887</v>
      </c>
      <c r="P1007" s="851">
        <v>43070</v>
      </c>
      <c r="Q1007" s="634" t="s">
        <v>110</v>
      </c>
      <c r="R1007" s="634" t="s">
        <v>2174</v>
      </c>
      <c r="S1007" s="634" t="s">
        <v>1455</v>
      </c>
      <c r="T1007" s="635"/>
      <c r="U1007" s="634"/>
      <c r="V1007" s="634"/>
      <c r="W1007" s="637"/>
      <c r="X1007" s="638"/>
      <c r="Y1007" s="637"/>
      <c r="Z1007" s="636"/>
      <c r="AA1007" s="609" t="s">
        <v>1458</v>
      </c>
      <c r="AB1007" s="843" t="s">
        <v>263</v>
      </c>
      <c r="AC1007" s="844"/>
      <c r="AD1007" s="844" t="s">
        <v>113</v>
      </c>
      <c r="AE1007" s="861">
        <f t="shared" si="21"/>
        <v>6</v>
      </c>
    </row>
    <row r="1008" spans="1:31" ht="105" hidden="1" x14ac:dyDescent="0.25">
      <c r="A1008" s="671" t="s">
        <v>5057</v>
      </c>
      <c r="B1008" s="842" t="s">
        <v>1531</v>
      </c>
      <c r="C1008" s="842" t="s">
        <v>1738</v>
      </c>
      <c r="D1008" s="847" t="s">
        <v>5833</v>
      </c>
      <c r="E1008" s="847" t="s">
        <v>2441</v>
      </c>
      <c r="F1008" s="846" t="s">
        <v>1528</v>
      </c>
      <c r="G1008" s="847" t="str">
        <f>IFERROR(VLOOKUP(F1008,'[1]код океи'!$B$2:$C$448,2,1)," ")</f>
        <v>Штука</v>
      </c>
      <c r="H1008" s="858">
        <v>14520</v>
      </c>
      <c r="I1008" s="604" t="s">
        <v>2161</v>
      </c>
      <c r="J1008" s="599" t="s">
        <v>1454</v>
      </c>
      <c r="K1008" s="862" t="s">
        <v>5058</v>
      </c>
      <c r="L1008" s="868">
        <v>503073.65</v>
      </c>
      <c r="M1008" s="609" t="s">
        <v>2184</v>
      </c>
      <c r="N1008" s="849">
        <v>503073.65</v>
      </c>
      <c r="O1008" s="851">
        <v>42887</v>
      </c>
      <c r="P1008" s="851">
        <v>43070</v>
      </c>
      <c r="Q1008" s="634" t="s">
        <v>108</v>
      </c>
      <c r="R1008" s="634" t="s">
        <v>1456</v>
      </c>
      <c r="S1008" s="634" t="s">
        <v>1457</v>
      </c>
      <c r="T1008" s="635"/>
      <c r="U1008" s="634"/>
      <c r="V1008" s="634"/>
      <c r="W1008" s="637"/>
      <c r="X1008" s="638"/>
      <c r="Y1008" s="637"/>
      <c r="Z1008" s="636"/>
      <c r="AA1008" s="609" t="s">
        <v>1458</v>
      </c>
      <c r="AB1008" s="843" t="s">
        <v>263</v>
      </c>
      <c r="AC1008" s="844"/>
      <c r="AD1008" s="844" t="s">
        <v>113</v>
      </c>
      <c r="AE1008" s="861">
        <f t="shared" si="21"/>
        <v>6</v>
      </c>
    </row>
    <row r="1009" spans="1:31" ht="105" hidden="1" x14ac:dyDescent="0.25">
      <c r="A1009" s="671" t="s">
        <v>5059</v>
      </c>
      <c r="B1009" s="842" t="s">
        <v>1672</v>
      </c>
      <c r="C1009" s="842" t="s">
        <v>1673</v>
      </c>
      <c r="D1009" s="847" t="s">
        <v>5832</v>
      </c>
      <c r="E1009" s="847" t="s">
        <v>5060</v>
      </c>
      <c r="F1009" s="846" t="s">
        <v>1528</v>
      </c>
      <c r="G1009" s="847" t="str">
        <f>IFERROR(VLOOKUP(F1009,'[1]код океи'!$B$2:$C$448,2,1)," ")</f>
        <v>Штука</v>
      </c>
      <c r="H1009" s="858">
        <v>854</v>
      </c>
      <c r="I1009" s="604" t="s">
        <v>2161</v>
      </c>
      <c r="J1009" s="599" t="s">
        <v>1454</v>
      </c>
      <c r="K1009" s="862" t="s">
        <v>5061</v>
      </c>
      <c r="L1009" s="868">
        <v>147780.22</v>
      </c>
      <c r="M1009" s="609" t="s">
        <v>2184</v>
      </c>
      <c r="N1009" s="849">
        <v>147780.22</v>
      </c>
      <c r="O1009" s="851">
        <v>42887</v>
      </c>
      <c r="P1009" s="851">
        <v>43070</v>
      </c>
      <c r="Q1009" s="634" t="s">
        <v>108</v>
      </c>
      <c r="R1009" s="634" t="s">
        <v>1456</v>
      </c>
      <c r="S1009" s="634" t="s">
        <v>1457</v>
      </c>
      <c r="T1009" s="635"/>
      <c r="U1009" s="634"/>
      <c r="V1009" s="634"/>
      <c r="W1009" s="637"/>
      <c r="X1009" s="638"/>
      <c r="Y1009" s="637"/>
      <c r="Z1009" s="636"/>
      <c r="AA1009" s="609" t="s">
        <v>1458</v>
      </c>
      <c r="AB1009" s="843" t="s">
        <v>263</v>
      </c>
      <c r="AC1009" s="844"/>
      <c r="AD1009" s="844" t="s">
        <v>113</v>
      </c>
      <c r="AE1009" s="861">
        <f t="shared" si="21"/>
        <v>6</v>
      </c>
    </row>
    <row r="1010" spans="1:31" ht="105" hidden="1" x14ac:dyDescent="0.25">
      <c r="A1010" s="671" t="s">
        <v>5062</v>
      </c>
      <c r="B1010" s="842" t="s">
        <v>1540</v>
      </c>
      <c r="C1010" s="842" t="s">
        <v>1545</v>
      </c>
      <c r="D1010" s="847" t="s">
        <v>5831</v>
      </c>
      <c r="E1010" s="847" t="s">
        <v>2022</v>
      </c>
      <c r="F1010" s="846" t="s">
        <v>2474</v>
      </c>
      <c r="G1010" s="847" t="str">
        <f>IFERROR(VLOOKUP(F1010,'[1]код океи'!$B$2:$C$448,2,1)," ")</f>
        <v>Квадратный сантиметр</v>
      </c>
      <c r="H1010" s="858">
        <v>2500</v>
      </c>
      <c r="I1010" s="604" t="s">
        <v>2161</v>
      </c>
      <c r="J1010" s="599" t="s">
        <v>1454</v>
      </c>
      <c r="K1010" s="862" t="s">
        <v>5063</v>
      </c>
      <c r="L1010" s="868">
        <v>885000</v>
      </c>
      <c r="M1010" s="609" t="s">
        <v>2184</v>
      </c>
      <c r="N1010" s="849">
        <v>885000</v>
      </c>
      <c r="O1010" s="851">
        <v>42887</v>
      </c>
      <c r="P1010" s="851">
        <v>43070</v>
      </c>
      <c r="Q1010" s="634" t="s">
        <v>110</v>
      </c>
      <c r="R1010" s="634" t="s">
        <v>2174</v>
      </c>
      <c r="S1010" s="634" t="s">
        <v>1455</v>
      </c>
      <c r="T1010" s="635"/>
      <c r="U1010" s="634"/>
      <c r="V1010" s="634"/>
      <c r="W1010" s="637"/>
      <c r="X1010" s="638"/>
      <c r="Y1010" s="637"/>
      <c r="Z1010" s="636"/>
      <c r="AA1010" s="609" t="s">
        <v>1458</v>
      </c>
      <c r="AB1010" s="843" t="s">
        <v>263</v>
      </c>
      <c r="AC1010" s="844"/>
      <c r="AD1010" s="844" t="s">
        <v>113</v>
      </c>
      <c r="AE1010" s="861">
        <f t="shared" si="21"/>
        <v>6</v>
      </c>
    </row>
    <row r="1011" spans="1:31" ht="121.5" hidden="1" customHeight="1" x14ac:dyDescent="0.25">
      <c r="A1011" s="671" t="s">
        <v>5558</v>
      </c>
      <c r="B1011" s="898" t="s">
        <v>1635</v>
      </c>
      <c r="C1011" s="898" t="s">
        <v>5508</v>
      </c>
      <c r="D1011" s="847" t="s">
        <v>5830</v>
      </c>
      <c r="E1011" s="902" t="s">
        <v>3159</v>
      </c>
      <c r="F1011" s="846" t="s">
        <v>1528</v>
      </c>
      <c r="G1011" s="847" t="str">
        <f>IFERROR(VLOOKUP(F1011,'[1]код океи'!$B$2:$C$448,2,1)," ")</f>
        <v>Штука</v>
      </c>
      <c r="H1011" s="858">
        <v>14</v>
      </c>
      <c r="I1011" s="604" t="s">
        <v>2161</v>
      </c>
      <c r="J1011" s="907" t="s">
        <v>1454</v>
      </c>
      <c r="K1011" s="862" t="s">
        <v>5690</v>
      </c>
      <c r="L1011" s="868">
        <v>491054.64</v>
      </c>
      <c r="M1011" s="634"/>
      <c r="N1011" s="849">
        <v>491054.64</v>
      </c>
      <c r="O1011" s="851">
        <v>42887</v>
      </c>
      <c r="P1011" s="851">
        <v>43070</v>
      </c>
      <c r="Q1011" s="634" t="s">
        <v>108</v>
      </c>
      <c r="R1011" s="634" t="s">
        <v>112</v>
      </c>
      <c r="S1011" s="634" t="s">
        <v>1457</v>
      </c>
      <c r="T1011" s="875"/>
      <c r="U1011" s="634"/>
      <c r="V1011" s="634"/>
      <c r="W1011" s="637"/>
      <c r="X1011" s="638"/>
      <c r="Y1011" s="637"/>
      <c r="Z1011" s="636"/>
      <c r="AA1011" s="609" t="s">
        <v>1458</v>
      </c>
      <c r="AB1011" s="843" t="s">
        <v>263</v>
      </c>
      <c r="AC1011" s="652"/>
      <c r="AD1011" s="844" t="s">
        <v>113</v>
      </c>
      <c r="AE1011" s="678">
        <f t="shared" ref="AE1011:AE1016" si="22">IF(O1011=0,,MONTH(O1011))</f>
        <v>6</v>
      </c>
    </row>
    <row r="1012" spans="1:31" ht="45" hidden="1" customHeight="1" x14ac:dyDescent="0.25">
      <c r="A1012" s="671" t="s">
        <v>5559</v>
      </c>
      <c r="B1012" s="898" t="s">
        <v>1590</v>
      </c>
      <c r="C1012" s="898" t="s">
        <v>2089</v>
      </c>
      <c r="D1012" s="847" t="s">
        <v>6610</v>
      </c>
      <c r="E1012" s="902" t="s">
        <v>1586</v>
      </c>
      <c r="F1012" s="846" t="s">
        <v>1528</v>
      </c>
      <c r="G1012" s="847" t="str">
        <f>IFERROR(VLOOKUP(F1012,'[1]код океи'!$B$2:$C$448,2,1)," ")</f>
        <v>Штука</v>
      </c>
      <c r="H1012" s="858">
        <v>1</v>
      </c>
      <c r="I1012" s="604" t="s">
        <v>2161</v>
      </c>
      <c r="J1012" s="907" t="s">
        <v>1454</v>
      </c>
      <c r="K1012" s="862" t="s">
        <v>5691</v>
      </c>
      <c r="L1012" s="868">
        <v>187000</v>
      </c>
      <c r="M1012" s="634"/>
      <c r="N1012" s="849">
        <v>187000</v>
      </c>
      <c r="O1012" s="851">
        <v>42979</v>
      </c>
      <c r="P1012" s="851">
        <v>43040</v>
      </c>
      <c r="Q1012" s="634" t="s">
        <v>108</v>
      </c>
      <c r="R1012" s="634" t="s">
        <v>112</v>
      </c>
      <c r="S1012" s="634" t="s">
        <v>1457</v>
      </c>
      <c r="T1012" s="875"/>
      <c r="U1012" s="634"/>
      <c r="V1012" s="634"/>
      <c r="W1012" s="637"/>
      <c r="X1012" s="638"/>
      <c r="Y1012" s="637"/>
      <c r="Z1012" s="636"/>
      <c r="AA1012" s="609" t="s">
        <v>1458</v>
      </c>
      <c r="AB1012" s="843" t="s">
        <v>263</v>
      </c>
      <c r="AC1012" s="652"/>
      <c r="AD1012" s="844" t="s">
        <v>113</v>
      </c>
      <c r="AE1012" s="678">
        <f t="shared" si="22"/>
        <v>9</v>
      </c>
    </row>
    <row r="1013" spans="1:31" ht="65.25" hidden="1" customHeight="1" x14ac:dyDescent="0.25">
      <c r="A1013" s="671" t="s">
        <v>5560</v>
      </c>
      <c r="B1013" s="898" t="s">
        <v>1815</v>
      </c>
      <c r="C1013" s="898" t="s">
        <v>1903</v>
      </c>
      <c r="D1013" s="847" t="s">
        <v>5829</v>
      </c>
      <c r="E1013" s="902" t="s">
        <v>2235</v>
      </c>
      <c r="F1013" s="846" t="s">
        <v>1528</v>
      </c>
      <c r="G1013" s="847" t="str">
        <f>IFERROR(VLOOKUP(F1013,'[1]код океи'!$B$2:$C$448,2,1)," ")</f>
        <v>Штука</v>
      </c>
      <c r="H1013" s="858">
        <v>1</v>
      </c>
      <c r="I1013" s="604" t="s">
        <v>2161</v>
      </c>
      <c r="J1013" s="907" t="s">
        <v>1454</v>
      </c>
      <c r="K1013" s="862" t="s">
        <v>5692</v>
      </c>
      <c r="L1013" s="868">
        <v>151200</v>
      </c>
      <c r="M1013" s="634"/>
      <c r="N1013" s="849">
        <v>151200</v>
      </c>
      <c r="O1013" s="851">
        <v>42856</v>
      </c>
      <c r="P1013" s="851">
        <v>42922</v>
      </c>
      <c r="Q1013" s="634" t="s">
        <v>110</v>
      </c>
      <c r="R1013" s="634" t="s">
        <v>113</v>
      </c>
      <c r="S1013" s="634" t="s">
        <v>1455</v>
      </c>
      <c r="T1013" s="875"/>
      <c r="U1013" s="634"/>
      <c r="V1013" s="634"/>
      <c r="W1013" s="637"/>
      <c r="X1013" s="638"/>
      <c r="Y1013" s="637"/>
      <c r="Z1013" s="636"/>
      <c r="AA1013" s="609" t="s">
        <v>1458</v>
      </c>
      <c r="AB1013" s="843" t="s">
        <v>263</v>
      </c>
      <c r="AC1013" s="652"/>
      <c r="AD1013" s="844" t="s">
        <v>113</v>
      </c>
      <c r="AE1013" s="678">
        <f t="shared" si="22"/>
        <v>5</v>
      </c>
    </row>
    <row r="1014" spans="1:31" ht="36.75" hidden="1" customHeight="1" x14ac:dyDescent="0.25">
      <c r="A1014" s="671" t="s">
        <v>5561</v>
      </c>
      <c r="B1014" s="898" t="s">
        <v>5509</v>
      </c>
      <c r="C1014" s="898" t="s">
        <v>5510</v>
      </c>
      <c r="D1014" s="847" t="s">
        <v>5828</v>
      </c>
      <c r="E1014" s="902" t="s">
        <v>2457</v>
      </c>
      <c r="F1014" s="846" t="s">
        <v>1587</v>
      </c>
      <c r="G1014" s="847" t="str">
        <f>IFERROR(VLOOKUP(F1014,'[1]код океи'!$B$2:$C$448,2,1)," ")</f>
        <v>Комплект</v>
      </c>
      <c r="H1014" s="858">
        <v>1</v>
      </c>
      <c r="I1014" s="604" t="s">
        <v>2161</v>
      </c>
      <c r="J1014" s="907" t="s">
        <v>1454</v>
      </c>
      <c r="K1014" s="862" t="s">
        <v>5693</v>
      </c>
      <c r="L1014" s="868">
        <v>303076.42</v>
      </c>
      <c r="M1014" s="634"/>
      <c r="N1014" s="849">
        <v>303076.42</v>
      </c>
      <c r="O1014" s="851">
        <v>42887</v>
      </c>
      <c r="P1014" s="851">
        <v>42917</v>
      </c>
      <c r="Q1014" s="634" t="s">
        <v>108</v>
      </c>
      <c r="R1014" s="634" t="s">
        <v>112</v>
      </c>
      <c r="S1014" s="634" t="s">
        <v>1457</v>
      </c>
      <c r="T1014" s="875"/>
      <c r="U1014" s="634"/>
      <c r="V1014" s="634"/>
      <c r="W1014" s="637"/>
      <c r="X1014" s="638"/>
      <c r="Y1014" s="637"/>
      <c r="Z1014" s="636"/>
      <c r="AA1014" s="908" t="s">
        <v>1458</v>
      </c>
      <c r="AB1014" s="843" t="s">
        <v>263</v>
      </c>
      <c r="AC1014" s="652"/>
      <c r="AD1014" s="844" t="s">
        <v>113</v>
      </c>
      <c r="AE1014" s="678">
        <f t="shared" si="22"/>
        <v>6</v>
      </c>
    </row>
    <row r="1015" spans="1:31" ht="35.25" hidden="1" customHeight="1" x14ac:dyDescent="0.25">
      <c r="A1015" s="671" t="s">
        <v>5562</v>
      </c>
      <c r="B1015" s="898" t="s">
        <v>1793</v>
      </c>
      <c r="C1015" s="898" t="s">
        <v>5006</v>
      </c>
      <c r="D1015" s="847" t="s">
        <v>5827</v>
      </c>
      <c r="E1015" s="902" t="s">
        <v>2235</v>
      </c>
      <c r="F1015" s="846" t="s">
        <v>1587</v>
      </c>
      <c r="G1015" s="847" t="str">
        <f>IFERROR(VLOOKUP(F1015,'[1]код океи'!$B$2:$C$448,2,1)," ")</f>
        <v>Комплект</v>
      </c>
      <c r="H1015" s="858">
        <v>1</v>
      </c>
      <c r="I1015" s="604" t="s">
        <v>2161</v>
      </c>
      <c r="J1015" s="907" t="s">
        <v>1454</v>
      </c>
      <c r="K1015" s="862" t="s">
        <v>5007</v>
      </c>
      <c r="L1015" s="868">
        <v>1297988</v>
      </c>
      <c r="M1015" s="634"/>
      <c r="N1015" s="849">
        <v>1297988</v>
      </c>
      <c r="O1015" s="851">
        <v>42887</v>
      </c>
      <c r="P1015" s="851">
        <v>42948</v>
      </c>
      <c r="Q1015" s="634" t="s">
        <v>108</v>
      </c>
      <c r="R1015" s="634" t="s">
        <v>112</v>
      </c>
      <c r="S1015" s="634" t="s">
        <v>1457</v>
      </c>
      <c r="T1015" s="875"/>
      <c r="U1015" s="634"/>
      <c r="V1015" s="634"/>
      <c r="W1015" s="637"/>
      <c r="X1015" s="638"/>
      <c r="Y1015" s="637"/>
      <c r="Z1015" s="636"/>
      <c r="AA1015" s="908" t="s">
        <v>1458</v>
      </c>
      <c r="AB1015" s="843" t="s">
        <v>263</v>
      </c>
      <c r="AC1015" s="652"/>
      <c r="AD1015" s="844" t="s">
        <v>113</v>
      </c>
      <c r="AE1015" s="678">
        <f t="shared" si="22"/>
        <v>6</v>
      </c>
    </row>
    <row r="1016" spans="1:31" ht="48" hidden="1" customHeight="1" x14ac:dyDescent="0.25">
      <c r="A1016" s="671" t="s">
        <v>5563</v>
      </c>
      <c r="B1016" s="898" t="s">
        <v>1531</v>
      </c>
      <c r="C1016" s="898" t="s">
        <v>5511</v>
      </c>
      <c r="D1016" s="847" t="s">
        <v>5826</v>
      </c>
      <c r="E1016" s="902" t="s">
        <v>2235</v>
      </c>
      <c r="F1016" s="846" t="s">
        <v>1587</v>
      </c>
      <c r="G1016" s="847" t="str">
        <f>IFERROR(VLOOKUP(F1016,'[1]код океи'!$B$2:$C$448,2,1)," ")</f>
        <v>Комплект</v>
      </c>
      <c r="H1016" s="858">
        <v>1</v>
      </c>
      <c r="I1016" s="604" t="s">
        <v>2161</v>
      </c>
      <c r="J1016" s="907" t="s">
        <v>1454</v>
      </c>
      <c r="K1016" s="862" t="s">
        <v>5694</v>
      </c>
      <c r="L1016" s="868">
        <v>154507.23000000001</v>
      </c>
      <c r="M1016" s="634"/>
      <c r="N1016" s="849">
        <v>154507.23000000001</v>
      </c>
      <c r="O1016" s="851">
        <v>42887</v>
      </c>
      <c r="P1016" s="851">
        <v>42949</v>
      </c>
      <c r="Q1016" s="634" t="s">
        <v>108</v>
      </c>
      <c r="R1016" s="634" t="s">
        <v>112</v>
      </c>
      <c r="S1016" s="634" t="s">
        <v>1457</v>
      </c>
      <c r="T1016" s="875"/>
      <c r="U1016" s="634"/>
      <c r="V1016" s="634"/>
      <c r="W1016" s="637"/>
      <c r="X1016" s="638"/>
      <c r="Y1016" s="637"/>
      <c r="Z1016" s="636"/>
      <c r="AA1016" s="908" t="s">
        <v>1458</v>
      </c>
      <c r="AB1016" s="843" t="s">
        <v>263</v>
      </c>
      <c r="AC1016" s="652"/>
      <c r="AD1016" s="844" t="s">
        <v>113</v>
      </c>
      <c r="AE1016" s="678">
        <f t="shared" si="22"/>
        <v>6</v>
      </c>
    </row>
    <row r="1017" spans="1:31" ht="38.25" hidden="1" customHeight="1" x14ac:dyDescent="0.25">
      <c r="A1017" s="671" t="s">
        <v>5564</v>
      </c>
      <c r="B1017" s="898" t="s">
        <v>1787</v>
      </c>
      <c r="C1017" s="898" t="s">
        <v>3123</v>
      </c>
      <c r="D1017" s="847" t="s">
        <v>5825</v>
      </c>
      <c r="E1017" s="902" t="s">
        <v>2235</v>
      </c>
      <c r="F1017" s="846" t="s">
        <v>1528</v>
      </c>
      <c r="G1017" s="847" t="str">
        <f>IFERROR(VLOOKUP(F1017,'[1]код океи'!$B$2:$C$448,2,1)," ")</f>
        <v>Штука</v>
      </c>
      <c r="H1017" s="858">
        <v>3</v>
      </c>
      <c r="I1017" s="604" t="s">
        <v>2161</v>
      </c>
      <c r="J1017" s="907" t="s">
        <v>1454</v>
      </c>
      <c r="K1017" s="862" t="s">
        <v>5695</v>
      </c>
      <c r="L1017" s="868">
        <v>2289200</v>
      </c>
      <c r="M1017" s="634"/>
      <c r="N1017" s="849">
        <v>2289200</v>
      </c>
      <c r="O1017" s="851">
        <v>42887</v>
      </c>
      <c r="P1017" s="851">
        <v>42948</v>
      </c>
      <c r="Q1017" s="634" t="s">
        <v>108</v>
      </c>
      <c r="R1017" s="634" t="s">
        <v>112</v>
      </c>
      <c r="S1017" s="634" t="s">
        <v>1457</v>
      </c>
      <c r="T1017" s="875"/>
      <c r="U1017" s="634"/>
      <c r="V1017" s="634"/>
      <c r="W1017" s="637"/>
      <c r="X1017" s="638"/>
      <c r="Y1017" s="637"/>
      <c r="Z1017" s="636"/>
      <c r="AA1017" s="908" t="s">
        <v>1458</v>
      </c>
      <c r="AB1017" s="843" t="s">
        <v>263</v>
      </c>
      <c r="AC1017" s="652"/>
      <c r="AD1017" s="844" t="s">
        <v>113</v>
      </c>
      <c r="AE1017" s="877">
        <f t="shared" ref="AE1017:AE1048" si="23">IF(O1017=0,,MONTH(O1017))</f>
        <v>6</v>
      </c>
    </row>
    <row r="1018" spans="1:31" ht="35.25" hidden="1" customHeight="1" x14ac:dyDescent="0.25">
      <c r="A1018" s="671" t="s">
        <v>5565</v>
      </c>
      <c r="B1018" s="898" t="s">
        <v>1787</v>
      </c>
      <c r="C1018" s="898" t="s">
        <v>3123</v>
      </c>
      <c r="D1018" s="847" t="s">
        <v>5824</v>
      </c>
      <c r="E1018" s="847" t="s">
        <v>2235</v>
      </c>
      <c r="F1018" s="846" t="s">
        <v>1528</v>
      </c>
      <c r="G1018" s="847" t="str">
        <f>IFERROR(VLOOKUP(F1018,'[1]код океи'!$B$2:$C$448,2,1)," ")</f>
        <v>Штука</v>
      </c>
      <c r="H1018" s="858">
        <v>20</v>
      </c>
      <c r="I1018" s="604" t="s">
        <v>2161</v>
      </c>
      <c r="J1018" s="907" t="s">
        <v>1454</v>
      </c>
      <c r="K1018" s="862" t="s">
        <v>5696</v>
      </c>
      <c r="L1018" s="868">
        <v>240720</v>
      </c>
      <c r="M1018" s="634"/>
      <c r="N1018" s="849">
        <v>240720</v>
      </c>
      <c r="O1018" s="851">
        <v>42887</v>
      </c>
      <c r="P1018" s="851">
        <v>42949</v>
      </c>
      <c r="Q1018" s="634" t="s">
        <v>108</v>
      </c>
      <c r="R1018" s="634" t="s">
        <v>112</v>
      </c>
      <c r="S1018" s="634" t="s">
        <v>1457</v>
      </c>
      <c r="T1018" s="875"/>
      <c r="U1018" s="634"/>
      <c r="V1018" s="634"/>
      <c r="W1018" s="637"/>
      <c r="X1018" s="638"/>
      <c r="Y1018" s="637"/>
      <c r="Z1018" s="636"/>
      <c r="AA1018" s="908" t="s">
        <v>1458</v>
      </c>
      <c r="AB1018" s="843" t="s">
        <v>263</v>
      </c>
      <c r="AC1018" s="652"/>
      <c r="AD1018" s="844" t="s">
        <v>113</v>
      </c>
      <c r="AE1018" s="877">
        <f t="shared" si="23"/>
        <v>6</v>
      </c>
    </row>
    <row r="1019" spans="1:31" ht="39.75" hidden="1" customHeight="1" x14ac:dyDescent="0.25">
      <c r="A1019" s="671" t="s">
        <v>5566</v>
      </c>
      <c r="B1019" s="898" t="s">
        <v>2211</v>
      </c>
      <c r="C1019" s="898" t="s">
        <v>5512</v>
      </c>
      <c r="D1019" s="847" t="s">
        <v>5823</v>
      </c>
      <c r="E1019" s="847" t="s">
        <v>2235</v>
      </c>
      <c r="F1019" s="846" t="s">
        <v>1528</v>
      </c>
      <c r="G1019" s="847" t="str">
        <f>IFERROR(VLOOKUP(F1019,'[1]код океи'!$B$2:$C$448,2,1)," ")</f>
        <v>Штука</v>
      </c>
      <c r="H1019" s="858">
        <v>11</v>
      </c>
      <c r="I1019" s="604" t="s">
        <v>2161</v>
      </c>
      <c r="J1019" s="907" t="s">
        <v>1454</v>
      </c>
      <c r="K1019" s="862" t="s">
        <v>5697</v>
      </c>
      <c r="L1019" s="868">
        <v>270889.57</v>
      </c>
      <c r="M1019" s="634"/>
      <c r="N1019" s="849">
        <v>270889.57</v>
      </c>
      <c r="O1019" s="851">
        <v>42887</v>
      </c>
      <c r="P1019" s="851">
        <v>42950</v>
      </c>
      <c r="Q1019" s="634" t="s">
        <v>108</v>
      </c>
      <c r="R1019" s="634" t="s">
        <v>112</v>
      </c>
      <c r="S1019" s="634" t="s">
        <v>1457</v>
      </c>
      <c r="T1019" s="875"/>
      <c r="U1019" s="634"/>
      <c r="V1019" s="634"/>
      <c r="W1019" s="637"/>
      <c r="X1019" s="638"/>
      <c r="Y1019" s="637"/>
      <c r="Z1019" s="636"/>
      <c r="AA1019" s="908" t="s">
        <v>1458</v>
      </c>
      <c r="AB1019" s="843" t="s">
        <v>263</v>
      </c>
      <c r="AC1019" s="652"/>
      <c r="AD1019" s="844" t="s">
        <v>113</v>
      </c>
      <c r="AE1019" s="877">
        <f t="shared" si="23"/>
        <v>6</v>
      </c>
    </row>
    <row r="1020" spans="1:31" ht="39" hidden="1" customHeight="1" x14ac:dyDescent="0.25">
      <c r="A1020" s="671" t="s">
        <v>5567</v>
      </c>
      <c r="B1020" s="898" t="s">
        <v>2433</v>
      </c>
      <c r="C1020" s="898" t="s">
        <v>1548</v>
      </c>
      <c r="D1020" s="847" t="s">
        <v>5822</v>
      </c>
      <c r="E1020" s="847" t="s">
        <v>2235</v>
      </c>
      <c r="F1020" s="846" t="s">
        <v>1587</v>
      </c>
      <c r="G1020" s="847" t="str">
        <f>IFERROR(VLOOKUP(F1020,'[1]код океи'!$B$2:$C$448,2,1)," ")</f>
        <v>Комплект</v>
      </c>
      <c r="H1020" s="858">
        <v>1</v>
      </c>
      <c r="I1020" s="604" t="s">
        <v>2161</v>
      </c>
      <c r="J1020" s="907" t="s">
        <v>1454</v>
      </c>
      <c r="K1020" s="862" t="s">
        <v>5698</v>
      </c>
      <c r="L1020" s="868">
        <v>498198.31</v>
      </c>
      <c r="M1020" s="634"/>
      <c r="N1020" s="849">
        <v>498198.31</v>
      </c>
      <c r="O1020" s="851">
        <v>42887</v>
      </c>
      <c r="P1020" s="851">
        <v>42950</v>
      </c>
      <c r="Q1020" s="634" t="s">
        <v>108</v>
      </c>
      <c r="R1020" s="634" t="s">
        <v>112</v>
      </c>
      <c r="S1020" s="634" t="s">
        <v>1457</v>
      </c>
      <c r="T1020" s="875"/>
      <c r="U1020" s="634"/>
      <c r="V1020" s="634"/>
      <c r="W1020" s="637"/>
      <c r="X1020" s="638"/>
      <c r="Y1020" s="637"/>
      <c r="Z1020" s="636"/>
      <c r="AA1020" s="908" t="s">
        <v>1458</v>
      </c>
      <c r="AB1020" s="843" t="s">
        <v>263</v>
      </c>
      <c r="AC1020" s="652"/>
      <c r="AD1020" s="844" t="s">
        <v>113</v>
      </c>
      <c r="AE1020" s="877">
        <f t="shared" si="23"/>
        <v>6</v>
      </c>
    </row>
    <row r="1021" spans="1:31" ht="38.25" hidden="1" customHeight="1" x14ac:dyDescent="0.25">
      <c r="A1021" s="671" t="s">
        <v>5568</v>
      </c>
      <c r="B1021" s="898" t="s">
        <v>1793</v>
      </c>
      <c r="C1021" s="898" t="s">
        <v>4977</v>
      </c>
      <c r="D1021" s="847" t="s">
        <v>5821</v>
      </c>
      <c r="E1021" s="847" t="s">
        <v>2235</v>
      </c>
      <c r="F1021" s="846" t="s">
        <v>1587</v>
      </c>
      <c r="G1021" s="847" t="str">
        <f>IFERROR(VLOOKUP(F1021,'[1]код океи'!$B$2:$C$448,2,1)," ")</f>
        <v>Комплект</v>
      </c>
      <c r="H1021" s="858">
        <v>1</v>
      </c>
      <c r="I1021" s="604" t="s">
        <v>2161</v>
      </c>
      <c r="J1021" s="907" t="s">
        <v>1454</v>
      </c>
      <c r="K1021" s="862" t="s">
        <v>5699</v>
      </c>
      <c r="L1021" s="868">
        <v>750938.33</v>
      </c>
      <c r="M1021" s="634"/>
      <c r="N1021" s="849">
        <v>750938.33</v>
      </c>
      <c r="O1021" s="851">
        <v>42887</v>
      </c>
      <c r="P1021" s="851">
        <v>42950</v>
      </c>
      <c r="Q1021" s="634" t="s">
        <v>108</v>
      </c>
      <c r="R1021" s="634" t="s">
        <v>112</v>
      </c>
      <c r="S1021" s="634" t="s">
        <v>1457</v>
      </c>
      <c r="T1021" s="875"/>
      <c r="U1021" s="634"/>
      <c r="V1021" s="634"/>
      <c r="W1021" s="637"/>
      <c r="X1021" s="638"/>
      <c r="Y1021" s="637"/>
      <c r="Z1021" s="636"/>
      <c r="AA1021" s="908" t="s">
        <v>1458</v>
      </c>
      <c r="AB1021" s="843" t="s">
        <v>263</v>
      </c>
      <c r="AC1021" s="652"/>
      <c r="AD1021" s="844" t="s">
        <v>113</v>
      </c>
      <c r="AE1021" s="877">
        <f t="shared" si="23"/>
        <v>6</v>
      </c>
    </row>
    <row r="1022" spans="1:31" ht="31.5" hidden="1" customHeight="1" x14ac:dyDescent="0.25">
      <c r="A1022" s="671" t="s">
        <v>5569</v>
      </c>
      <c r="B1022" s="898" t="s">
        <v>3120</v>
      </c>
      <c r="C1022" s="898" t="s">
        <v>2193</v>
      </c>
      <c r="D1022" s="847" t="s">
        <v>5689</v>
      </c>
      <c r="E1022" s="847" t="s">
        <v>2235</v>
      </c>
      <c r="F1022" s="846" t="s">
        <v>1528</v>
      </c>
      <c r="G1022" s="847" t="str">
        <f>IFERROR(VLOOKUP(F1022,'[1]код океи'!$B$2:$C$448,2,1)," ")</f>
        <v>Штука</v>
      </c>
      <c r="H1022" s="858">
        <v>1</v>
      </c>
      <c r="I1022" s="604" t="s">
        <v>2161</v>
      </c>
      <c r="J1022" s="907" t="s">
        <v>1454</v>
      </c>
      <c r="K1022" s="862" t="s">
        <v>5700</v>
      </c>
      <c r="L1022" s="868">
        <v>703668</v>
      </c>
      <c r="M1022" s="634"/>
      <c r="N1022" s="849">
        <v>703668</v>
      </c>
      <c r="O1022" s="851">
        <v>42856</v>
      </c>
      <c r="P1022" s="851">
        <v>43070</v>
      </c>
      <c r="Q1022" s="634" t="s">
        <v>110</v>
      </c>
      <c r="R1022" s="634" t="s">
        <v>113</v>
      </c>
      <c r="S1022" s="634" t="s">
        <v>1455</v>
      </c>
      <c r="T1022" s="875"/>
      <c r="U1022" s="634"/>
      <c r="V1022" s="634"/>
      <c r="W1022" s="637"/>
      <c r="X1022" s="638"/>
      <c r="Y1022" s="637"/>
      <c r="Z1022" s="636"/>
      <c r="AA1022" s="908" t="s">
        <v>1458</v>
      </c>
      <c r="AB1022" s="843" t="s">
        <v>263</v>
      </c>
      <c r="AC1022" s="652"/>
      <c r="AD1022" s="844" t="s">
        <v>113</v>
      </c>
      <c r="AE1022" s="877">
        <f t="shared" si="23"/>
        <v>5</v>
      </c>
    </row>
    <row r="1023" spans="1:31" ht="49.5" hidden="1" customHeight="1" x14ac:dyDescent="0.25">
      <c r="A1023" s="671" t="s">
        <v>5570</v>
      </c>
      <c r="B1023" s="898" t="s">
        <v>5513</v>
      </c>
      <c r="C1023" s="898" t="s">
        <v>216</v>
      </c>
      <c r="D1023" s="847" t="s">
        <v>5820</v>
      </c>
      <c r="E1023" s="847" t="s">
        <v>3159</v>
      </c>
      <c r="F1023" s="846" t="s">
        <v>1528</v>
      </c>
      <c r="G1023" s="847" t="str">
        <f>IFERROR(VLOOKUP(F1023,'[1]код океи'!$B$2:$C$448,2,1)," ")</f>
        <v>Штука</v>
      </c>
      <c r="H1023" s="858">
        <v>60</v>
      </c>
      <c r="I1023" s="604" t="s">
        <v>2161</v>
      </c>
      <c r="J1023" s="907" t="s">
        <v>1454</v>
      </c>
      <c r="K1023" s="862" t="s">
        <v>6801</v>
      </c>
      <c r="L1023" s="868">
        <v>337480</v>
      </c>
      <c r="M1023" s="634"/>
      <c r="N1023" s="849">
        <v>337480</v>
      </c>
      <c r="O1023" s="851">
        <v>42917</v>
      </c>
      <c r="P1023" s="851">
        <v>43070</v>
      </c>
      <c r="Q1023" s="634" t="s">
        <v>108</v>
      </c>
      <c r="R1023" s="634" t="s">
        <v>112</v>
      </c>
      <c r="S1023" s="634" t="s">
        <v>1457</v>
      </c>
      <c r="T1023" s="875"/>
      <c r="U1023" s="634"/>
      <c r="V1023" s="634"/>
      <c r="W1023" s="637"/>
      <c r="X1023" s="638"/>
      <c r="Y1023" s="637"/>
      <c r="Z1023" s="636"/>
      <c r="AA1023" s="908" t="s">
        <v>1458</v>
      </c>
      <c r="AB1023" s="843" t="s">
        <v>263</v>
      </c>
      <c r="AC1023" s="652"/>
      <c r="AD1023" s="844" t="s">
        <v>113</v>
      </c>
      <c r="AE1023" s="877">
        <f t="shared" si="23"/>
        <v>7</v>
      </c>
    </row>
    <row r="1024" spans="1:31" ht="33" hidden="1" customHeight="1" x14ac:dyDescent="0.25">
      <c r="A1024" s="671" t="s">
        <v>5571</v>
      </c>
      <c r="B1024" s="898" t="s">
        <v>2176</v>
      </c>
      <c r="C1024" s="898" t="s">
        <v>2037</v>
      </c>
      <c r="D1024" s="847" t="s">
        <v>5819</v>
      </c>
      <c r="E1024" s="847" t="s">
        <v>2027</v>
      </c>
      <c r="F1024" s="846" t="s">
        <v>1528</v>
      </c>
      <c r="G1024" s="847" t="str">
        <f>IFERROR(VLOOKUP(F1024,'[1]код океи'!$B$2:$C$448,2,1)," ")</f>
        <v>Штука</v>
      </c>
      <c r="H1024" s="858">
        <v>620</v>
      </c>
      <c r="I1024" s="961">
        <v>45000000000</v>
      </c>
      <c r="J1024" s="907" t="s">
        <v>1454</v>
      </c>
      <c r="K1024" s="862" t="s">
        <v>5701</v>
      </c>
      <c r="L1024" s="868">
        <v>2818507.88</v>
      </c>
      <c r="M1024" s="634" t="s">
        <v>997</v>
      </c>
      <c r="N1024" s="849">
        <v>2818507.88</v>
      </c>
      <c r="O1024" s="851">
        <v>42887</v>
      </c>
      <c r="P1024" s="851">
        <v>43070</v>
      </c>
      <c r="Q1024" s="634" t="s">
        <v>110</v>
      </c>
      <c r="R1024" s="634" t="s">
        <v>113</v>
      </c>
      <c r="S1024" s="634" t="s">
        <v>1455</v>
      </c>
      <c r="T1024" s="875"/>
      <c r="U1024" s="634"/>
      <c r="V1024" s="634"/>
      <c r="W1024" s="637" t="s">
        <v>73</v>
      </c>
      <c r="X1024" s="638" t="s">
        <v>3005</v>
      </c>
      <c r="Y1024" s="637" t="s">
        <v>3006</v>
      </c>
      <c r="Z1024" s="636">
        <v>2818507.88</v>
      </c>
      <c r="AA1024" s="908" t="s">
        <v>1458</v>
      </c>
      <c r="AB1024" s="843" t="s">
        <v>263</v>
      </c>
      <c r="AC1024" s="652"/>
      <c r="AD1024" s="844" t="s">
        <v>113</v>
      </c>
      <c r="AE1024" s="877">
        <f t="shared" si="23"/>
        <v>6</v>
      </c>
    </row>
    <row r="1025" spans="1:31" ht="30.75" hidden="1" customHeight="1" x14ac:dyDescent="0.25">
      <c r="A1025" s="671" t="s">
        <v>5572</v>
      </c>
      <c r="B1025" s="898" t="s">
        <v>2176</v>
      </c>
      <c r="C1025" s="898" t="s">
        <v>2037</v>
      </c>
      <c r="D1025" s="847" t="s">
        <v>5818</v>
      </c>
      <c r="E1025" s="847" t="s">
        <v>2027</v>
      </c>
      <c r="F1025" s="846" t="s">
        <v>1528</v>
      </c>
      <c r="G1025" s="847" t="str">
        <f>IFERROR(VLOOKUP(F1025,'[1]код океи'!$B$2:$C$448,2,1)," ")</f>
        <v>Штука</v>
      </c>
      <c r="H1025" s="858">
        <v>250</v>
      </c>
      <c r="I1025" s="604" t="s">
        <v>2161</v>
      </c>
      <c r="J1025" s="907" t="s">
        <v>1454</v>
      </c>
      <c r="K1025" s="862" t="s">
        <v>5702</v>
      </c>
      <c r="L1025" s="868">
        <v>3863863.15</v>
      </c>
      <c r="M1025" s="634" t="s">
        <v>997</v>
      </c>
      <c r="N1025" s="849">
        <v>3863863.15</v>
      </c>
      <c r="O1025" s="851">
        <v>42887</v>
      </c>
      <c r="P1025" s="851">
        <v>43070</v>
      </c>
      <c r="Q1025" s="634" t="s">
        <v>110</v>
      </c>
      <c r="R1025" s="634" t="s">
        <v>113</v>
      </c>
      <c r="S1025" s="634" t="s">
        <v>1455</v>
      </c>
      <c r="T1025" s="875"/>
      <c r="U1025" s="634"/>
      <c r="V1025" s="634" t="s">
        <v>45</v>
      </c>
      <c r="W1025" s="637" t="s">
        <v>73</v>
      </c>
      <c r="X1025" s="638" t="s">
        <v>3005</v>
      </c>
      <c r="Y1025" s="637" t="s">
        <v>3006</v>
      </c>
      <c r="Z1025" s="636">
        <v>3863863.15</v>
      </c>
      <c r="AA1025" s="908" t="s">
        <v>1458</v>
      </c>
      <c r="AB1025" s="843" t="s">
        <v>263</v>
      </c>
      <c r="AC1025" s="652"/>
      <c r="AD1025" s="844" t="s">
        <v>113</v>
      </c>
      <c r="AE1025" s="877">
        <f t="shared" si="23"/>
        <v>6</v>
      </c>
    </row>
    <row r="1026" spans="1:31" ht="38.25" hidden="1" customHeight="1" x14ac:dyDescent="0.25">
      <c r="A1026" s="671" t="s">
        <v>5573</v>
      </c>
      <c r="B1026" s="898" t="s">
        <v>1576</v>
      </c>
      <c r="C1026" s="898" t="s">
        <v>1576</v>
      </c>
      <c r="D1026" s="847" t="s">
        <v>5817</v>
      </c>
      <c r="E1026" s="847" t="s">
        <v>2027</v>
      </c>
      <c r="F1026" s="846" t="s">
        <v>1587</v>
      </c>
      <c r="G1026" s="847" t="str">
        <f>IFERROR(VLOOKUP(F1026,'[1]код океи'!$B$2:$C$448,2,1)," ")</f>
        <v>Комплект</v>
      </c>
      <c r="H1026" s="858">
        <v>150</v>
      </c>
      <c r="I1026" s="604" t="s">
        <v>2161</v>
      </c>
      <c r="J1026" s="907" t="s">
        <v>1454</v>
      </c>
      <c r="K1026" s="862" t="s">
        <v>5703</v>
      </c>
      <c r="L1026" s="868">
        <v>20000000</v>
      </c>
      <c r="M1026" s="634"/>
      <c r="N1026" s="849">
        <v>20000000</v>
      </c>
      <c r="O1026" s="851">
        <v>42887</v>
      </c>
      <c r="P1026" s="851">
        <v>43070</v>
      </c>
      <c r="Q1026" s="634" t="s">
        <v>108</v>
      </c>
      <c r="R1026" s="634" t="s">
        <v>112</v>
      </c>
      <c r="S1026" s="634" t="s">
        <v>1457</v>
      </c>
      <c r="T1026" s="875"/>
      <c r="U1026" s="634"/>
      <c r="V1026" s="634"/>
      <c r="W1026" s="637"/>
      <c r="X1026" s="638"/>
      <c r="Y1026" s="637"/>
      <c r="Z1026" s="636"/>
      <c r="AA1026" s="908" t="s">
        <v>1458</v>
      </c>
      <c r="AB1026" s="843" t="s">
        <v>263</v>
      </c>
      <c r="AC1026" s="652"/>
      <c r="AD1026" s="844" t="s">
        <v>113</v>
      </c>
      <c r="AE1026" s="877">
        <f t="shared" si="23"/>
        <v>6</v>
      </c>
    </row>
    <row r="1027" spans="1:31" ht="42" hidden="1" customHeight="1" x14ac:dyDescent="0.25">
      <c r="A1027" s="671" t="s">
        <v>5574</v>
      </c>
      <c r="B1027" s="898" t="s">
        <v>1576</v>
      </c>
      <c r="C1027" s="898" t="s">
        <v>1576</v>
      </c>
      <c r="D1027" s="847" t="s">
        <v>5816</v>
      </c>
      <c r="E1027" s="847" t="s">
        <v>2027</v>
      </c>
      <c r="F1027" s="846" t="s">
        <v>1587</v>
      </c>
      <c r="G1027" s="847" t="str">
        <f>IFERROR(VLOOKUP(F1027,'[1]код океи'!$B$2:$C$448,2,1)," ")</f>
        <v>Комплект</v>
      </c>
      <c r="H1027" s="858">
        <v>500</v>
      </c>
      <c r="I1027" s="604" t="s">
        <v>2161</v>
      </c>
      <c r="J1027" s="907" t="s">
        <v>1454</v>
      </c>
      <c r="K1027" s="862" t="s">
        <v>5704</v>
      </c>
      <c r="L1027" s="868">
        <v>7000000</v>
      </c>
      <c r="M1027" s="634"/>
      <c r="N1027" s="849">
        <v>7000000</v>
      </c>
      <c r="O1027" s="851">
        <v>42887</v>
      </c>
      <c r="P1027" s="851">
        <v>43070</v>
      </c>
      <c r="Q1027" s="634" t="s">
        <v>108</v>
      </c>
      <c r="R1027" s="634" t="s">
        <v>112</v>
      </c>
      <c r="S1027" s="634" t="s">
        <v>1457</v>
      </c>
      <c r="T1027" s="875"/>
      <c r="U1027" s="634"/>
      <c r="V1027" s="634"/>
      <c r="W1027" s="637"/>
      <c r="X1027" s="638"/>
      <c r="Y1027" s="637"/>
      <c r="Z1027" s="636"/>
      <c r="AA1027" s="908" t="s">
        <v>1458</v>
      </c>
      <c r="AB1027" s="843" t="s">
        <v>263</v>
      </c>
      <c r="AC1027" s="652"/>
      <c r="AD1027" s="844" t="s">
        <v>113</v>
      </c>
      <c r="AE1027" s="877">
        <f t="shared" si="23"/>
        <v>6</v>
      </c>
    </row>
    <row r="1028" spans="1:31" ht="30" hidden="1" customHeight="1" x14ac:dyDescent="0.25">
      <c r="A1028" s="671" t="s">
        <v>5575</v>
      </c>
      <c r="B1028" s="898" t="s">
        <v>1793</v>
      </c>
      <c r="C1028" s="898" t="s">
        <v>2096</v>
      </c>
      <c r="D1028" s="847" t="s">
        <v>5815</v>
      </c>
      <c r="E1028" s="847" t="s">
        <v>1485</v>
      </c>
      <c r="F1028" s="846" t="s">
        <v>1528</v>
      </c>
      <c r="G1028" s="847" t="s">
        <v>2156</v>
      </c>
      <c r="H1028" s="858">
        <v>1</v>
      </c>
      <c r="I1028" s="604" t="s">
        <v>2161</v>
      </c>
      <c r="J1028" s="907" t="s">
        <v>1454</v>
      </c>
      <c r="K1028" s="862" t="s">
        <v>5976</v>
      </c>
      <c r="L1028" s="868">
        <v>9690000</v>
      </c>
      <c r="M1028" s="634" t="s">
        <v>997</v>
      </c>
      <c r="N1028" s="849">
        <v>9690000</v>
      </c>
      <c r="O1028" s="851">
        <v>42856.5</v>
      </c>
      <c r="P1028" s="851">
        <v>43100.5</v>
      </c>
      <c r="Q1028" s="634" t="s">
        <v>110</v>
      </c>
      <c r="R1028" s="634" t="s">
        <v>113</v>
      </c>
      <c r="S1028" s="634" t="s">
        <v>1455</v>
      </c>
      <c r="T1028" s="875"/>
      <c r="U1028" s="634"/>
      <c r="V1028" s="634"/>
      <c r="W1028" s="637" t="s">
        <v>266</v>
      </c>
      <c r="X1028" s="638" t="s">
        <v>5974</v>
      </c>
      <c r="Y1028" s="637" t="s">
        <v>5975</v>
      </c>
      <c r="Z1028" s="636">
        <v>9690000</v>
      </c>
      <c r="AA1028" s="908" t="s">
        <v>1458</v>
      </c>
      <c r="AB1028" s="843" t="s">
        <v>263</v>
      </c>
      <c r="AC1028" s="652"/>
      <c r="AD1028" s="844" t="s">
        <v>113</v>
      </c>
      <c r="AE1028" s="877">
        <f t="shared" si="23"/>
        <v>5</v>
      </c>
    </row>
    <row r="1029" spans="1:31" ht="34.5" hidden="1" customHeight="1" x14ac:dyDescent="0.25">
      <c r="A1029" s="671" t="s">
        <v>5576</v>
      </c>
      <c r="B1029" s="898" t="s">
        <v>4965</v>
      </c>
      <c r="C1029" s="898" t="s">
        <v>4966</v>
      </c>
      <c r="D1029" s="847" t="s">
        <v>5688</v>
      </c>
      <c r="E1029" s="847" t="s">
        <v>1485</v>
      </c>
      <c r="F1029" s="846" t="s">
        <v>1528</v>
      </c>
      <c r="G1029" s="847" t="str">
        <f>IFERROR(VLOOKUP(F1029,'[1]код океи'!$B$2:$C$448,2,1)," ")</f>
        <v>Штука</v>
      </c>
      <c r="H1029" s="858">
        <v>50</v>
      </c>
      <c r="I1029" s="604" t="s">
        <v>2161</v>
      </c>
      <c r="J1029" s="907" t="s">
        <v>1454</v>
      </c>
      <c r="K1029" s="862" t="s">
        <v>5705</v>
      </c>
      <c r="L1029" s="868">
        <v>1528200</v>
      </c>
      <c r="M1029" s="634"/>
      <c r="N1029" s="849">
        <v>1528200</v>
      </c>
      <c r="O1029" s="851">
        <v>42856.5</v>
      </c>
      <c r="P1029" s="851">
        <v>43100.5</v>
      </c>
      <c r="Q1029" s="634" t="s">
        <v>110</v>
      </c>
      <c r="R1029" s="634" t="s">
        <v>113</v>
      </c>
      <c r="S1029" s="634" t="s">
        <v>1455</v>
      </c>
      <c r="T1029" s="875"/>
      <c r="U1029" s="634"/>
      <c r="V1029" s="634"/>
      <c r="W1029" s="637"/>
      <c r="X1029" s="638"/>
      <c r="Y1029" s="637"/>
      <c r="Z1029" s="636"/>
      <c r="AA1029" s="908" t="s">
        <v>1458</v>
      </c>
      <c r="AB1029" s="843" t="s">
        <v>263</v>
      </c>
      <c r="AC1029" s="652"/>
      <c r="AD1029" s="844" t="s">
        <v>113</v>
      </c>
      <c r="AE1029" s="877">
        <f t="shared" si="23"/>
        <v>5</v>
      </c>
    </row>
    <row r="1030" spans="1:31" ht="39" hidden="1" customHeight="1" x14ac:dyDescent="0.25">
      <c r="A1030" s="671" t="s">
        <v>5577</v>
      </c>
      <c r="B1030" s="898" t="s">
        <v>2017</v>
      </c>
      <c r="C1030" s="898" t="s">
        <v>2020</v>
      </c>
      <c r="D1030" s="847" t="s">
        <v>5687</v>
      </c>
      <c r="E1030" s="847" t="s">
        <v>5514</v>
      </c>
      <c r="F1030" s="846" t="s">
        <v>1528</v>
      </c>
      <c r="G1030" s="847" t="str">
        <f>IFERROR(VLOOKUP(F1030,'[1]код океи'!$B$2:$C$448,2,1)," ")</f>
        <v>Штука</v>
      </c>
      <c r="H1030" s="858">
        <v>1</v>
      </c>
      <c r="I1030" s="604" t="s">
        <v>2161</v>
      </c>
      <c r="J1030" s="907" t="s">
        <v>1454</v>
      </c>
      <c r="K1030" s="859" t="s">
        <v>8304</v>
      </c>
      <c r="L1030" s="850">
        <v>1453750</v>
      </c>
      <c r="M1030" s="634"/>
      <c r="N1030" s="860">
        <v>1453750</v>
      </c>
      <c r="O1030" s="851">
        <v>42887</v>
      </c>
      <c r="P1030" s="851">
        <v>42979</v>
      </c>
      <c r="Q1030" s="634" t="s">
        <v>108</v>
      </c>
      <c r="R1030" s="634" t="s">
        <v>112</v>
      </c>
      <c r="S1030" s="634" t="s">
        <v>1457</v>
      </c>
      <c r="T1030" s="875"/>
      <c r="U1030" s="634"/>
      <c r="V1030" s="634"/>
      <c r="W1030" s="637"/>
      <c r="X1030" s="638"/>
      <c r="Y1030" s="637"/>
      <c r="Z1030" s="636"/>
      <c r="AA1030" s="908" t="s">
        <v>1458</v>
      </c>
      <c r="AB1030" s="843" t="s">
        <v>263</v>
      </c>
      <c r="AC1030" s="652"/>
      <c r="AD1030" s="844" t="s">
        <v>113</v>
      </c>
      <c r="AE1030" s="877">
        <f t="shared" si="23"/>
        <v>6</v>
      </c>
    </row>
    <row r="1031" spans="1:31" ht="41.25" hidden="1" customHeight="1" x14ac:dyDescent="0.25">
      <c r="A1031" s="671" t="s">
        <v>5578</v>
      </c>
      <c r="B1031" s="898" t="s">
        <v>1576</v>
      </c>
      <c r="C1031" s="898" t="s">
        <v>1545</v>
      </c>
      <c r="D1031" s="847" t="s">
        <v>5814</v>
      </c>
      <c r="E1031" s="847" t="s">
        <v>5515</v>
      </c>
      <c r="F1031" s="846" t="s">
        <v>1528</v>
      </c>
      <c r="G1031" s="847" t="str">
        <f>IFERROR(VLOOKUP(F1031,'[1]код океи'!$B$2:$C$448,2,1)," ")</f>
        <v>Штука</v>
      </c>
      <c r="H1031" s="858">
        <v>62</v>
      </c>
      <c r="I1031" s="604" t="s">
        <v>2161</v>
      </c>
      <c r="J1031" s="907" t="s">
        <v>1454</v>
      </c>
      <c r="K1031" s="849" t="s">
        <v>5706</v>
      </c>
      <c r="L1031" s="868">
        <v>528880</v>
      </c>
      <c r="M1031" s="634"/>
      <c r="N1031" s="849">
        <v>528880</v>
      </c>
      <c r="O1031" s="851">
        <v>42856.5</v>
      </c>
      <c r="P1031" s="851">
        <v>42887</v>
      </c>
      <c r="Q1031" s="634" t="s">
        <v>110</v>
      </c>
      <c r="R1031" s="634" t="s">
        <v>113</v>
      </c>
      <c r="S1031" s="634" t="s">
        <v>1455</v>
      </c>
      <c r="T1031" s="875"/>
      <c r="U1031" s="634"/>
      <c r="V1031" s="634"/>
      <c r="W1031" s="637"/>
      <c r="X1031" s="638"/>
      <c r="Y1031" s="637"/>
      <c r="Z1031" s="636"/>
      <c r="AA1031" s="908" t="s">
        <v>1458</v>
      </c>
      <c r="AB1031" s="843" t="s">
        <v>263</v>
      </c>
      <c r="AC1031" s="652"/>
      <c r="AD1031" s="844" t="s">
        <v>113</v>
      </c>
      <c r="AE1031" s="877">
        <f t="shared" si="23"/>
        <v>5</v>
      </c>
    </row>
    <row r="1032" spans="1:31" ht="47.25" hidden="1" customHeight="1" x14ac:dyDescent="0.25">
      <c r="A1032" s="671" t="s">
        <v>5579</v>
      </c>
      <c r="B1032" s="898" t="s">
        <v>1580</v>
      </c>
      <c r="C1032" s="898" t="s">
        <v>1581</v>
      </c>
      <c r="D1032" s="847" t="s">
        <v>5686</v>
      </c>
      <c r="E1032" s="847" t="s">
        <v>5516</v>
      </c>
      <c r="F1032" s="846" t="s">
        <v>1528</v>
      </c>
      <c r="G1032" s="847" t="str">
        <f>IFERROR(VLOOKUP(F1032,'[1]код океи'!$B$2:$C$448,2,1)," ")</f>
        <v>Штука</v>
      </c>
      <c r="H1032" s="858">
        <v>1</v>
      </c>
      <c r="I1032" s="604" t="s">
        <v>2161</v>
      </c>
      <c r="J1032" s="907" t="s">
        <v>1454</v>
      </c>
      <c r="K1032" s="862" t="s">
        <v>5707</v>
      </c>
      <c r="L1032" s="868">
        <v>33000000</v>
      </c>
      <c r="M1032" s="634"/>
      <c r="N1032" s="849">
        <v>33000000</v>
      </c>
      <c r="O1032" s="851">
        <v>42887</v>
      </c>
      <c r="P1032" s="851">
        <v>43100.5</v>
      </c>
      <c r="Q1032" s="634" t="s">
        <v>100</v>
      </c>
      <c r="R1032" s="634" t="s">
        <v>112</v>
      </c>
      <c r="S1032" s="634" t="s">
        <v>1457</v>
      </c>
      <c r="T1032" s="875"/>
      <c r="U1032" s="634"/>
      <c r="V1032" s="634"/>
      <c r="W1032" s="637"/>
      <c r="X1032" s="638"/>
      <c r="Y1032" s="637"/>
      <c r="Z1032" s="636"/>
      <c r="AA1032" s="908" t="s">
        <v>1458</v>
      </c>
      <c r="AB1032" s="843" t="s">
        <v>263</v>
      </c>
      <c r="AC1032" s="652"/>
      <c r="AD1032" s="844" t="s">
        <v>113</v>
      </c>
      <c r="AE1032" s="877">
        <f t="shared" si="23"/>
        <v>6</v>
      </c>
    </row>
    <row r="1033" spans="1:31" ht="49.5" hidden="1" customHeight="1" x14ac:dyDescent="0.25">
      <c r="A1033" s="671" t="s">
        <v>5580</v>
      </c>
      <c r="B1033" s="898" t="s">
        <v>1580</v>
      </c>
      <c r="C1033" s="898" t="s">
        <v>1581</v>
      </c>
      <c r="D1033" s="847" t="s">
        <v>5685</v>
      </c>
      <c r="E1033" s="847" t="s">
        <v>2223</v>
      </c>
      <c r="F1033" s="846" t="s">
        <v>1528</v>
      </c>
      <c r="G1033" s="847" t="str">
        <f>IFERROR(VLOOKUP(F1033,'[1]код океи'!$B$2:$C$448,2,1)," ")</f>
        <v>Штука</v>
      </c>
      <c r="H1033" s="858">
        <v>1</v>
      </c>
      <c r="I1033" s="604" t="s">
        <v>2161</v>
      </c>
      <c r="J1033" s="907" t="s">
        <v>1454</v>
      </c>
      <c r="K1033" s="862" t="s">
        <v>5708</v>
      </c>
      <c r="L1033" s="868">
        <v>40500000</v>
      </c>
      <c r="M1033" s="634"/>
      <c r="N1033" s="849">
        <v>40500000</v>
      </c>
      <c r="O1033" s="851">
        <v>42887</v>
      </c>
      <c r="P1033" s="851">
        <v>43100.5</v>
      </c>
      <c r="Q1033" s="634" t="s">
        <v>100</v>
      </c>
      <c r="R1033" s="634" t="s">
        <v>112</v>
      </c>
      <c r="S1033" s="634" t="s">
        <v>1457</v>
      </c>
      <c r="T1033" s="875"/>
      <c r="U1033" s="634"/>
      <c r="V1033" s="634"/>
      <c r="W1033" s="637"/>
      <c r="X1033" s="638"/>
      <c r="Y1033" s="637"/>
      <c r="Z1033" s="636"/>
      <c r="AA1033" s="908" t="s">
        <v>1458</v>
      </c>
      <c r="AB1033" s="843" t="s">
        <v>263</v>
      </c>
      <c r="AC1033" s="652"/>
      <c r="AD1033" s="844" t="s">
        <v>113</v>
      </c>
      <c r="AE1033" s="877">
        <f t="shared" si="23"/>
        <v>6</v>
      </c>
    </row>
    <row r="1034" spans="1:31" ht="48.75" hidden="1" customHeight="1" x14ac:dyDescent="0.25">
      <c r="A1034" s="671" t="s">
        <v>5581</v>
      </c>
      <c r="B1034" s="898" t="s">
        <v>1580</v>
      </c>
      <c r="C1034" s="898" t="s">
        <v>1581</v>
      </c>
      <c r="D1034" s="847" t="s">
        <v>5684</v>
      </c>
      <c r="E1034" s="847" t="s">
        <v>2223</v>
      </c>
      <c r="F1034" s="846" t="s">
        <v>1528</v>
      </c>
      <c r="G1034" s="847" t="str">
        <f>IFERROR(VLOOKUP(F1034,'[1]код океи'!$B$2:$C$448,2,1)," ")</f>
        <v>Штука</v>
      </c>
      <c r="H1034" s="858">
        <v>1</v>
      </c>
      <c r="I1034" s="604" t="s">
        <v>2161</v>
      </c>
      <c r="J1034" s="907" t="s">
        <v>1454</v>
      </c>
      <c r="K1034" s="862" t="s">
        <v>5709</v>
      </c>
      <c r="L1034" s="868">
        <v>46700000</v>
      </c>
      <c r="M1034" s="634"/>
      <c r="N1034" s="849">
        <v>46700000</v>
      </c>
      <c r="O1034" s="851">
        <v>42887</v>
      </c>
      <c r="P1034" s="851">
        <v>43100.5</v>
      </c>
      <c r="Q1034" s="634" t="s">
        <v>100</v>
      </c>
      <c r="R1034" s="634" t="s">
        <v>112</v>
      </c>
      <c r="S1034" s="634" t="s">
        <v>1457</v>
      </c>
      <c r="T1034" s="875"/>
      <c r="U1034" s="634"/>
      <c r="V1034" s="634"/>
      <c r="W1034" s="637"/>
      <c r="X1034" s="638"/>
      <c r="Y1034" s="637"/>
      <c r="Z1034" s="636"/>
      <c r="AA1034" s="908" t="s">
        <v>1458</v>
      </c>
      <c r="AB1034" s="843" t="s">
        <v>263</v>
      </c>
      <c r="AC1034" s="652"/>
      <c r="AD1034" s="844" t="s">
        <v>113</v>
      </c>
      <c r="AE1034" s="877">
        <f t="shared" si="23"/>
        <v>6</v>
      </c>
    </row>
    <row r="1035" spans="1:31" ht="33" hidden="1" customHeight="1" x14ac:dyDescent="0.25">
      <c r="A1035" s="671" t="s">
        <v>5582</v>
      </c>
      <c r="B1035" s="898" t="s">
        <v>1580</v>
      </c>
      <c r="C1035" s="898" t="s">
        <v>1581</v>
      </c>
      <c r="D1035" s="847" t="s">
        <v>5683</v>
      </c>
      <c r="E1035" s="847" t="s">
        <v>2223</v>
      </c>
      <c r="F1035" s="846" t="s">
        <v>1528</v>
      </c>
      <c r="G1035" s="847" t="str">
        <f>IFERROR(VLOOKUP(F1035,'[1]код океи'!$B$2:$C$448,2,1)," ")</f>
        <v>Штука</v>
      </c>
      <c r="H1035" s="858">
        <v>1</v>
      </c>
      <c r="I1035" s="604" t="s">
        <v>2161</v>
      </c>
      <c r="J1035" s="907" t="s">
        <v>1454</v>
      </c>
      <c r="K1035" s="862" t="s">
        <v>5710</v>
      </c>
      <c r="L1035" s="868">
        <v>47500000</v>
      </c>
      <c r="M1035" s="634"/>
      <c r="N1035" s="849">
        <v>47500000</v>
      </c>
      <c r="O1035" s="851">
        <v>42887</v>
      </c>
      <c r="P1035" s="851">
        <v>43100.5</v>
      </c>
      <c r="Q1035" s="634" t="s">
        <v>100</v>
      </c>
      <c r="R1035" s="634" t="s">
        <v>112</v>
      </c>
      <c r="S1035" s="634" t="s">
        <v>1457</v>
      </c>
      <c r="T1035" s="875"/>
      <c r="U1035" s="634"/>
      <c r="V1035" s="634"/>
      <c r="W1035" s="637"/>
      <c r="X1035" s="638"/>
      <c r="Y1035" s="637"/>
      <c r="Z1035" s="636"/>
      <c r="AA1035" s="908" t="s">
        <v>1458</v>
      </c>
      <c r="AB1035" s="843" t="s">
        <v>263</v>
      </c>
      <c r="AC1035" s="652"/>
      <c r="AD1035" s="844" t="s">
        <v>113</v>
      </c>
      <c r="AE1035" s="877">
        <f t="shared" si="23"/>
        <v>6</v>
      </c>
    </row>
    <row r="1036" spans="1:31" ht="41.25" hidden="1" customHeight="1" x14ac:dyDescent="0.25">
      <c r="A1036" s="671" t="s">
        <v>5583</v>
      </c>
      <c r="B1036" s="898" t="s">
        <v>1580</v>
      </c>
      <c r="C1036" s="898" t="s">
        <v>1581</v>
      </c>
      <c r="D1036" s="847" t="s">
        <v>5682</v>
      </c>
      <c r="E1036" s="847" t="s">
        <v>2223</v>
      </c>
      <c r="F1036" s="846" t="s">
        <v>1528</v>
      </c>
      <c r="G1036" s="847" t="str">
        <f>IFERROR(VLOOKUP(F1036,'[1]код океи'!$B$2:$C$448,2,1)," ")</f>
        <v>Штука</v>
      </c>
      <c r="H1036" s="858">
        <v>1</v>
      </c>
      <c r="I1036" s="604" t="s">
        <v>2161</v>
      </c>
      <c r="J1036" s="907" t="s">
        <v>1454</v>
      </c>
      <c r="K1036" s="862" t="s">
        <v>5711</v>
      </c>
      <c r="L1036" s="868">
        <v>37800000</v>
      </c>
      <c r="M1036" s="634"/>
      <c r="N1036" s="849">
        <v>37800000</v>
      </c>
      <c r="O1036" s="851">
        <v>42887</v>
      </c>
      <c r="P1036" s="851">
        <v>43100.5</v>
      </c>
      <c r="Q1036" s="634" t="s">
        <v>100</v>
      </c>
      <c r="R1036" s="634" t="s">
        <v>112</v>
      </c>
      <c r="S1036" s="634" t="s">
        <v>1457</v>
      </c>
      <c r="T1036" s="875"/>
      <c r="U1036" s="634"/>
      <c r="V1036" s="634"/>
      <c r="W1036" s="637"/>
      <c r="X1036" s="638"/>
      <c r="Y1036" s="637"/>
      <c r="Z1036" s="636"/>
      <c r="AA1036" s="908" t="s">
        <v>1458</v>
      </c>
      <c r="AB1036" s="843" t="s">
        <v>263</v>
      </c>
      <c r="AC1036" s="652"/>
      <c r="AD1036" s="844" t="s">
        <v>113</v>
      </c>
      <c r="AE1036" s="877">
        <f t="shared" si="23"/>
        <v>6</v>
      </c>
    </row>
    <row r="1037" spans="1:31" ht="33.75" hidden="1" customHeight="1" x14ac:dyDescent="0.25">
      <c r="A1037" s="671" t="s">
        <v>5584</v>
      </c>
      <c r="B1037" s="898" t="s">
        <v>1580</v>
      </c>
      <c r="C1037" s="898" t="s">
        <v>1581</v>
      </c>
      <c r="D1037" s="847" t="s">
        <v>5681</v>
      </c>
      <c r="E1037" s="847" t="s">
        <v>2223</v>
      </c>
      <c r="F1037" s="846" t="s">
        <v>1528</v>
      </c>
      <c r="G1037" s="847" t="str">
        <f>IFERROR(VLOOKUP(F1037,'[1]код океи'!$B$2:$C$448,2,1)," ")</f>
        <v>Штука</v>
      </c>
      <c r="H1037" s="858">
        <v>1</v>
      </c>
      <c r="I1037" s="604" t="s">
        <v>2161</v>
      </c>
      <c r="J1037" s="907" t="s">
        <v>1454</v>
      </c>
      <c r="K1037" s="862" t="s">
        <v>5712</v>
      </c>
      <c r="L1037" s="868">
        <v>37200000</v>
      </c>
      <c r="M1037" s="634"/>
      <c r="N1037" s="849">
        <v>37200000</v>
      </c>
      <c r="O1037" s="851">
        <v>42887</v>
      </c>
      <c r="P1037" s="851">
        <v>43100.5</v>
      </c>
      <c r="Q1037" s="634" t="s">
        <v>100</v>
      </c>
      <c r="R1037" s="634" t="s">
        <v>112</v>
      </c>
      <c r="S1037" s="634" t="s">
        <v>1457</v>
      </c>
      <c r="T1037" s="875"/>
      <c r="U1037" s="634"/>
      <c r="V1037" s="634"/>
      <c r="W1037" s="637"/>
      <c r="X1037" s="638"/>
      <c r="Y1037" s="637"/>
      <c r="Z1037" s="636"/>
      <c r="AA1037" s="908" t="s">
        <v>1458</v>
      </c>
      <c r="AB1037" s="843" t="s">
        <v>263</v>
      </c>
      <c r="AC1037" s="652"/>
      <c r="AD1037" s="844" t="s">
        <v>113</v>
      </c>
      <c r="AE1037" s="877">
        <f t="shared" si="23"/>
        <v>6</v>
      </c>
    </row>
    <row r="1038" spans="1:31" ht="31.5" hidden="1" customHeight="1" x14ac:dyDescent="0.25">
      <c r="A1038" s="671" t="s">
        <v>5585</v>
      </c>
      <c r="B1038" s="898" t="s">
        <v>1580</v>
      </c>
      <c r="C1038" s="898" t="s">
        <v>1581</v>
      </c>
      <c r="D1038" s="847" t="s">
        <v>5680</v>
      </c>
      <c r="E1038" s="847" t="s">
        <v>2223</v>
      </c>
      <c r="F1038" s="846" t="s">
        <v>1528</v>
      </c>
      <c r="G1038" s="847" t="str">
        <f>IFERROR(VLOOKUP(F1038,'[1]код океи'!$B$2:$C$448,2,1)," ")</f>
        <v>Штука</v>
      </c>
      <c r="H1038" s="858">
        <v>1</v>
      </c>
      <c r="I1038" s="604" t="s">
        <v>2161</v>
      </c>
      <c r="J1038" s="907" t="s">
        <v>1454</v>
      </c>
      <c r="K1038" s="862" t="s">
        <v>5713</v>
      </c>
      <c r="L1038" s="868">
        <v>49500000</v>
      </c>
      <c r="M1038" s="634"/>
      <c r="N1038" s="849">
        <v>49500000</v>
      </c>
      <c r="O1038" s="851">
        <v>42887</v>
      </c>
      <c r="P1038" s="851">
        <v>43100.5</v>
      </c>
      <c r="Q1038" s="634" t="s">
        <v>100</v>
      </c>
      <c r="R1038" s="634" t="s">
        <v>112</v>
      </c>
      <c r="S1038" s="634" t="s">
        <v>1457</v>
      </c>
      <c r="T1038" s="875"/>
      <c r="U1038" s="634"/>
      <c r="V1038" s="634"/>
      <c r="W1038" s="637"/>
      <c r="X1038" s="638"/>
      <c r="Y1038" s="637"/>
      <c r="Z1038" s="636"/>
      <c r="AA1038" s="908" t="s">
        <v>1458</v>
      </c>
      <c r="AB1038" s="843" t="s">
        <v>263</v>
      </c>
      <c r="AC1038" s="652"/>
      <c r="AD1038" s="844" t="s">
        <v>113</v>
      </c>
      <c r="AE1038" s="877">
        <f t="shared" si="23"/>
        <v>6</v>
      </c>
    </row>
    <row r="1039" spans="1:31" ht="31.5" hidden="1" customHeight="1" x14ac:dyDescent="0.25">
      <c r="A1039" s="671" t="s">
        <v>5586</v>
      </c>
      <c r="B1039" s="898" t="s">
        <v>1580</v>
      </c>
      <c r="C1039" s="898" t="s">
        <v>1581</v>
      </c>
      <c r="D1039" s="847" t="s">
        <v>5679</v>
      </c>
      <c r="E1039" s="847" t="s">
        <v>2223</v>
      </c>
      <c r="F1039" s="846" t="s">
        <v>1528</v>
      </c>
      <c r="G1039" s="847" t="str">
        <f>IFERROR(VLOOKUP(F1039,'[1]код океи'!$B$2:$C$448,2,1)," ")</f>
        <v>Штука</v>
      </c>
      <c r="H1039" s="858">
        <v>1</v>
      </c>
      <c r="I1039" s="604" t="s">
        <v>2161</v>
      </c>
      <c r="J1039" s="907" t="s">
        <v>1454</v>
      </c>
      <c r="K1039" s="862" t="s">
        <v>5714</v>
      </c>
      <c r="L1039" s="868">
        <v>49000000</v>
      </c>
      <c r="M1039" s="634"/>
      <c r="N1039" s="849">
        <v>49000000</v>
      </c>
      <c r="O1039" s="851">
        <v>42887</v>
      </c>
      <c r="P1039" s="851">
        <v>43100.5</v>
      </c>
      <c r="Q1039" s="634" t="s">
        <v>100</v>
      </c>
      <c r="R1039" s="634" t="s">
        <v>112</v>
      </c>
      <c r="S1039" s="634" t="s">
        <v>1457</v>
      </c>
      <c r="T1039" s="875"/>
      <c r="U1039" s="634"/>
      <c r="V1039" s="634"/>
      <c r="W1039" s="637"/>
      <c r="X1039" s="638"/>
      <c r="Y1039" s="637"/>
      <c r="Z1039" s="636"/>
      <c r="AA1039" s="908" t="s">
        <v>1458</v>
      </c>
      <c r="AB1039" s="843" t="s">
        <v>263</v>
      </c>
      <c r="AC1039" s="652"/>
      <c r="AD1039" s="844" t="s">
        <v>113</v>
      </c>
      <c r="AE1039" s="877">
        <f t="shared" si="23"/>
        <v>6</v>
      </c>
    </row>
    <row r="1040" spans="1:31" ht="30.75" hidden="1" customHeight="1" x14ac:dyDescent="0.25">
      <c r="A1040" s="671" t="s">
        <v>5587</v>
      </c>
      <c r="B1040" s="898" t="s">
        <v>5517</v>
      </c>
      <c r="C1040" s="898" t="s">
        <v>5518</v>
      </c>
      <c r="D1040" s="878" t="s">
        <v>5678</v>
      </c>
      <c r="E1040" s="847" t="s">
        <v>5519</v>
      </c>
      <c r="F1040" s="846" t="s">
        <v>1528</v>
      </c>
      <c r="G1040" s="847" t="str">
        <f>IFERROR(VLOOKUP(F1040,'[1]код океи'!$B$2:$C$448,2,1)," ")</f>
        <v>Штука</v>
      </c>
      <c r="H1040" s="858">
        <v>4</v>
      </c>
      <c r="I1040" s="604" t="s">
        <v>2161</v>
      </c>
      <c r="J1040" s="907" t="s">
        <v>1454</v>
      </c>
      <c r="K1040" s="862" t="s">
        <v>5715</v>
      </c>
      <c r="L1040" s="868">
        <v>1340000</v>
      </c>
      <c r="M1040" s="634"/>
      <c r="N1040" s="849">
        <v>1340000</v>
      </c>
      <c r="O1040" s="851">
        <v>42887</v>
      </c>
      <c r="P1040" s="851">
        <v>42887</v>
      </c>
      <c r="Q1040" s="634" t="s">
        <v>108</v>
      </c>
      <c r="R1040" s="634" t="s">
        <v>112</v>
      </c>
      <c r="S1040" s="634" t="s">
        <v>1457</v>
      </c>
      <c r="T1040" s="875"/>
      <c r="U1040" s="634"/>
      <c r="V1040" s="634"/>
      <c r="W1040" s="637"/>
      <c r="X1040" s="638"/>
      <c r="Y1040" s="637"/>
      <c r="Z1040" s="636"/>
      <c r="AA1040" s="908" t="s">
        <v>1458</v>
      </c>
      <c r="AB1040" s="843" t="s">
        <v>263</v>
      </c>
      <c r="AC1040" s="652"/>
      <c r="AD1040" s="844" t="s">
        <v>113</v>
      </c>
      <c r="AE1040" s="877">
        <f t="shared" si="23"/>
        <v>6</v>
      </c>
    </row>
    <row r="1041" spans="1:31" ht="34.5" hidden="1" customHeight="1" x14ac:dyDescent="0.25">
      <c r="A1041" s="671" t="s">
        <v>5588</v>
      </c>
      <c r="B1041" s="898" t="s">
        <v>5520</v>
      </c>
      <c r="C1041" s="898" t="s">
        <v>5521</v>
      </c>
      <c r="D1041" s="878" t="s">
        <v>5813</v>
      </c>
      <c r="E1041" s="847" t="s">
        <v>5522</v>
      </c>
      <c r="F1041" s="846" t="s">
        <v>1645</v>
      </c>
      <c r="G1041" s="847" t="s">
        <v>2259</v>
      </c>
      <c r="H1041" s="858">
        <v>728</v>
      </c>
      <c r="I1041" s="604" t="s">
        <v>2161</v>
      </c>
      <c r="J1041" s="907" t="s">
        <v>1454</v>
      </c>
      <c r="K1041" s="862" t="s">
        <v>5716</v>
      </c>
      <c r="L1041" s="868">
        <v>5212654.72</v>
      </c>
      <c r="M1041" s="634"/>
      <c r="N1041" s="849">
        <v>5212654.72</v>
      </c>
      <c r="O1041" s="851">
        <v>42887</v>
      </c>
      <c r="P1041" s="851">
        <v>42887</v>
      </c>
      <c r="Q1041" s="634" t="s">
        <v>110</v>
      </c>
      <c r="R1041" s="634" t="s">
        <v>113</v>
      </c>
      <c r="S1041" s="634" t="s">
        <v>1455</v>
      </c>
      <c r="T1041" s="875"/>
      <c r="U1041" s="634"/>
      <c r="V1041" s="634"/>
      <c r="W1041" s="637"/>
      <c r="X1041" s="638"/>
      <c r="Y1041" s="637"/>
      <c r="Z1041" s="636"/>
      <c r="AA1041" s="908" t="s">
        <v>1458</v>
      </c>
      <c r="AB1041" s="843" t="s">
        <v>263</v>
      </c>
      <c r="AC1041" s="652"/>
      <c r="AD1041" s="844" t="s">
        <v>113</v>
      </c>
      <c r="AE1041" s="877">
        <f t="shared" si="23"/>
        <v>6</v>
      </c>
    </row>
    <row r="1042" spans="1:31" ht="54.75" hidden="1" customHeight="1" x14ac:dyDescent="0.25">
      <c r="A1042" s="671" t="s">
        <v>5589</v>
      </c>
      <c r="B1042" s="898" t="s">
        <v>1531</v>
      </c>
      <c r="C1042" s="898" t="s">
        <v>1748</v>
      </c>
      <c r="D1042" s="847" t="s">
        <v>5812</v>
      </c>
      <c r="E1042" s="847" t="s">
        <v>5523</v>
      </c>
      <c r="F1042" s="846" t="s">
        <v>1528</v>
      </c>
      <c r="G1042" s="847" t="str">
        <f>IFERROR(VLOOKUP(F1042,'[1]код океи'!$B$2:$C$448,2,1)," ")</f>
        <v>Штука</v>
      </c>
      <c r="H1042" s="858">
        <v>1</v>
      </c>
      <c r="I1042" s="604" t="s">
        <v>2161</v>
      </c>
      <c r="J1042" s="907" t="s">
        <v>1454</v>
      </c>
      <c r="K1042" s="862" t="s">
        <v>5717</v>
      </c>
      <c r="L1042" s="868">
        <v>2502000</v>
      </c>
      <c r="M1042" s="634"/>
      <c r="N1042" s="849">
        <v>2502000</v>
      </c>
      <c r="O1042" s="851">
        <v>42887</v>
      </c>
      <c r="P1042" s="851">
        <v>43100.5</v>
      </c>
      <c r="Q1042" s="634" t="s">
        <v>108</v>
      </c>
      <c r="R1042" s="634" t="s">
        <v>112</v>
      </c>
      <c r="S1042" s="634" t="s">
        <v>1457</v>
      </c>
      <c r="T1042" s="875"/>
      <c r="U1042" s="634"/>
      <c r="V1042" s="634"/>
      <c r="W1042" s="637"/>
      <c r="X1042" s="638"/>
      <c r="Y1042" s="637"/>
      <c r="Z1042" s="636"/>
      <c r="AA1042" s="908" t="s">
        <v>1458</v>
      </c>
      <c r="AB1042" s="843" t="s">
        <v>263</v>
      </c>
      <c r="AC1042" s="652"/>
      <c r="AD1042" s="844" t="s">
        <v>113</v>
      </c>
      <c r="AE1042" s="877">
        <f t="shared" si="23"/>
        <v>6</v>
      </c>
    </row>
    <row r="1043" spans="1:31" ht="31.5" hidden="1" customHeight="1" x14ac:dyDescent="0.25">
      <c r="A1043" s="671" t="s">
        <v>5590</v>
      </c>
      <c r="B1043" s="898" t="s">
        <v>1540</v>
      </c>
      <c r="C1043" s="898" t="s">
        <v>1545</v>
      </c>
      <c r="D1043" s="847" t="s">
        <v>5811</v>
      </c>
      <c r="E1043" s="847" t="s">
        <v>5524</v>
      </c>
      <c r="F1043" s="846" t="s">
        <v>1528</v>
      </c>
      <c r="G1043" s="847" t="str">
        <f>IFERROR(VLOOKUP(F1043,'[1]код океи'!$B$2:$C$448,2,1)," ")</f>
        <v>Штука</v>
      </c>
      <c r="H1043" s="858">
        <v>460</v>
      </c>
      <c r="I1043" s="604" t="s">
        <v>2161</v>
      </c>
      <c r="J1043" s="907" t="s">
        <v>1454</v>
      </c>
      <c r="K1043" s="862" t="s">
        <v>5718</v>
      </c>
      <c r="L1043" s="868">
        <v>667644</v>
      </c>
      <c r="M1043" s="634"/>
      <c r="N1043" s="849">
        <v>667644</v>
      </c>
      <c r="O1043" s="851">
        <v>42887</v>
      </c>
      <c r="P1043" s="851">
        <v>43100.5</v>
      </c>
      <c r="Q1043" s="634" t="s">
        <v>110</v>
      </c>
      <c r="R1043" s="634" t="s">
        <v>113</v>
      </c>
      <c r="S1043" s="634" t="s">
        <v>1455</v>
      </c>
      <c r="T1043" s="875"/>
      <c r="U1043" s="634"/>
      <c r="V1043" s="634"/>
      <c r="W1043" s="637" t="s">
        <v>73</v>
      </c>
      <c r="X1043" s="638" t="s">
        <v>5083</v>
      </c>
      <c r="Y1043" s="637" t="s">
        <v>5084</v>
      </c>
      <c r="Z1043" s="636">
        <v>667644</v>
      </c>
      <c r="AA1043" s="908" t="s">
        <v>1458</v>
      </c>
      <c r="AB1043" s="843" t="s">
        <v>263</v>
      </c>
      <c r="AC1043" s="652"/>
      <c r="AD1043" s="844" t="s">
        <v>113</v>
      </c>
      <c r="AE1043" s="877">
        <f t="shared" si="23"/>
        <v>6</v>
      </c>
    </row>
    <row r="1044" spans="1:31" ht="27.75" hidden="1" customHeight="1" x14ac:dyDescent="0.25">
      <c r="A1044" s="671" t="s">
        <v>5591</v>
      </c>
      <c r="B1044" s="898" t="s">
        <v>1941</v>
      </c>
      <c r="C1044" s="898" t="s">
        <v>1941</v>
      </c>
      <c r="D1044" s="847" t="s">
        <v>5810</v>
      </c>
      <c r="E1044" s="847" t="s">
        <v>1948</v>
      </c>
      <c r="F1044" s="846" t="s">
        <v>1587</v>
      </c>
      <c r="G1044" s="847" t="str">
        <f>IFERROR(VLOOKUP(F1044,'[1]код океи'!$B$2:$C$448,2,1)," ")</f>
        <v>Комплект</v>
      </c>
      <c r="H1044" s="858">
        <v>34</v>
      </c>
      <c r="I1044" s="604" t="s">
        <v>2161</v>
      </c>
      <c r="J1044" s="907" t="s">
        <v>1454</v>
      </c>
      <c r="K1044" s="862" t="s">
        <v>5039</v>
      </c>
      <c r="L1044" s="868">
        <v>14110000</v>
      </c>
      <c r="M1044" s="634"/>
      <c r="N1044" s="849">
        <v>14110000</v>
      </c>
      <c r="O1044" s="851">
        <v>42887</v>
      </c>
      <c r="P1044" s="851">
        <v>43009</v>
      </c>
      <c r="Q1044" s="634" t="s">
        <v>110</v>
      </c>
      <c r="R1044" s="634" t="s">
        <v>113</v>
      </c>
      <c r="S1044" s="634" t="s">
        <v>1455</v>
      </c>
      <c r="T1044" s="875"/>
      <c r="U1044" s="634"/>
      <c r="V1044" s="634"/>
      <c r="W1044" s="637"/>
      <c r="X1044" s="638"/>
      <c r="Y1044" s="637"/>
      <c r="Z1044" s="636"/>
      <c r="AA1044" s="908" t="s">
        <v>1458</v>
      </c>
      <c r="AB1044" s="843" t="s">
        <v>263</v>
      </c>
      <c r="AC1044" s="652"/>
      <c r="AD1044" s="844" t="s">
        <v>113</v>
      </c>
      <c r="AE1044" s="877">
        <f t="shared" si="23"/>
        <v>6</v>
      </c>
    </row>
    <row r="1045" spans="1:31" ht="37.5" hidden="1" customHeight="1" x14ac:dyDescent="0.25">
      <c r="A1045" s="671" t="s">
        <v>5592</v>
      </c>
      <c r="B1045" s="898" t="s">
        <v>1941</v>
      </c>
      <c r="C1045" s="898" t="s">
        <v>1941</v>
      </c>
      <c r="D1045" s="847" t="s">
        <v>5809</v>
      </c>
      <c r="E1045" s="847" t="s">
        <v>1948</v>
      </c>
      <c r="F1045" s="846" t="s">
        <v>1587</v>
      </c>
      <c r="G1045" s="847" t="str">
        <f>IFERROR(VLOOKUP(F1045,'[1]код океи'!$B$2:$C$448,2,1)," ")</f>
        <v>Комплект</v>
      </c>
      <c r="H1045" s="858">
        <v>12</v>
      </c>
      <c r="I1045" s="604" t="s">
        <v>2161</v>
      </c>
      <c r="J1045" s="907" t="s">
        <v>1454</v>
      </c>
      <c r="K1045" s="862" t="s">
        <v>5041</v>
      </c>
      <c r="L1045" s="868">
        <v>4500000</v>
      </c>
      <c r="M1045" s="634"/>
      <c r="N1045" s="849">
        <v>4500000</v>
      </c>
      <c r="O1045" s="851">
        <v>42887</v>
      </c>
      <c r="P1045" s="851">
        <v>43009</v>
      </c>
      <c r="Q1045" s="634" t="s">
        <v>110</v>
      </c>
      <c r="R1045" s="634" t="s">
        <v>113</v>
      </c>
      <c r="S1045" s="634" t="s">
        <v>1455</v>
      </c>
      <c r="T1045" s="875"/>
      <c r="U1045" s="634"/>
      <c r="V1045" s="634"/>
      <c r="W1045" s="637" t="s">
        <v>73</v>
      </c>
      <c r="X1045" s="638" t="s">
        <v>2334</v>
      </c>
      <c r="Y1045" s="637" t="s">
        <v>2335</v>
      </c>
      <c r="Z1045" s="636">
        <v>4500000</v>
      </c>
      <c r="AA1045" s="908" t="s">
        <v>1458</v>
      </c>
      <c r="AB1045" s="843" t="s">
        <v>263</v>
      </c>
      <c r="AC1045" s="652"/>
      <c r="AD1045" s="844" t="s">
        <v>113</v>
      </c>
      <c r="AE1045" s="877">
        <f t="shared" si="23"/>
        <v>6</v>
      </c>
    </row>
    <row r="1046" spans="1:31" ht="37.5" hidden="1" customHeight="1" x14ac:dyDescent="0.25">
      <c r="A1046" s="671" t="s">
        <v>5593</v>
      </c>
      <c r="B1046" s="898" t="s">
        <v>1576</v>
      </c>
      <c r="C1046" s="898" t="s">
        <v>1576</v>
      </c>
      <c r="D1046" s="847" t="s">
        <v>5808</v>
      </c>
      <c r="E1046" s="847" t="s">
        <v>1948</v>
      </c>
      <c r="F1046" s="846" t="s">
        <v>1528</v>
      </c>
      <c r="G1046" s="847" t="str">
        <f>IFERROR(VLOOKUP(F1046,'[1]код океи'!$B$2:$C$448,2,1)," ")</f>
        <v>Штука</v>
      </c>
      <c r="H1046" s="858">
        <v>200</v>
      </c>
      <c r="I1046" s="604" t="s">
        <v>2161</v>
      </c>
      <c r="J1046" s="907" t="s">
        <v>1454</v>
      </c>
      <c r="K1046" s="862" t="s">
        <v>5043</v>
      </c>
      <c r="L1046" s="868">
        <v>450760</v>
      </c>
      <c r="M1046" s="634"/>
      <c r="N1046" s="849">
        <v>450760</v>
      </c>
      <c r="O1046" s="851">
        <v>42887</v>
      </c>
      <c r="P1046" s="851">
        <v>43070</v>
      </c>
      <c r="Q1046" s="634" t="s">
        <v>110</v>
      </c>
      <c r="R1046" s="634" t="s">
        <v>113</v>
      </c>
      <c r="S1046" s="634" t="s">
        <v>1455</v>
      </c>
      <c r="T1046" s="875"/>
      <c r="U1046" s="634"/>
      <c r="V1046" s="634"/>
      <c r="W1046" s="637"/>
      <c r="X1046" s="638"/>
      <c r="Y1046" s="637"/>
      <c r="Z1046" s="636"/>
      <c r="AA1046" s="908" t="s">
        <v>1458</v>
      </c>
      <c r="AB1046" s="843" t="s">
        <v>263</v>
      </c>
      <c r="AC1046" s="652"/>
      <c r="AD1046" s="844" t="s">
        <v>113</v>
      </c>
      <c r="AE1046" s="877">
        <f t="shared" si="23"/>
        <v>6</v>
      </c>
    </row>
    <row r="1047" spans="1:31" ht="36.75" hidden="1" customHeight="1" x14ac:dyDescent="0.25">
      <c r="A1047" s="671" t="s">
        <v>5594</v>
      </c>
      <c r="B1047" s="898" t="s">
        <v>1951</v>
      </c>
      <c r="C1047" s="898" t="s">
        <v>1951</v>
      </c>
      <c r="D1047" s="847" t="s">
        <v>5807</v>
      </c>
      <c r="E1047" s="847" t="s">
        <v>1948</v>
      </c>
      <c r="F1047" s="846" t="s">
        <v>1587</v>
      </c>
      <c r="G1047" s="847" t="str">
        <f>IFERROR(VLOOKUP(F1047,'[1]код океи'!$B$2:$C$448,2,1)," ")</f>
        <v>Комплект</v>
      </c>
      <c r="H1047" s="858">
        <v>38</v>
      </c>
      <c r="I1047" s="604" t="s">
        <v>2161</v>
      </c>
      <c r="J1047" s="907" t="s">
        <v>1454</v>
      </c>
      <c r="K1047" s="862" t="s">
        <v>8302</v>
      </c>
      <c r="L1047" s="868">
        <v>496929.88</v>
      </c>
      <c r="M1047" s="634"/>
      <c r="N1047" s="849">
        <v>496929.88</v>
      </c>
      <c r="O1047" s="851">
        <v>42887</v>
      </c>
      <c r="P1047" s="851">
        <v>43070</v>
      </c>
      <c r="Q1047" s="634" t="s">
        <v>110</v>
      </c>
      <c r="R1047" s="634" t="s">
        <v>113</v>
      </c>
      <c r="S1047" s="634" t="s">
        <v>1455</v>
      </c>
      <c r="T1047" s="875"/>
      <c r="U1047" s="634"/>
      <c r="V1047" s="634" t="s">
        <v>45</v>
      </c>
      <c r="W1047" s="637" t="s">
        <v>73</v>
      </c>
      <c r="X1047" s="638" t="s">
        <v>2381</v>
      </c>
      <c r="Y1047" s="637" t="s">
        <v>5767</v>
      </c>
      <c r="Z1047" s="636">
        <v>496929.88</v>
      </c>
      <c r="AA1047" s="908" t="s">
        <v>1458</v>
      </c>
      <c r="AB1047" s="843" t="s">
        <v>263</v>
      </c>
      <c r="AC1047" s="652"/>
      <c r="AD1047" s="844" t="s">
        <v>113</v>
      </c>
      <c r="AE1047" s="877">
        <f t="shared" si="23"/>
        <v>6</v>
      </c>
    </row>
    <row r="1048" spans="1:31" ht="32.25" hidden="1" customHeight="1" x14ac:dyDescent="0.25">
      <c r="A1048" s="671" t="s">
        <v>5595</v>
      </c>
      <c r="B1048" s="898" t="s">
        <v>1687</v>
      </c>
      <c r="C1048" s="898" t="s">
        <v>3132</v>
      </c>
      <c r="D1048" s="847" t="s">
        <v>5806</v>
      </c>
      <c r="E1048" s="847" t="s">
        <v>4944</v>
      </c>
      <c r="F1048" s="846" t="s">
        <v>1645</v>
      </c>
      <c r="G1048" s="847" t="str">
        <f>IFERROR(VLOOKUP(F1048,'[1]код океи'!$B$2:$C$448,2,1)," ")</f>
        <v>Килограмм</v>
      </c>
      <c r="H1048" s="858">
        <v>466.17</v>
      </c>
      <c r="I1048" s="604" t="s">
        <v>2161</v>
      </c>
      <c r="J1048" s="907" t="s">
        <v>1454</v>
      </c>
      <c r="K1048" s="862" t="s">
        <v>5719</v>
      </c>
      <c r="L1048" s="868">
        <v>36670.370000000003</v>
      </c>
      <c r="M1048" s="634"/>
      <c r="N1048" s="849">
        <v>36670.370000000003</v>
      </c>
      <c r="O1048" s="851">
        <v>42887</v>
      </c>
      <c r="P1048" s="851">
        <v>42917</v>
      </c>
      <c r="Q1048" s="634" t="s">
        <v>108</v>
      </c>
      <c r="R1048" s="634" t="s">
        <v>112</v>
      </c>
      <c r="S1048" s="634" t="s">
        <v>1457</v>
      </c>
      <c r="T1048" s="875"/>
      <c r="U1048" s="634"/>
      <c r="V1048" s="634"/>
      <c r="W1048" s="637"/>
      <c r="X1048" s="638"/>
      <c r="Y1048" s="637"/>
      <c r="Z1048" s="636"/>
      <c r="AA1048" s="908" t="s">
        <v>1458</v>
      </c>
      <c r="AB1048" s="843" t="s">
        <v>263</v>
      </c>
      <c r="AC1048" s="652"/>
      <c r="AD1048" s="844" t="s">
        <v>113</v>
      </c>
      <c r="AE1048" s="877">
        <f t="shared" si="23"/>
        <v>6</v>
      </c>
    </row>
    <row r="1049" spans="1:31" ht="60.75" hidden="1" customHeight="1" x14ac:dyDescent="0.25">
      <c r="A1049" s="671" t="s">
        <v>5596</v>
      </c>
      <c r="B1049" s="888" t="s">
        <v>5525</v>
      </c>
      <c r="C1049" s="879" t="s">
        <v>1540</v>
      </c>
      <c r="D1049" s="880" t="s">
        <v>5805</v>
      </c>
      <c r="E1049" s="881" t="s">
        <v>5526</v>
      </c>
      <c r="F1049" s="882" t="s">
        <v>1528</v>
      </c>
      <c r="G1049" s="883" t="str">
        <f>IFERROR(VLOOKUP(F1049,'[9]код океи'!$B$2:$C$448,2,1)," ")</f>
        <v>Штука</v>
      </c>
      <c r="H1049" s="884">
        <v>700</v>
      </c>
      <c r="I1049" s="614">
        <v>45000000000</v>
      </c>
      <c r="J1049" s="617" t="s">
        <v>1454</v>
      </c>
      <c r="K1049" s="886" t="s">
        <v>5720</v>
      </c>
      <c r="L1049" s="886">
        <v>453061</v>
      </c>
      <c r="M1049" s="634" t="s">
        <v>997</v>
      </c>
      <c r="N1049" s="904">
        <v>453061</v>
      </c>
      <c r="O1049" s="887">
        <v>42887</v>
      </c>
      <c r="P1049" s="887">
        <v>42917</v>
      </c>
      <c r="Q1049" s="634" t="s">
        <v>110</v>
      </c>
      <c r="R1049" s="634" t="s">
        <v>113</v>
      </c>
      <c r="S1049" s="634" t="s">
        <v>1455</v>
      </c>
      <c r="T1049" s="876"/>
      <c r="U1049" s="634"/>
      <c r="V1049" s="634" t="s">
        <v>45</v>
      </c>
      <c r="W1049" s="637" t="s">
        <v>72</v>
      </c>
      <c r="X1049" s="638" t="s">
        <v>6830</v>
      </c>
      <c r="Y1049" s="637" t="s">
        <v>6831</v>
      </c>
      <c r="Z1049" s="636">
        <v>453061</v>
      </c>
      <c r="AA1049" s="908" t="s">
        <v>1458</v>
      </c>
      <c r="AB1049" s="843" t="s">
        <v>263</v>
      </c>
      <c r="AC1049" s="652"/>
      <c r="AD1049" s="844" t="s">
        <v>113</v>
      </c>
      <c r="AE1049" s="877">
        <f t="shared" ref="AE1049:AE1080" si="24">IF(O1049=0,,MONTH(O1049))</f>
        <v>6</v>
      </c>
    </row>
    <row r="1050" spans="1:31" ht="51" hidden="1" customHeight="1" x14ac:dyDescent="0.25">
      <c r="A1050" s="671" t="s">
        <v>5597</v>
      </c>
      <c r="B1050" s="899" t="s">
        <v>1727</v>
      </c>
      <c r="C1050" s="899" t="s">
        <v>1727</v>
      </c>
      <c r="D1050" s="885" t="s">
        <v>5804</v>
      </c>
      <c r="E1050" s="885" t="s">
        <v>5527</v>
      </c>
      <c r="F1050" s="882" t="s">
        <v>1528</v>
      </c>
      <c r="G1050" s="883" t="str">
        <f>IFERROR(VLOOKUP(F1050,'[9]код океи'!$B$2:$C$448,2,1)," ")</f>
        <v>Штука</v>
      </c>
      <c r="H1050" s="884">
        <v>100</v>
      </c>
      <c r="I1050" s="614">
        <v>45000000000</v>
      </c>
      <c r="J1050" s="617" t="s">
        <v>1454</v>
      </c>
      <c r="K1050" s="866" t="s">
        <v>5721</v>
      </c>
      <c r="L1050" s="869">
        <v>116997</v>
      </c>
      <c r="M1050" s="634"/>
      <c r="N1050" s="867">
        <v>116997</v>
      </c>
      <c r="O1050" s="887">
        <v>42887</v>
      </c>
      <c r="P1050" s="887">
        <v>42917</v>
      </c>
      <c r="Q1050" s="634" t="s">
        <v>110</v>
      </c>
      <c r="R1050" s="634" t="s">
        <v>113</v>
      </c>
      <c r="S1050" s="634" t="s">
        <v>1455</v>
      </c>
      <c r="T1050" s="876"/>
      <c r="U1050" s="634"/>
      <c r="V1050" s="634"/>
      <c r="W1050" s="637"/>
      <c r="X1050" s="638"/>
      <c r="Y1050" s="637"/>
      <c r="Z1050" s="636"/>
      <c r="AA1050" s="908" t="s">
        <v>1458</v>
      </c>
      <c r="AB1050" s="843" t="s">
        <v>263</v>
      </c>
      <c r="AC1050" s="652"/>
      <c r="AD1050" s="844" t="s">
        <v>113</v>
      </c>
      <c r="AE1050" s="877">
        <f t="shared" si="24"/>
        <v>6</v>
      </c>
    </row>
    <row r="1051" spans="1:31" ht="105" hidden="1" x14ac:dyDescent="0.25">
      <c r="A1051" s="671" t="s">
        <v>5598</v>
      </c>
      <c r="B1051" s="899" t="s">
        <v>1540</v>
      </c>
      <c r="C1051" s="900" t="s">
        <v>1540</v>
      </c>
      <c r="D1051" s="885" t="s">
        <v>5803</v>
      </c>
      <c r="E1051" s="883" t="s">
        <v>5528</v>
      </c>
      <c r="F1051" s="882" t="s">
        <v>1528</v>
      </c>
      <c r="G1051" s="883" t="s">
        <v>2156</v>
      </c>
      <c r="H1051" s="884">
        <v>245</v>
      </c>
      <c r="I1051" s="614">
        <v>45000000000</v>
      </c>
      <c r="J1051" s="617" t="s">
        <v>1454</v>
      </c>
      <c r="K1051" s="866" t="s">
        <v>5722</v>
      </c>
      <c r="L1051" s="869">
        <v>197314.17</v>
      </c>
      <c r="M1051" s="634"/>
      <c r="N1051" s="867">
        <v>197314.17</v>
      </c>
      <c r="O1051" s="887">
        <v>42887</v>
      </c>
      <c r="P1051" s="887">
        <v>42917</v>
      </c>
      <c r="Q1051" s="634" t="s">
        <v>110</v>
      </c>
      <c r="R1051" s="634" t="s">
        <v>113</v>
      </c>
      <c r="S1051" s="634" t="s">
        <v>1455</v>
      </c>
      <c r="T1051" s="876"/>
      <c r="U1051" s="634"/>
      <c r="V1051" s="634"/>
      <c r="W1051" s="637"/>
      <c r="X1051" s="638"/>
      <c r="Y1051" s="637"/>
      <c r="Z1051" s="636"/>
      <c r="AA1051" s="908" t="s">
        <v>1458</v>
      </c>
      <c r="AB1051" s="843" t="s">
        <v>263</v>
      </c>
      <c r="AC1051" s="652"/>
      <c r="AD1051" s="844" t="s">
        <v>113</v>
      </c>
      <c r="AE1051" s="877">
        <f t="shared" si="24"/>
        <v>6</v>
      </c>
    </row>
    <row r="1052" spans="1:31" ht="105" hidden="1" x14ac:dyDescent="0.25">
      <c r="A1052" s="671" t="s">
        <v>5599</v>
      </c>
      <c r="B1052" s="900" t="s">
        <v>1576</v>
      </c>
      <c r="C1052" s="900" t="s">
        <v>1576</v>
      </c>
      <c r="D1052" s="885" t="s">
        <v>5802</v>
      </c>
      <c r="E1052" s="883" t="s">
        <v>5529</v>
      </c>
      <c r="F1052" s="882" t="s">
        <v>1528</v>
      </c>
      <c r="G1052" s="883" t="s">
        <v>2156</v>
      </c>
      <c r="H1052" s="884">
        <v>475</v>
      </c>
      <c r="I1052" s="614">
        <v>45000000000</v>
      </c>
      <c r="J1052" s="617" t="s">
        <v>1454</v>
      </c>
      <c r="K1052" s="866" t="s">
        <v>5723</v>
      </c>
      <c r="L1052" s="869">
        <v>266818.19</v>
      </c>
      <c r="M1052" s="634" t="s">
        <v>997</v>
      </c>
      <c r="N1052" s="867">
        <v>266818.19</v>
      </c>
      <c r="O1052" s="887">
        <v>42887</v>
      </c>
      <c r="P1052" s="887">
        <v>42917</v>
      </c>
      <c r="Q1052" s="634" t="s">
        <v>110</v>
      </c>
      <c r="R1052" s="634" t="s">
        <v>113</v>
      </c>
      <c r="S1052" s="634" t="s">
        <v>1455</v>
      </c>
      <c r="T1052" s="876"/>
      <c r="U1052" s="634"/>
      <c r="V1052" s="634" t="s">
        <v>45</v>
      </c>
      <c r="W1052" s="637" t="s">
        <v>72</v>
      </c>
      <c r="X1052" s="638" t="s">
        <v>6019</v>
      </c>
      <c r="Y1052" s="637" t="s">
        <v>6020</v>
      </c>
      <c r="Z1052" s="636">
        <v>266818.19</v>
      </c>
      <c r="AA1052" s="908" t="s">
        <v>1458</v>
      </c>
      <c r="AB1052" s="843" t="s">
        <v>263</v>
      </c>
      <c r="AC1052" s="652"/>
      <c r="AD1052" s="844" t="s">
        <v>113</v>
      </c>
      <c r="AE1052" s="877">
        <f t="shared" si="24"/>
        <v>6</v>
      </c>
    </row>
    <row r="1053" spans="1:31" ht="105" hidden="1" x14ac:dyDescent="0.25">
      <c r="A1053" s="671" t="s">
        <v>5600</v>
      </c>
      <c r="B1053" s="899" t="s">
        <v>1576</v>
      </c>
      <c r="C1053" s="900" t="s">
        <v>1576</v>
      </c>
      <c r="D1053" s="885" t="s">
        <v>5801</v>
      </c>
      <c r="E1053" s="883" t="s">
        <v>5530</v>
      </c>
      <c r="F1053" s="882" t="s">
        <v>1528</v>
      </c>
      <c r="G1053" s="883" t="s">
        <v>2156</v>
      </c>
      <c r="H1053" s="884">
        <v>430</v>
      </c>
      <c r="I1053" s="614">
        <v>45000000000</v>
      </c>
      <c r="J1053" s="617" t="s">
        <v>1454</v>
      </c>
      <c r="K1053" s="866" t="s">
        <v>6015</v>
      </c>
      <c r="L1053" s="869">
        <v>791089</v>
      </c>
      <c r="M1053" s="634" t="s">
        <v>997</v>
      </c>
      <c r="N1053" s="867">
        <v>791089</v>
      </c>
      <c r="O1053" s="887">
        <v>42887</v>
      </c>
      <c r="P1053" s="887">
        <v>42917</v>
      </c>
      <c r="Q1053" s="634" t="s">
        <v>110</v>
      </c>
      <c r="R1053" s="634" t="s">
        <v>113</v>
      </c>
      <c r="S1053" s="634" t="s">
        <v>1455</v>
      </c>
      <c r="T1053" s="876"/>
      <c r="U1053" s="634"/>
      <c r="V1053" s="634" t="s">
        <v>45</v>
      </c>
      <c r="W1053" s="637" t="s">
        <v>72</v>
      </c>
      <c r="X1053" s="638" t="s">
        <v>6016</v>
      </c>
      <c r="Y1053" s="637" t="s">
        <v>6017</v>
      </c>
      <c r="Z1053" s="636">
        <v>791089</v>
      </c>
      <c r="AA1053" s="908" t="s">
        <v>1458</v>
      </c>
      <c r="AB1053" s="843" t="s">
        <v>263</v>
      </c>
      <c r="AC1053" s="652"/>
      <c r="AD1053" s="844" t="s">
        <v>113</v>
      </c>
      <c r="AE1053" s="877">
        <f t="shared" si="24"/>
        <v>6</v>
      </c>
    </row>
    <row r="1054" spans="1:31" ht="105" hidden="1" x14ac:dyDescent="0.25">
      <c r="A1054" s="671" t="s">
        <v>5601</v>
      </c>
      <c r="B1054" s="899" t="s">
        <v>1576</v>
      </c>
      <c r="C1054" s="900" t="s">
        <v>1576</v>
      </c>
      <c r="D1054" s="885" t="s">
        <v>5800</v>
      </c>
      <c r="E1054" s="888" t="s">
        <v>5531</v>
      </c>
      <c r="F1054" s="888">
        <v>796</v>
      </c>
      <c r="G1054" s="888" t="s">
        <v>2156</v>
      </c>
      <c r="H1054" s="884">
        <v>380</v>
      </c>
      <c r="I1054" s="614">
        <v>45000000000</v>
      </c>
      <c r="J1054" s="617" t="s">
        <v>1454</v>
      </c>
      <c r="K1054" s="889" t="s">
        <v>5724</v>
      </c>
      <c r="L1054" s="889">
        <v>1044006.16</v>
      </c>
      <c r="M1054" s="634"/>
      <c r="N1054" s="905">
        <v>1044006.16</v>
      </c>
      <c r="O1054" s="887">
        <v>42887</v>
      </c>
      <c r="P1054" s="887">
        <v>42917</v>
      </c>
      <c r="Q1054" s="634" t="s">
        <v>110</v>
      </c>
      <c r="R1054" s="634" t="s">
        <v>113</v>
      </c>
      <c r="S1054" s="634" t="s">
        <v>1455</v>
      </c>
      <c r="T1054" s="885"/>
      <c r="U1054" s="634"/>
      <c r="V1054" s="634"/>
      <c r="W1054" s="637"/>
      <c r="X1054" s="638"/>
      <c r="Y1054" s="637"/>
      <c r="Z1054" s="636"/>
      <c r="AA1054" s="908" t="s">
        <v>1458</v>
      </c>
      <c r="AB1054" s="843" t="s">
        <v>263</v>
      </c>
      <c r="AC1054" s="652"/>
      <c r="AD1054" s="844" t="s">
        <v>113</v>
      </c>
      <c r="AE1054" s="877">
        <f t="shared" si="24"/>
        <v>6</v>
      </c>
    </row>
    <row r="1055" spans="1:31" ht="33" hidden="1" customHeight="1" x14ac:dyDescent="0.25">
      <c r="A1055" s="671" t="s">
        <v>5602</v>
      </c>
      <c r="B1055" s="900" t="s">
        <v>1727</v>
      </c>
      <c r="C1055" s="900" t="s">
        <v>1727</v>
      </c>
      <c r="D1055" s="885" t="s">
        <v>5799</v>
      </c>
      <c r="E1055" s="885" t="s">
        <v>5532</v>
      </c>
      <c r="F1055" s="888">
        <v>796</v>
      </c>
      <c r="G1055" s="888" t="s">
        <v>2156</v>
      </c>
      <c r="H1055" s="884">
        <v>40</v>
      </c>
      <c r="I1055" s="614">
        <v>45000000000</v>
      </c>
      <c r="J1055" s="617" t="s">
        <v>1454</v>
      </c>
      <c r="K1055" s="866" t="s">
        <v>5725</v>
      </c>
      <c r="L1055" s="869">
        <v>302174.40000000002</v>
      </c>
      <c r="M1055" s="634" t="s">
        <v>997</v>
      </c>
      <c r="N1055" s="867">
        <v>302174.40000000002</v>
      </c>
      <c r="O1055" s="887">
        <v>42887</v>
      </c>
      <c r="P1055" s="887">
        <v>42917</v>
      </c>
      <c r="Q1055" s="634" t="s">
        <v>110</v>
      </c>
      <c r="R1055" s="634" t="s">
        <v>113</v>
      </c>
      <c r="S1055" s="634" t="s">
        <v>1455</v>
      </c>
      <c r="T1055" s="885"/>
      <c r="U1055" s="634"/>
      <c r="V1055" s="634" t="s">
        <v>45</v>
      </c>
      <c r="W1055" s="637" t="s">
        <v>72</v>
      </c>
      <c r="X1055" s="638" t="s">
        <v>6437</v>
      </c>
      <c r="Y1055" s="637" t="s">
        <v>6438</v>
      </c>
      <c r="Z1055" s="636">
        <v>302174.40000000002</v>
      </c>
      <c r="AA1055" s="908" t="s">
        <v>1458</v>
      </c>
      <c r="AB1055" s="843" t="s">
        <v>263</v>
      </c>
      <c r="AC1055" s="652"/>
      <c r="AD1055" s="844" t="s">
        <v>113</v>
      </c>
      <c r="AE1055" s="877">
        <f t="shared" si="24"/>
        <v>6</v>
      </c>
    </row>
    <row r="1056" spans="1:31" ht="31.5" hidden="1" customHeight="1" x14ac:dyDescent="0.25">
      <c r="A1056" s="671" t="s">
        <v>5603</v>
      </c>
      <c r="B1056" s="900" t="s">
        <v>1576</v>
      </c>
      <c r="C1056" s="900" t="s">
        <v>1738</v>
      </c>
      <c r="D1056" s="885" t="s">
        <v>5798</v>
      </c>
      <c r="E1056" s="885" t="s">
        <v>5533</v>
      </c>
      <c r="F1056" s="888">
        <v>796</v>
      </c>
      <c r="G1056" s="888" t="s">
        <v>2156</v>
      </c>
      <c r="H1056" s="884">
        <v>20</v>
      </c>
      <c r="I1056" s="614">
        <v>45000000000</v>
      </c>
      <c r="J1056" s="617" t="str">
        <f>IFERROR(VLOOKUP(I1056,[9]регион!$A$1:$B$86,2,0)," ")</f>
        <v>Москва</v>
      </c>
      <c r="K1056" s="866" t="s">
        <v>5726</v>
      </c>
      <c r="L1056" s="869">
        <v>193520</v>
      </c>
      <c r="M1056" s="634" t="s">
        <v>997</v>
      </c>
      <c r="N1056" s="867">
        <v>193520</v>
      </c>
      <c r="O1056" s="887">
        <v>42887</v>
      </c>
      <c r="P1056" s="887">
        <v>42917</v>
      </c>
      <c r="Q1056" s="634" t="s">
        <v>110</v>
      </c>
      <c r="R1056" s="634" t="s">
        <v>113</v>
      </c>
      <c r="S1056" s="634" t="s">
        <v>1455</v>
      </c>
      <c r="T1056" s="885"/>
      <c r="U1056" s="634"/>
      <c r="V1056" s="634" t="s">
        <v>45</v>
      </c>
      <c r="W1056" s="637" t="s">
        <v>73</v>
      </c>
      <c r="X1056" s="638" t="s">
        <v>6451</v>
      </c>
      <c r="Y1056" s="637" t="s">
        <v>6452</v>
      </c>
      <c r="Z1056" s="636">
        <v>193520</v>
      </c>
      <c r="AA1056" s="908" t="s">
        <v>1458</v>
      </c>
      <c r="AB1056" s="843" t="s">
        <v>263</v>
      </c>
      <c r="AC1056" s="652"/>
      <c r="AD1056" s="844" t="s">
        <v>113</v>
      </c>
      <c r="AE1056" s="877">
        <f t="shared" si="24"/>
        <v>6</v>
      </c>
    </row>
    <row r="1057" spans="1:31" ht="37.5" hidden="1" customHeight="1" x14ac:dyDescent="0.25">
      <c r="A1057" s="671" t="s">
        <v>5604</v>
      </c>
      <c r="B1057" s="898" t="s">
        <v>1540</v>
      </c>
      <c r="C1057" s="898" t="s">
        <v>1745</v>
      </c>
      <c r="D1057" s="847" t="s">
        <v>5797</v>
      </c>
      <c r="E1057" s="847" t="s">
        <v>5534</v>
      </c>
      <c r="F1057" s="846" t="s">
        <v>1528</v>
      </c>
      <c r="G1057" s="856" t="str">
        <f>IFERROR(VLOOKUP(F1057,'[10]код океи'!$B$2:$C$448,2,1)," ")</f>
        <v>Штука</v>
      </c>
      <c r="H1057" s="858">
        <v>30</v>
      </c>
      <c r="I1057" s="604">
        <v>45000000000</v>
      </c>
      <c r="J1057" s="907" t="s">
        <v>1454</v>
      </c>
      <c r="K1057" s="862" t="s">
        <v>5727</v>
      </c>
      <c r="L1057" s="868">
        <v>278000</v>
      </c>
      <c r="M1057" s="634"/>
      <c r="N1057" s="849">
        <v>278000</v>
      </c>
      <c r="O1057" s="851">
        <v>42795</v>
      </c>
      <c r="P1057" s="851">
        <v>42826</v>
      </c>
      <c r="Q1057" s="634" t="s">
        <v>110</v>
      </c>
      <c r="R1057" s="634" t="s">
        <v>113</v>
      </c>
      <c r="S1057" s="634" t="s">
        <v>1455</v>
      </c>
      <c r="T1057" s="847"/>
      <c r="U1057" s="634"/>
      <c r="V1057" s="634"/>
      <c r="W1057" s="637"/>
      <c r="X1057" s="638"/>
      <c r="Y1057" s="637"/>
      <c r="Z1057" s="636"/>
      <c r="AA1057" s="908" t="s">
        <v>1458</v>
      </c>
      <c r="AB1057" s="843" t="s">
        <v>263</v>
      </c>
      <c r="AC1057" s="652"/>
      <c r="AD1057" s="844" t="s">
        <v>113</v>
      </c>
      <c r="AE1057" s="877">
        <f t="shared" si="24"/>
        <v>3</v>
      </c>
    </row>
    <row r="1058" spans="1:31" ht="34.5" hidden="1" customHeight="1" x14ac:dyDescent="0.25">
      <c r="A1058" s="671" t="s">
        <v>5605</v>
      </c>
      <c r="B1058" s="899" t="s">
        <v>1727</v>
      </c>
      <c r="C1058" s="899" t="s">
        <v>1727</v>
      </c>
      <c r="D1058" s="885" t="s">
        <v>5796</v>
      </c>
      <c r="E1058" s="885" t="s">
        <v>5535</v>
      </c>
      <c r="F1058" s="882" t="s">
        <v>1528</v>
      </c>
      <c r="G1058" s="883" t="str">
        <f>IFERROR(VLOOKUP(F1058,'[9]код океи'!$B$2:$C$448,2,1)," ")</f>
        <v>Штука</v>
      </c>
      <c r="H1058" s="884">
        <v>50</v>
      </c>
      <c r="I1058" s="614">
        <v>45000000000</v>
      </c>
      <c r="J1058" s="617" t="s">
        <v>1454</v>
      </c>
      <c r="K1058" s="866" t="s">
        <v>5728</v>
      </c>
      <c r="L1058" s="869">
        <v>216265</v>
      </c>
      <c r="M1058" s="634"/>
      <c r="N1058" s="867">
        <v>216265</v>
      </c>
      <c r="O1058" s="887">
        <v>42887</v>
      </c>
      <c r="P1058" s="887">
        <v>42979</v>
      </c>
      <c r="Q1058" s="634" t="s">
        <v>110</v>
      </c>
      <c r="R1058" s="634" t="s">
        <v>113</v>
      </c>
      <c r="S1058" s="634" t="s">
        <v>1455</v>
      </c>
      <c r="T1058" s="885"/>
      <c r="U1058" s="634"/>
      <c r="V1058" s="634"/>
      <c r="W1058" s="637"/>
      <c r="X1058" s="638"/>
      <c r="Y1058" s="637"/>
      <c r="Z1058" s="636"/>
      <c r="AA1058" s="908" t="s">
        <v>1458</v>
      </c>
      <c r="AB1058" s="843" t="s">
        <v>263</v>
      </c>
      <c r="AC1058" s="652"/>
      <c r="AD1058" s="844" t="s">
        <v>113</v>
      </c>
      <c r="AE1058" s="877">
        <f t="shared" si="24"/>
        <v>6</v>
      </c>
    </row>
    <row r="1059" spans="1:31" ht="105" hidden="1" x14ac:dyDescent="0.25">
      <c r="A1059" s="671" t="s">
        <v>5606</v>
      </c>
      <c r="B1059" s="900" t="s">
        <v>3127</v>
      </c>
      <c r="C1059" s="900" t="s">
        <v>5536</v>
      </c>
      <c r="D1059" s="891" t="s">
        <v>5677</v>
      </c>
      <c r="E1059" s="891" t="s">
        <v>5537</v>
      </c>
      <c r="F1059" s="890" t="s">
        <v>973</v>
      </c>
      <c r="G1059" s="892" t="str">
        <f>IFERROR(VLOOKUP(F1059,'[9]код океи'!$B$2:$C$448,2,1)," ")</f>
        <v>Литр; Кубический дециметр</v>
      </c>
      <c r="H1059" s="893">
        <v>4</v>
      </c>
      <c r="I1059" s="614">
        <v>45000000000</v>
      </c>
      <c r="J1059" s="617" t="str">
        <f>IFERROR(VLOOKUP(I1059,[9]регион!$A$1:$B$86,2,0)," ")</f>
        <v>Москва</v>
      </c>
      <c r="K1059" s="894" t="s">
        <v>5729</v>
      </c>
      <c r="L1059" s="903">
        <v>280000</v>
      </c>
      <c r="M1059" s="634"/>
      <c r="N1059" s="906">
        <v>280000</v>
      </c>
      <c r="O1059" s="895">
        <v>42887</v>
      </c>
      <c r="P1059" s="895">
        <v>42949</v>
      </c>
      <c r="Q1059" s="634" t="s">
        <v>108</v>
      </c>
      <c r="R1059" s="634" t="s">
        <v>112</v>
      </c>
      <c r="S1059" s="634" t="s">
        <v>1457</v>
      </c>
      <c r="T1059" s="891"/>
      <c r="U1059" s="634"/>
      <c r="V1059" s="634"/>
      <c r="W1059" s="637"/>
      <c r="X1059" s="638"/>
      <c r="Y1059" s="637"/>
      <c r="Z1059" s="636"/>
      <c r="AA1059" s="908" t="s">
        <v>1458</v>
      </c>
      <c r="AB1059" s="843" t="s">
        <v>263</v>
      </c>
      <c r="AC1059" s="652"/>
      <c r="AD1059" s="844" t="s">
        <v>113</v>
      </c>
      <c r="AE1059" s="877">
        <f t="shared" si="24"/>
        <v>6</v>
      </c>
    </row>
    <row r="1060" spans="1:31" ht="105" hidden="1" x14ac:dyDescent="0.25">
      <c r="A1060" s="671" t="s">
        <v>5607</v>
      </c>
      <c r="B1060" s="900" t="s">
        <v>1666</v>
      </c>
      <c r="C1060" s="900" t="s">
        <v>1666</v>
      </c>
      <c r="D1060" s="891" t="s">
        <v>5676</v>
      </c>
      <c r="E1060" s="892" t="s">
        <v>5538</v>
      </c>
      <c r="F1060" s="890" t="s">
        <v>1645</v>
      </c>
      <c r="G1060" s="892" t="str">
        <f>IFERROR(VLOOKUP(F1060,'[9]код океи'!$B$2:$C$448,2,1)," ")</f>
        <v>Килограмм</v>
      </c>
      <c r="H1060" s="893">
        <v>285</v>
      </c>
      <c r="I1060" s="614">
        <v>45000000000</v>
      </c>
      <c r="J1060" s="617" t="str">
        <f>IFERROR(VLOOKUP(I1060,[9]регион!$A$1:$B$86,2,0)," ")</f>
        <v>Москва</v>
      </c>
      <c r="K1060" s="894" t="s">
        <v>6617</v>
      </c>
      <c r="L1060" s="903">
        <v>127815.86</v>
      </c>
      <c r="M1060" s="634"/>
      <c r="N1060" s="906">
        <v>127815.86</v>
      </c>
      <c r="O1060" s="895">
        <v>42888</v>
      </c>
      <c r="P1060" s="895">
        <v>42950</v>
      </c>
      <c r="Q1060" s="634" t="s">
        <v>108</v>
      </c>
      <c r="R1060" s="634" t="s">
        <v>112</v>
      </c>
      <c r="S1060" s="634" t="s">
        <v>1457</v>
      </c>
      <c r="T1060" s="891"/>
      <c r="U1060" s="634"/>
      <c r="V1060" s="634"/>
      <c r="W1060" s="637"/>
      <c r="X1060" s="638"/>
      <c r="Y1060" s="637"/>
      <c r="Z1060" s="636"/>
      <c r="AA1060" s="908" t="s">
        <v>1458</v>
      </c>
      <c r="AB1060" s="843" t="s">
        <v>263</v>
      </c>
      <c r="AC1060" s="652"/>
      <c r="AD1060" s="844" t="s">
        <v>113</v>
      </c>
      <c r="AE1060" s="877">
        <f t="shared" si="24"/>
        <v>6</v>
      </c>
    </row>
    <row r="1061" spans="1:31" ht="42.75" hidden="1" customHeight="1" x14ac:dyDescent="0.25">
      <c r="A1061" s="671" t="s">
        <v>5608</v>
      </c>
      <c r="B1061" s="900" t="s">
        <v>5539</v>
      </c>
      <c r="C1061" s="900" t="s">
        <v>5540</v>
      </c>
      <c r="D1061" s="891" t="s">
        <v>5675</v>
      </c>
      <c r="E1061" s="891" t="s">
        <v>5541</v>
      </c>
      <c r="F1061" s="890" t="s">
        <v>1528</v>
      </c>
      <c r="G1061" s="892" t="str">
        <f>IFERROR(VLOOKUP(F1061,'[9]код океи'!$B$2:$C$448,2,1)," ")</f>
        <v>Штука</v>
      </c>
      <c r="H1061" s="893">
        <v>119</v>
      </c>
      <c r="I1061" s="614">
        <v>45000000000</v>
      </c>
      <c r="J1061" s="617" t="str">
        <f>IFERROR(VLOOKUP(I1061,[9]регион!$A$1:$B$86,2,0)," ")</f>
        <v>Москва</v>
      </c>
      <c r="K1061" s="894" t="s">
        <v>5730</v>
      </c>
      <c r="L1061" s="903">
        <v>780000</v>
      </c>
      <c r="M1061" s="634"/>
      <c r="N1061" s="906">
        <v>780000</v>
      </c>
      <c r="O1061" s="895">
        <v>42889</v>
      </c>
      <c r="P1061" s="895">
        <v>43285</v>
      </c>
      <c r="Q1061" s="634" t="s">
        <v>108</v>
      </c>
      <c r="R1061" s="634" t="s">
        <v>112</v>
      </c>
      <c r="S1061" s="634" t="s">
        <v>1457</v>
      </c>
      <c r="T1061" s="891"/>
      <c r="U1061" s="634"/>
      <c r="V1061" s="634"/>
      <c r="W1061" s="637"/>
      <c r="X1061" s="638"/>
      <c r="Y1061" s="637"/>
      <c r="Z1061" s="636"/>
      <c r="AA1061" s="908" t="s">
        <v>1458</v>
      </c>
      <c r="AB1061" s="843" t="s">
        <v>263</v>
      </c>
      <c r="AC1061" s="652"/>
      <c r="AD1061" s="844" t="s">
        <v>113</v>
      </c>
      <c r="AE1061" s="877">
        <f t="shared" si="24"/>
        <v>6</v>
      </c>
    </row>
    <row r="1062" spans="1:31" ht="54" hidden="1" customHeight="1" x14ac:dyDescent="0.25">
      <c r="A1062" s="671" t="s">
        <v>5609</v>
      </c>
      <c r="B1062" s="900" t="s">
        <v>2206</v>
      </c>
      <c r="C1062" s="900" t="s">
        <v>5542</v>
      </c>
      <c r="D1062" s="891" t="s">
        <v>5674</v>
      </c>
      <c r="E1062" s="891" t="s">
        <v>5543</v>
      </c>
      <c r="F1062" s="890" t="s">
        <v>1645</v>
      </c>
      <c r="G1062" s="892" t="str">
        <f>IFERROR(VLOOKUP(F1062,'[9]код океи'!$B$2:$C$448,2,1)," ")</f>
        <v>Килограмм</v>
      </c>
      <c r="H1062" s="893">
        <v>1470</v>
      </c>
      <c r="I1062" s="614">
        <v>45000000000</v>
      </c>
      <c r="J1062" s="617" t="str">
        <f>IFERROR(VLOOKUP(I1062,[9]регион!$A$1:$B$86,2,0)," ")</f>
        <v>Москва</v>
      </c>
      <c r="K1062" s="894" t="s">
        <v>5731</v>
      </c>
      <c r="L1062" s="903">
        <v>260000</v>
      </c>
      <c r="M1062" s="634"/>
      <c r="N1062" s="906">
        <v>260000</v>
      </c>
      <c r="O1062" s="895">
        <v>42919</v>
      </c>
      <c r="P1062" s="895">
        <v>42952</v>
      </c>
      <c r="Q1062" s="634" t="s">
        <v>108</v>
      </c>
      <c r="R1062" s="634" t="s">
        <v>112</v>
      </c>
      <c r="S1062" s="634" t="s">
        <v>1457</v>
      </c>
      <c r="T1062" s="891"/>
      <c r="U1062" s="634"/>
      <c r="V1062" s="634"/>
      <c r="W1062" s="637"/>
      <c r="X1062" s="638"/>
      <c r="Y1062" s="637"/>
      <c r="Z1062" s="636"/>
      <c r="AA1062" s="908" t="s">
        <v>1458</v>
      </c>
      <c r="AB1062" s="843" t="s">
        <v>263</v>
      </c>
      <c r="AC1062" s="652"/>
      <c r="AD1062" s="844" t="s">
        <v>113</v>
      </c>
      <c r="AE1062" s="877">
        <f t="shared" si="24"/>
        <v>7</v>
      </c>
    </row>
    <row r="1063" spans="1:31" ht="105" hidden="1" x14ac:dyDescent="0.25">
      <c r="A1063" s="671" t="s">
        <v>5610</v>
      </c>
      <c r="B1063" s="900" t="s">
        <v>1663</v>
      </c>
      <c r="C1063" s="900" t="s">
        <v>1663</v>
      </c>
      <c r="D1063" s="891" t="s">
        <v>5673</v>
      </c>
      <c r="E1063" s="892" t="s">
        <v>5544</v>
      </c>
      <c r="F1063" s="890" t="s">
        <v>1528</v>
      </c>
      <c r="G1063" s="892" t="str">
        <f>IFERROR(VLOOKUP(F1063,'[9]код океи'!$B$2:$C$448,2,1)," ")</f>
        <v>Штука</v>
      </c>
      <c r="H1063" s="893">
        <v>5850</v>
      </c>
      <c r="I1063" s="614">
        <v>45000000000</v>
      </c>
      <c r="J1063" s="617" t="str">
        <f>IFERROR(VLOOKUP(I1063,[9]регион!$A$1:$B$86,2,0)," ")</f>
        <v>Москва</v>
      </c>
      <c r="K1063" s="894" t="s">
        <v>6818</v>
      </c>
      <c r="L1063" s="903">
        <v>38069.14</v>
      </c>
      <c r="M1063" s="634"/>
      <c r="N1063" s="906">
        <v>38069.14</v>
      </c>
      <c r="O1063" s="895">
        <v>42920</v>
      </c>
      <c r="P1063" s="895">
        <v>42953</v>
      </c>
      <c r="Q1063" s="634" t="s">
        <v>108</v>
      </c>
      <c r="R1063" s="634" t="s">
        <v>112</v>
      </c>
      <c r="S1063" s="634" t="s">
        <v>1457</v>
      </c>
      <c r="T1063" s="891"/>
      <c r="U1063" s="634"/>
      <c r="V1063" s="634"/>
      <c r="W1063" s="637"/>
      <c r="X1063" s="638"/>
      <c r="Y1063" s="637"/>
      <c r="Z1063" s="636"/>
      <c r="AA1063" s="908" t="s">
        <v>1458</v>
      </c>
      <c r="AB1063" s="843" t="s">
        <v>263</v>
      </c>
      <c r="AC1063" s="652"/>
      <c r="AD1063" s="844" t="s">
        <v>113</v>
      </c>
      <c r="AE1063" s="877">
        <f t="shared" si="24"/>
        <v>7</v>
      </c>
    </row>
    <row r="1064" spans="1:31" ht="39.75" hidden="1" customHeight="1" x14ac:dyDescent="0.25">
      <c r="A1064" s="671" t="s">
        <v>5611</v>
      </c>
      <c r="B1064" s="898" t="s">
        <v>1687</v>
      </c>
      <c r="C1064" s="898" t="s">
        <v>3132</v>
      </c>
      <c r="D1064" s="891" t="s">
        <v>5795</v>
      </c>
      <c r="E1064" s="847" t="s">
        <v>4944</v>
      </c>
      <c r="F1064" s="846" t="s">
        <v>1645</v>
      </c>
      <c r="G1064" s="847" t="str">
        <f>IFERROR(VLOOKUP(F1064,'[1]код океи'!$B$2:$C$448,2,1)," ")</f>
        <v>Килограмм</v>
      </c>
      <c r="H1064" s="858">
        <v>1202.8</v>
      </c>
      <c r="I1064" s="614">
        <v>45000000000</v>
      </c>
      <c r="J1064" s="907" t="str">
        <f>IFERROR(VLOOKUP(I1064,[1]регион!$A$1:$B$86,2,0)," ")</f>
        <v>Москва</v>
      </c>
      <c r="K1064" s="862" t="s">
        <v>5732</v>
      </c>
      <c r="L1064" s="868">
        <v>129652.58</v>
      </c>
      <c r="M1064" s="634"/>
      <c r="N1064" s="849">
        <v>129652.58</v>
      </c>
      <c r="O1064" s="895">
        <v>42890</v>
      </c>
      <c r="P1064" s="887">
        <v>42917</v>
      </c>
      <c r="Q1064" s="634" t="s">
        <v>110</v>
      </c>
      <c r="R1064" s="634" t="s">
        <v>113</v>
      </c>
      <c r="S1064" s="634" t="s">
        <v>1455</v>
      </c>
      <c r="T1064" s="847"/>
      <c r="U1064" s="634"/>
      <c r="V1064" s="634"/>
      <c r="W1064" s="637"/>
      <c r="X1064" s="638"/>
      <c r="Y1064" s="637"/>
      <c r="Z1064" s="636"/>
      <c r="AA1064" s="908" t="s">
        <v>1458</v>
      </c>
      <c r="AB1064" s="843" t="s">
        <v>263</v>
      </c>
      <c r="AC1064" s="652"/>
      <c r="AD1064" s="844" t="s">
        <v>113</v>
      </c>
      <c r="AE1064" s="877">
        <f t="shared" si="24"/>
        <v>6</v>
      </c>
    </row>
    <row r="1065" spans="1:31" ht="38.25" hidden="1" customHeight="1" x14ac:dyDescent="0.25">
      <c r="A1065" s="671" t="s">
        <v>5612</v>
      </c>
      <c r="B1065" s="898" t="s">
        <v>1687</v>
      </c>
      <c r="C1065" s="898" t="s">
        <v>3132</v>
      </c>
      <c r="D1065" s="891" t="s">
        <v>5794</v>
      </c>
      <c r="E1065" s="847" t="s">
        <v>4944</v>
      </c>
      <c r="F1065" s="846" t="s">
        <v>1645</v>
      </c>
      <c r="G1065" s="847" t="str">
        <f>IFERROR(VLOOKUP(F1065,'[1]код океи'!$B$2:$C$448,2,1)," ")</f>
        <v>Килограмм</v>
      </c>
      <c r="H1065" s="858">
        <v>416.6</v>
      </c>
      <c r="I1065" s="614">
        <v>45000000000</v>
      </c>
      <c r="J1065" s="907" t="str">
        <f>IFERROR(VLOOKUP(I1065,[1]регион!$A$1:$B$86,2,0)," ")</f>
        <v>Москва</v>
      </c>
      <c r="K1065" s="862" t="s">
        <v>5733</v>
      </c>
      <c r="L1065" s="868">
        <v>138395.37</v>
      </c>
      <c r="M1065" s="634"/>
      <c r="N1065" s="849">
        <v>138395.37</v>
      </c>
      <c r="O1065" s="895">
        <v>42890</v>
      </c>
      <c r="P1065" s="887">
        <v>42917</v>
      </c>
      <c r="Q1065" s="634" t="s">
        <v>110</v>
      </c>
      <c r="R1065" s="634" t="s">
        <v>113</v>
      </c>
      <c r="S1065" s="634" t="s">
        <v>1455</v>
      </c>
      <c r="T1065" s="847"/>
      <c r="U1065" s="634"/>
      <c r="V1065" s="634"/>
      <c r="W1065" s="637"/>
      <c r="X1065" s="638"/>
      <c r="Y1065" s="637"/>
      <c r="Z1065" s="636"/>
      <c r="AA1065" s="908" t="s">
        <v>1458</v>
      </c>
      <c r="AB1065" s="843" t="s">
        <v>263</v>
      </c>
      <c r="AC1065" s="652"/>
      <c r="AD1065" s="844" t="s">
        <v>113</v>
      </c>
      <c r="AE1065" s="877">
        <f t="shared" si="24"/>
        <v>6</v>
      </c>
    </row>
    <row r="1066" spans="1:31" ht="40.5" hidden="1" customHeight="1" x14ac:dyDescent="0.25">
      <c r="A1066" s="671" t="s">
        <v>5613</v>
      </c>
      <c r="B1066" s="898" t="s">
        <v>1936</v>
      </c>
      <c r="C1066" s="898" t="s">
        <v>5545</v>
      </c>
      <c r="D1066" s="847" t="s">
        <v>5793</v>
      </c>
      <c r="E1066" s="847" t="s">
        <v>1657</v>
      </c>
      <c r="F1066" s="846" t="s">
        <v>1587</v>
      </c>
      <c r="G1066" s="847" t="s">
        <v>1588</v>
      </c>
      <c r="H1066" s="858">
        <v>1</v>
      </c>
      <c r="I1066" s="604" t="s">
        <v>2161</v>
      </c>
      <c r="J1066" s="907" t="s">
        <v>1454</v>
      </c>
      <c r="K1066" s="862" t="s">
        <v>5734</v>
      </c>
      <c r="L1066" s="868">
        <v>455181.82</v>
      </c>
      <c r="M1066" s="634"/>
      <c r="N1066" s="849">
        <v>455181.82</v>
      </c>
      <c r="O1066" s="895">
        <v>42890</v>
      </c>
      <c r="P1066" s="851">
        <v>43070</v>
      </c>
      <c r="Q1066" s="634" t="s">
        <v>108</v>
      </c>
      <c r="R1066" s="634" t="s">
        <v>112</v>
      </c>
      <c r="S1066" s="634" t="s">
        <v>1457</v>
      </c>
      <c r="T1066" s="847"/>
      <c r="U1066" s="634"/>
      <c r="V1066" s="634"/>
      <c r="W1066" s="637"/>
      <c r="X1066" s="638"/>
      <c r="Y1066" s="637"/>
      <c r="Z1066" s="636"/>
      <c r="AA1066" s="908" t="s">
        <v>1458</v>
      </c>
      <c r="AB1066" s="843" t="s">
        <v>263</v>
      </c>
      <c r="AC1066" s="652"/>
      <c r="AD1066" s="844" t="s">
        <v>113</v>
      </c>
      <c r="AE1066" s="877">
        <f t="shared" si="24"/>
        <v>6</v>
      </c>
    </row>
    <row r="1067" spans="1:31" ht="45" hidden="1" customHeight="1" x14ac:dyDescent="0.25">
      <c r="A1067" s="671" t="s">
        <v>5614</v>
      </c>
      <c r="B1067" s="901" t="s">
        <v>5546</v>
      </c>
      <c r="C1067" s="898" t="s">
        <v>5547</v>
      </c>
      <c r="D1067" s="891" t="s">
        <v>5672</v>
      </c>
      <c r="E1067" s="847" t="s">
        <v>2223</v>
      </c>
      <c r="F1067" s="890" t="s">
        <v>1528</v>
      </c>
      <c r="G1067" s="847" t="str">
        <f>IFERROR(VLOOKUP(F1067,'[1]код океи'!$B$2:$C$448,2,1)," ")</f>
        <v>Штука</v>
      </c>
      <c r="H1067" s="858">
        <v>2</v>
      </c>
      <c r="I1067" s="604" t="s">
        <v>2161</v>
      </c>
      <c r="J1067" s="907" t="s">
        <v>1454</v>
      </c>
      <c r="K1067" s="862" t="s">
        <v>5735</v>
      </c>
      <c r="L1067" s="868">
        <v>15500000</v>
      </c>
      <c r="M1067" s="634"/>
      <c r="N1067" s="849">
        <v>15500000</v>
      </c>
      <c r="O1067" s="895">
        <v>42890</v>
      </c>
      <c r="P1067" s="851">
        <v>43070</v>
      </c>
      <c r="Q1067" s="634" t="s">
        <v>100</v>
      </c>
      <c r="R1067" s="634" t="s">
        <v>112</v>
      </c>
      <c r="S1067" s="634" t="s">
        <v>1457</v>
      </c>
      <c r="T1067" s="847"/>
      <c r="U1067" s="634"/>
      <c r="V1067" s="634"/>
      <c r="W1067" s="637"/>
      <c r="X1067" s="638"/>
      <c r="Y1067" s="637"/>
      <c r="Z1067" s="636"/>
      <c r="AA1067" s="908" t="s">
        <v>1458</v>
      </c>
      <c r="AB1067" s="843" t="s">
        <v>263</v>
      </c>
      <c r="AC1067" s="652"/>
      <c r="AD1067" s="844" t="s">
        <v>113</v>
      </c>
      <c r="AE1067" s="877">
        <f t="shared" si="24"/>
        <v>6</v>
      </c>
    </row>
    <row r="1068" spans="1:31" ht="30" hidden="1" customHeight="1" x14ac:dyDescent="0.25">
      <c r="A1068" s="671" t="s">
        <v>5615</v>
      </c>
      <c r="B1068" s="901" t="s">
        <v>5546</v>
      </c>
      <c r="C1068" s="897" t="s">
        <v>5548</v>
      </c>
      <c r="D1068" s="891" t="s">
        <v>5671</v>
      </c>
      <c r="E1068" s="847" t="s">
        <v>2223</v>
      </c>
      <c r="F1068" s="890" t="s">
        <v>1528</v>
      </c>
      <c r="G1068" s="847" t="str">
        <f>IFERROR(VLOOKUP(F1068,'[1]код океи'!$B$2:$C$448,2,1)," ")</f>
        <v>Штука</v>
      </c>
      <c r="H1068" s="858">
        <v>1</v>
      </c>
      <c r="I1068" s="604" t="s">
        <v>2161</v>
      </c>
      <c r="J1068" s="907" t="s">
        <v>1454</v>
      </c>
      <c r="K1068" s="862" t="s">
        <v>5736</v>
      </c>
      <c r="L1068" s="868">
        <v>190000</v>
      </c>
      <c r="M1068" s="634"/>
      <c r="N1068" s="849">
        <v>190000</v>
      </c>
      <c r="O1068" s="895">
        <v>42890</v>
      </c>
      <c r="P1068" s="851">
        <v>43070</v>
      </c>
      <c r="Q1068" s="634" t="s">
        <v>108</v>
      </c>
      <c r="R1068" s="634" t="s">
        <v>112</v>
      </c>
      <c r="S1068" s="634" t="s">
        <v>1457</v>
      </c>
      <c r="T1068" s="847"/>
      <c r="U1068" s="634"/>
      <c r="V1068" s="634"/>
      <c r="W1068" s="637"/>
      <c r="X1068" s="638"/>
      <c r="Y1068" s="637"/>
      <c r="Z1068" s="636"/>
      <c r="AA1068" s="908" t="s">
        <v>1458</v>
      </c>
      <c r="AB1068" s="843" t="s">
        <v>263</v>
      </c>
      <c r="AC1068" s="652"/>
      <c r="AD1068" s="844" t="s">
        <v>113</v>
      </c>
      <c r="AE1068" s="877">
        <f t="shared" si="24"/>
        <v>6</v>
      </c>
    </row>
    <row r="1069" spans="1:31" ht="39" hidden="1" customHeight="1" x14ac:dyDescent="0.25">
      <c r="A1069" s="671" t="s">
        <v>5616</v>
      </c>
      <c r="B1069" s="898" t="s">
        <v>1787</v>
      </c>
      <c r="C1069" s="898" t="s">
        <v>3123</v>
      </c>
      <c r="D1069" s="847" t="s">
        <v>5792</v>
      </c>
      <c r="E1069" s="847" t="s">
        <v>2223</v>
      </c>
      <c r="F1069" s="890" t="s">
        <v>1528</v>
      </c>
      <c r="G1069" s="847" t="str">
        <f>IFERROR(VLOOKUP(F1069,'[1]код океи'!$B$2:$C$448,2,1)," ")</f>
        <v>Штука</v>
      </c>
      <c r="H1069" s="858">
        <v>3</v>
      </c>
      <c r="I1069" s="604" t="s">
        <v>2161</v>
      </c>
      <c r="J1069" s="907" t="s">
        <v>1454</v>
      </c>
      <c r="K1069" s="862" t="s">
        <v>5695</v>
      </c>
      <c r="L1069" s="868">
        <v>2289200</v>
      </c>
      <c r="M1069" s="634" t="s">
        <v>997</v>
      </c>
      <c r="N1069" s="849">
        <v>2289200</v>
      </c>
      <c r="O1069" s="895">
        <v>42890</v>
      </c>
      <c r="P1069" s="895">
        <v>42953</v>
      </c>
      <c r="Q1069" s="634" t="s">
        <v>110</v>
      </c>
      <c r="R1069" s="634" t="s">
        <v>113</v>
      </c>
      <c r="S1069" s="634" t="s">
        <v>1455</v>
      </c>
      <c r="T1069" s="847"/>
      <c r="U1069" s="634"/>
      <c r="V1069" s="634"/>
      <c r="W1069" s="637" t="s">
        <v>73</v>
      </c>
      <c r="X1069" s="909">
        <v>7704855904</v>
      </c>
      <c r="Y1069" s="637" t="s">
        <v>3044</v>
      </c>
      <c r="Z1069" s="636">
        <v>2289200</v>
      </c>
      <c r="AA1069" s="908" t="s">
        <v>1458</v>
      </c>
      <c r="AB1069" s="843" t="s">
        <v>263</v>
      </c>
      <c r="AC1069" s="652"/>
      <c r="AD1069" s="844" t="s">
        <v>113</v>
      </c>
      <c r="AE1069" s="877">
        <f t="shared" si="24"/>
        <v>6</v>
      </c>
    </row>
    <row r="1070" spans="1:31" ht="44.25" hidden="1" customHeight="1" x14ac:dyDescent="0.25">
      <c r="A1070" s="671" t="s">
        <v>5617</v>
      </c>
      <c r="B1070" s="898" t="s">
        <v>1787</v>
      </c>
      <c r="C1070" s="898" t="s">
        <v>3123</v>
      </c>
      <c r="D1070" s="847" t="s">
        <v>5791</v>
      </c>
      <c r="E1070" s="847" t="s">
        <v>2223</v>
      </c>
      <c r="F1070" s="890" t="s">
        <v>1528</v>
      </c>
      <c r="G1070" s="847" t="str">
        <f>IFERROR(VLOOKUP(F1070,'[1]код океи'!$B$2:$C$448,2,1)," ")</f>
        <v>Штука</v>
      </c>
      <c r="H1070" s="858">
        <v>20</v>
      </c>
      <c r="I1070" s="604" t="s">
        <v>2161</v>
      </c>
      <c r="J1070" s="907" t="s">
        <v>1454</v>
      </c>
      <c r="K1070" s="862" t="s">
        <v>5696</v>
      </c>
      <c r="L1070" s="868">
        <v>240720</v>
      </c>
      <c r="M1070" s="634" t="s">
        <v>997</v>
      </c>
      <c r="N1070" s="849">
        <v>240720</v>
      </c>
      <c r="O1070" s="895">
        <v>42890</v>
      </c>
      <c r="P1070" s="895">
        <v>42953</v>
      </c>
      <c r="Q1070" s="634" t="s">
        <v>110</v>
      </c>
      <c r="R1070" s="634" t="s">
        <v>113</v>
      </c>
      <c r="S1070" s="634" t="s">
        <v>1455</v>
      </c>
      <c r="T1070" s="847"/>
      <c r="U1070" s="634"/>
      <c r="V1070" s="634"/>
      <c r="W1070" s="637" t="s">
        <v>73</v>
      </c>
      <c r="X1070" s="638" t="s">
        <v>3043</v>
      </c>
      <c r="Y1070" s="637" t="s">
        <v>3044</v>
      </c>
      <c r="Z1070" s="636">
        <v>240720</v>
      </c>
      <c r="AA1070" s="908" t="s">
        <v>1458</v>
      </c>
      <c r="AB1070" s="843" t="s">
        <v>263</v>
      </c>
      <c r="AC1070" s="652"/>
      <c r="AD1070" s="844" t="s">
        <v>113</v>
      </c>
      <c r="AE1070" s="877">
        <f t="shared" si="24"/>
        <v>6</v>
      </c>
    </row>
    <row r="1071" spans="1:31" ht="42" hidden="1" customHeight="1" x14ac:dyDescent="0.25">
      <c r="A1071" s="671" t="s">
        <v>5618</v>
      </c>
      <c r="B1071" s="898" t="s">
        <v>2198</v>
      </c>
      <c r="C1071" s="898" t="s">
        <v>2199</v>
      </c>
      <c r="D1071" s="847" t="s">
        <v>5670</v>
      </c>
      <c r="E1071" s="847" t="s">
        <v>2455</v>
      </c>
      <c r="F1071" s="846" t="s">
        <v>1587</v>
      </c>
      <c r="G1071" s="847" t="str">
        <f>IFERROR(VLOOKUP(F1071,'[1]код океи'!$B$2:$C$448,2,1)," ")</f>
        <v>Комплект</v>
      </c>
      <c r="H1071" s="858">
        <v>2</v>
      </c>
      <c r="I1071" s="604" t="s">
        <v>2161</v>
      </c>
      <c r="J1071" s="907" t="s">
        <v>1454</v>
      </c>
      <c r="K1071" s="862" t="s">
        <v>5737</v>
      </c>
      <c r="L1071" s="868">
        <v>3000000</v>
      </c>
      <c r="M1071" s="634" t="s">
        <v>999</v>
      </c>
      <c r="N1071" s="849">
        <v>3000000</v>
      </c>
      <c r="O1071" s="895">
        <v>42890</v>
      </c>
      <c r="P1071" s="851">
        <v>43070</v>
      </c>
      <c r="Q1071" s="634" t="s">
        <v>110</v>
      </c>
      <c r="R1071" s="634" t="s">
        <v>113</v>
      </c>
      <c r="S1071" s="634" t="s">
        <v>1455</v>
      </c>
      <c r="T1071" s="847"/>
      <c r="U1071" s="634"/>
      <c r="V1071" s="634" t="s">
        <v>45</v>
      </c>
      <c r="W1071" s="637" t="s">
        <v>70</v>
      </c>
      <c r="X1071" s="638" t="s">
        <v>2349</v>
      </c>
      <c r="Y1071" s="637" t="s">
        <v>2350</v>
      </c>
      <c r="Z1071" s="636">
        <v>3000000</v>
      </c>
      <c r="AA1071" s="908" t="s">
        <v>1458</v>
      </c>
      <c r="AB1071" s="843" t="s">
        <v>263</v>
      </c>
      <c r="AC1071" s="652"/>
      <c r="AD1071" s="844" t="s">
        <v>113</v>
      </c>
      <c r="AE1071" s="877">
        <f t="shared" si="24"/>
        <v>6</v>
      </c>
    </row>
    <row r="1072" spans="1:31" ht="43.5" hidden="1" customHeight="1" x14ac:dyDescent="0.25">
      <c r="A1072" s="671" t="s">
        <v>5619</v>
      </c>
      <c r="B1072" s="898" t="s">
        <v>2421</v>
      </c>
      <c r="C1072" s="898" t="s">
        <v>2422</v>
      </c>
      <c r="D1072" s="847" t="s">
        <v>5790</v>
      </c>
      <c r="E1072" s="847" t="s">
        <v>1657</v>
      </c>
      <c r="F1072" s="846" t="s">
        <v>1587</v>
      </c>
      <c r="G1072" s="847" t="str">
        <f>IFERROR(VLOOKUP(F1072,'[1]код океи'!$B$2:$C$448,2,1)," ")</f>
        <v>Комплект</v>
      </c>
      <c r="H1072" s="858">
        <v>1</v>
      </c>
      <c r="I1072" s="604" t="s">
        <v>2161</v>
      </c>
      <c r="J1072" s="907" t="s">
        <v>1454</v>
      </c>
      <c r="K1072" s="862" t="s">
        <v>5738</v>
      </c>
      <c r="L1072" s="868">
        <v>2968567.93</v>
      </c>
      <c r="M1072" s="634"/>
      <c r="N1072" s="849">
        <v>2968567.93</v>
      </c>
      <c r="O1072" s="895">
        <v>42890</v>
      </c>
      <c r="P1072" s="851">
        <v>43070</v>
      </c>
      <c r="Q1072" s="634" t="s">
        <v>108</v>
      </c>
      <c r="R1072" s="634" t="s">
        <v>112</v>
      </c>
      <c r="S1072" s="634" t="s">
        <v>1457</v>
      </c>
      <c r="T1072" s="847"/>
      <c r="U1072" s="634"/>
      <c r="V1072" s="634"/>
      <c r="W1072" s="637"/>
      <c r="X1072" s="638"/>
      <c r="Y1072" s="637"/>
      <c r="Z1072" s="636"/>
      <c r="AA1072" s="908" t="s">
        <v>1458</v>
      </c>
      <c r="AB1072" s="843" t="s">
        <v>263</v>
      </c>
      <c r="AC1072" s="652"/>
      <c r="AD1072" s="844" t="s">
        <v>113</v>
      </c>
      <c r="AE1072" s="877">
        <f t="shared" si="24"/>
        <v>6</v>
      </c>
    </row>
    <row r="1073" spans="1:31" ht="36.75" hidden="1" customHeight="1" x14ac:dyDescent="0.25">
      <c r="A1073" s="671" t="s">
        <v>5620</v>
      </c>
      <c r="B1073" s="898" t="s">
        <v>5539</v>
      </c>
      <c r="C1073" s="898" t="s">
        <v>5540</v>
      </c>
      <c r="D1073" s="847" t="s">
        <v>5669</v>
      </c>
      <c r="E1073" s="847" t="s">
        <v>5541</v>
      </c>
      <c r="F1073" s="846" t="s">
        <v>1528</v>
      </c>
      <c r="G1073" s="847" t="str">
        <f>IFERROR(VLOOKUP(F1073,'[1]код океи'!$B$2:$C$448,2,1)," ")</f>
        <v>Штука</v>
      </c>
      <c r="H1073" s="858">
        <v>119</v>
      </c>
      <c r="I1073" s="604" t="s">
        <v>2161</v>
      </c>
      <c r="J1073" s="907" t="s">
        <v>1454</v>
      </c>
      <c r="K1073" s="862" t="s">
        <v>5739</v>
      </c>
      <c r="L1073" s="868">
        <v>886925.73</v>
      </c>
      <c r="M1073" s="634"/>
      <c r="N1073" s="849">
        <v>886925.73</v>
      </c>
      <c r="O1073" s="895">
        <v>42890</v>
      </c>
      <c r="P1073" s="851">
        <v>43285</v>
      </c>
      <c r="Q1073" s="634" t="s">
        <v>108</v>
      </c>
      <c r="R1073" s="634" t="s">
        <v>112</v>
      </c>
      <c r="S1073" s="634" t="s">
        <v>1457</v>
      </c>
      <c r="T1073" s="847"/>
      <c r="U1073" s="634"/>
      <c r="V1073" s="634"/>
      <c r="W1073" s="637"/>
      <c r="X1073" s="638"/>
      <c r="Y1073" s="637"/>
      <c r="Z1073" s="636"/>
      <c r="AA1073" s="908" t="s">
        <v>1458</v>
      </c>
      <c r="AB1073" s="843" t="s">
        <v>263</v>
      </c>
      <c r="AC1073" s="652"/>
      <c r="AD1073" s="844" t="s">
        <v>113</v>
      </c>
      <c r="AE1073" s="877">
        <f t="shared" si="24"/>
        <v>6</v>
      </c>
    </row>
    <row r="1074" spans="1:31" ht="40.5" hidden="1" customHeight="1" x14ac:dyDescent="0.25">
      <c r="A1074" s="671" t="s">
        <v>5621</v>
      </c>
      <c r="B1074" s="898" t="s">
        <v>3119</v>
      </c>
      <c r="C1074" s="898" t="s">
        <v>5549</v>
      </c>
      <c r="D1074" s="847" t="s">
        <v>5668</v>
      </c>
      <c r="E1074" s="847" t="s">
        <v>5550</v>
      </c>
      <c r="F1074" s="846" t="s">
        <v>1528</v>
      </c>
      <c r="G1074" s="847" t="str">
        <f>IFERROR(VLOOKUP(F1074,'[1]код океи'!$B$2:$C$448,2,1)," ")</f>
        <v>Штука</v>
      </c>
      <c r="H1074" s="858">
        <v>1</v>
      </c>
      <c r="I1074" s="604" t="s">
        <v>2161</v>
      </c>
      <c r="J1074" s="907" t="s">
        <v>1454</v>
      </c>
      <c r="K1074" s="862" t="s">
        <v>2107</v>
      </c>
      <c r="L1074" s="868">
        <v>212000</v>
      </c>
      <c r="M1074" s="634"/>
      <c r="N1074" s="849">
        <v>212000</v>
      </c>
      <c r="O1074" s="895">
        <v>42948</v>
      </c>
      <c r="P1074" s="851">
        <v>42979</v>
      </c>
      <c r="Q1074" s="634" t="s">
        <v>108</v>
      </c>
      <c r="R1074" s="634" t="s">
        <v>112</v>
      </c>
      <c r="S1074" s="634" t="s">
        <v>1457</v>
      </c>
      <c r="T1074" s="847"/>
      <c r="U1074" s="634"/>
      <c r="V1074" s="634"/>
      <c r="W1074" s="637"/>
      <c r="X1074" s="638"/>
      <c r="Y1074" s="637"/>
      <c r="Z1074" s="636"/>
      <c r="AA1074" s="908" t="s">
        <v>1458</v>
      </c>
      <c r="AB1074" s="843" t="s">
        <v>263</v>
      </c>
      <c r="AC1074" s="652"/>
      <c r="AD1074" s="844" t="s">
        <v>113</v>
      </c>
      <c r="AE1074" s="877">
        <f t="shared" si="24"/>
        <v>8</v>
      </c>
    </row>
    <row r="1075" spans="1:31" ht="44.25" hidden="1" customHeight="1" x14ac:dyDescent="0.25">
      <c r="A1075" s="671" t="s">
        <v>5622</v>
      </c>
      <c r="B1075" s="898" t="s">
        <v>138</v>
      </c>
      <c r="C1075" s="898" t="s">
        <v>138</v>
      </c>
      <c r="D1075" s="847" t="s">
        <v>5667</v>
      </c>
      <c r="E1075" s="847" t="s">
        <v>5551</v>
      </c>
      <c r="F1075" s="846" t="s">
        <v>1645</v>
      </c>
      <c r="G1075" s="847" t="str">
        <f>IFERROR(VLOOKUP(F1075,'[1]код океи'!$B$2:$C$448,2,1)," ")</f>
        <v>Килограмм</v>
      </c>
      <c r="H1075" s="858">
        <v>3374.8</v>
      </c>
      <c r="I1075" s="604" t="s">
        <v>2161</v>
      </c>
      <c r="J1075" s="907" t="s">
        <v>1454</v>
      </c>
      <c r="K1075" s="862" t="s">
        <v>5741</v>
      </c>
      <c r="L1075" s="868">
        <v>501088.92</v>
      </c>
      <c r="M1075" s="634"/>
      <c r="N1075" s="849">
        <v>501088.92</v>
      </c>
      <c r="O1075" s="895">
        <v>42890</v>
      </c>
      <c r="P1075" s="851">
        <v>43284</v>
      </c>
      <c r="Q1075" s="634" t="s">
        <v>108</v>
      </c>
      <c r="R1075" s="634" t="s">
        <v>112</v>
      </c>
      <c r="S1075" s="634" t="s">
        <v>1457</v>
      </c>
      <c r="T1075" s="847"/>
      <c r="U1075" s="634"/>
      <c r="V1075" s="634"/>
      <c r="W1075" s="637"/>
      <c r="X1075" s="638"/>
      <c r="Y1075" s="637"/>
      <c r="Z1075" s="636"/>
      <c r="AA1075" s="908" t="s">
        <v>1458</v>
      </c>
      <c r="AB1075" s="843" t="s">
        <v>263</v>
      </c>
      <c r="AC1075" s="652"/>
      <c r="AD1075" s="844" t="s">
        <v>113</v>
      </c>
      <c r="AE1075" s="877">
        <f t="shared" si="24"/>
        <v>6</v>
      </c>
    </row>
    <row r="1076" spans="1:31" ht="39.75" hidden="1" customHeight="1" x14ac:dyDescent="0.25">
      <c r="A1076" s="671" t="s">
        <v>5623</v>
      </c>
      <c r="B1076" s="898" t="s">
        <v>1690</v>
      </c>
      <c r="C1076" s="898" t="s">
        <v>216</v>
      </c>
      <c r="D1076" s="847" t="s">
        <v>5666</v>
      </c>
      <c r="E1076" s="847" t="s">
        <v>5551</v>
      </c>
      <c r="F1076" s="846" t="s">
        <v>1645</v>
      </c>
      <c r="G1076" s="847" t="str">
        <f>IFERROR(VLOOKUP(F1076,'[1]код океи'!$B$2:$C$448,2,1)," ")</f>
        <v>Килограмм</v>
      </c>
      <c r="H1076" s="858">
        <v>1060</v>
      </c>
      <c r="I1076" s="604" t="s">
        <v>2161</v>
      </c>
      <c r="J1076" s="907" t="s">
        <v>1454</v>
      </c>
      <c r="K1076" s="862" t="s">
        <v>5742</v>
      </c>
      <c r="L1076" s="868">
        <v>283767.65000000002</v>
      </c>
      <c r="M1076" s="634"/>
      <c r="N1076" s="849">
        <v>283767.65000000002</v>
      </c>
      <c r="O1076" s="895">
        <v>42890</v>
      </c>
      <c r="P1076" s="851">
        <v>43284</v>
      </c>
      <c r="Q1076" s="634" t="s">
        <v>108</v>
      </c>
      <c r="R1076" s="634" t="s">
        <v>112</v>
      </c>
      <c r="S1076" s="634" t="s">
        <v>1457</v>
      </c>
      <c r="T1076" s="847"/>
      <c r="U1076" s="634"/>
      <c r="V1076" s="634"/>
      <c r="W1076" s="637"/>
      <c r="X1076" s="638"/>
      <c r="Y1076" s="637"/>
      <c r="Z1076" s="636"/>
      <c r="AA1076" s="908" t="s">
        <v>1458</v>
      </c>
      <c r="AB1076" s="843" t="s">
        <v>263</v>
      </c>
      <c r="AC1076" s="652"/>
      <c r="AD1076" s="844" t="s">
        <v>113</v>
      </c>
      <c r="AE1076" s="877">
        <f t="shared" si="24"/>
        <v>6</v>
      </c>
    </row>
    <row r="1077" spans="1:31" ht="43.5" hidden="1" customHeight="1" x14ac:dyDescent="0.25">
      <c r="A1077" s="671" t="s">
        <v>5624</v>
      </c>
      <c r="B1077" s="898" t="s">
        <v>3123</v>
      </c>
      <c r="C1077" s="898" t="s">
        <v>3123</v>
      </c>
      <c r="D1077" s="847" t="s">
        <v>5789</v>
      </c>
      <c r="E1077" s="847" t="s">
        <v>5552</v>
      </c>
      <c r="F1077" s="846" t="s">
        <v>1528</v>
      </c>
      <c r="G1077" s="847" t="str">
        <f>IFERROR(VLOOKUP(F1077,'[1]код океи'!$B$2:$C$448,2,1)," ")</f>
        <v>Штука</v>
      </c>
      <c r="H1077" s="858">
        <v>44</v>
      </c>
      <c r="I1077" s="604" t="s">
        <v>2161</v>
      </c>
      <c r="J1077" s="907" t="s">
        <v>1454</v>
      </c>
      <c r="K1077" s="862" t="s">
        <v>5743</v>
      </c>
      <c r="L1077" s="868">
        <v>36000</v>
      </c>
      <c r="M1077" s="634"/>
      <c r="N1077" s="849">
        <v>36000</v>
      </c>
      <c r="O1077" s="895">
        <v>42890</v>
      </c>
      <c r="P1077" s="851">
        <v>42917</v>
      </c>
      <c r="Q1077" s="634" t="s">
        <v>108</v>
      </c>
      <c r="R1077" s="634" t="s">
        <v>112</v>
      </c>
      <c r="S1077" s="634" t="s">
        <v>1457</v>
      </c>
      <c r="T1077" s="847"/>
      <c r="U1077" s="634"/>
      <c r="V1077" s="634"/>
      <c r="W1077" s="637"/>
      <c r="X1077" s="638"/>
      <c r="Y1077" s="637"/>
      <c r="Z1077" s="636"/>
      <c r="AA1077" s="908" t="s">
        <v>1458</v>
      </c>
      <c r="AB1077" s="843" t="s">
        <v>263</v>
      </c>
      <c r="AC1077" s="652"/>
      <c r="AD1077" s="844" t="s">
        <v>113</v>
      </c>
      <c r="AE1077" s="877">
        <f t="shared" si="24"/>
        <v>6</v>
      </c>
    </row>
    <row r="1078" spans="1:31" ht="37.5" hidden="1" customHeight="1" x14ac:dyDescent="0.25">
      <c r="A1078" s="671" t="s">
        <v>5625</v>
      </c>
      <c r="B1078" s="898" t="s">
        <v>5553</v>
      </c>
      <c r="C1078" s="898" t="s">
        <v>5554</v>
      </c>
      <c r="D1078" s="847" t="s">
        <v>5788</v>
      </c>
      <c r="E1078" s="847" t="s">
        <v>5552</v>
      </c>
      <c r="F1078" s="846" t="s">
        <v>1528</v>
      </c>
      <c r="G1078" s="847" t="str">
        <f>IFERROR(VLOOKUP(F1078,'[1]код океи'!$B$2:$C$448,2,1)," ")</f>
        <v>Штука</v>
      </c>
      <c r="H1078" s="858">
        <v>26</v>
      </c>
      <c r="I1078" s="604" t="s">
        <v>2161</v>
      </c>
      <c r="J1078" s="907" t="s">
        <v>1454</v>
      </c>
      <c r="K1078" s="862" t="s">
        <v>6378</v>
      </c>
      <c r="L1078" s="868">
        <v>8299.33</v>
      </c>
      <c r="M1078" s="634"/>
      <c r="N1078" s="849">
        <v>8299.33</v>
      </c>
      <c r="O1078" s="895">
        <v>42917</v>
      </c>
      <c r="P1078" s="851">
        <v>42917</v>
      </c>
      <c r="Q1078" s="634" t="s">
        <v>108</v>
      </c>
      <c r="R1078" s="634" t="s">
        <v>112</v>
      </c>
      <c r="S1078" s="634" t="s">
        <v>1457</v>
      </c>
      <c r="T1078" s="847"/>
      <c r="U1078" s="634"/>
      <c r="V1078" s="634"/>
      <c r="W1078" s="637"/>
      <c r="X1078" s="638"/>
      <c r="Y1078" s="637"/>
      <c r="Z1078" s="636"/>
      <c r="AA1078" s="908" t="s">
        <v>1458</v>
      </c>
      <c r="AB1078" s="843" t="s">
        <v>263</v>
      </c>
      <c r="AC1078" s="652"/>
      <c r="AD1078" s="844" t="s">
        <v>113</v>
      </c>
      <c r="AE1078" s="877">
        <f t="shared" si="24"/>
        <v>7</v>
      </c>
    </row>
    <row r="1079" spans="1:31" ht="47.25" hidden="1" customHeight="1" x14ac:dyDescent="0.25">
      <c r="A1079" s="671" t="s">
        <v>5626</v>
      </c>
      <c r="B1079" s="898" t="s">
        <v>1687</v>
      </c>
      <c r="C1079" s="898" t="s">
        <v>3132</v>
      </c>
      <c r="D1079" s="847" t="s">
        <v>5787</v>
      </c>
      <c r="E1079" s="847" t="s">
        <v>1657</v>
      </c>
      <c r="F1079" s="846" t="s">
        <v>1645</v>
      </c>
      <c r="G1079" s="847" t="str">
        <f>IFERROR(VLOOKUP(F1079,'[1]код океи'!$B$2:$C$448,2,1)," ")</f>
        <v>Килограмм</v>
      </c>
      <c r="H1079" s="858">
        <v>935</v>
      </c>
      <c r="I1079" s="604" t="s">
        <v>2161</v>
      </c>
      <c r="J1079" s="907" t="s">
        <v>1454</v>
      </c>
      <c r="K1079" s="862" t="s">
        <v>5744</v>
      </c>
      <c r="L1079" s="868">
        <v>383677</v>
      </c>
      <c r="M1079" s="634" t="s">
        <v>997</v>
      </c>
      <c r="N1079" s="849">
        <v>383677</v>
      </c>
      <c r="O1079" s="895">
        <v>42890</v>
      </c>
      <c r="P1079" s="851">
        <v>43100</v>
      </c>
      <c r="Q1079" s="634" t="s">
        <v>110</v>
      </c>
      <c r="R1079" s="634" t="s">
        <v>113</v>
      </c>
      <c r="S1079" s="634" t="s">
        <v>1455</v>
      </c>
      <c r="T1079" s="847"/>
      <c r="U1079" s="634"/>
      <c r="V1079" s="634" t="s">
        <v>45</v>
      </c>
      <c r="W1079" s="637" t="s">
        <v>268</v>
      </c>
      <c r="X1079" s="638" t="s">
        <v>5967</v>
      </c>
      <c r="Y1079" s="637" t="s">
        <v>5968</v>
      </c>
      <c r="Z1079" s="636">
        <v>383677</v>
      </c>
      <c r="AA1079" s="908" t="s">
        <v>1458</v>
      </c>
      <c r="AB1079" s="843" t="s">
        <v>263</v>
      </c>
      <c r="AC1079" s="652"/>
      <c r="AD1079" s="844" t="s">
        <v>113</v>
      </c>
      <c r="AE1079" s="877">
        <f t="shared" si="24"/>
        <v>6</v>
      </c>
    </row>
    <row r="1080" spans="1:31" ht="42" hidden="1" customHeight="1" x14ac:dyDescent="0.25">
      <c r="A1080" s="671" t="s">
        <v>5627</v>
      </c>
      <c r="B1080" s="898" t="s">
        <v>1815</v>
      </c>
      <c r="C1080" s="898" t="s">
        <v>1903</v>
      </c>
      <c r="D1080" s="847" t="s">
        <v>5786</v>
      </c>
      <c r="E1080" s="847" t="s">
        <v>2235</v>
      </c>
      <c r="F1080" s="846" t="s">
        <v>1528</v>
      </c>
      <c r="G1080" s="847" t="str">
        <f>IFERROR(VLOOKUP(F1080,'[1]код океи'!$B$2:$C$448,2,1)," ")</f>
        <v>Штука</v>
      </c>
      <c r="H1080" s="858">
        <v>1</v>
      </c>
      <c r="I1080" s="604" t="s">
        <v>2161</v>
      </c>
      <c r="J1080" s="907" t="s">
        <v>1454</v>
      </c>
      <c r="K1080" s="862" t="s">
        <v>4937</v>
      </c>
      <c r="L1080" s="868">
        <v>150000</v>
      </c>
      <c r="M1080" s="634"/>
      <c r="N1080" s="849">
        <v>150000</v>
      </c>
      <c r="O1080" s="895">
        <v>42890</v>
      </c>
      <c r="P1080" s="851">
        <v>42953</v>
      </c>
      <c r="Q1080" s="634" t="s">
        <v>110</v>
      </c>
      <c r="R1080" s="634" t="s">
        <v>113</v>
      </c>
      <c r="S1080" s="634" t="s">
        <v>1455</v>
      </c>
      <c r="T1080" s="847"/>
      <c r="U1080" s="634"/>
      <c r="V1080" s="634"/>
      <c r="W1080" s="637"/>
      <c r="X1080" s="638"/>
      <c r="Y1080" s="637"/>
      <c r="Z1080" s="636"/>
      <c r="AA1080" s="908" t="s">
        <v>1458</v>
      </c>
      <c r="AB1080" s="843" t="s">
        <v>263</v>
      </c>
      <c r="AC1080" s="652"/>
      <c r="AD1080" s="844" t="s">
        <v>113</v>
      </c>
      <c r="AE1080" s="877">
        <f t="shared" si="24"/>
        <v>6</v>
      </c>
    </row>
    <row r="1081" spans="1:31" ht="42.75" hidden="1" customHeight="1" x14ac:dyDescent="0.25">
      <c r="A1081" s="671" t="s">
        <v>5628</v>
      </c>
      <c r="B1081" s="898" t="s">
        <v>2211</v>
      </c>
      <c r="C1081" s="898" t="s">
        <v>2212</v>
      </c>
      <c r="D1081" s="847" t="s">
        <v>5785</v>
      </c>
      <c r="E1081" s="847" t="s">
        <v>2235</v>
      </c>
      <c r="F1081" s="846" t="s">
        <v>1528</v>
      </c>
      <c r="G1081" s="847" t="str">
        <f>IFERROR(VLOOKUP(F1081,'[1]код океи'!$B$2:$C$448,2,1)," ")</f>
        <v>Штука</v>
      </c>
      <c r="H1081" s="858">
        <v>36</v>
      </c>
      <c r="I1081" s="604" t="s">
        <v>2161</v>
      </c>
      <c r="J1081" s="907" t="s">
        <v>1454</v>
      </c>
      <c r="K1081" s="862" t="s">
        <v>5745</v>
      </c>
      <c r="L1081" s="868">
        <v>358544.33</v>
      </c>
      <c r="M1081" s="634"/>
      <c r="N1081" s="849">
        <v>358544.33</v>
      </c>
      <c r="O1081" s="895">
        <v>42890</v>
      </c>
      <c r="P1081" s="851">
        <v>42948</v>
      </c>
      <c r="Q1081" s="634" t="s">
        <v>108</v>
      </c>
      <c r="R1081" s="634" t="s">
        <v>112</v>
      </c>
      <c r="S1081" s="634" t="s">
        <v>1457</v>
      </c>
      <c r="T1081" s="847"/>
      <c r="U1081" s="634"/>
      <c r="V1081" s="634"/>
      <c r="W1081" s="637"/>
      <c r="X1081" s="638"/>
      <c r="Y1081" s="637"/>
      <c r="Z1081" s="636"/>
      <c r="AA1081" s="908" t="s">
        <v>1458</v>
      </c>
      <c r="AB1081" s="843" t="s">
        <v>263</v>
      </c>
      <c r="AC1081" s="652"/>
      <c r="AD1081" s="844" t="s">
        <v>113</v>
      </c>
      <c r="AE1081" s="877">
        <f t="shared" ref="AE1081:AE1104" si="25">IF(O1081=0,,MONTH(O1081))</f>
        <v>6</v>
      </c>
    </row>
    <row r="1082" spans="1:31" ht="38.25" hidden="1" customHeight="1" x14ac:dyDescent="0.25">
      <c r="A1082" s="671" t="s">
        <v>5629</v>
      </c>
      <c r="B1082" s="898" t="s">
        <v>5555</v>
      </c>
      <c r="C1082" s="898" t="s">
        <v>5556</v>
      </c>
      <c r="D1082" s="847" t="s">
        <v>5784</v>
      </c>
      <c r="E1082" s="847" t="s">
        <v>2235</v>
      </c>
      <c r="F1082" s="846" t="s">
        <v>1528</v>
      </c>
      <c r="G1082" s="847" t="str">
        <f>IFERROR(VLOOKUP(F1082,'[1]код океи'!$B$2:$C$448,2,1)," ")</f>
        <v>Штука</v>
      </c>
      <c r="H1082" s="858">
        <v>20</v>
      </c>
      <c r="I1082" s="604" t="s">
        <v>2161</v>
      </c>
      <c r="J1082" s="907" t="s">
        <v>1454</v>
      </c>
      <c r="K1082" s="862" t="s">
        <v>5746</v>
      </c>
      <c r="L1082" s="868">
        <v>135803.4</v>
      </c>
      <c r="M1082" s="634"/>
      <c r="N1082" s="849">
        <v>135803.4</v>
      </c>
      <c r="O1082" s="895">
        <v>42890</v>
      </c>
      <c r="P1082" s="851">
        <v>42949</v>
      </c>
      <c r="Q1082" s="634" t="s">
        <v>108</v>
      </c>
      <c r="R1082" s="634" t="s">
        <v>112</v>
      </c>
      <c r="S1082" s="634" t="s">
        <v>1457</v>
      </c>
      <c r="T1082" s="847"/>
      <c r="U1082" s="634"/>
      <c r="V1082" s="634"/>
      <c r="W1082" s="637"/>
      <c r="X1082" s="638"/>
      <c r="Y1082" s="637"/>
      <c r="Z1082" s="636"/>
      <c r="AA1082" s="908" t="s">
        <v>1458</v>
      </c>
      <c r="AB1082" s="843" t="s">
        <v>263</v>
      </c>
      <c r="AC1082" s="652"/>
      <c r="AD1082" s="844" t="s">
        <v>113</v>
      </c>
      <c r="AE1082" s="877">
        <f t="shared" si="25"/>
        <v>6</v>
      </c>
    </row>
    <row r="1083" spans="1:31" ht="41.25" hidden="1" customHeight="1" x14ac:dyDescent="0.25">
      <c r="A1083" s="671" t="s">
        <v>5630</v>
      </c>
      <c r="B1083" s="898" t="s">
        <v>1793</v>
      </c>
      <c r="C1083" s="898" t="s">
        <v>4977</v>
      </c>
      <c r="D1083" s="847" t="s">
        <v>5783</v>
      </c>
      <c r="E1083" s="847" t="s">
        <v>2235</v>
      </c>
      <c r="F1083" s="846" t="s">
        <v>1528</v>
      </c>
      <c r="G1083" s="847" t="str">
        <f>IFERROR(VLOOKUP(F1083,'[1]код океи'!$B$2:$C$448,2,1)," ")</f>
        <v>Штука</v>
      </c>
      <c r="H1083" s="858">
        <v>5</v>
      </c>
      <c r="I1083" s="604" t="s">
        <v>2161</v>
      </c>
      <c r="J1083" s="907" t="s">
        <v>1454</v>
      </c>
      <c r="K1083" s="862" t="s">
        <v>5699</v>
      </c>
      <c r="L1083" s="868">
        <v>750938.33</v>
      </c>
      <c r="M1083" s="634"/>
      <c r="N1083" s="849">
        <v>750938.33</v>
      </c>
      <c r="O1083" s="895">
        <v>42890</v>
      </c>
      <c r="P1083" s="851">
        <v>42949</v>
      </c>
      <c r="Q1083" s="634" t="s">
        <v>108</v>
      </c>
      <c r="R1083" s="634" t="s">
        <v>112</v>
      </c>
      <c r="S1083" s="634" t="s">
        <v>1457</v>
      </c>
      <c r="T1083" s="847"/>
      <c r="U1083" s="634"/>
      <c r="V1083" s="634"/>
      <c r="W1083" s="637"/>
      <c r="X1083" s="638"/>
      <c r="Y1083" s="637"/>
      <c r="Z1083" s="636"/>
      <c r="AA1083" s="908" t="s">
        <v>1458</v>
      </c>
      <c r="AB1083" s="843" t="s">
        <v>263</v>
      </c>
      <c r="AC1083" s="652"/>
      <c r="AD1083" s="844" t="s">
        <v>113</v>
      </c>
      <c r="AE1083" s="877">
        <f t="shared" si="25"/>
        <v>6</v>
      </c>
    </row>
    <row r="1084" spans="1:31" ht="54" hidden="1" customHeight="1" x14ac:dyDescent="0.25">
      <c r="A1084" s="671" t="s">
        <v>5631</v>
      </c>
      <c r="B1084" s="898" t="s">
        <v>1793</v>
      </c>
      <c r="C1084" s="898" t="s">
        <v>4977</v>
      </c>
      <c r="D1084" s="847" t="s">
        <v>5782</v>
      </c>
      <c r="E1084" s="847" t="s">
        <v>2235</v>
      </c>
      <c r="F1084" s="846" t="s">
        <v>1528</v>
      </c>
      <c r="G1084" s="847" t="str">
        <f>IFERROR(VLOOKUP(F1084,'[1]код океи'!$B$2:$C$448,2,1)," ")</f>
        <v>Штука</v>
      </c>
      <c r="H1084" s="858">
        <v>15</v>
      </c>
      <c r="I1084" s="604" t="s">
        <v>2161</v>
      </c>
      <c r="J1084" s="907" t="s">
        <v>1454</v>
      </c>
      <c r="K1084" s="862" t="s">
        <v>5747</v>
      </c>
      <c r="L1084" s="868">
        <v>530700.34</v>
      </c>
      <c r="M1084" s="634"/>
      <c r="N1084" s="849">
        <v>530700.34</v>
      </c>
      <c r="O1084" s="895">
        <v>42890</v>
      </c>
      <c r="P1084" s="851">
        <v>42949</v>
      </c>
      <c r="Q1084" s="634" t="s">
        <v>108</v>
      </c>
      <c r="R1084" s="634" t="s">
        <v>112</v>
      </c>
      <c r="S1084" s="634" t="s">
        <v>1457</v>
      </c>
      <c r="T1084" s="847"/>
      <c r="U1084" s="634"/>
      <c r="V1084" s="634"/>
      <c r="W1084" s="637"/>
      <c r="X1084" s="638"/>
      <c r="Y1084" s="637"/>
      <c r="Z1084" s="636"/>
      <c r="AA1084" s="908" t="s">
        <v>1458</v>
      </c>
      <c r="AB1084" s="843" t="s">
        <v>263</v>
      </c>
      <c r="AC1084" s="652"/>
      <c r="AD1084" s="844" t="s">
        <v>113</v>
      </c>
      <c r="AE1084" s="877">
        <f t="shared" si="25"/>
        <v>6</v>
      </c>
    </row>
    <row r="1085" spans="1:31" ht="47.25" hidden="1" customHeight="1" x14ac:dyDescent="0.25">
      <c r="A1085" s="671" t="s">
        <v>5632</v>
      </c>
      <c r="B1085" s="898" t="s">
        <v>1526</v>
      </c>
      <c r="C1085" s="898" t="s">
        <v>1900</v>
      </c>
      <c r="D1085" s="847" t="s">
        <v>5781</v>
      </c>
      <c r="E1085" s="847" t="s">
        <v>2235</v>
      </c>
      <c r="F1085" s="846" t="s">
        <v>1528</v>
      </c>
      <c r="G1085" s="847" t="str">
        <f>IFERROR(VLOOKUP(F1085,'[1]код океи'!$B$2:$C$448,2,1)," ")</f>
        <v>Штука</v>
      </c>
      <c r="H1085" s="858">
        <v>142</v>
      </c>
      <c r="I1085" s="604" t="s">
        <v>2161</v>
      </c>
      <c r="J1085" s="907" t="s">
        <v>1454</v>
      </c>
      <c r="K1085" s="862" t="s">
        <v>5748</v>
      </c>
      <c r="L1085" s="868">
        <v>450000</v>
      </c>
      <c r="M1085" s="634"/>
      <c r="N1085" s="849">
        <v>450000</v>
      </c>
      <c r="O1085" s="895">
        <v>42890</v>
      </c>
      <c r="P1085" s="851">
        <v>42949</v>
      </c>
      <c r="Q1085" s="634" t="s">
        <v>108</v>
      </c>
      <c r="R1085" s="634" t="s">
        <v>112</v>
      </c>
      <c r="S1085" s="634" t="s">
        <v>1457</v>
      </c>
      <c r="T1085" s="847"/>
      <c r="U1085" s="634"/>
      <c r="V1085" s="634"/>
      <c r="W1085" s="637"/>
      <c r="X1085" s="638"/>
      <c r="Y1085" s="637"/>
      <c r="Z1085" s="636"/>
      <c r="AA1085" s="908" t="s">
        <v>1458</v>
      </c>
      <c r="AB1085" s="843" t="s">
        <v>263</v>
      </c>
      <c r="AC1085" s="652"/>
      <c r="AD1085" s="844" t="s">
        <v>113</v>
      </c>
      <c r="AE1085" s="877">
        <f t="shared" si="25"/>
        <v>6</v>
      </c>
    </row>
    <row r="1086" spans="1:31" ht="48" hidden="1" customHeight="1" x14ac:dyDescent="0.25">
      <c r="A1086" s="671" t="s">
        <v>5633</v>
      </c>
      <c r="B1086" s="898" t="s">
        <v>232</v>
      </c>
      <c r="C1086" s="898" t="s">
        <v>1733</v>
      </c>
      <c r="D1086" s="847" t="s">
        <v>5780</v>
      </c>
      <c r="E1086" s="847" t="s">
        <v>2223</v>
      </c>
      <c r="F1086" s="846" t="s">
        <v>1528</v>
      </c>
      <c r="G1086" s="847" t="str">
        <f>IFERROR(VLOOKUP(F1086,'[1]код океи'!$B$2:$C$448,2,1)," ")</f>
        <v>Штука</v>
      </c>
      <c r="H1086" s="858">
        <v>15</v>
      </c>
      <c r="I1086" s="604" t="s">
        <v>2161</v>
      </c>
      <c r="J1086" s="907" t="s">
        <v>1454</v>
      </c>
      <c r="K1086" s="862" t="s">
        <v>5749</v>
      </c>
      <c r="L1086" s="868">
        <v>191400</v>
      </c>
      <c r="M1086" s="634"/>
      <c r="N1086" s="849">
        <v>191400</v>
      </c>
      <c r="O1086" s="895">
        <v>42890</v>
      </c>
      <c r="P1086" s="851">
        <v>42949</v>
      </c>
      <c r="Q1086" s="634" t="s">
        <v>110</v>
      </c>
      <c r="R1086" s="634" t="s">
        <v>113</v>
      </c>
      <c r="S1086" s="634" t="s">
        <v>1455</v>
      </c>
      <c r="T1086" s="847"/>
      <c r="U1086" s="634"/>
      <c r="V1086" s="634"/>
      <c r="W1086" s="637"/>
      <c r="X1086" s="638"/>
      <c r="Y1086" s="637"/>
      <c r="Z1086" s="636"/>
      <c r="AA1086" s="908" t="s">
        <v>1458</v>
      </c>
      <c r="AB1086" s="843" t="s">
        <v>263</v>
      </c>
      <c r="AC1086" s="652"/>
      <c r="AD1086" s="844" t="s">
        <v>113</v>
      </c>
      <c r="AE1086" s="877">
        <f t="shared" si="25"/>
        <v>6</v>
      </c>
    </row>
    <row r="1087" spans="1:31" ht="50.25" hidden="1" customHeight="1" x14ac:dyDescent="0.25">
      <c r="A1087" s="671" t="s">
        <v>5634</v>
      </c>
      <c r="B1087" s="898" t="s">
        <v>1759</v>
      </c>
      <c r="C1087" s="898" t="s">
        <v>1759</v>
      </c>
      <c r="D1087" s="847" t="s">
        <v>5665</v>
      </c>
      <c r="E1087" s="847" t="s">
        <v>3142</v>
      </c>
      <c r="F1087" s="846" t="s">
        <v>1645</v>
      </c>
      <c r="G1087" s="847" t="str">
        <f>IFERROR(VLOOKUP(F1087,'[1]код океи'!$B$2:$C$448,2,1)," ")</f>
        <v>Килограмм</v>
      </c>
      <c r="H1087" s="858">
        <v>22</v>
      </c>
      <c r="I1087" s="604" t="s">
        <v>2161</v>
      </c>
      <c r="J1087" s="907" t="s">
        <v>1454</v>
      </c>
      <c r="K1087" s="862" t="s">
        <v>5750</v>
      </c>
      <c r="L1087" s="868">
        <v>1492700</v>
      </c>
      <c r="M1087" s="634" t="s">
        <v>997</v>
      </c>
      <c r="N1087" s="849">
        <v>1492700</v>
      </c>
      <c r="O1087" s="895">
        <v>42890</v>
      </c>
      <c r="P1087" s="851">
        <v>42887</v>
      </c>
      <c r="Q1087" s="634" t="s">
        <v>110</v>
      </c>
      <c r="R1087" s="634" t="s">
        <v>113</v>
      </c>
      <c r="S1087" s="634" t="s">
        <v>1455</v>
      </c>
      <c r="T1087" s="847"/>
      <c r="U1087" s="634"/>
      <c r="V1087" s="634" t="s">
        <v>45</v>
      </c>
      <c r="W1087" s="637" t="s">
        <v>268</v>
      </c>
      <c r="X1087" s="638" t="s">
        <v>3364</v>
      </c>
      <c r="Y1087" s="637" t="s">
        <v>3365</v>
      </c>
      <c r="Z1087" s="636">
        <v>1492700</v>
      </c>
      <c r="AA1087" s="908" t="s">
        <v>1458</v>
      </c>
      <c r="AB1087" s="843" t="s">
        <v>263</v>
      </c>
      <c r="AC1087" s="652"/>
      <c r="AD1087" s="844" t="s">
        <v>113</v>
      </c>
      <c r="AE1087" s="877">
        <f t="shared" si="25"/>
        <v>6</v>
      </c>
    </row>
    <row r="1088" spans="1:31" ht="45" hidden="1" customHeight="1" x14ac:dyDescent="0.25">
      <c r="A1088" s="671" t="s">
        <v>5635</v>
      </c>
      <c r="B1088" s="898" t="s">
        <v>1759</v>
      </c>
      <c r="C1088" s="898" t="s">
        <v>1759</v>
      </c>
      <c r="D1088" s="847" t="s">
        <v>5664</v>
      </c>
      <c r="E1088" s="847" t="s">
        <v>3142</v>
      </c>
      <c r="F1088" s="846" t="s">
        <v>1645</v>
      </c>
      <c r="G1088" s="847" t="str">
        <f>IFERROR(VLOOKUP(F1088,'[1]код океи'!$B$2:$C$448,2,1)," ")</f>
        <v>Килограмм</v>
      </c>
      <c r="H1088" s="858">
        <v>19</v>
      </c>
      <c r="I1088" s="604" t="s">
        <v>2161</v>
      </c>
      <c r="J1088" s="907" t="s">
        <v>1454</v>
      </c>
      <c r="K1088" s="862" t="s">
        <v>5751</v>
      </c>
      <c r="L1088" s="868">
        <v>1289150</v>
      </c>
      <c r="M1088" s="634"/>
      <c r="N1088" s="849">
        <v>1289150</v>
      </c>
      <c r="O1088" s="895">
        <v>42890</v>
      </c>
      <c r="P1088" s="895">
        <v>42890</v>
      </c>
      <c r="Q1088" s="634" t="s">
        <v>110</v>
      </c>
      <c r="R1088" s="634" t="s">
        <v>113</v>
      </c>
      <c r="S1088" s="634" t="s">
        <v>1455</v>
      </c>
      <c r="T1088" s="847"/>
      <c r="U1088" s="634"/>
      <c r="V1088" s="634" t="s">
        <v>45</v>
      </c>
      <c r="W1088" s="637" t="s">
        <v>268</v>
      </c>
      <c r="X1088" s="638" t="s">
        <v>3364</v>
      </c>
      <c r="Y1088" s="637" t="s">
        <v>3365</v>
      </c>
      <c r="Z1088" s="636">
        <v>1289150</v>
      </c>
      <c r="AA1088" s="908" t="s">
        <v>1458</v>
      </c>
      <c r="AB1088" s="843" t="s">
        <v>263</v>
      </c>
      <c r="AC1088" s="652"/>
      <c r="AD1088" s="844" t="s">
        <v>113</v>
      </c>
      <c r="AE1088" s="877">
        <f t="shared" si="25"/>
        <v>6</v>
      </c>
    </row>
    <row r="1089" spans="1:31" ht="56.25" hidden="1" customHeight="1" x14ac:dyDescent="0.25">
      <c r="A1089" s="671" t="s">
        <v>5636</v>
      </c>
      <c r="B1089" s="898" t="s">
        <v>1759</v>
      </c>
      <c r="C1089" s="898" t="s">
        <v>1759</v>
      </c>
      <c r="D1089" s="847" t="s">
        <v>5663</v>
      </c>
      <c r="E1089" s="847" t="s">
        <v>3142</v>
      </c>
      <c r="F1089" s="846" t="s">
        <v>1645</v>
      </c>
      <c r="G1089" s="847" t="str">
        <f>IFERROR(VLOOKUP(F1089,'[1]код океи'!$B$2:$C$448,2,1)," ")</f>
        <v>Килограмм</v>
      </c>
      <c r="H1089" s="858">
        <v>26</v>
      </c>
      <c r="I1089" s="604" t="s">
        <v>2161</v>
      </c>
      <c r="J1089" s="907" t="s">
        <v>1454</v>
      </c>
      <c r="K1089" s="862" t="s">
        <v>5752</v>
      </c>
      <c r="L1089" s="868">
        <v>1764100</v>
      </c>
      <c r="M1089" s="634"/>
      <c r="N1089" s="849">
        <v>1764100</v>
      </c>
      <c r="O1089" s="895">
        <v>42890</v>
      </c>
      <c r="P1089" s="895">
        <v>42890</v>
      </c>
      <c r="Q1089" s="634" t="s">
        <v>110</v>
      </c>
      <c r="R1089" s="634" t="s">
        <v>113</v>
      </c>
      <c r="S1089" s="634" t="s">
        <v>1455</v>
      </c>
      <c r="T1089" s="847"/>
      <c r="U1089" s="634"/>
      <c r="V1089" s="634"/>
      <c r="W1089" s="637" t="s">
        <v>268</v>
      </c>
      <c r="X1089" s="638" t="s">
        <v>3364</v>
      </c>
      <c r="Y1089" s="637" t="s">
        <v>3365</v>
      </c>
      <c r="Z1089" s="636">
        <v>1764100</v>
      </c>
      <c r="AA1089" s="908" t="s">
        <v>1458</v>
      </c>
      <c r="AB1089" s="843" t="s">
        <v>263</v>
      </c>
      <c r="AC1089" s="652"/>
      <c r="AD1089" s="844" t="s">
        <v>113</v>
      </c>
      <c r="AE1089" s="877">
        <f t="shared" si="25"/>
        <v>6</v>
      </c>
    </row>
    <row r="1090" spans="1:31" ht="42" hidden="1" customHeight="1" x14ac:dyDescent="0.25">
      <c r="A1090" s="671" t="s">
        <v>5637</v>
      </c>
      <c r="B1090" s="898" t="s">
        <v>1944</v>
      </c>
      <c r="C1090" s="898" t="s">
        <v>2203</v>
      </c>
      <c r="D1090" s="847" t="s">
        <v>5662</v>
      </c>
      <c r="E1090" s="847" t="s">
        <v>3142</v>
      </c>
      <c r="F1090" s="846" t="s">
        <v>1645</v>
      </c>
      <c r="G1090" s="847" t="str">
        <f>IFERROR(VLOOKUP(F1090,'[1]код океи'!$B$2:$C$448,2,1)," ")</f>
        <v>Килограмм</v>
      </c>
      <c r="H1090" s="858">
        <v>1.35</v>
      </c>
      <c r="I1090" s="604" t="s">
        <v>2161</v>
      </c>
      <c r="J1090" s="907" t="s">
        <v>1454</v>
      </c>
      <c r="K1090" s="862" t="s">
        <v>5753</v>
      </c>
      <c r="L1090" s="868">
        <v>837500</v>
      </c>
      <c r="M1090" s="634"/>
      <c r="N1090" s="849">
        <v>837500</v>
      </c>
      <c r="O1090" s="895">
        <v>42890</v>
      </c>
      <c r="P1090" s="895">
        <v>42890</v>
      </c>
      <c r="Q1090" s="634" t="s">
        <v>110</v>
      </c>
      <c r="R1090" s="634" t="s">
        <v>113</v>
      </c>
      <c r="S1090" s="634" t="s">
        <v>1455</v>
      </c>
      <c r="T1090" s="847"/>
      <c r="U1090" s="634"/>
      <c r="V1090" s="634" t="s">
        <v>45</v>
      </c>
      <c r="W1090" s="637" t="s">
        <v>268</v>
      </c>
      <c r="X1090" s="638" t="s">
        <v>3359</v>
      </c>
      <c r="Y1090" s="637" t="s">
        <v>3360</v>
      </c>
      <c r="Z1090" s="636">
        <v>837500</v>
      </c>
      <c r="AA1090" s="908" t="s">
        <v>1458</v>
      </c>
      <c r="AB1090" s="843" t="s">
        <v>263</v>
      </c>
      <c r="AC1090" s="652"/>
      <c r="AD1090" s="844" t="s">
        <v>113</v>
      </c>
      <c r="AE1090" s="877">
        <f t="shared" si="25"/>
        <v>6</v>
      </c>
    </row>
    <row r="1091" spans="1:31" ht="42.75" hidden="1" customHeight="1" x14ac:dyDescent="0.25">
      <c r="A1091" s="671" t="s">
        <v>5638</v>
      </c>
      <c r="B1091" s="898" t="s">
        <v>1944</v>
      </c>
      <c r="C1091" s="898" t="s">
        <v>2203</v>
      </c>
      <c r="D1091" s="847" t="s">
        <v>5661</v>
      </c>
      <c r="E1091" s="847" t="s">
        <v>3142</v>
      </c>
      <c r="F1091" s="846" t="s">
        <v>1645</v>
      </c>
      <c r="G1091" s="847" t="str">
        <f>IFERROR(VLOOKUP(F1091,'[1]код океи'!$B$2:$C$448,2,1)," ")</f>
        <v>Килограмм</v>
      </c>
      <c r="H1091" s="858">
        <v>1.3</v>
      </c>
      <c r="I1091" s="604" t="s">
        <v>2161</v>
      </c>
      <c r="J1091" s="907" t="s">
        <v>1454</v>
      </c>
      <c r="K1091" s="862" t="s">
        <v>5754</v>
      </c>
      <c r="L1091" s="868">
        <v>874000</v>
      </c>
      <c r="M1091" s="634"/>
      <c r="N1091" s="849">
        <v>874000</v>
      </c>
      <c r="O1091" s="895">
        <v>42890</v>
      </c>
      <c r="P1091" s="895">
        <v>42890</v>
      </c>
      <c r="Q1091" s="634" t="s">
        <v>110</v>
      </c>
      <c r="R1091" s="634" t="s">
        <v>113</v>
      </c>
      <c r="S1091" s="634" t="s">
        <v>1455</v>
      </c>
      <c r="T1091" s="847"/>
      <c r="U1091" s="634"/>
      <c r="V1091" s="634" t="s">
        <v>45</v>
      </c>
      <c r="W1091" s="637" t="s">
        <v>268</v>
      </c>
      <c r="X1091" s="638" t="s">
        <v>3359</v>
      </c>
      <c r="Y1091" s="637" t="s">
        <v>3360</v>
      </c>
      <c r="Z1091" s="636">
        <v>874000</v>
      </c>
      <c r="AA1091" s="908" t="s">
        <v>1458</v>
      </c>
      <c r="AB1091" s="843" t="s">
        <v>263</v>
      </c>
      <c r="AC1091" s="652"/>
      <c r="AD1091" s="844" t="s">
        <v>113</v>
      </c>
      <c r="AE1091" s="877">
        <f t="shared" si="25"/>
        <v>6</v>
      </c>
    </row>
    <row r="1092" spans="1:31" ht="105" hidden="1" x14ac:dyDescent="0.25">
      <c r="A1092" s="671" t="s">
        <v>5639</v>
      </c>
      <c r="B1092" s="898" t="s">
        <v>1944</v>
      </c>
      <c r="C1092" s="898" t="s">
        <v>2203</v>
      </c>
      <c r="D1092" s="864" t="s">
        <v>5660</v>
      </c>
      <c r="E1092" s="847" t="s">
        <v>3142</v>
      </c>
      <c r="F1092" s="846" t="s">
        <v>1645</v>
      </c>
      <c r="G1092" s="847" t="str">
        <f>IFERROR(VLOOKUP(F1092,'[1]код океи'!$B$2:$C$448,2,1)," ")</f>
        <v>Килограмм</v>
      </c>
      <c r="H1092" s="858">
        <v>1.9</v>
      </c>
      <c r="I1092" s="604" t="s">
        <v>2161</v>
      </c>
      <c r="J1092" s="907" t="s">
        <v>1454</v>
      </c>
      <c r="K1092" s="862" t="s">
        <v>5755</v>
      </c>
      <c r="L1092" s="868">
        <v>1122000</v>
      </c>
      <c r="M1092" s="634"/>
      <c r="N1092" s="849">
        <v>1122000</v>
      </c>
      <c r="O1092" s="895">
        <v>42890</v>
      </c>
      <c r="P1092" s="895">
        <v>42890</v>
      </c>
      <c r="Q1092" s="634" t="s">
        <v>110</v>
      </c>
      <c r="R1092" s="634" t="s">
        <v>113</v>
      </c>
      <c r="S1092" s="634" t="s">
        <v>1455</v>
      </c>
      <c r="T1092" s="847"/>
      <c r="U1092" s="634"/>
      <c r="V1092" s="634" t="s">
        <v>45</v>
      </c>
      <c r="W1092" s="637" t="s">
        <v>268</v>
      </c>
      <c r="X1092" s="638" t="s">
        <v>3359</v>
      </c>
      <c r="Y1092" s="637" t="s">
        <v>3360</v>
      </c>
      <c r="Z1092" s="636">
        <v>1122000</v>
      </c>
      <c r="AA1092" s="908" t="s">
        <v>1458</v>
      </c>
      <c r="AB1092" s="843" t="s">
        <v>263</v>
      </c>
      <c r="AC1092" s="652"/>
      <c r="AD1092" s="844" t="s">
        <v>113</v>
      </c>
      <c r="AE1092" s="877">
        <f t="shared" si="25"/>
        <v>6</v>
      </c>
    </row>
    <row r="1093" spans="1:31" ht="105" hidden="1" x14ac:dyDescent="0.25">
      <c r="A1093" s="671" t="s">
        <v>5640</v>
      </c>
      <c r="B1093" s="898" t="s">
        <v>1944</v>
      </c>
      <c r="C1093" s="898" t="s">
        <v>2203</v>
      </c>
      <c r="D1093" s="896" t="s">
        <v>5659</v>
      </c>
      <c r="E1093" s="847" t="s">
        <v>3142</v>
      </c>
      <c r="F1093" s="846" t="s">
        <v>1528</v>
      </c>
      <c r="G1093" s="847" t="str">
        <f>IFERROR(VLOOKUP(F1093,'[1]код океи'!$B$2:$C$448,2,1)," ")</f>
        <v>Штука</v>
      </c>
      <c r="H1093" s="858">
        <v>100</v>
      </c>
      <c r="I1093" s="604" t="s">
        <v>2161</v>
      </c>
      <c r="J1093" s="907" t="s">
        <v>1454</v>
      </c>
      <c r="K1093" s="862" t="s">
        <v>5756</v>
      </c>
      <c r="L1093" s="868">
        <v>12300000</v>
      </c>
      <c r="M1093" s="634"/>
      <c r="N1093" s="849">
        <v>12300000</v>
      </c>
      <c r="O1093" s="895">
        <v>42890</v>
      </c>
      <c r="P1093" s="895">
        <v>42890</v>
      </c>
      <c r="Q1093" s="634" t="s">
        <v>110</v>
      </c>
      <c r="R1093" s="634" t="s">
        <v>113</v>
      </c>
      <c r="S1093" s="634" t="s">
        <v>1455</v>
      </c>
      <c r="T1093" s="847"/>
      <c r="U1093" s="634"/>
      <c r="V1093" s="634"/>
      <c r="W1093" s="637"/>
      <c r="X1093" s="638"/>
      <c r="Y1093" s="637"/>
      <c r="Z1093" s="636"/>
      <c r="AA1093" s="908" t="s">
        <v>1458</v>
      </c>
      <c r="AB1093" s="843" t="s">
        <v>263</v>
      </c>
      <c r="AC1093" s="652"/>
      <c r="AD1093" s="844" t="s">
        <v>113</v>
      </c>
      <c r="AE1093" s="877">
        <f t="shared" si="25"/>
        <v>6</v>
      </c>
    </row>
    <row r="1094" spans="1:31" ht="48.75" hidden="1" customHeight="1" x14ac:dyDescent="0.25">
      <c r="A1094" s="671" t="s">
        <v>5641</v>
      </c>
      <c r="B1094" s="898" t="s">
        <v>1944</v>
      </c>
      <c r="C1094" s="898" t="s">
        <v>2203</v>
      </c>
      <c r="D1094" s="896" t="s">
        <v>5658</v>
      </c>
      <c r="E1094" s="847" t="s">
        <v>3142</v>
      </c>
      <c r="F1094" s="846" t="s">
        <v>1528</v>
      </c>
      <c r="G1094" s="847" t="str">
        <f>IFERROR(VLOOKUP(F1094,'[1]код океи'!$B$2:$C$448,2,1)," ")</f>
        <v>Штука</v>
      </c>
      <c r="H1094" s="858">
        <v>80</v>
      </c>
      <c r="I1094" s="604" t="s">
        <v>2161</v>
      </c>
      <c r="J1094" s="907" t="s">
        <v>1454</v>
      </c>
      <c r="K1094" s="862" t="s">
        <v>5757</v>
      </c>
      <c r="L1094" s="868">
        <v>1263000</v>
      </c>
      <c r="M1094" s="634"/>
      <c r="N1094" s="849">
        <v>1263000</v>
      </c>
      <c r="O1094" s="895">
        <v>42890</v>
      </c>
      <c r="P1094" s="895">
        <v>42890</v>
      </c>
      <c r="Q1094" s="634" t="s">
        <v>110</v>
      </c>
      <c r="R1094" s="634" t="s">
        <v>113</v>
      </c>
      <c r="S1094" s="634" t="s">
        <v>1455</v>
      </c>
      <c r="T1094" s="847"/>
      <c r="U1094" s="634"/>
      <c r="V1094" s="634"/>
      <c r="W1094" s="637"/>
      <c r="X1094" s="638"/>
      <c r="Y1094" s="637"/>
      <c r="Z1094" s="636"/>
      <c r="AA1094" s="908" t="s">
        <v>1458</v>
      </c>
      <c r="AB1094" s="843" t="s">
        <v>263</v>
      </c>
      <c r="AC1094" s="652"/>
      <c r="AD1094" s="844" t="s">
        <v>113</v>
      </c>
      <c r="AE1094" s="877">
        <f t="shared" si="25"/>
        <v>6</v>
      </c>
    </row>
    <row r="1095" spans="1:31" ht="45.75" hidden="1" customHeight="1" x14ac:dyDescent="0.25">
      <c r="A1095" s="671" t="s">
        <v>5642</v>
      </c>
      <c r="B1095" s="898" t="s">
        <v>1944</v>
      </c>
      <c r="C1095" s="898" t="s">
        <v>2203</v>
      </c>
      <c r="D1095" s="847" t="s">
        <v>5657</v>
      </c>
      <c r="E1095" s="847" t="s">
        <v>3142</v>
      </c>
      <c r="F1095" s="846" t="s">
        <v>1528</v>
      </c>
      <c r="G1095" s="847" t="str">
        <f>IFERROR(VLOOKUP(F1095,'[1]код океи'!$B$2:$C$448,2,1)," ")</f>
        <v>Штука</v>
      </c>
      <c r="H1095" s="858">
        <v>80</v>
      </c>
      <c r="I1095" s="604" t="s">
        <v>2161</v>
      </c>
      <c r="J1095" s="907" t="s">
        <v>1454</v>
      </c>
      <c r="K1095" s="862" t="s">
        <v>5758</v>
      </c>
      <c r="L1095" s="868">
        <v>1040004.8</v>
      </c>
      <c r="M1095" s="634" t="s">
        <v>997</v>
      </c>
      <c r="N1095" s="849">
        <v>1040000</v>
      </c>
      <c r="O1095" s="895">
        <v>42920</v>
      </c>
      <c r="P1095" s="895">
        <v>42890</v>
      </c>
      <c r="Q1095" s="634" t="s">
        <v>110</v>
      </c>
      <c r="R1095" s="634" t="s">
        <v>113</v>
      </c>
      <c r="S1095" s="634" t="s">
        <v>1455</v>
      </c>
      <c r="T1095" s="847"/>
      <c r="U1095" s="634"/>
      <c r="V1095" s="634" t="s">
        <v>45</v>
      </c>
      <c r="W1095" s="637" t="s">
        <v>268</v>
      </c>
      <c r="X1095" s="638" t="s">
        <v>3308</v>
      </c>
      <c r="Y1095" s="637" t="s">
        <v>3309</v>
      </c>
      <c r="Z1095" s="636">
        <v>1040004.8</v>
      </c>
      <c r="AA1095" s="908" t="s">
        <v>1458</v>
      </c>
      <c r="AB1095" s="843" t="s">
        <v>263</v>
      </c>
      <c r="AC1095" s="652"/>
      <c r="AD1095" s="844" t="s">
        <v>113</v>
      </c>
      <c r="AE1095" s="877">
        <f t="shared" si="25"/>
        <v>7</v>
      </c>
    </row>
    <row r="1096" spans="1:31" ht="48" hidden="1" customHeight="1" x14ac:dyDescent="0.25">
      <c r="A1096" s="671" t="s">
        <v>5643</v>
      </c>
      <c r="B1096" s="898" t="s">
        <v>5546</v>
      </c>
      <c r="C1096" s="898" t="s">
        <v>5557</v>
      </c>
      <c r="D1096" s="847" t="s">
        <v>5779</v>
      </c>
      <c r="E1096" s="847" t="s">
        <v>2223</v>
      </c>
      <c r="F1096" s="846" t="s">
        <v>1528</v>
      </c>
      <c r="G1096" s="847" t="str">
        <f>IFERROR(VLOOKUP(F1096,'[1]код океи'!$B$2:$C$448,2,1)," ")</f>
        <v>Штука</v>
      </c>
      <c r="H1096" s="858">
        <v>4</v>
      </c>
      <c r="I1096" s="604" t="s">
        <v>2161</v>
      </c>
      <c r="J1096" s="907" t="s">
        <v>1454</v>
      </c>
      <c r="K1096" s="862" t="s">
        <v>5759</v>
      </c>
      <c r="L1096" s="868">
        <v>525005</v>
      </c>
      <c r="M1096" s="634" t="s">
        <v>997</v>
      </c>
      <c r="N1096" s="849">
        <v>525005</v>
      </c>
      <c r="O1096" s="895">
        <v>42890</v>
      </c>
      <c r="P1096" s="895">
        <v>42890</v>
      </c>
      <c r="Q1096" s="634" t="s">
        <v>110</v>
      </c>
      <c r="R1096" s="634" t="s">
        <v>113</v>
      </c>
      <c r="S1096" s="634" t="s">
        <v>1455</v>
      </c>
      <c r="T1096" s="847"/>
      <c r="U1096" s="634"/>
      <c r="V1096" s="634" t="s">
        <v>45</v>
      </c>
      <c r="W1096" s="637" t="s">
        <v>268</v>
      </c>
      <c r="X1096" s="638" t="s">
        <v>6131</v>
      </c>
      <c r="Y1096" s="637" t="s">
        <v>6132</v>
      </c>
      <c r="Z1096" s="636">
        <v>525005</v>
      </c>
      <c r="AA1096" s="908" t="s">
        <v>1458</v>
      </c>
      <c r="AB1096" s="843" t="s">
        <v>263</v>
      </c>
      <c r="AC1096" s="652"/>
      <c r="AD1096" s="844" t="s">
        <v>113</v>
      </c>
      <c r="AE1096" s="877">
        <f t="shared" si="25"/>
        <v>6</v>
      </c>
    </row>
    <row r="1097" spans="1:31" ht="105" hidden="1" x14ac:dyDescent="0.25">
      <c r="A1097" s="671" t="s">
        <v>5644</v>
      </c>
      <c r="B1097" s="901" t="s">
        <v>1759</v>
      </c>
      <c r="C1097" s="898" t="s">
        <v>1759</v>
      </c>
      <c r="D1097" s="863" t="s">
        <v>5656</v>
      </c>
      <c r="E1097" s="847" t="s">
        <v>3142</v>
      </c>
      <c r="F1097" s="846" t="s">
        <v>1645</v>
      </c>
      <c r="G1097" s="847" t="str">
        <f>IFERROR(VLOOKUP(F1097,'[1]код океи'!$B$2:$C$448,2,1)," ")</f>
        <v>Килограмм</v>
      </c>
      <c r="H1097" s="858">
        <v>13</v>
      </c>
      <c r="I1097" s="604" t="s">
        <v>2161</v>
      </c>
      <c r="J1097" s="907" t="s">
        <v>1454</v>
      </c>
      <c r="K1097" s="862" t="s">
        <v>5760</v>
      </c>
      <c r="L1097" s="868">
        <v>882050</v>
      </c>
      <c r="M1097" s="634"/>
      <c r="N1097" s="849">
        <v>882050</v>
      </c>
      <c r="O1097" s="895">
        <v>42890</v>
      </c>
      <c r="P1097" s="895">
        <v>42890</v>
      </c>
      <c r="Q1097" s="634" t="s">
        <v>110</v>
      </c>
      <c r="R1097" s="634" t="s">
        <v>113</v>
      </c>
      <c r="S1097" s="634" t="s">
        <v>1455</v>
      </c>
      <c r="T1097" s="847"/>
      <c r="U1097" s="634"/>
      <c r="V1097" s="634"/>
      <c r="W1097" s="637" t="s">
        <v>268</v>
      </c>
      <c r="X1097" s="638" t="s">
        <v>3364</v>
      </c>
      <c r="Y1097" s="637" t="s">
        <v>3365</v>
      </c>
      <c r="Z1097" s="636">
        <v>882050</v>
      </c>
      <c r="AA1097" s="908" t="s">
        <v>1458</v>
      </c>
      <c r="AB1097" s="843" t="s">
        <v>263</v>
      </c>
      <c r="AC1097" s="652"/>
      <c r="AD1097" s="844" t="s">
        <v>113</v>
      </c>
      <c r="AE1097" s="877">
        <f t="shared" si="25"/>
        <v>6</v>
      </c>
    </row>
    <row r="1098" spans="1:31" ht="42" hidden="1" customHeight="1" x14ac:dyDescent="0.25">
      <c r="A1098" s="671" t="s">
        <v>5645</v>
      </c>
      <c r="B1098" s="898" t="s">
        <v>1944</v>
      </c>
      <c r="C1098" s="898" t="s">
        <v>2203</v>
      </c>
      <c r="D1098" s="847" t="s">
        <v>5655</v>
      </c>
      <c r="E1098" s="847" t="s">
        <v>3142</v>
      </c>
      <c r="F1098" s="846" t="s">
        <v>1645</v>
      </c>
      <c r="G1098" s="847" t="str">
        <f>IFERROR(VLOOKUP(F1098,'[1]код океи'!$B$2:$C$448,2,1)," ")</f>
        <v>Килограмм</v>
      </c>
      <c r="H1098" s="858">
        <v>0.72</v>
      </c>
      <c r="I1098" s="604" t="s">
        <v>2161</v>
      </c>
      <c r="J1098" s="907" t="s">
        <v>1454</v>
      </c>
      <c r="K1098" s="862" t="s">
        <v>5761</v>
      </c>
      <c r="L1098" s="868">
        <v>412700</v>
      </c>
      <c r="M1098" s="634"/>
      <c r="N1098" s="849">
        <v>412700</v>
      </c>
      <c r="O1098" s="895">
        <v>42890</v>
      </c>
      <c r="P1098" s="895">
        <v>42890</v>
      </c>
      <c r="Q1098" s="634" t="s">
        <v>110</v>
      </c>
      <c r="R1098" s="634" t="s">
        <v>113</v>
      </c>
      <c r="S1098" s="634" t="s">
        <v>1455</v>
      </c>
      <c r="T1098" s="847"/>
      <c r="U1098" s="634"/>
      <c r="V1098" s="634"/>
      <c r="W1098" s="637" t="s">
        <v>268</v>
      </c>
      <c r="X1098" s="638" t="s">
        <v>3359</v>
      </c>
      <c r="Y1098" s="637" t="s">
        <v>3360</v>
      </c>
      <c r="Z1098" s="636">
        <v>412700</v>
      </c>
      <c r="AA1098" s="908" t="s">
        <v>1458</v>
      </c>
      <c r="AB1098" s="843" t="s">
        <v>263</v>
      </c>
      <c r="AC1098" s="652"/>
      <c r="AD1098" s="844" t="s">
        <v>113</v>
      </c>
      <c r="AE1098" s="877">
        <f t="shared" si="25"/>
        <v>6</v>
      </c>
    </row>
    <row r="1099" spans="1:31" ht="105" hidden="1" x14ac:dyDescent="0.25">
      <c r="A1099" s="671" t="s">
        <v>5646</v>
      </c>
      <c r="B1099" s="901" t="s">
        <v>1759</v>
      </c>
      <c r="C1099" s="898" t="s">
        <v>1759</v>
      </c>
      <c r="D1099" s="863" t="s">
        <v>5654</v>
      </c>
      <c r="E1099" s="847" t="s">
        <v>3142</v>
      </c>
      <c r="F1099" s="846" t="s">
        <v>1645</v>
      </c>
      <c r="G1099" s="847" t="str">
        <f>IFERROR(VLOOKUP(F1099,'[1]код океи'!$B$2:$C$448,2,1)," ")</f>
        <v>Килограмм</v>
      </c>
      <c r="H1099" s="858">
        <v>10</v>
      </c>
      <c r="I1099" s="604" t="s">
        <v>2161</v>
      </c>
      <c r="J1099" s="907" t="s">
        <v>1454</v>
      </c>
      <c r="K1099" s="862" t="s">
        <v>5762</v>
      </c>
      <c r="L1099" s="868">
        <v>678500</v>
      </c>
      <c r="M1099" s="634"/>
      <c r="N1099" s="849">
        <v>678500</v>
      </c>
      <c r="O1099" s="895">
        <v>42890</v>
      </c>
      <c r="P1099" s="895">
        <v>42890</v>
      </c>
      <c r="Q1099" s="634" t="s">
        <v>110</v>
      </c>
      <c r="R1099" s="634" t="s">
        <v>113</v>
      </c>
      <c r="S1099" s="634" t="s">
        <v>1455</v>
      </c>
      <c r="T1099" s="847"/>
      <c r="U1099" s="634"/>
      <c r="V1099" s="634"/>
      <c r="W1099" s="637"/>
      <c r="X1099" s="638"/>
      <c r="Y1099" s="637"/>
      <c r="Z1099" s="636"/>
      <c r="AA1099" s="908" t="s">
        <v>1458</v>
      </c>
      <c r="AB1099" s="843" t="s">
        <v>263</v>
      </c>
      <c r="AC1099" s="652"/>
      <c r="AD1099" s="844" t="s">
        <v>113</v>
      </c>
      <c r="AE1099" s="877">
        <f t="shared" si="25"/>
        <v>6</v>
      </c>
    </row>
    <row r="1100" spans="1:31" ht="67.5" hidden="1" customHeight="1" x14ac:dyDescent="0.25">
      <c r="A1100" s="671" t="s">
        <v>5647</v>
      </c>
      <c r="B1100" s="898" t="s">
        <v>1944</v>
      </c>
      <c r="C1100" s="898" t="s">
        <v>2203</v>
      </c>
      <c r="D1100" s="847" t="s">
        <v>5653</v>
      </c>
      <c r="E1100" s="847" t="s">
        <v>3142</v>
      </c>
      <c r="F1100" s="846" t="s">
        <v>1645</v>
      </c>
      <c r="G1100" s="847" t="str">
        <f>IFERROR(VLOOKUP(F1100,'[1]код океи'!$B$2:$C$448,2,1)," ")</f>
        <v>Килограмм</v>
      </c>
      <c r="H1100" s="858">
        <v>0.52</v>
      </c>
      <c r="I1100" s="604" t="s">
        <v>2161</v>
      </c>
      <c r="J1100" s="907" t="s">
        <v>1454</v>
      </c>
      <c r="K1100" s="862" t="s">
        <v>5763</v>
      </c>
      <c r="L1100" s="868">
        <v>301800</v>
      </c>
      <c r="M1100" s="634"/>
      <c r="N1100" s="849">
        <v>301800</v>
      </c>
      <c r="O1100" s="895">
        <v>42890</v>
      </c>
      <c r="P1100" s="895">
        <v>42890</v>
      </c>
      <c r="Q1100" s="634" t="s">
        <v>110</v>
      </c>
      <c r="R1100" s="634" t="s">
        <v>113</v>
      </c>
      <c r="S1100" s="634" t="s">
        <v>1455</v>
      </c>
      <c r="T1100" s="847"/>
      <c r="U1100" s="634"/>
      <c r="V1100" s="634"/>
      <c r="W1100" s="637"/>
      <c r="X1100" s="638"/>
      <c r="Y1100" s="637"/>
      <c r="Z1100" s="636"/>
      <c r="AA1100" s="908" t="s">
        <v>1458</v>
      </c>
      <c r="AB1100" s="843" t="s">
        <v>263</v>
      </c>
      <c r="AC1100" s="652"/>
      <c r="AD1100" s="844" t="s">
        <v>113</v>
      </c>
      <c r="AE1100" s="877">
        <f t="shared" si="25"/>
        <v>6</v>
      </c>
    </row>
    <row r="1101" spans="1:31" ht="54" hidden="1" customHeight="1" x14ac:dyDescent="0.25">
      <c r="A1101" s="671" t="s">
        <v>5648</v>
      </c>
      <c r="B1101" s="898" t="s">
        <v>5546</v>
      </c>
      <c r="C1101" s="898" t="s">
        <v>1904</v>
      </c>
      <c r="D1101" s="847" t="s">
        <v>5652</v>
      </c>
      <c r="E1101" s="847" t="s">
        <v>2223</v>
      </c>
      <c r="F1101" s="846" t="s">
        <v>1528</v>
      </c>
      <c r="G1101" s="847" t="str">
        <f>IFERROR(VLOOKUP(F1101,'[1]код океи'!$B$2:$C$448,2,1)," ")</f>
        <v>Штука</v>
      </c>
      <c r="H1101" s="858">
        <v>4</v>
      </c>
      <c r="I1101" s="604" t="s">
        <v>2161</v>
      </c>
      <c r="J1101" s="907" t="s">
        <v>1454</v>
      </c>
      <c r="K1101" s="862" t="s">
        <v>5764</v>
      </c>
      <c r="L1101" s="868">
        <v>1074995</v>
      </c>
      <c r="M1101" s="634"/>
      <c r="N1101" s="849">
        <v>1074995</v>
      </c>
      <c r="O1101" s="895">
        <v>42890</v>
      </c>
      <c r="P1101" s="895">
        <v>42890</v>
      </c>
      <c r="Q1101" s="634" t="s">
        <v>110</v>
      </c>
      <c r="R1101" s="634" t="s">
        <v>113</v>
      </c>
      <c r="S1101" s="634" t="s">
        <v>1455</v>
      </c>
      <c r="T1101" s="847"/>
      <c r="U1101" s="634"/>
      <c r="V1101" s="634"/>
      <c r="W1101" s="637"/>
      <c r="X1101" s="638"/>
      <c r="Y1101" s="637"/>
      <c r="Z1101" s="636"/>
      <c r="AA1101" s="908" t="s">
        <v>1458</v>
      </c>
      <c r="AB1101" s="843" t="s">
        <v>263</v>
      </c>
      <c r="AC1101" s="652"/>
      <c r="AD1101" s="844" t="s">
        <v>113</v>
      </c>
      <c r="AE1101" s="877">
        <f t="shared" si="25"/>
        <v>6</v>
      </c>
    </row>
    <row r="1102" spans="1:31" ht="50.25" hidden="1" customHeight="1" x14ac:dyDescent="0.25">
      <c r="A1102" s="671" t="s">
        <v>5649</v>
      </c>
      <c r="B1102" s="901" t="s">
        <v>1687</v>
      </c>
      <c r="C1102" s="898" t="s">
        <v>3132</v>
      </c>
      <c r="D1102" s="847" t="s">
        <v>5778</v>
      </c>
      <c r="E1102" s="847" t="s">
        <v>4944</v>
      </c>
      <c r="F1102" s="846" t="s">
        <v>1645</v>
      </c>
      <c r="G1102" s="847" t="str">
        <f>IFERROR(VLOOKUP(F1102,'[11]код океи'!$B$2:$C$448,2,1)," ")</f>
        <v>Килограмм</v>
      </c>
      <c r="H1102" s="858">
        <v>4290.8599999999997</v>
      </c>
      <c r="I1102" s="604">
        <v>45000000000</v>
      </c>
      <c r="J1102" s="907" t="s">
        <v>1454</v>
      </c>
      <c r="K1102" s="862" t="s">
        <v>5765</v>
      </c>
      <c r="L1102" s="868">
        <v>1845822.24</v>
      </c>
      <c r="M1102" s="634"/>
      <c r="N1102" s="849">
        <v>1845822.24</v>
      </c>
      <c r="O1102" s="851">
        <v>42887</v>
      </c>
      <c r="P1102" s="851">
        <v>42917</v>
      </c>
      <c r="Q1102" s="634" t="s">
        <v>108</v>
      </c>
      <c r="R1102" s="634" t="s">
        <v>112</v>
      </c>
      <c r="S1102" s="634" t="s">
        <v>1457</v>
      </c>
      <c r="T1102" s="847"/>
      <c r="U1102" s="634"/>
      <c r="V1102" s="634"/>
      <c r="W1102" s="637"/>
      <c r="X1102" s="638"/>
      <c r="Y1102" s="637"/>
      <c r="Z1102" s="636"/>
      <c r="AA1102" s="908" t="s">
        <v>1458</v>
      </c>
      <c r="AB1102" s="843" t="s">
        <v>263</v>
      </c>
      <c r="AC1102" s="652"/>
      <c r="AD1102" s="844" t="s">
        <v>113</v>
      </c>
      <c r="AE1102" s="877">
        <f t="shared" si="25"/>
        <v>6</v>
      </c>
    </row>
    <row r="1103" spans="1:31" ht="44.25" hidden="1" customHeight="1" x14ac:dyDescent="0.25">
      <c r="A1103" s="671" t="s">
        <v>5650</v>
      </c>
      <c r="B1103" s="901" t="s">
        <v>1687</v>
      </c>
      <c r="C1103" s="898" t="s">
        <v>3132</v>
      </c>
      <c r="D1103" s="847" t="s">
        <v>5777</v>
      </c>
      <c r="E1103" s="847" t="s">
        <v>4944</v>
      </c>
      <c r="F1103" s="846" t="s">
        <v>1645</v>
      </c>
      <c r="G1103" s="847" t="str">
        <f>IFERROR(VLOOKUP(F1103,'[11]код океи'!$B$2:$C$448,2,1)," ")</f>
        <v>Килограмм</v>
      </c>
      <c r="H1103" s="858">
        <v>1465.53</v>
      </c>
      <c r="I1103" s="604">
        <v>45000000000</v>
      </c>
      <c r="J1103" s="907" t="s">
        <v>1454</v>
      </c>
      <c r="K1103" s="862" t="s">
        <v>5766</v>
      </c>
      <c r="L1103" s="868">
        <v>1004623.73</v>
      </c>
      <c r="M1103" s="634"/>
      <c r="N1103" s="849">
        <v>1004623.73</v>
      </c>
      <c r="O1103" s="851">
        <v>42887</v>
      </c>
      <c r="P1103" s="851">
        <v>42917</v>
      </c>
      <c r="Q1103" s="634" t="s">
        <v>108</v>
      </c>
      <c r="R1103" s="634" t="s">
        <v>112</v>
      </c>
      <c r="S1103" s="634" t="s">
        <v>1457</v>
      </c>
      <c r="T1103" s="847"/>
      <c r="U1103" s="634"/>
      <c r="V1103" s="634"/>
      <c r="W1103" s="637"/>
      <c r="X1103" s="638"/>
      <c r="Y1103" s="637"/>
      <c r="Z1103" s="636"/>
      <c r="AA1103" s="908" t="s">
        <v>1458</v>
      </c>
      <c r="AB1103" s="843" t="s">
        <v>263</v>
      </c>
      <c r="AC1103" s="652"/>
      <c r="AD1103" s="844" t="s">
        <v>113</v>
      </c>
      <c r="AE1103" s="877">
        <f t="shared" si="25"/>
        <v>6</v>
      </c>
    </row>
    <row r="1104" spans="1:31" ht="58.5" hidden="1" customHeight="1" x14ac:dyDescent="0.25">
      <c r="A1104" s="671" t="s">
        <v>5651</v>
      </c>
      <c r="B1104" s="898" t="s">
        <v>1526</v>
      </c>
      <c r="C1104" s="898" t="s">
        <v>1900</v>
      </c>
      <c r="D1104" s="847" t="s">
        <v>5776</v>
      </c>
      <c r="E1104" s="847" t="s">
        <v>2235</v>
      </c>
      <c r="F1104" s="846" t="s">
        <v>1587</v>
      </c>
      <c r="G1104" s="847" t="str">
        <f>IFERROR(VLOOKUP(F1104,'[1]код океи'!$B$2:$C$448,2,1)," ")</f>
        <v>Комплект</v>
      </c>
      <c r="H1104" s="858">
        <v>1</v>
      </c>
      <c r="I1104" s="604">
        <v>45000000000</v>
      </c>
      <c r="J1104" s="907" t="s">
        <v>1454</v>
      </c>
      <c r="K1104" s="862" t="s">
        <v>6816</v>
      </c>
      <c r="L1104" s="868">
        <v>438622.54</v>
      </c>
      <c r="M1104" s="634"/>
      <c r="N1104" s="1001">
        <v>438622.54</v>
      </c>
      <c r="O1104" s="1002">
        <v>42917</v>
      </c>
      <c r="P1104" s="958">
        <v>42979</v>
      </c>
      <c r="Q1104" s="634" t="s">
        <v>108</v>
      </c>
      <c r="R1104" s="634" t="s">
        <v>112</v>
      </c>
      <c r="S1104" s="634" t="s">
        <v>1457</v>
      </c>
      <c r="T1104" s="847"/>
      <c r="U1104" s="634"/>
      <c r="V1104" s="634"/>
      <c r="W1104" s="637"/>
      <c r="X1104" s="638"/>
      <c r="Y1104" s="637"/>
      <c r="Z1104" s="636"/>
      <c r="AA1104" s="908" t="s">
        <v>1458</v>
      </c>
      <c r="AB1104" s="843" t="s">
        <v>263</v>
      </c>
      <c r="AC1104" s="652"/>
      <c r="AD1104" s="844" t="s">
        <v>113</v>
      </c>
      <c r="AE1104" s="877">
        <f t="shared" si="25"/>
        <v>7</v>
      </c>
    </row>
    <row r="1105" spans="1:31" ht="105" hidden="1" x14ac:dyDescent="0.25">
      <c r="A1105" s="960" t="s">
        <v>6190</v>
      </c>
      <c r="B1105" s="922" t="s">
        <v>1791</v>
      </c>
      <c r="C1105" s="922" t="s">
        <v>6138</v>
      </c>
      <c r="D1105" s="670" t="s">
        <v>6777</v>
      </c>
      <c r="E1105" s="925" t="s">
        <v>2027</v>
      </c>
      <c r="F1105" s="926" t="s">
        <v>1528</v>
      </c>
      <c r="G1105" s="929" t="s">
        <v>2156</v>
      </c>
      <c r="H1105" s="931">
        <v>3</v>
      </c>
      <c r="I1105" s="922" t="s">
        <v>2161</v>
      </c>
      <c r="J1105" s="929" t="s">
        <v>1454</v>
      </c>
      <c r="K1105" s="957" t="s">
        <v>6322</v>
      </c>
      <c r="L1105" s="957">
        <v>135925.13</v>
      </c>
      <c r="M1105" s="997" t="s">
        <v>997</v>
      </c>
      <c r="N1105" s="859">
        <v>135925.13</v>
      </c>
      <c r="O1105" s="851">
        <v>42887</v>
      </c>
      <c r="P1105" s="851">
        <v>43100</v>
      </c>
      <c r="Q1105" s="930" t="s">
        <v>110</v>
      </c>
      <c r="R1105" s="930" t="s">
        <v>113</v>
      </c>
      <c r="S1105" s="930" t="s">
        <v>1455</v>
      </c>
      <c r="T1105" s="847"/>
      <c r="U1105" s="930"/>
      <c r="V1105" s="930" t="s">
        <v>45</v>
      </c>
      <c r="W1105" s="934" t="s">
        <v>73</v>
      </c>
      <c r="X1105" s="638" t="s">
        <v>5093</v>
      </c>
      <c r="Y1105" s="637" t="s">
        <v>5094</v>
      </c>
      <c r="Z1105" s="933">
        <v>135925.13</v>
      </c>
      <c r="AA1105" s="908" t="s">
        <v>1458</v>
      </c>
      <c r="AB1105" s="843" t="s">
        <v>263</v>
      </c>
      <c r="AC1105" s="936"/>
      <c r="AD1105" s="844" t="s">
        <v>113</v>
      </c>
      <c r="AE1105" s="937">
        <f t="shared" ref="AE1105:AE1136" si="26">IF(O1105=0,,MONTH(O1105))</f>
        <v>6</v>
      </c>
    </row>
    <row r="1106" spans="1:31" ht="105" hidden="1" x14ac:dyDescent="0.25">
      <c r="A1106" s="960" t="s">
        <v>6191</v>
      </c>
      <c r="B1106" s="922" t="s">
        <v>1540</v>
      </c>
      <c r="C1106" s="922" t="s">
        <v>2432</v>
      </c>
      <c r="D1106" s="670" t="s">
        <v>6776</v>
      </c>
      <c r="E1106" s="925" t="s">
        <v>2461</v>
      </c>
      <c r="F1106" s="926" t="s">
        <v>1528</v>
      </c>
      <c r="G1106" s="929" t="s">
        <v>2156</v>
      </c>
      <c r="H1106" s="931">
        <v>8400</v>
      </c>
      <c r="I1106" s="922">
        <v>45000000000</v>
      </c>
      <c r="J1106" s="929" t="s">
        <v>1454</v>
      </c>
      <c r="K1106" s="957" t="s">
        <v>6323</v>
      </c>
      <c r="L1106" s="957">
        <v>605127.6</v>
      </c>
      <c r="M1106" s="997"/>
      <c r="N1106" s="859">
        <v>605127.6</v>
      </c>
      <c r="O1106" s="851">
        <v>42949</v>
      </c>
      <c r="P1106" s="851">
        <v>43100</v>
      </c>
      <c r="Q1106" s="930" t="s">
        <v>110</v>
      </c>
      <c r="R1106" s="930" t="s">
        <v>113</v>
      </c>
      <c r="S1106" s="930" t="s">
        <v>1455</v>
      </c>
      <c r="T1106" s="847"/>
      <c r="U1106" s="930"/>
      <c r="V1106" s="930"/>
      <c r="W1106" s="934"/>
      <c r="X1106" s="935"/>
      <c r="Y1106" s="934"/>
      <c r="Z1106" s="933"/>
      <c r="AA1106" s="908" t="s">
        <v>1458</v>
      </c>
      <c r="AB1106" s="843" t="s">
        <v>263</v>
      </c>
      <c r="AC1106" s="936"/>
      <c r="AD1106" s="844" t="s">
        <v>113</v>
      </c>
      <c r="AE1106" s="937">
        <f t="shared" si="26"/>
        <v>8</v>
      </c>
    </row>
    <row r="1107" spans="1:31" ht="105" hidden="1" x14ac:dyDescent="0.25">
      <c r="A1107" s="921" t="s">
        <v>6192</v>
      </c>
      <c r="B1107" s="922" t="s">
        <v>6139</v>
      </c>
      <c r="C1107" s="922" t="s">
        <v>1851</v>
      </c>
      <c r="D1107" s="670" t="s">
        <v>6775</v>
      </c>
      <c r="E1107" s="925" t="s">
        <v>2022</v>
      </c>
      <c r="F1107" s="926" t="s">
        <v>1528</v>
      </c>
      <c r="G1107" s="929" t="s">
        <v>2156</v>
      </c>
      <c r="H1107" s="931">
        <v>180</v>
      </c>
      <c r="I1107" s="922" t="s">
        <v>2161</v>
      </c>
      <c r="J1107" s="929" t="s">
        <v>1454</v>
      </c>
      <c r="K1107" s="957" t="s">
        <v>6364</v>
      </c>
      <c r="L1107" s="957">
        <v>137145.5</v>
      </c>
      <c r="M1107" s="997" t="s">
        <v>997</v>
      </c>
      <c r="N1107" s="859">
        <v>137145.5</v>
      </c>
      <c r="O1107" s="851">
        <v>42949</v>
      </c>
      <c r="P1107" s="851">
        <v>43100</v>
      </c>
      <c r="Q1107" s="930" t="s">
        <v>110</v>
      </c>
      <c r="R1107" s="930" t="s">
        <v>113</v>
      </c>
      <c r="S1107" s="930" t="s">
        <v>1455</v>
      </c>
      <c r="T1107" s="847"/>
      <c r="U1107" s="930"/>
      <c r="V1107" s="930" t="s">
        <v>45</v>
      </c>
      <c r="W1107" s="934" t="s">
        <v>73</v>
      </c>
      <c r="X1107" s="638" t="s">
        <v>6435</v>
      </c>
      <c r="Y1107" s="934"/>
      <c r="Z1107" s="933"/>
      <c r="AA1107" s="908" t="s">
        <v>1458</v>
      </c>
      <c r="AB1107" s="843" t="s">
        <v>263</v>
      </c>
      <c r="AC1107" s="936"/>
      <c r="AD1107" s="844" t="s">
        <v>113</v>
      </c>
      <c r="AE1107" s="937">
        <f t="shared" si="26"/>
        <v>8</v>
      </c>
    </row>
    <row r="1108" spans="1:31" ht="105" hidden="1" x14ac:dyDescent="0.25">
      <c r="A1108" s="921" t="s">
        <v>6193</v>
      </c>
      <c r="B1108" s="922" t="s">
        <v>1727</v>
      </c>
      <c r="C1108" s="922" t="s">
        <v>2177</v>
      </c>
      <c r="D1108" s="670" t="s">
        <v>6774</v>
      </c>
      <c r="E1108" s="925" t="s">
        <v>2461</v>
      </c>
      <c r="F1108" s="926" t="s">
        <v>1528</v>
      </c>
      <c r="G1108" s="929" t="s">
        <v>2156</v>
      </c>
      <c r="H1108" s="931">
        <v>4200</v>
      </c>
      <c r="I1108" s="922" t="s">
        <v>2161</v>
      </c>
      <c r="J1108" s="929" t="s">
        <v>1454</v>
      </c>
      <c r="K1108" s="950" t="s">
        <v>6324</v>
      </c>
      <c r="L1108" s="950">
        <v>832608</v>
      </c>
      <c r="M1108" s="997" t="s">
        <v>997</v>
      </c>
      <c r="N1108" s="862">
        <v>832608</v>
      </c>
      <c r="O1108" s="851">
        <v>42949</v>
      </c>
      <c r="P1108" s="851">
        <v>43100</v>
      </c>
      <c r="Q1108" s="930" t="s">
        <v>110</v>
      </c>
      <c r="R1108" s="930" t="s">
        <v>113</v>
      </c>
      <c r="S1108" s="930" t="s">
        <v>1455</v>
      </c>
      <c r="T1108" s="847"/>
      <c r="U1108" s="930"/>
      <c r="V1108" s="930" t="s">
        <v>45</v>
      </c>
      <c r="W1108" s="934" t="s">
        <v>73</v>
      </c>
      <c r="X1108" s="638" t="s">
        <v>2391</v>
      </c>
      <c r="Y1108" s="637" t="s">
        <v>6406</v>
      </c>
      <c r="Z1108" s="933">
        <v>832608</v>
      </c>
      <c r="AA1108" s="908" t="s">
        <v>1458</v>
      </c>
      <c r="AB1108" s="843" t="s">
        <v>263</v>
      </c>
      <c r="AC1108" s="936"/>
      <c r="AD1108" s="844" t="s">
        <v>113</v>
      </c>
      <c r="AE1108" s="937">
        <f t="shared" si="26"/>
        <v>8</v>
      </c>
    </row>
    <row r="1109" spans="1:31" ht="105" hidden="1" x14ac:dyDescent="0.25">
      <c r="A1109" s="921" t="s">
        <v>6194</v>
      </c>
      <c r="B1109" s="922" t="s">
        <v>1540</v>
      </c>
      <c r="C1109" s="922" t="s">
        <v>6140</v>
      </c>
      <c r="D1109" s="670" t="s">
        <v>6773</v>
      </c>
      <c r="E1109" s="925" t="s">
        <v>2461</v>
      </c>
      <c r="F1109" s="926" t="s">
        <v>1528</v>
      </c>
      <c r="G1109" s="929" t="s">
        <v>2156</v>
      </c>
      <c r="H1109" s="931">
        <v>20100</v>
      </c>
      <c r="I1109" s="922" t="s">
        <v>2161</v>
      </c>
      <c r="J1109" s="929" t="s">
        <v>1454</v>
      </c>
      <c r="K1109" s="957" t="s">
        <v>6325</v>
      </c>
      <c r="L1109" s="957">
        <v>235402.92</v>
      </c>
      <c r="M1109" s="997" t="s">
        <v>997</v>
      </c>
      <c r="N1109" s="859">
        <v>235402.92</v>
      </c>
      <c r="O1109" s="851">
        <v>43009</v>
      </c>
      <c r="P1109" s="851">
        <v>43100</v>
      </c>
      <c r="Q1109" s="930" t="s">
        <v>110</v>
      </c>
      <c r="R1109" s="930" t="s">
        <v>113</v>
      </c>
      <c r="S1109" s="930" t="s">
        <v>1455</v>
      </c>
      <c r="T1109" s="847"/>
      <c r="U1109" s="930"/>
      <c r="V1109" s="930" t="s">
        <v>45</v>
      </c>
      <c r="W1109" s="934" t="s">
        <v>73</v>
      </c>
      <c r="X1109" s="935" t="s">
        <v>2363</v>
      </c>
      <c r="Y1109" s="934" t="s">
        <v>2367</v>
      </c>
      <c r="Z1109" s="933">
        <v>235402.92</v>
      </c>
      <c r="AA1109" s="908" t="s">
        <v>1458</v>
      </c>
      <c r="AB1109" s="843" t="s">
        <v>263</v>
      </c>
      <c r="AC1109" s="936"/>
      <c r="AD1109" s="844" t="s">
        <v>113</v>
      </c>
      <c r="AE1109" s="937">
        <f t="shared" si="26"/>
        <v>10</v>
      </c>
    </row>
    <row r="1110" spans="1:31" ht="105" hidden="1" x14ac:dyDescent="0.25">
      <c r="A1110" s="921" t="s">
        <v>6195</v>
      </c>
      <c r="B1110" s="922" t="s">
        <v>1585</v>
      </c>
      <c r="C1110" s="922" t="s">
        <v>1585</v>
      </c>
      <c r="D1110" s="924" t="s">
        <v>6307</v>
      </c>
      <c r="E1110" s="925" t="s">
        <v>1586</v>
      </c>
      <c r="F1110" s="926" t="s">
        <v>1528</v>
      </c>
      <c r="G1110" s="929" t="s">
        <v>2156</v>
      </c>
      <c r="H1110" s="931">
        <v>106</v>
      </c>
      <c r="I1110" s="922" t="s">
        <v>2161</v>
      </c>
      <c r="J1110" s="929" t="s">
        <v>1454</v>
      </c>
      <c r="K1110" s="957" t="s">
        <v>6326</v>
      </c>
      <c r="L1110" s="957">
        <v>1135711.45</v>
      </c>
      <c r="M1110" s="997"/>
      <c r="N1110" s="859">
        <v>1135711.45</v>
      </c>
      <c r="O1110" s="851">
        <v>42917</v>
      </c>
      <c r="P1110" s="851">
        <v>42979</v>
      </c>
      <c r="Q1110" s="930" t="s">
        <v>108</v>
      </c>
      <c r="R1110" s="930" t="s">
        <v>112</v>
      </c>
      <c r="S1110" s="930" t="s">
        <v>1457</v>
      </c>
      <c r="T1110" s="847"/>
      <c r="U1110" s="930"/>
      <c r="V1110" s="930"/>
      <c r="W1110" s="934"/>
      <c r="X1110" s="935"/>
      <c r="Y1110" s="934"/>
      <c r="Z1110" s="933"/>
      <c r="AA1110" s="908" t="s">
        <v>1458</v>
      </c>
      <c r="AB1110" s="843" t="s">
        <v>263</v>
      </c>
      <c r="AC1110" s="936"/>
      <c r="AD1110" s="844" t="s">
        <v>113</v>
      </c>
      <c r="AE1110" s="937">
        <f t="shared" si="26"/>
        <v>7</v>
      </c>
    </row>
    <row r="1111" spans="1:31" ht="105" hidden="1" x14ac:dyDescent="0.25">
      <c r="A1111" s="921" t="s">
        <v>6196</v>
      </c>
      <c r="B1111" s="922" t="s">
        <v>1687</v>
      </c>
      <c r="C1111" s="922" t="s">
        <v>3132</v>
      </c>
      <c r="D1111" s="670" t="s">
        <v>6772</v>
      </c>
      <c r="E1111" s="925" t="s">
        <v>4944</v>
      </c>
      <c r="F1111" s="926" t="s">
        <v>1645</v>
      </c>
      <c r="G1111" s="929" t="s">
        <v>2259</v>
      </c>
      <c r="H1111" s="931">
        <v>285.13</v>
      </c>
      <c r="I1111" s="922" t="s">
        <v>2161</v>
      </c>
      <c r="J1111" s="929" t="s">
        <v>1454</v>
      </c>
      <c r="K1111" s="957" t="s">
        <v>6327</v>
      </c>
      <c r="L1111" s="957">
        <v>181239.05</v>
      </c>
      <c r="M1111" s="997"/>
      <c r="N1111" s="859">
        <v>181239.05</v>
      </c>
      <c r="O1111" s="851">
        <v>42887</v>
      </c>
      <c r="P1111" s="851">
        <v>42917</v>
      </c>
      <c r="Q1111" s="930" t="s">
        <v>108</v>
      </c>
      <c r="R1111" s="930" t="s">
        <v>112</v>
      </c>
      <c r="S1111" s="930" t="s">
        <v>1457</v>
      </c>
      <c r="T1111" s="847"/>
      <c r="U1111" s="930"/>
      <c r="V1111" s="930"/>
      <c r="W1111" s="934"/>
      <c r="X1111" s="935"/>
      <c r="Y1111" s="934"/>
      <c r="Z1111" s="933"/>
      <c r="AA1111" s="908" t="s">
        <v>1458</v>
      </c>
      <c r="AB1111" s="843" t="s">
        <v>263</v>
      </c>
      <c r="AC1111" s="936"/>
      <c r="AD1111" s="844" t="s">
        <v>113</v>
      </c>
      <c r="AE1111" s="937">
        <f t="shared" si="26"/>
        <v>6</v>
      </c>
    </row>
    <row r="1112" spans="1:31" ht="105" hidden="1" x14ac:dyDescent="0.25">
      <c r="A1112" s="921" t="s">
        <v>6197</v>
      </c>
      <c r="B1112" s="922" t="s">
        <v>1687</v>
      </c>
      <c r="C1112" s="922" t="s">
        <v>3132</v>
      </c>
      <c r="D1112" s="670" t="s">
        <v>6771</v>
      </c>
      <c r="E1112" s="925" t="s">
        <v>4944</v>
      </c>
      <c r="F1112" s="926" t="s">
        <v>1645</v>
      </c>
      <c r="G1112" s="929" t="s">
        <v>2259</v>
      </c>
      <c r="H1112" s="931">
        <v>225</v>
      </c>
      <c r="I1112" s="922" t="s">
        <v>2161</v>
      </c>
      <c r="J1112" s="929" t="s">
        <v>1454</v>
      </c>
      <c r="K1112" s="957" t="s">
        <v>6328</v>
      </c>
      <c r="L1112" s="957">
        <v>633250</v>
      </c>
      <c r="M1112" s="997"/>
      <c r="N1112" s="859">
        <v>633250</v>
      </c>
      <c r="O1112" s="851">
        <v>42887</v>
      </c>
      <c r="P1112" s="851">
        <v>42917</v>
      </c>
      <c r="Q1112" s="930" t="s">
        <v>108</v>
      </c>
      <c r="R1112" s="930" t="s">
        <v>112</v>
      </c>
      <c r="S1112" s="930" t="s">
        <v>1457</v>
      </c>
      <c r="T1112" s="847"/>
      <c r="U1112" s="930"/>
      <c r="V1112" s="930"/>
      <c r="W1112" s="934"/>
      <c r="X1112" s="935"/>
      <c r="Y1112" s="934"/>
      <c r="Z1112" s="933"/>
      <c r="AA1112" s="908" t="s">
        <v>1458</v>
      </c>
      <c r="AB1112" s="843" t="s">
        <v>263</v>
      </c>
      <c r="AC1112" s="936"/>
      <c r="AD1112" s="844" t="s">
        <v>113</v>
      </c>
      <c r="AE1112" s="937">
        <f t="shared" si="26"/>
        <v>6</v>
      </c>
    </row>
    <row r="1113" spans="1:31" ht="105" hidden="1" x14ac:dyDescent="0.25">
      <c r="A1113" s="921" t="s">
        <v>6198</v>
      </c>
      <c r="B1113" s="922" t="s">
        <v>1687</v>
      </c>
      <c r="C1113" s="922" t="s">
        <v>3132</v>
      </c>
      <c r="D1113" s="670" t="s">
        <v>6770</v>
      </c>
      <c r="E1113" s="925" t="s">
        <v>4944</v>
      </c>
      <c r="F1113" s="926" t="s">
        <v>1645</v>
      </c>
      <c r="G1113" s="929" t="s">
        <v>2259</v>
      </c>
      <c r="H1113" s="931">
        <v>496</v>
      </c>
      <c r="I1113" s="922" t="s">
        <v>2161</v>
      </c>
      <c r="J1113" s="929" t="s">
        <v>1454</v>
      </c>
      <c r="K1113" s="957" t="s">
        <v>6329</v>
      </c>
      <c r="L1113" s="957">
        <v>238331.9</v>
      </c>
      <c r="M1113" s="997"/>
      <c r="N1113" s="859">
        <v>238331.9</v>
      </c>
      <c r="O1113" s="851">
        <v>42887</v>
      </c>
      <c r="P1113" s="851">
        <v>42917</v>
      </c>
      <c r="Q1113" s="930" t="s">
        <v>108</v>
      </c>
      <c r="R1113" s="930" t="s">
        <v>112</v>
      </c>
      <c r="S1113" s="930" t="s">
        <v>1457</v>
      </c>
      <c r="T1113" s="847"/>
      <c r="U1113" s="930"/>
      <c r="V1113" s="930"/>
      <c r="W1113" s="934"/>
      <c r="X1113" s="935"/>
      <c r="Y1113" s="934"/>
      <c r="Z1113" s="933"/>
      <c r="AA1113" s="908" t="s">
        <v>1458</v>
      </c>
      <c r="AB1113" s="843" t="s">
        <v>263</v>
      </c>
      <c r="AC1113" s="936"/>
      <c r="AD1113" s="844" t="s">
        <v>113</v>
      </c>
      <c r="AE1113" s="937">
        <f t="shared" si="26"/>
        <v>6</v>
      </c>
    </row>
    <row r="1114" spans="1:31" ht="105" hidden="1" x14ac:dyDescent="0.25">
      <c r="A1114" s="921" t="s">
        <v>6199</v>
      </c>
      <c r="B1114" s="922" t="s">
        <v>1654</v>
      </c>
      <c r="C1114" s="922" t="s">
        <v>6141</v>
      </c>
      <c r="D1114" s="670" t="s">
        <v>6769</v>
      </c>
      <c r="E1114" s="925" t="s">
        <v>4944</v>
      </c>
      <c r="F1114" s="926" t="s">
        <v>1587</v>
      </c>
      <c r="G1114" s="929" t="s">
        <v>2256</v>
      </c>
      <c r="H1114" s="931">
        <v>1</v>
      </c>
      <c r="I1114" s="922" t="s">
        <v>2161</v>
      </c>
      <c r="J1114" s="929" t="s">
        <v>1454</v>
      </c>
      <c r="K1114" s="957" t="s">
        <v>6330</v>
      </c>
      <c r="L1114" s="957">
        <v>103520.41</v>
      </c>
      <c r="M1114" s="997"/>
      <c r="N1114" s="859">
        <v>103520.41</v>
      </c>
      <c r="O1114" s="851">
        <v>42917</v>
      </c>
      <c r="P1114" s="851">
        <v>42948</v>
      </c>
      <c r="Q1114" s="930" t="s">
        <v>108</v>
      </c>
      <c r="R1114" s="930" t="s">
        <v>112</v>
      </c>
      <c r="S1114" s="930" t="s">
        <v>1457</v>
      </c>
      <c r="T1114" s="847"/>
      <c r="U1114" s="930"/>
      <c r="V1114" s="930"/>
      <c r="W1114" s="934"/>
      <c r="X1114" s="935"/>
      <c r="Y1114" s="934"/>
      <c r="Z1114" s="933"/>
      <c r="AA1114" s="908" t="s">
        <v>1458</v>
      </c>
      <c r="AB1114" s="843" t="s">
        <v>263</v>
      </c>
      <c r="AC1114" s="936"/>
      <c r="AD1114" s="844" t="s">
        <v>113</v>
      </c>
      <c r="AE1114" s="937">
        <f t="shared" si="26"/>
        <v>7</v>
      </c>
    </row>
    <row r="1115" spans="1:31" ht="105" hidden="1" x14ac:dyDescent="0.25">
      <c r="A1115" s="921" t="s">
        <v>6200</v>
      </c>
      <c r="B1115" s="922" t="s">
        <v>1687</v>
      </c>
      <c r="C1115" s="922" t="s">
        <v>3132</v>
      </c>
      <c r="D1115" s="670" t="s">
        <v>6768</v>
      </c>
      <c r="E1115" s="925" t="s">
        <v>4944</v>
      </c>
      <c r="F1115" s="926" t="s">
        <v>1645</v>
      </c>
      <c r="G1115" s="929" t="s">
        <v>2259</v>
      </c>
      <c r="H1115" s="931">
        <v>3296.54</v>
      </c>
      <c r="I1115" s="922" t="s">
        <v>2161</v>
      </c>
      <c r="J1115" s="929" t="s">
        <v>1454</v>
      </c>
      <c r="K1115" s="957" t="s">
        <v>6331</v>
      </c>
      <c r="L1115" s="957">
        <v>159625.54999999999</v>
      </c>
      <c r="M1115" s="997"/>
      <c r="N1115" s="859">
        <v>159625.54999999999</v>
      </c>
      <c r="O1115" s="851">
        <v>42887</v>
      </c>
      <c r="P1115" s="851">
        <v>42917</v>
      </c>
      <c r="Q1115" s="930" t="s">
        <v>108</v>
      </c>
      <c r="R1115" s="930" t="s">
        <v>112</v>
      </c>
      <c r="S1115" s="930" t="s">
        <v>1457</v>
      </c>
      <c r="T1115" s="847"/>
      <c r="U1115" s="930"/>
      <c r="V1115" s="930"/>
      <c r="W1115" s="934"/>
      <c r="X1115" s="935"/>
      <c r="Y1115" s="934"/>
      <c r="Z1115" s="933"/>
      <c r="AA1115" s="908" t="s">
        <v>1458</v>
      </c>
      <c r="AB1115" s="843" t="s">
        <v>263</v>
      </c>
      <c r="AC1115" s="936"/>
      <c r="AD1115" s="844" t="s">
        <v>113</v>
      </c>
      <c r="AE1115" s="937">
        <f t="shared" si="26"/>
        <v>6</v>
      </c>
    </row>
    <row r="1116" spans="1:31" ht="105" hidden="1" x14ac:dyDescent="0.25">
      <c r="A1116" s="921" t="s">
        <v>6201</v>
      </c>
      <c r="B1116" s="922" t="s">
        <v>1672</v>
      </c>
      <c r="C1116" s="922" t="s">
        <v>1673</v>
      </c>
      <c r="D1116" s="670" t="s">
        <v>6767</v>
      </c>
      <c r="E1116" s="925" t="s">
        <v>4944</v>
      </c>
      <c r="F1116" s="926" t="s">
        <v>1587</v>
      </c>
      <c r="G1116" s="929" t="s">
        <v>2256</v>
      </c>
      <c r="H1116" s="931">
        <v>1</v>
      </c>
      <c r="I1116" s="922" t="s">
        <v>2161</v>
      </c>
      <c r="J1116" s="929" t="s">
        <v>1454</v>
      </c>
      <c r="K1116" s="957" t="s">
        <v>6332</v>
      </c>
      <c r="L1116" s="957">
        <v>353594.43</v>
      </c>
      <c r="M1116" s="997"/>
      <c r="N1116" s="859">
        <v>353594.43</v>
      </c>
      <c r="O1116" s="851">
        <v>42887</v>
      </c>
      <c r="P1116" s="851">
        <v>42917</v>
      </c>
      <c r="Q1116" s="930" t="s">
        <v>108</v>
      </c>
      <c r="R1116" s="930" t="s">
        <v>112</v>
      </c>
      <c r="S1116" s="930" t="s">
        <v>1457</v>
      </c>
      <c r="T1116" s="847"/>
      <c r="U1116" s="930"/>
      <c r="V1116" s="930"/>
      <c r="W1116" s="934"/>
      <c r="X1116" s="935"/>
      <c r="Y1116" s="934"/>
      <c r="Z1116" s="933"/>
      <c r="AA1116" s="908" t="s">
        <v>1458</v>
      </c>
      <c r="AB1116" s="843" t="s">
        <v>263</v>
      </c>
      <c r="AC1116" s="936"/>
      <c r="AD1116" s="844" t="s">
        <v>113</v>
      </c>
      <c r="AE1116" s="937">
        <f t="shared" si="26"/>
        <v>6</v>
      </c>
    </row>
    <row r="1117" spans="1:31" ht="105" hidden="1" x14ac:dyDescent="0.25">
      <c r="A1117" s="921" t="s">
        <v>6202</v>
      </c>
      <c r="B1117" s="922" t="s">
        <v>1687</v>
      </c>
      <c r="C1117" s="922" t="s">
        <v>3132</v>
      </c>
      <c r="D1117" s="670" t="s">
        <v>6766</v>
      </c>
      <c r="E1117" s="925" t="s">
        <v>4944</v>
      </c>
      <c r="F1117" s="926" t="s">
        <v>1645</v>
      </c>
      <c r="G1117" s="929" t="s">
        <v>2259</v>
      </c>
      <c r="H1117" s="931">
        <v>303.66800000000001</v>
      </c>
      <c r="I1117" s="922" t="s">
        <v>2161</v>
      </c>
      <c r="J1117" s="929" t="s">
        <v>1454</v>
      </c>
      <c r="K1117" s="957" t="s">
        <v>6333</v>
      </c>
      <c r="L1117" s="957">
        <v>243524.75</v>
      </c>
      <c r="M1117" s="997"/>
      <c r="N1117" s="859">
        <v>243524.75</v>
      </c>
      <c r="O1117" s="851">
        <v>42917</v>
      </c>
      <c r="P1117" s="851">
        <v>42948</v>
      </c>
      <c r="Q1117" s="930" t="s">
        <v>108</v>
      </c>
      <c r="R1117" s="930" t="s">
        <v>112</v>
      </c>
      <c r="S1117" s="930" t="s">
        <v>1457</v>
      </c>
      <c r="T1117" s="847"/>
      <c r="U1117" s="930"/>
      <c r="V1117" s="930"/>
      <c r="W1117" s="934"/>
      <c r="X1117" s="935"/>
      <c r="Y1117" s="934"/>
      <c r="Z1117" s="933"/>
      <c r="AA1117" s="908" t="s">
        <v>1458</v>
      </c>
      <c r="AB1117" s="843" t="s">
        <v>263</v>
      </c>
      <c r="AC1117" s="936"/>
      <c r="AD1117" s="844" t="s">
        <v>113</v>
      </c>
      <c r="AE1117" s="937">
        <f t="shared" si="26"/>
        <v>7</v>
      </c>
    </row>
    <row r="1118" spans="1:31" ht="105" hidden="1" x14ac:dyDescent="0.25">
      <c r="A1118" s="921" t="s">
        <v>6203</v>
      </c>
      <c r="B1118" s="922" t="s">
        <v>1576</v>
      </c>
      <c r="C1118" s="922" t="s">
        <v>1738</v>
      </c>
      <c r="D1118" s="670" t="s">
        <v>6765</v>
      </c>
      <c r="E1118" s="925" t="s">
        <v>6142</v>
      </c>
      <c r="F1118" s="926" t="s">
        <v>1645</v>
      </c>
      <c r="G1118" s="929" t="s">
        <v>2259</v>
      </c>
      <c r="H1118" s="931">
        <v>550</v>
      </c>
      <c r="I1118" s="922" t="s">
        <v>2161</v>
      </c>
      <c r="J1118" s="929" t="s">
        <v>1454</v>
      </c>
      <c r="K1118" s="957" t="s">
        <v>6334</v>
      </c>
      <c r="L1118" s="957">
        <v>593171.73</v>
      </c>
      <c r="M1118" s="997"/>
      <c r="N1118" s="859">
        <v>593171.73</v>
      </c>
      <c r="O1118" s="851">
        <v>42887</v>
      </c>
      <c r="P1118" s="851">
        <v>42948</v>
      </c>
      <c r="Q1118" s="930" t="s">
        <v>108</v>
      </c>
      <c r="R1118" s="930" t="s">
        <v>112</v>
      </c>
      <c r="S1118" s="930" t="s">
        <v>1457</v>
      </c>
      <c r="T1118" s="847"/>
      <c r="U1118" s="930"/>
      <c r="V1118" s="930"/>
      <c r="W1118" s="934"/>
      <c r="X1118" s="935"/>
      <c r="Y1118" s="934"/>
      <c r="Z1118" s="933"/>
      <c r="AA1118" s="908" t="s">
        <v>1458</v>
      </c>
      <c r="AB1118" s="843" t="s">
        <v>263</v>
      </c>
      <c r="AC1118" s="936"/>
      <c r="AD1118" s="844" t="s">
        <v>113</v>
      </c>
      <c r="AE1118" s="937">
        <f t="shared" si="26"/>
        <v>6</v>
      </c>
    </row>
    <row r="1119" spans="1:31" ht="105" hidden="1" x14ac:dyDescent="0.25">
      <c r="A1119" s="921" t="s">
        <v>6204</v>
      </c>
      <c r="B1119" s="922" t="s">
        <v>1808</v>
      </c>
      <c r="C1119" s="922" t="s">
        <v>1808</v>
      </c>
      <c r="D1119" s="670" t="s">
        <v>6764</v>
      </c>
      <c r="E1119" s="925" t="s">
        <v>2235</v>
      </c>
      <c r="F1119" s="926" t="s">
        <v>1528</v>
      </c>
      <c r="G1119" s="929" t="s">
        <v>2156</v>
      </c>
      <c r="H1119" s="931">
        <v>290</v>
      </c>
      <c r="I1119" s="922" t="s">
        <v>2161</v>
      </c>
      <c r="J1119" s="929" t="s">
        <v>1454</v>
      </c>
      <c r="K1119" s="957" t="s">
        <v>6335</v>
      </c>
      <c r="L1119" s="957">
        <v>384301.25</v>
      </c>
      <c r="M1119" s="997"/>
      <c r="N1119" s="859">
        <v>384301.25</v>
      </c>
      <c r="O1119" s="851">
        <v>42917</v>
      </c>
      <c r="P1119" s="851">
        <v>42979</v>
      </c>
      <c r="Q1119" s="930" t="s">
        <v>108</v>
      </c>
      <c r="R1119" s="930" t="s">
        <v>112</v>
      </c>
      <c r="S1119" s="930" t="s">
        <v>1457</v>
      </c>
      <c r="T1119" s="847"/>
      <c r="U1119" s="930"/>
      <c r="V1119" s="930"/>
      <c r="W1119" s="934"/>
      <c r="X1119" s="935"/>
      <c r="Y1119" s="934"/>
      <c r="Z1119" s="933"/>
      <c r="AA1119" s="908" t="s">
        <v>1458</v>
      </c>
      <c r="AB1119" s="843" t="s">
        <v>263</v>
      </c>
      <c r="AC1119" s="936"/>
      <c r="AD1119" s="844" t="s">
        <v>113</v>
      </c>
      <c r="AE1119" s="937">
        <f t="shared" si="26"/>
        <v>7</v>
      </c>
    </row>
    <row r="1120" spans="1:31" ht="105" hidden="1" x14ac:dyDescent="0.25">
      <c r="A1120" s="921" t="s">
        <v>6205</v>
      </c>
      <c r="B1120" s="922" t="s">
        <v>1815</v>
      </c>
      <c r="C1120" s="922" t="s">
        <v>6143</v>
      </c>
      <c r="D1120" s="670" t="s">
        <v>6763</v>
      </c>
      <c r="E1120" s="925" t="s">
        <v>2235</v>
      </c>
      <c r="F1120" s="926" t="s">
        <v>1587</v>
      </c>
      <c r="G1120" s="929" t="s">
        <v>2256</v>
      </c>
      <c r="H1120" s="931">
        <v>1</v>
      </c>
      <c r="I1120" s="922" t="s">
        <v>2161</v>
      </c>
      <c r="J1120" s="929" t="s">
        <v>1454</v>
      </c>
      <c r="K1120" s="957" t="s">
        <v>6336</v>
      </c>
      <c r="L1120" s="957">
        <v>11535166.67</v>
      </c>
      <c r="M1120" s="997"/>
      <c r="N1120" s="859">
        <v>11535166.67</v>
      </c>
      <c r="O1120" s="851">
        <v>42917</v>
      </c>
      <c r="P1120" s="851">
        <v>42979</v>
      </c>
      <c r="Q1120" s="930" t="s">
        <v>100</v>
      </c>
      <c r="R1120" s="930" t="s">
        <v>112</v>
      </c>
      <c r="S1120" s="930" t="s">
        <v>1457</v>
      </c>
      <c r="T1120" s="847"/>
      <c r="U1120" s="930"/>
      <c r="V1120" s="930"/>
      <c r="W1120" s="934"/>
      <c r="X1120" s="935"/>
      <c r="Y1120" s="934"/>
      <c r="Z1120" s="933"/>
      <c r="AA1120" s="908" t="s">
        <v>1458</v>
      </c>
      <c r="AB1120" s="843" t="s">
        <v>263</v>
      </c>
      <c r="AC1120" s="936"/>
      <c r="AD1120" s="844" t="s">
        <v>113</v>
      </c>
      <c r="AE1120" s="937">
        <f t="shared" si="26"/>
        <v>7</v>
      </c>
    </row>
    <row r="1121" spans="1:31" ht="105" hidden="1" x14ac:dyDescent="0.25">
      <c r="A1121" s="921" t="s">
        <v>6206</v>
      </c>
      <c r="B1121" s="922" t="s">
        <v>1815</v>
      </c>
      <c r="C1121" s="922" t="s">
        <v>6144</v>
      </c>
      <c r="D1121" s="670" t="s">
        <v>6762</v>
      </c>
      <c r="E1121" s="925" t="s">
        <v>2235</v>
      </c>
      <c r="F1121" s="926" t="s">
        <v>1528</v>
      </c>
      <c r="G1121" s="929" t="s">
        <v>2156</v>
      </c>
      <c r="H1121" s="931">
        <v>1</v>
      </c>
      <c r="I1121" s="922" t="s">
        <v>2161</v>
      </c>
      <c r="J1121" s="929" t="s">
        <v>1454</v>
      </c>
      <c r="K1121" s="957" t="s">
        <v>6337</v>
      </c>
      <c r="L1121" s="957">
        <v>37775</v>
      </c>
      <c r="M1121" s="997"/>
      <c r="N1121" s="859">
        <v>37775</v>
      </c>
      <c r="O1121" s="851">
        <v>42917</v>
      </c>
      <c r="P1121" s="851">
        <v>42979</v>
      </c>
      <c r="Q1121" s="930" t="s">
        <v>108</v>
      </c>
      <c r="R1121" s="930" t="s">
        <v>112</v>
      </c>
      <c r="S1121" s="930" t="s">
        <v>1457</v>
      </c>
      <c r="T1121" s="847"/>
      <c r="U1121" s="930"/>
      <c r="V1121" s="930"/>
      <c r="W1121" s="934"/>
      <c r="X1121" s="935"/>
      <c r="Y1121" s="934"/>
      <c r="Z1121" s="933"/>
      <c r="AA1121" s="908" t="s">
        <v>1458</v>
      </c>
      <c r="AB1121" s="843" t="s">
        <v>263</v>
      </c>
      <c r="AC1121" s="936"/>
      <c r="AD1121" s="844" t="s">
        <v>113</v>
      </c>
      <c r="AE1121" s="937">
        <f t="shared" si="26"/>
        <v>7</v>
      </c>
    </row>
    <row r="1122" spans="1:31" ht="105" hidden="1" x14ac:dyDescent="0.25">
      <c r="A1122" s="921" t="s">
        <v>6207</v>
      </c>
      <c r="B1122" s="922" t="s">
        <v>1793</v>
      </c>
      <c r="C1122" s="922" t="s">
        <v>6145</v>
      </c>
      <c r="D1122" s="670" t="s">
        <v>6761</v>
      </c>
      <c r="E1122" s="925" t="s">
        <v>2235</v>
      </c>
      <c r="F1122" s="926" t="s">
        <v>1587</v>
      </c>
      <c r="G1122" s="929" t="s">
        <v>2256</v>
      </c>
      <c r="H1122" s="931">
        <v>1</v>
      </c>
      <c r="I1122" s="922" t="s">
        <v>2161</v>
      </c>
      <c r="J1122" s="929" t="s">
        <v>1454</v>
      </c>
      <c r="K1122" s="957" t="s">
        <v>6338</v>
      </c>
      <c r="L1122" s="957">
        <v>92221.06</v>
      </c>
      <c r="M1122" s="997"/>
      <c r="N1122" s="859">
        <v>92221.06</v>
      </c>
      <c r="O1122" s="851">
        <v>42917</v>
      </c>
      <c r="P1122" s="851">
        <v>42979</v>
      </c>
      <c r="Q1122" s="930" t="s">
        <v>108</v>
      </c>
      <c r="R1122" s="930" t="s">
        <v>112</v>
      </c>
      <c r="S1122" s="930" t="s">
        <v>1457</v>
      </c>
      <c r="T1122" s="847"/>
      <c r="U1122" s="930"/>
      <c r="V1122" s="930"/>
      <c r="W1122" s="934"/>
      <c r="X1122" s="935"/>
      <c r="Y1122" s="934"/>
      <c r="Z1122" s="933"/>
      <c r="AA1122" s="908" t="s">
        <v>1458</v>
      </c>
      <c r="AB1122" s="843" t="s">
        <v>263</v>
      </c>
      <c r="AC1122" s="936"/>
      <c r="AD1122" s="844" t="s">
        <v>113</v>
      </c>
      <c r="AE1122" s="937">
        <f t="shared" si="26"/>
        <v>7</v>
      </c>
    </row>
    <row r="1123" spans="1:31" ht="105" hidden="1" x14ac:dyDescent="0.25">
      <c r="A1123" s="921" t="s">
        <v>6208</v>
      </c>
      <c r="B1123" s="922" t="s">
        <v>1854</v>
      </c>
      <c r="C1123" s="922" t="s">
        <v>6146</v>
      </c>
      <c r="D1123" s="670" t="s">
        <v>6760</v>
      </c>
      <c r="E1123" s="925" t="s">
        <v>2235</v>
      </c>
      <c r="F1123" s="926" t="s">
        <v>1528</v>
      </c>
      <c r="G1123" s="929" t="s">
        <v>2156</v>
      </c>
      <c r="H1123" s="931">
        <v>500</v>
      </c>
      <c r="I1123" s="922" t="s">
        <v>2161</v>
      </c>
      <c r="J1123" s="929" t="s">
        <v>1454</v>
      </c>
      <c r="K1123" s="957" t="s">
        <v>6339</v>
      </c>
      <c r="L1123" s="957">
        <v>255000</v>
      </c>
      <c r="M1123" s="997"/>
      <c r="N1123" s="859">
        <v>255000</v>
      </c>
      <c r="O1123" s="851">
        <v>42949</v>
      </c>
      <c r="P1123" s="851">
        <v>43009</v>
      </c>
      <c r="Q1123" s="930" t="s">
        <v>108</v>
      </c>
      <c r="R1123" s="930" t="s">
        <v>112</v>
      </c>
      <c r="S1123" s="930" t="s">
        <v>1457</v>
      </c>
      <c r="T1123" s="847"/>
      <c r="U1123" s="930"/>
      <c r="V1123" s="930"/>
      <c r="W1123" s="934"/>
      <c r="X1123" s="935"/>
      <c r="Y1123" s="934"/>
      <c r="Z1123" s="933"/>
      <c r="AA1123" s="908" t="s">
        <v>1458</v>
      </c>
      <c r="AB1123" s="843" t="s">
        <v>263</v>
      </c>
      <c r="AC1123" s="936"/>
      <c r="AD1123" s="844" t="s">
        <v>113</v>
      </c>
      <c r="AE1123" s="937">
        <f t="shared" si="26"/>
        <v>8</v>
      </c>
    </row>
    <row r="1124" spans="1:31" ht="105" hidden="1" x14ac:dyDescent="0.25">
      <c r="A1124" s="921" t="s">
        <v>6209</v>
      </c>
      <c r="B1124" s="922" t="s">
        <v>1815</v>
      </c>
      <c r="C1124" s="922" t="s">
        <v>6144</v>
      </c>
      <c r="D1124" s="670" t="s">
        <v>6759</v>
      </c>
      <c r="E1124" s="925" t="s">
        <v>2235</v>
      </c>
      <c r="F1124" s="926" t="s">
        <v>1528</v>
      </c>
      <c r="G1124" s="929" t="s">
        <v>2156</v>
      </c>
      <c r="H1124" s="931">
        <v>1</v>
      </c>
      <c r="I1124" s="922" t="s">
        <v>2161</v>
      </c>
      <c r="J1124" s="929" t="s">
        <v>1454</v>
      </c>
      <c r="K1124" s="957" t="s">
        <v>6340</v>
      </c>
      <c r="L1124" s="957">
        <v>80000</v>
      </c>
      <c r="M1124" s="997"/>
      <c r="N1124" s="859">
        <v>80000</v>
      </c>
      <c r="O1124" s="851">
        <v>42917</v>
      </c>
      <c r="P1124" s="851">
        <v>42979</v>
      </c>
      <c r="Q1124" s="930" t="s">
        <v>108</v>
      </c>
      <c r="R1124" s="930" t="s">
        <v>112</v>
      </c>
      <c r="S1124" s="930" t="s">
        <v>1457</v>
      </c>
      <c r="T1124" s="847"/>
      <c r="U1124" s="930"/>
      <c r="V1124" s="930"/>
      <c r="W1124" s="934"/>
      <c r="X1124" s="935"/>
      <c r="Y1124" s="934"/>
      <c r="Z1124" s="933"/>
      <c r="AA1124" s="908" t="s">
        <v>1458</v>
      </c>
      <c r="AB1124" s="843" t="s">
        <v>263</v>
      </c>
      <c r="AC1124" s="936"/>
      <c r="AD1124" s="844" t="s">
        <v>113</v>
      </c>
      <c r="AE1124" s="937">
        <f t="shared" si="26"/>
        <v>7</v>
      </c>
    </row>
    <row r="1125" spans="1:31" ht="105" hidden="1" x14ac:dyDescent="0.25">
      <c r="A1125" s="921" t="s">
        <v>6210</v>
      </c>
      <c r="B1125" s="922" t="s">
        <v>1854</v>
      </c>
      <c r="C1125" s="922" t="s">
        <v>6146</v>
      </c>
      <c r="D1125" s="670" t="s">
        <v>6758</v>
      </c>
      <c r="E1125" s="925" t="s">
        <v>2235</v>
      </c>
      <c r="F1125" s="926" t="s">
        <v>1528</v>
      </c>
      <c r="G1125" s="929" t="s">
        <v>2156</v>
      </c>
      <c r="H1125" s="931">
        <v>100</v>
      </c>
      <c r="I1125" s="922" t="s">
        <v>2161</v>
      </c>
      <c r="J1125" s="929" t="s">
        <v>1454</v>
      </c>
      <c r="K1125" s="957" t="s">
        <v>6341</v>
      </c>
      <c r="L1125" s="957">
        <v>60461</v>
      </c>
      <c r="M1125" s="997"/>
      <c r="N1125" s="859">
        <v>60461</v>
      </c>
      <c r="O1125" s="851">
        <v>42917</v>
      </c>
      <c r="P1125" s="851">
        <v>42979</v>
      </c>
      <c r="Q1125" s="930" t="s">
        <v>108</v>
      </c>
      <c r="R1125" s="930" t="s">
        <v>112</v>
      </c>
      <c r="S1125" s="930" t="s">
        <v>1457</v>
      </c>
      <c r="T1125" s="847"/>
      <c r="U1125" s="930"/>
      <c r="V1125" s="930"/>
      <c r="W1125" s="934"/>
      <c r="X1125" s="935"/>
      <c r="Y1125" s="934"/>
      <c r="Z1125" s="933"/>
      <c r="AA1125" s="908" t="s">
        <v>1458</v>
      </c>
      <c r="AB1125" s="843" t="s">
        <v>263</v>
      </c>
      <c r="AC1125" s="936"/>
      <c r="AD1125" s="844" t="s">
        <v>113</v>
      </c>
      <c r="AE1125" s="937">
        <f t="shared" si="26"/>
        <v>7</v>
      </c>
    </row>
    <row r="1126" spans="1:31" ht="105" hidden="1" x14ac:dyDescent="0.25">
      <c r="A1126" s="921" t="s">
        <v>6211</v>
      </c>
      <c r="B1126" s="922" t="s">
        <v>1571</v>
      </c>
      <c r="C1126" s="922" t="s">
        <v>6147</v>
      </c>
      <c r="D1126" s="670" t="s">
        <v>6757</v>
      </c>
      <c r="E1126" s="925" t="s">
        <v>2235</v>
      </c>
      <c r="F1126" s="926" t="s">
        <v>1528</v>
      </c>
      <c r="G1126" s="929" t="s">
        <v>2156</v>
      </c>
      <c r="H1126" s="931">
        <v>36</v>
      </c>
      <c r="I1126" s="922" t="s">
        <v>2161</v>
      </c>
      <c r="J1126" s="929" t="s">
        <v>1454</v>
      </c>
      <c r="K1126" s="957" t="s">
        <v>6342</v>
      </c>
      <c r="L1126" s="957">
        <v>341774</v>
      </c>
      <c r="M1126" s="997"/>
      <c r="N1126" s="859">
        <v>341774</v>
      </c>
      <c r="O1126" s="851">
        <v>42917</v>
      </c>
      <c r="P1126" s="851">
        <v>42979</v>
      </c>
      <c r="Q1126" s="930" t="s">
        <v>108</v>
      </c>
      <c r="R1126" s="930" t="s">
        <v>112</v>
      </c>
      <c r="S1126" s="930" t="s">
        <v>1457</v>
      </c>
      <c r="T1126" s="847"/>
      <c r="U1126" s="930"/>
      <c r="V1126" s="930"/>
      <c r="W1126" s="934"/>
      <c r="X1126" s="935"/>
      <c r="Y1126" s="934"/>
      <c r="Z1126" s="933"/>
      <c r="AA1126" s="908" t="s">
        <v>1458</v>
      </c>
      <c r="AB1126" s="843" t="s">
        <v>263</v>
      </c>
      <c r="AC1126" s="936"/>
      <c r="AD1126" s="844" t="s">
        <v>113</v>
      </c>
      <c r="AE1126" s="937">
        <f t="shared" si="26"/>
        <v>7</v>
      </c>
    </row>
    <row r="1127" spans="1:31" ht="105" hidden="1" x14ac:dyDescent="0.25">
      <c r="A1127" s="921" t="s">
        <v>6212</v>
      </c>
      <c r="B1127" s="922" t="s">
        <v>1531</v>
      </c>
      <c r="C1127" s="922" t="s">
        <v>5511</v>
      </c>
      <c r="D1127" s="670" t="s">
        <v>6756</v>
      </c>
      <c r="E1127" s="925" t="s">
        <v>2235</v>
      </c>
      <c r="F1127" s="926" t="s">
        <v>1528</v>
      </c>
      <c r="G1127" s="929" t="s">
        <v>2156</v>
      </c>
      <c r="H1127" s="931">
        <v>1</v>
      </c>
      <c r="I1127" s="922" t="s">
        <v>2161</v>
      </c>
      <c r="J1127" s="929" t="s">
        <v>1454</v>
      </c>
      <c r="K1127" s="957" t="s">
        <v>6343</v>
      </c>
      <c r="L1127" s="957">
        <v>35284.300000000003</v>
      </c>
      <c r="M1127" s="997"/>
      <c r="N1127" s="859">
        <v>35284.300000000003</v>
      </c>
      <c r="O1127" s="851">
        <v>42949</v>
      </c>
      <c r="P1127" s="851">
        <v>43009</v>
      </c>
      <c r="Q1127" s="930" t="s">
        <v>108</v>
      </c>
      <c r="R1127" s="930" t="s">
        <v>112</v>
      </c>
      <c r="S1127" s="930" t="s">
        <v>1457</v>
      </c>
      <c r="T1127" s="847"/>
      <c r="U1127" s="930"/>
      <c r="V1127" s="930"/>
      <c r="W1127" s="934"/>
      <c r="X1127" s="935"/>
      <c r="Y1127" s="934"/>
      <c r="Z1127" s="933"/>
      <c r="AA1127" s="908" t="s">
        <v>1458</v>
      </c>
      <c r="AB1127" s="843" t="s">
        <v>263</v>
      </c>
      <c r="AC1127" s="936"/>
      <c r="AD1127" s="844" t="s">
        <v>113</v>
      </c>
      <c r="AE1127" s="937">
        <f t="shared" si="26"/>
        <v>8</v>
      </c>
    </row>
    <row r="1128" spans="1:31" ht="105" hidden="1" x14ac:dyDescent="0.25">
      <c r="A1128" s="921" t="s">
        <v>6213</v>
      </c>
      <c r="B1128" s="922" t="s">
        <v>2433</v>
      </c>
      <c r="C1128" s="922" t="s">
        <v>1548</v>
      </c>
      <c r="D1128" s="670" t="s">
        <v>6755</v>
      </c>
      <c r="E1128" s="925" t="s">
        <v>2235</v>
      </c>
      <c r="F1128" s="926" t="s">
        <v>1528</v>
      </c>
      <c r="G1128" s="929" t="s">
        <v>2156</v>
      </c>
      <c r="H1128" s="931">
        <v>10</v>
      </c>
      <c r="I1128" s="922" t="s">
        <v>2161</v>
      </c>
      <c r="J1128" s="929" t="s">
        <v>1454</v>
      </c>
      <c r="K1128" s="957" t="s">
        <v>6344</v>
      </c>
      <c r="L1128" s="957">
        <v>667253.32999999996</v>
      </c>
      <c r="M1128" s="997"/>
      <c r="N1128" s="859">
        <v>667253.32999999996</v>
      </c>
      <c r="O1128" s="851">
        <v>42948</v>
      </c>
      <c r="P1128" s="851">
        <v>42979</v>
      </c>
      <c r="Q1128" s="930" t="s">
        <v>108</v>
      </c>
      <c r="R1128" s="930" t="s">
        <v>112</v>
      </c>
      <c r="S1128" s="930" t="s">
        <v>1457</v>
      </c>
      <c r="T1128" s="847"/>
      <c r="U1128" s="930"/>
      <c r="V1128" s="930"/>
      <c r="W1128" s="934"/>
      <c r="X1128" s="935"/>
      <c r="Y1128" s="934"/>
      <c r="Z1128" s="933"/>
      <c r="AA1128" s="908" t="s">
        <v>1458</v>
      </c>
      <c r="AB1128" s="843" t="s">
        <v>263</v>
      </c>
      <c r="AC1128" s="936"/>
      <c r="AD1128" s="844" t="s">
        <v>113</v>
      </c>
      <c r="AE1128" s="937">
        <f t="shared" si="26"/>
        <v>8</v>
      </c>
    </row>
    <row r="1129" spans="1:31" ht="105" hidden="1" x14ac:dyDescent="0.25">
      <c r="A1129" s="921" t="s">
        <v>6214</v>
      </c>
      <c r="B1129" s="922" t="s">
        <v>1793</v>
      </c>
      <c r="C1129" s="922" t="s">
        <v>4977</v>
      </c>
      <c r="D1129" s="670" t="s">
        <v>6754</v>
      </c>
      <c r="E1129" s="925" t="s">
        <v>2235</v>
      </c>
      <c r="F1129" s="926" t="s">
        <v>1587</v>
      </c>
      <c r="G1129" s="929" t="s">
        <v>2256</v>
      </c>
      <c r="H1129" s="931">
        <v>1</v>
      </c>
      <c r="I1129" s="922" t="s">
        <v>2161</v>
      </c>
      <c r="J1129" s="929" t="s">
        <v>1454</v>
      </c>
      <c r="K1129" s="957" t="s">
        <v>5747</v>
      </c>
      <c r="L1129" s="957">
        <v>530700.34</v>
      </c>
      <c r="M1129" s="997"/>
      <c r="N1129" s="859">
        <v>530700.34</v>
      </c>
      <c r="O1129" s="851">
        <v>42917</v>
      </c>
      <c r="P1129" s="851">
        <v>42979</v>
      </c>
      <c r="Q1129" s="930" t="s">
        <v>108</v>
      </c>
      <c r="R1129" s="930" t="s">
        <v>112</v>
      </c>
      <c r="S1129" s="930" t="s">
        <v>1457</v>
      </c>
      <c r="T1129" s="847"/>
      <c r="U1129" s="930"/>
      <c r="V1129" s="930"/>
      <c r="W1129" s="934"/>
      <c r="X1129" s="935"/>
      <c r="Y1129" s="934"/>
      <c r="Z1129" s="933"/>
      <c r="AA1129" s="908" t="s">
        <v>1458</v>
      </c>
      <c r="AB1129" s="843" t="s">
        <v>263</v>
      </c>
      <c r="AC1129" s="936"/>
      <c r="AD1129" s="844" t="s">
        <v>113</v>
      </c>
      <c r="AE1129" s="937">
        <f t="shared" si="26"/>
        <v>7</v>
      </c>
    </row>
    <row r="1130" spans="1:31" ht="105" hidden="1" x14ac:dyDescent="0.25">
      <c r="A1130" s="921" t="s">
        <v>6215</v>
      </c>
      <c r="B1130" s="922" t="s">
        <v>1793</v>
      </c>
      <c r="C1130" s="922" t="s">
        <v>4977</v>
      </c>
      <c r="D1130" s="670" t="s">
        <v>6753</v>
      </c>
      <c r="E1130" s="925" t="s">
        <v>2235</v>
      </c>
      <c r="F1130" s="926" t="s">
        <v>1528</v>
      </c>
      <c r="G1130" s="929" t="s">
        <v>2156</v>
      </c>
      <c r="H1130" s="931">
        <v>1</v>
      </c>
      <c r="I1130" s="922" t="s">
        <v>2161</v>
      </c>
      <c r="J1130" s="929" t="s">
        <v>1454</v>
      </c>
      <c r="K1130" s="957" t="s">
        <v>6345</v>
      </c>
      <c r="L1130" s="957">
        <v>77566.67</v>
      </c>
      <c r="M1130" s="997"/>
      <c r="N1130" s="859">
        <v>77566.67</v>
      </c>
      <c r="O1130" s="851">
        <v>42948</v>
      </c>
      <c r="P1130" s="851">
        <v>42979</v>
      </c>
      <c r="Q1130" s="930" t="s">
        <v>108</v>
      </c>
      <c r="R1130" s="930" t="s">
        <v>112</v>
      </c>
      <c r="S1130" s="930" t="s">
        <v>1457</v>
      </c>
      <c r="T1130" s="847"/>
      <c r="U1130" s="930"/>
      <c r="V1130" s="930"/>
      <c r="W1130" s="934"/>
      <c r="X1130" s="935"/>
      <c r="Y1130" s="934"/>
      <c r="Z1130" s="933"/>
      <c r="AA1130" s="908" t="s">
        <v>1458</v>
      </c>
      <c r="AB1130" s="843" t="s">
        <v>263</v>
      </c>
      <c r="AC1130" s="936"/>
      <c r="AD1130" s="844" t="s">
        <v>113</v>
      </c>
      <c r="AE1130" s="937">
        <f t="shared" si="26"/>
        <v>8</v>
      </c>
    </row>
    <row r="1131" spans="1:31" ht="105" hidden="1" x14ac:dyDescent="0.25">
      <c r="A1131" s="921" t="s">
        <v>6216</v>
      </c>
      <c r="B1131" s="922" t="s">
        <v>6148</v>
      </c>
      <c r="C1131" s="922" t="s">
        <v>6149</v>
      </c>
      <c r="D1131" s="670" t="s">
        <v>6752</v>
      </c>
      <c r="E1131" s="925" t="s">
        <v>2235</v>
      </c>
      <c r="F1131" s="926" t="s">
        <v>1528</v>
      </c>
      <c r="G1131" s="929" t="s">
        <v>2156</v>
      </c>
      <c r="H1131" s="931">
        <v>1</v>
      </c>
      <c r="I1131" s="922" t="s">
        <v>2161</v>
      </c>
      <c r="J1131" s="929" t="s">
        <v>1454</v>
      </c>
      <c r="K1131" s="957" t="s">
        <v>6786</v>
      </c>
      <c r="L1131" s="957">
        <v>3790000</v>
      </c>
      <c r="M1131" s="998"/>
      <c r="N1131" s="859">
        <v>3790000</v>
      </c>
      <c r="O1131" s="851">
        <v>42949</v>
      </c>
      <c r="P1131" s="851">
        <v>42979</v>
      </c>
      <c r="Q1131" s="930" t="s">
        <v>108</v>
      </c>
      <c r="R1131" s="930" t="s">
        <v>112</v>
      </c>
      <c r="S1131" s="930" t="s">
        <v>1457</v>
      </c>
      <c r="T1131" s="847"/>
      <c r="U1131" s="930"/>
      <c r="V1131" s="930"/>
      <c r="W1131" s="934"/>
      <c r="X1131" s="935"/>
      <c r="Y1131" s="934"/>
      <c r="Z1131" s="933"/>
      <c r="AA1131" s="908" t="s">
        <v>1458</v>
      </c>
      <c r="AB1131" s="843" t="s">
        <v>263</v>
      </c>
      <c r="AC1131" s="936"/>
      <c r="AD1131" s="844" t="s">
        <v>113</v>
      </c>
      <c r="AE1131" s="937">
        <f t="shared" si="26"/>
        <v>8</v>
      </c>
    </row>
    <row r="1132" spans="1:31" ht="105" hidden="1" x14ac:dyDescent="0.25">
      <c r="A1132" s="921" t="s">
        <v>6217</v>
      </c>
      <c r="B1132" s="922" t="s">
        <v>1941</v>
      </c>
      <c r="C1132" s="922" t="s">
        <v>1942</v>
      </c>
      <c r="D1132" s="670" t="s">
        <v>6751</v>
      </c>
      <c r="E1132" s="925" t="s">
        <v>6150</v>
      </c>
      <c r="F1132" s="926" t="s">
        <v>1528</v>
      </c>
      <c r="G1132" s="929" t="s">
        <v>2156</v>
      </c>
      <c r="H1132" s="931">
        <v>700</v>
      </c>
      <c r="I1132" s="922" t="s">
        <v>2161</v>
      </c>
      <c r="J1132" s="929" t="s">
        <v>1454</v>
      </c>
      <c r="K1132" s="957" t="s">
        <v>6346</v>
      </c>
      <c r="L1132" s="957">
        <v>462000</v>
      </c>
      <c r="M1132" s="997" t="s">
        <v>997</v>
      </c>
      <c r="N1132" s="859">
        <v>462000</v>
      </c>
      <c r="O1132" s="851">
        <v>42919</v>
      </c>
      <c r="P1132" s="851">
        <v>43100</v>
      </c>
      <c r="Q1132" s="930" t="s">
        <v>110</v>
      </c>
      <c r="R1132" s="930" t="s">
        <v>113</v>
      </c>
      <c r="S1132" s="930" t="s">
        <v>1455</v>
      </c>
      <c r="T1132" s="847"/>
      <c r="U1132" s="930"/>
      <c r="V1132" s="930" t="s">
        <v>45</v>
      </c>
      <c r="W1132" s="934" t="s">
        <v>268</v>
      </c>
      <c r="X1132" s="935" t="s">
        <v>3304</v>
      </c>
      <c r="Y1132" s="934" t="s">
        <v>5132</v>
      </c>
      <c r="Z1132" s="933">
        <v>462000</v>
      </c>
      <c r="AA1132" s="908" t="s">
        <v>1458</v>
      </c>
      <c r="AB1132" s="843" t="s">
        <v>263</v>
      </c>
      <c r="AC1132" s="936"/>
      <c r="AD1132" s="844" t="s">
        <v>113</v>
      </c>
      <c r="AE1132" s="937">
        <f t="shared" si="26"/>
        <v>7</v>
      </c>
    </row>
    <row r="1133" spans="1:31" ht="105" hidden="1" x14ac:dyDescent="0.25">
      <c r="A1133" s="921" t="s">
        <v>6218</v>
      </c>
      <c r="B1133" s="922" t="s">
        <v>2176</v>
      </c>
      <c r="C1133" s="922" t="s">
        <v>2037</v>
      </c>
      <c r="D1133" s="670" t="s">
        <v>6750</v>
      </c>
      <c r="E1133" s="925" t="s">
        <v>2027</v>
      </c>
      <c r="F1133" s="926" t="s">
        <v>1528</v>
      </c>
      <c r="G1133" s="929" t="s">
        <v>2156</v>
      </c>
      <c r="H1133" s="931">
        <v>2390</v>
      </c>
      <c r="I1133" s="922" t="s">
        <v>2161</v>
      </c>
      <c r="J1133" s="929" t="s">
        <v>1454</v>
      </c>
      <c r="K1133" s="957" t="s">
        <v>6347</v>
      </c>
      <c r="L1133" s="957">
        <v>38204291.5</v>
      </c>
      <c r="M1133" s="997"/>
      <c r="N1133" s="859">
        <v>38204291.5</v>
      </c>
      <c r="O1133" s="851">
        <v>42948</v>
      </c>
      <c r="P1133" s="851">
        <v>43251</v>
      </c>
      <c r="Q1133" s="930" t="s">
        <v>110</v>
      </c>
      <c r="R1133" s="930" t="s">
        <v>113</v>
      </c>
      <c r="S1133" s="930" t="s">
        <v>1455</v>
      </c>
      <c r="T1133" s="847"/>
      <c r="U1133" s="930"/>
      <c r="V1133" s="930"/>
      <c r="W1133" s="934"/>
      <c r="X1133" s="935"/>
      <c r="Y1133" s="934"/>
      <c r="Z1133" s="933"/>
      <c r="AA1133" s="908" t="s">
        <v>1458</v>
      </c>
      <c r="AB1133" s="843" t="s">
        <v>263</v>
      </c>
      <c r="AC1133" s="936"/>
      <c r="AD1133" s="844" t="s">
        <v>113</v>
      </c>
      <c r="AE1133" s="937">
        <f t="shared" si="26"/>
        <v>8</v>
      </c>
    </row>
    <row r="1134" spans="1:31" ht="105" hidden="1" x14ac:dyDescent="0.25">
      <c r="A1134" s="921" t="s">
        <v>6219</v>
      </c>
      <c r="B1134" s="922" t="s">
        <v>1580</v>
      </c>
      <c r="C1134" s="922" t="s">
        <v>6151</v>
      </c>
      <c r="D1134" s="924" t="s">
        <v>6308</v>
      </c>
      <c r="E1134" s="925" t="s">
        <v>5015</v>
      </c>
      <c r="F1134" s="926" t="s">
        <v>1528</v>
      </c>
      <c r="G1134" s="929" t="s">
        <v>2156</v>
      </c>
      <c r="H1134" s="931">
        <v>1</v>
      </c>
      <c r="I1134" s="922" t="s">
        <v>2161</v>
      </c>
      <c r="J1134" s="929" t="s">
        <v>1454</v>
      </c>
      <c r="K1134" s="957" t="s">
        <v>6348</v>
      </c>
      <c r="L1134" s="957">
        <v>2239775.41</v>
      </c>
      <c r="M1134" s="997"/>
      <c r="N1134" s="859">
        <v>2239775.41</v>
      </c>
      <c r="O1134" s="851">
        <v>42948</v>
      </c>
      <c r="P1134" s="851">
        <v>42948</v>
      </c>
      <c r="Q1134" s="930" t="s">
        <v>106</v>
      </c>
      <c r="R1134" s="930" t="s">
        <v>112</v>
      </c>
      <c r="S1134" s="930" t="s">
        <v>1457</v>
      </c>
      <c r="T1134" s="847"/>
      <c r="U1134" s="930"/>
      <c r="V1134" s="930"/>
      <c r="W1134" s="934"/>
      <c r="X1134" s="935"/>
      <c r="Y1134" s="934"/>
      <c r="Z1134" s="933"/>
      <c r="AA1134" s="908" t="s">
        <v>1458</v>
      </c>
      <c r="AB1134" s="843" t="s">
        <v>263</v>
      </c>
      <c r="AC1134" s="936"/>
      <c r="AD1134" s="844" t="s">
        <v>113</v>
      </c>
      <c r="AE1134" s="937">
        <f t="shared" si="26"/>
        <v>8</v>
      </c>
    </row>
    <row r="1135" spans="1:31" ht="105" hidden="1" x14ac:dyDescent="0.25">
      <c r="A1135" s="921" t="s">
        <v>6220</v>
      </c>
      <c r="B1135" s="922" t="s">
        <v>1571</v>
      </c>
      <c r="C1135" s="922" t="s">
        <v>6152</v>
      </c>
      <c r="D1135" s="670" t="s">
        <v>6749</v>
      </c>
      <c r="E1135" s="925" t="s">
        <v>5552</v>
      </c>
      <c r="F1135" s="926" t="s">
        <v>1528</v>
      </c>
      <c r="G1135" s="929" t="s">
        <v>2156</v>
      </c>
      <c r="H1135" s="931">
        <v>14</v>
      </c>
      <c r="I1135" s="922" t="s">
        <v>2161</v>
      </c>
      <c r="J1135" s="929" t="s">
        <v>1454</v>
      </c>
      <c r="K1135" s="957" t="s">
        <v>6349</v>
      </c>
      <c r="L1135" s="957">
        <v>163368.70000000001</v>
      </c>
      <c r="M1135" s="997"/>
      <c r="N1135" s="859">
        <v>163368.70000000001</v>
      </c>
      <c r="O1135" s="851">
        <v>42919</v>
      </c>
      <c r="P1135" s="851">
        <v>42978</v>
      </c>
      <c r="Q1135" s="930" t="s">
        <v>108</v>
      </c>
      <c r="R1135" s="930" t="s">
        <v>112</v>
      </c>
      <c r="S1135" s="930" t="s">
        <v>1457</v>
      </c>
      <c r="T1135" s="847"/>
      <c r="U1135" s="930"/>
      <c r="V1135" s="930"/>
      <c r="W1135" s="934"/>
      <c r="X1135" s="935"/>
      <c r="Y1135" s="934"/>
      <c r="Z1135" s="933"/>
      <c r="AA1135" s="908" t="s">
        <v>1458</v>
      </c>
      <c r="AB1135" s="843" t="s">
        <v>263</v>
      </c>
      <c r="AC1135" s="936"/>
      <c r="AD1135" s="844" t="s">
        <v>113</v>
      </c>
      <c r="AE1135" s="937">
        <f t="shared" si="26"/>
        <v>7</v>
      </c>
    </row>
    <row r="1136" spans="1:31" ht="105" hidden="1" x14ac:dyDescent="0.25">
      <c r="A1136" s="921" t="s">
        <v>6221</v>
      </c>
      <c r="B1136" s="922" t="s">
        <v>2433</v>
      </c>
      <c r="C1136" s="922" t="s">
        <v>1548</v>
      </c>
      <c r="D1136" s="670" t="s">
        <v>6748</v>
      </c>
      <c r="E1136" s="925" t="s">
        <v>2235</v>
      </c>
      <c r="F1136" s="926" t="s">
        <v>1587</v>
      </c>
      <c r="G1136" s="929" t="s">
        <v>2256</v>
      </c>
      <c r="H1136" s="931">
        <v>1</v>
      </c>
      <c r="I1136" s="922" t="s">
        <v>2161</v>
      </c>
      <c r="J1136" s="929" t="s">
        <v>1454</v>
      </c>
      <c r="K1136" s="957" t="s">
        <v>5698</v>
      </c>
      <c r="L1136" s="957">
        <v>498198.31</v>
      </c>
      <c r="M1136" s="997"/>
      <c r="N1136" s="859">
        <v>498198.31</v>
      </c>
      <c r="O1136" s="851">
        <v>42917</v>
      </c>
      <c r="P1136" s="851">
        <v>42950</v>
      </c>
      <c r="Q1136" s="930" t="s">
        <v>108</v>
      </c>
      <c r="R1136" s="930" t="s">
        <v>112</v>
      </c>
      <c r="S1136" s="930" t="s">
        <v>1457</v>
      </c>
      <c r="T1136" s="847"/>
      <c r="U1136" s="930"/>
      <c r="V1136" s="930"/>
      <c r="W1136" s="934"/>
      <c r="X1136" s="935"/>
      <c r="Y1136" s="934"/>
      <c r="Z1136" s="933"/>
      <c r="AA1136" s="908" t="s">
        <v>1458</v>
      </c>
      <c r="AB1136" s="843" t="s">
        <v>263</v>
      </c>
      <c r="AC1136" s="936"/>
      <c r="AD1136" s="844" t="s">
        <v>113</v>
      </c>
      <c r="AE1136" s="937">
        <f t="shared" si="26"/>
        <v>7</v>
      </c>
    </row>
    <row r="1137" spans="1:31" ht="105" hidden="1" x14ac:dyDescent="0.25">
      <c r="A1137" s="921" t="s">
        <v>6222</v>
      </c>
      <c r="B1137" s="922" t="s">
        <v>1635</v>
      </c>
      <c r="C1137" s="922" t="s">
        <v>1635</v>
      </c>
      <c r="D1137" s="670" t="s">
        <v>6747</v>
      </c>
      <c r="E1137" s="925" t="s">
        <v>6153</v>
      </c>
      <c r="F1137" s="926" t="s">
        <v>1528</v>
      </c>
      <c r="G1137" s="929" t="s">
        <v>2156</v>
      </c>
      <c r="H1137" s="931">
        <v>20</v>
      </c>
      <c r="I1137" s="922" t="s">
        <v>2161</v>
      </c>
      <c r="J1137" s="929" t="s">
        <v>1454</v>
      </c>
      <c r="K1137" s="957" t="s">
        <v>6350</v>
      </c>
      <c r="L1137" s="957">
        <v>174640</v>
      </c>
      <c r="M1137" s="997"/>
      <c r="N1137" s="859">
        <v>174640</v>
      </c>
      <c r="O1137" s="851">
        <v>42917</v>
      </c>
      <c r="P1137" s="851">
        <v>43070</v>
      </c>
      <c r="Q1137" s="930" t="s">
        <v>108</v>
      </c>
      <c r="R1137" s="930" t="s">
        <v>112</v>
      </c>
      <c r="S1137" s="930" t="s">
        <v>1457</v>
      </c>
      <c r="T1137" s="847"/>
      <c r="U1137" s="930"/>
      <c r="V1137" s="930"/>
      <c r="W1137" s="934"/>
      <c r="X1137" s="935"/>
      <c r="Y1137" s="934"/>
      <c r="Z1137" s="933"/>
      <c r="AA1137" s="908" t="s">
        <v>1458</v>
      </c>
      <c r="AB1137" s="843" t="s">
        <v>263</v>
      </c>
      <c r="AC1137" s="936"/>
      <c r="AD1137" s="844" t="s">
        <v>113</v>
      </c>
      <c r="AE1137" s="937">
        <f t="shared" ref="AE1137:AE1168" si="27">IF(O1137=0,,MONTH(O1137))</f>
        <v>7</v>
      </c>
    </row>
    <row r="1138" spans="1:31" ht="105" hidden="1" x14ac:dyDescent="0.25">
      <c r="A1138" s="921" t="s">
        <v>6223</v>
      </c>
      <c r="B1138" s="922" t="s">
        <v>2176</v>
      </c>
      <c r="C1138" s="922" t="s">
        <v>2037</v>
      </c>
      <c r="D1138" s="670" t="s">
        <v>6746</v>
      </c>
      <c r="E1138" s="925" t="s">
        <v>2027</v>
      </c>
      <c r="F1138" s="926" t="s">
        <v>1528</v>
      </c>
      <c r="G1138" s="929" t="s">
        <v>2156</v>
      </c>
      <c r="H1138" s="931">
        <v>19</v>
      </c>
      <c r="I1138" s="922" t="s">
        <v>2161</v>
      </c>
      <c r="J1138" s="929" t="s">
        <v>1454</v>
      </c>
      <c r="K1138" s="957" t="s">
        <v>6351</v>
      </c>
      <c r="L1138" s="957">
        <v>1523970.48</v>
      </c>
      <c r="M1138" s="997" t="s">
        <v>997</v>
      </c>
      <c r="N1138" s="859">
        <v>1523970.48</v>
      </c>
      <c r="O1138" s="851">
        <v>42948</v>
      </c>
      <c r="P1138" s="851">
        <v>42979</v>
      </c>
      <c r="Q1138" s="930" t="s">
        <v>110</v>
      </c>
      <c r="R1138" s="930" t="s">
        <v>113</v>
      </c>
      <c r="S1138" s="930" t="s">
        <v>1455</v>
      </c>
      <c r="T1138" s="847"/>
      <c r="U1138" s="930"/>
      <c r="V1138" s="930"/>
      <c r="W1138" s="934" t="s">
        <v>73</v>
      </c>
      <c r="X1138" s="638" t="s">
        <v>3005</v>
      </c>
      <c r="Y1138" s="637" t="s">
        <v>3006</v>
      </c>
      <c r="Z1138" s="933">
        <v>1523970.48</v>
      </c>
      <c r="AA1138" s="908" t="s">
        <v>1458</v>
      </c>
      <c r="AB1138" s="843" t="s">
        <v>263</v>
      </c>
      <c r="AC1138" s="936"/>
      <c r="AD1138" s="844" t="s">
        <v>113</v>
      </c>
      <c r="AE1138" s="937">
        <f t="shared" si="27"/>
        <v>8</v>
      </c>
    </row>
    <row r="1139" spans="1:31" ht="105" hidden="1" x14ac:dyDescent="0.25">
      <c r="A1139" s="921" t="s">
        <v>6224</v>
      </c>
      <c r="B1139" s="922" t="s">
        <v>1687</v>
      </c>
      <c r="C1139" s="922" t="s">
        <v>3132</v>
      </c>
      <c r="D1139" s="670" t="s">
        <v>6745</v>
      </c>
      <c r="E1139" s="925" t="s">
        <v>4944</v>
      </c>
      <c r="F1139" s="926" t="s">
        <v>1645</v>
      </c>
      <c r="G1139" s="929" t="s">
        <v>2259</v>
      </c>
      <c r="H1139" s="931">
        <v>164.5</v>
      </c>
      <c r="I1139" s="922" t="s">
        <v>2161</v>
      </c>
      <c r="J1139" s="929" t="s">
        <v>1454</v>
      </c>
      <c r="K1139" s="957" t="s">
        <v>6352</v>
      </c>
      <c r="L1139" s="957">
        <v>37934.51</v>
      </c>
      <c r="M1139" s="997"/>
      <c r="N1139" s="859">
        <v>37934.51</v>
      </c>
      <c r="O1139" s="851">
        <v>42917</v>
      </c>
      <c r="P1139" s="851">
        <v>42948</v>
      </c>
      <c r="Q1139" s="930" t="s">
        <v>108</v>
      </c>
      <c r="R1139" s="930" t="s">
        <v>112</v>
      </c>
      <c r="S1139" s="930" t="s">
        <v>1457</v>
      </c>
      <c r="T1139" s="847"/>
      <c r="U1139" s="930"/>
      <c r="V1139" s="930"/>
      <c r="W1139" s="934"/>
      <c r="X1139" s="935"/>
      <c r="Y1139" s="934"/>
      <c r="Z1139" s="933"/>
      <c r="AA1139" s="908" t="s">
        <v>1458</v>
      </c>
      <c r="AB1139" s="843" t="s">
        <v>263</v>
      </c>
      <c r="AC1139" s="936"/>
      <c r="AD1139" s="844" t="s">
        <v>113</v>
      </c>
      <c r="AE1139" s="937">
        <f t="shared" si="27"/>
        <v>7</v>
      </c>
    </row>
    <row r="1140" spans="1:31" ht="105" hidden="1" x14ac:dyDescent="0.25">
      <c r="A1140" s="921" t="s">
        <v>6225</v>
      </c>
      <c r="B1140" s="922" t="s">
        <v>1687</v>
      </c>
      <c r="C1140" s="922" t="s">
        <v>3132</v>
      </c>
      <c r="D1140" s="670" t="s">
        <v>6744</v>
      </c>
      <c r="E1140" s="925" t="s">
        <v>4944</v>
      </c>
      <c r="F1140" s="926" t="s">
        <v>1645</v>
      </c>
      <c r="G1140" s="929" t="s">
        <v>2259</v>
      </c>
      <c r="H1140" s="931">
        <v>204.62</v>
      </c>
      <c r="I1140" s="922" t="s">
        <v>2161</v>
      </c>
      <c r="J1140" s="929" t="s">
        <v>1454</v>
      </c>
      <c r="K1140" s="957" t="s">
        <v>6353</v>
      </c>
      <c r="L1140" s="957">
        <v>100305.81</v>
      </c>
      <c r="M1140" s="997"/>
      <c r="N1140" s="859">
        <v>100305.81</v>
      </c>
      <c r="O1140" s="851">
        <v>42917</v>
      </c>
      <c r="P1140" s="851">
        <v>42948</v>
      </c>
      <c r="Q1140" s="930" t="s">
        <v>108</v>
      </c>
      <c r="R1140" s="930" t="s">
        <v>112</v>
      </c>
      <c r="S1140" s="930" t="s">
        <v>1457</v>
      </c>
      <c r="T1140" s="847"/>
      <c r="U1140" s="930"/>
      <c r="V1140" s="930"/>
      <c r="W1140" s="934"/>
      <c r="X1140" s="935"/>
      <c r="Y1140" s="934"/>
      <c r="Z1140" s="933"/>
      <c r="AA1140" s="908" t="s">
        <v>1458</v>
      </c>
      <c r="AB1140" s="843" t="s">
        <v>263</v>
      </c>
      <c r="AC1140" s="936"/>
      <c r="AD1140" s="844" t="s">
        <v>113</v>
      </c>
      <c r="AE1140" s="937">
        <f t="shared" si="27"/>
        <v>7</v>
      </c>
    </row>
    <row r="1141" spans="1:31" ht="105" hidden="1" x14ac:dyDescent="0.25">
      <c r="A1141" s="921" t="s">
        <v>6226</v>
      </c>
      <c r="B1141" s="922" t="s">
        <v>1919</v>
      </c>
      <c r="C1141" s="922" t="s">
        <v>6154</v>
      </c>
      <c r="D1141" s="670" t="s">
        <v>6743</v>
      </c>
      <c r="E1141" s="925" t="s">
        <v>4944</v>
      </c>
      <c r="F1141" s="926" t="s">
        <v>1587</v>
      </c>
      <c r="G1141" s="929" t="s">
        <v>2256</v>
      </c>
      <c r="H1141" s="931">
        <v>1</v>
      </c>
      <c r="I1141" s="922" t="s">
        <v>2161</v>
      </c>
      <c r="J1141" s="929" t="s">
        <v>1454</v>
      </c>
      <c r="K1141" s="957" t="s">
        <v>6329</v>
      </c>
      <c r="L1141" s="957">
        <v>238331.9</v>
      </c>
      <c r="M1141" s="997"/>
      <c r="N1141" s="859">
        <v>238331.9</v>
      </c>
      <c r="O1141" s="851">
        <v>42917</v>
      </c>
      <c r="P1141" s="851">
        <v>42948</v>
      </c>
      <c r="Q1141" s="930" t="s">
        <v>108</v>
      </c>
      <c r="R1141" s="930" t="s">
        <v>112</v>
      </c>
      <c r="S1141" s="930" t="s">
        <v>1457</v>
      </c>
      <c r="T1141" s="847"/>
      <c r="U1141" s="930"/>
      <c r="V1141" s="930"/>
      <c r="W1141" s="934"/>
      <c r="X1141" s="935"/>
      <c r="Y1141" s="934"/>
      <c r="Z1141" s="933"/>
      <c r="AA1141" s="908" t="s">
        <v>1458</v>
      </c>
      <c r="AB1141" s="843" t="s">
        <v>263</v>
      </c>
      <c r="AC1141" s="936"/>
      <c r="AD1141" s="844" t="s">
        <v>113</v>
      </c>
      <c r="AE1141" s="937">
        <f t="shared" si="27"/>
        <v>7</v>
      </c>
    </row>
    <row r="1142" spans="1:31" ht="105" hidden="1" x14ac:dyDescent="0.25">
      <c r="A1142" s="921" t="s">
        <v>6227</v>
      </c>
      <c r="B1142" s="922" t="s">
        <v>6155</v>
      </c>
      <c r="C1142" s="922" t="s">
        <v>6156</v>
      </c>
      <c r="D1142" s="924" t="s">
        <v>6309</v>
      </c>
      <c r="E1142" s="925" t="s">
        <v>6157</v>
      </c>
      <c r="F1142" s="926" t="s">
        <v>1528</v>
      </c>
      <c r="G1142" s="929" t="s">
        <v>2156</v>
      </c>
      <c r="H1142" s="931">
        <v>1</v>
      </c>
      <c r="I1142" s="922" t="s">
        <v>2161</v>
      </c>
      <c r="J1142" s="929" t="s">
        <v>1454</v>
      </c>
      <c r="K1142" s="957" t="s">
        <v>6354</v>
      </c>
      <c r="L1142" s="957">
        <v>191809</v>
      </c>
      <c r="M1142" s="997" t="s">
        <v>997</v>
      </c>
      <c r="N1142" s="859">
        <v>191809</v>
      </c>
      <c r="O1142" s="851">
        <v>42917</v>
      </c>
      <c r="P1142" s="851">
        <v>42948</v>
      </c>
      <c r="Q1142" s="930" t="s">
        <v>110</v>
      </c>
      <c r="R1142" s="930" t="s">
        <v>113</v>
      </c>
      <c r="S1142" s="930" t="s">
        <v>1455</v>
      </c>
      <c r="T1142" s="847"/>
      <c r="U1142" s="930"/>
      <c r="V1142" s="930"/>
      <c r="W1142" s="934" t="s">
        <v>97</v>
      </c>
      <c r="X1142" s="638" t="s">
        <v>6440</v>
      </c>
      <c r="Y1142" s="637" t="s">
        <v>6441</v>
      </c>
      <c r="Z1142" s="933">
        <v>191809</v>
      </c>
      <c r="AA1142" s="908" t="s">
        <v>1458</v>
      </c>
      <c r="AB1142" s="843" t="s">
        <v>263</v>
      </c>
      <c r="AC1142" s="936"/>
      <c r="AD1142" s="844" t="s">
        <v>113</v>
      </c>
      <c r="AE1142" s="937">
        <f t="shared" si="27"/>
        <v>7</v>
      </c>
    </row>
    <row r="1143" spans="1:31" ht="105" hidden="1" x14ac:dyDescent="0.25">
      <c r="A1143" s="921" t="s">
        <v>6228</v>
      </c>
      <c r="B1143" s="922" t="s">
        <v>1576</v>
      </c>
      <c r="C1143" s="922" t="s">
        <v>4864</v>
      </c>
      <c r="D1143" s="670" t="s">
        <v>6742</v>
      </c>
      <c r="E1143" s="925" t="s">
        <v>3139</v>
      </c>
      <c r="F1143" s="926" t="s">
        <v>1528</v>
      </c>
      <c r="G1143" s="929" t="s">
        <v>2156</v>
      </c>
      <c r="H1143" s="931">
        <v>2</v>
      </c>
      <c r="I1143" s="922" t="s">
        <v>2161</v>
      </c>
      <c r="J1143" s="929" t="s">
        <v>1454</v>
      </c>
      <c r="K1143" s="957" t="s">
        <v>6355</v>
      </c>
      <c r="L1143" s="957">
        <v>211988.6</v>
      </c>
      <c r="M1143" s="997"/>
      <c r="N1143" s="859">
        <v>211988.6</v>
      </c>
      <c r="O1143" s="851">
        <v>42917</v>
      </c>
      <c r="P1143" s="851">
        <v>42948</v>
      </c>
      <c r="Q1143" s="930" t="s">
        <v>110</v>
      </c>
      <c r="R1143" s="930" t="s">
        <v>113</v>
      </c>
      <c r="S1143" s="930" t="s">
        <v>1455</v>
      </c>
      <c r="T1143" s="847"/>
      <c r="U1143" s="930"/>
      <c r="V1143" s="930"/>
      <c r="W1143" s="934"/>
      <c r="X1143" s="935"/>
      <c r="Y1143" s="934"/>
      <c r="Z1143" s="933"/>
      <c r="AA1143" s="908" t="s">
        <v>1458</v>
      </c>
      <c r="AB1143" s="843" t="s">
        <v>263</v>
      </c>
      <c r="AC1143" s="936"/>
      <c r="AD1143" s="844" t="s">
        <v>113</v>
      </c>
      <c r="AE1143" s="937">
        <f t="shared" si="27"/>
        <v>7</v>
      </c>
    </row>
    <row r="1144" spans="1:31" ht="105" hidden="1" x14ac:dyDescent="0.25">
      <c r="A1144" s="921" t="s">
        <v>6229</v>
      </c>
      <c r="B1144" s="922" t="s">
        <v>1576</v>
      </c>
      <c r="C1144" s="922" t="s">
        <v>4864</v>
      </c>
      <c r="D1144" s="670" t="s">
        <v>6741</v>
      </c>
      <c r="E1144" s="925" t="s">
        <v>3139</v>
      </c>
      <c r="F1144" s="926" t="s">
        <v>1528</v>
      </c>
      <c r="G1144" s="929" t="s">
        <v>2156</v>
      </c>
      <c r="H1144" s="931">
        <v>4</v>
      </c>
      <c r="I1144" s="922" t="s">
        <v>2161</v>
      </c>
      <c r="J1144" s="929" t="s">
        <v>1454</v>
      </c>
      <c r="K1144" s="950" t="s">
        <v>6356</v>
      </c>
      <c r="L1144" s="950">
        <v>113556.73</v>
      </c>
      <c r="M1144" s="997"/>
      <c r="N1144" s="862">
        <v>113556.73</v>
      </c>
      <c r="O1144" s="851">
        <v>42917</v>
      </c>
      <c r="P1144" s="851">
        <v>42948</v>
      </c>
      <c r="Q1144" s="930" t="s">
        <v>110</v>
      </c>
      <c r="R1144" s="930" t="s">
        <v>113</v>
      </c>
      <c r="S1144" s="930" t="s">
        <v>1455</v>
      </c>
      <c r="T1144" s="847"/>
      <c r="U1144" s="930"/>
      <c r="V1144" s="930"/>
      <c r="W1144" s="934"/>
      <c r="X1144" s="935"/>
      <c r="Y1144" s="934"/>
      <c r="Z1144" s="933"/>
      <c r="AA1144" s="908" t="s">
        <v>1458</v>
      </c>
      <c r="AB1144" s="843" t="s">
        <v>263</v>
      </c>
      <c r="AC1144" s="936"/>
      <c r="AD1144" s="844" t="s">
        <v>113</v>
      </c>
      <c r="AE1144" s="937">
        <f t="shared" si="27"/>
        <v>7</v>
      </c>
    </row>
    <row r="1145" spans="1:31" ht="105" hidden="1" x14ac:dyDescent="0.25">
      <c r="A1145" s="921" t="s">
        <v>6230</v>
      </c>
      <c r="B1145" s="922" t="s">
        <v>1576</v>
      </c>
      <c r="C1145" s="922" t="s">
        <v>1545</v>
      </c>
      <c r="D1145" s="670" t="s">
        <v>6740</v>
      </c>
      <c r="E1145" s="925" t="s">
        <v>3139</v>
      </c>
      <c r="F1145" s="926" t="s">
        <v>1528</v>
      </c>
      <c r="G1145" s="929" t="s">
        <v>2156</v>
      </c>
      <c r="H1145" s="931">
        <v>50</v>
      </c>
      <c r="I1145" s="922" t="s">
        <v>2161</v>
      </c>
      <c r="J1145" s="929" t="s">
        <v>1454</v>
      </c>
      <c r="K1145" s="957" t="s">
        <v>6357</v>
      </c>
      <c r="L1145" s="957">
        <v>353000</v>
      </c>
      <c r="M1145" s="997"/>
      <c r="N1145" s="859">
        <v>353000</v>
      </c>
      <c r="O1145" s="851">
        <v>42917</v>
      </c>
      <c r="P1145" s="851">
        <v>42948</v>
      </c>
      <c r="Q1145" s="930" t="s">
        <v>110</v>
      </c>
      <c r="R1145" s="930" t="s">
        <v>113</v>
      </c>
      <c r="S1145" s="930" t="s">
        <v>1455</v>
      </c>
      <c r="T1145" s="847"/>
      <c r="U1145" s="930"/>
      <c r="V1145" s="930"/>
      <c r="W1145" s="934"/>
      <c r="X1145" s="935"/>
      <c r="Y1145" s="934"/>
      <c r="Z1145" s="933"/>
      <c r="AA1145" s="908" t="s">
        <v>1458</v>
      </c>
      <c r="AB1145" s="843" t="s">
        <v>263</v>
      </c>
      <c r="AC1145" s="936"/>
      <c r="AD1145" s="844" t="s">
        <v>113</v>
      </c>
      <c r="AE1145" s="937">
        <f t="shared" si="27"/>
        <v>7</v>
      </c>
    </row>
    <row r="1146" spans="1:31" ht="105" hidden="1" x14ac:dyDescent="0.25">
      <c r="A1146" s="921" t="s">
        <v>6231</v>
      </c>
      <c r="B1146" s="922" t="s">
        <v>1576</v>
      </c>
      <c r="C1146" s="922" t="s">
        <v>1545</v>
      </c>
      <c r="D1146" s="670" t="s">
        <v>6739</v>
      </c>
      <c r="E1146" s="925" t="s">
        <v>3139</v>
      </c>
      <c r="F1146" s="926" t="s">
        <v>1528</v>
      </c>
      <c r="G1146" s="929" t="s">
        <v>2156</v>
      </c>
      <c r="H1146" s="931">
        <v>50</v>
      </c>
      <c r="I1146" s="922" t="s">
        <v>2161</v>
      </c>
      <c r="J1146" s="929" t="s">
        <v>1454</v>
      </c>
      <c r="K1146" s="957" t="s">
        <v>6358</v>
      </c>
      <c r="L1146" s="957">
        <v>332000</v>
      </c>
      <c r="M1146" s="997"/>
      <c r="N1146" s="859">
        <v>332000</v>
      </c>
      <c r="O1146" s="851">
        <v>42917.5</v>
      </c>
      <c r="P1146" s="851">
        <v>42948.5</v>
      </c>
      <c r="Q1146" s="930" t="s">
        <v>110</v>
      </c>
      <c r="R1146" s="930" t="s">
        <v>113</v>
      </c>
      <c r="S1146" s="930" t="s">
        <v>1455</v>
      </c>
      <c r="T1146" s="847"/>
      <c r="U1146" s="930"/>
      <c r="V1146" s="930"/>
      <c r="W1146" s="934"/>
      <c r="X1146" s="935"/>
      <c r="Y1146" s="934"/>
      <c r="Z1146" s="933"/>
      <c r="AA1146" s="908" t="s">
        <v>1458</v>
      </c>
      <c r="AB1146" s="843" t="s">
        <v>263</v>
      </c>
      <c r="AC1146" s="936"/>
      <c r="AD1146" s="844" t="s">
        <v>113</v>
      </c>
      <c r="AE1146" s="937">
        <f t="shared" si="27"/>
        <v>7</v>
      </c>
    </row>
    <row r="1147" spans="1:31" ht="105" hidden="1" x14ac:dyDescent="0.25">
      <c r="A1147" s="921" t="s">
        <v>6232</v>
      </c>
      <c r="B1147" s="922" t="s">
        <v>1576</v>
      </c>
      <c r="C1147" s="922" t="s">
        <v>1545</v>
      </c>
      <c r="D1147" s="670" t="s">
        <v>6738</v>
      </c>
      <c r="E1147" s="925" t="s">
        <v>3139</v>
      </c>
      <c r="F1147" s="926" t="s">
        <v>1528</v>
      </c>
      <c r="G1147" s="929" t="s">
        <v>2156</v>
      </c>
      <c r="H1147" s="931">
        <v>100</v>
      </c>
      <c r="I1147" s="922" t="s">
        <v>2161</v>
      </c>
      <c r="J1147" s="929" t="s">
        <v>1454</v>
      </c>
      <c r="K1147" s="957" t="s">
        <v>4937</v>
      </c>
      <c r="L1147" s="957">
        <v>150000</v>
      </c>
      <c r="M1147" s="997"/>
      <c r="N1147" s="859">
        <v>150000</v>
      </c>
      <c r="O1147" s="851">
        <v>42917.5</v>
      </c>
      <c r="P1147" s="851">
        <v>42948.5</v>
      </c>
      <c r="Q1147" s="930" t="s">
        <v>110</v>
      </c>
      <c r="R1147" s="930" t="s">
        <v>113</v>
      </c>
      <c r="S1147" s="930" t="s">
        <v>1455</v>
      </c>
      <c r="T1147" s="847"/>
      <c r="U1147" s="930"/>
      <c r="V1147" s="930"/>
      <c r="W1147" s="934"/>
      <c r="X1147" s="935"/>
      <c r="Y1147" s="934"/>
      <c r="Z1147" s="933"/>
      <c r="AA1147" s="908" t="s">
        <v>1458</v>
      </c>
      <c r="AB1147" s="843" t="s">
        <v>263</v>
      </c>
      <c r="AC1147" s="936"/>
      <c r="AD1147" s="844" t="s">
        <v>113</v>
      </c>
      <c r="AE1147" s="937">
        <f t="shared" si="27"/>
        <v>7</v>
      </c>
    </row>
    <row r="1148" spans="1:31" ht="105" hidden="1" x14ac:dyDescent="0.25">
      <c r="A1148" s="921" t="s">
        <v>6233</v>
      </c>
      <c r="B1148" s="922" t="s">
        <v>1531</v>
      </c>
      <c r="C1148" s="922" t="s">
        <v>1532</v>
      </c>
      <c r="D1148" s="670" t="s">
        <v>6737</v>
      </c>
      <c r="E1148" s="925" t="s">
        <v>6158</v>
      </c>
      <c r="F1148" s="926" t="s">
        <v>1587</v>
      </c>
      <c r="G1148" s="929" t="s">
        <v>2256</v>
      </c>
      <c r="H1148" s="931">
        <v>1</v>
      </c>
      <c r="I1148" s="922" t="s">
        <v>2161</v>
      </c>
      <c r="J1148" s="929" t="s">
        <v>1454</v>
      </c>
      <c r="K1148" s="957" t="s">
        <v>6359</v>
      </c>
      <c r="L1148" s="957">
        <v>745423.23</v>
      </c>
      <c r="M1148" s="997"/>
      <c r="N1148" s="859">
        <v>745423.23</v>
      </c>
      <c r="O1148" s="851">
        <v>42948</v>
      </c>
      <c r="P1148" s="851">
        <v>43070.5</v>
      </c>
      <c r="Q1148" s="930" t="s">
        <v>108</v>
      </c>
      <c r="R1148" s="930" t="s">
        <v>112</v>
      </c>
      <c r="S1148" s="930" t="s">
        <v>1457</v>
      </c>
      <c r="T1148" s="847"/>
      <c r="U1148" s="930"/>
      <c r="V1148" s="930"/>
      <c r="W1148" s="934"/>
      <c r="X1148" s="935"/>
      <c r="Y1148" s="934"/>
      <c r="Z1148" s="933"/>
      <c r="AA1148" s="908" t="s">
        <v>1458</v>
      </c>
      <c r="AB1148" s="843" t="s">
        <v>263</v>
      </c>
      <c r="AC1148" s="936"/>
      <c r="AD1148" s="844" t="s">
        <v>113</v>
      </c>
      <c r="AE1148" s="937">
        <f t="shared" si="27"/>
        <v>8</v>
      </c>
    </row>
    <row r="1149" spans="1:31" ht="105" hidden="1" x14ac:dyDescent="0.25">
      <c r="A1149" s="921" t="s">
        <v>6234</v>
      </c>
      <c r="B1149" s="922" t="s">
        <v>1531</v>
      </c>
      <c r="C1149" s="922" t="s">
        <v>1748</v>
      </c>
      <c r="D1149" s="670" t="s">
        <v>6736</v>
      </c>
      <c r="E1149" s="925" t="s">
        <v>6159</v>
      </c>
      <c r="F1149" s="926" t="s">
        <v>1528</v>
      </c>
      <c r="G1149" s="929" t="s">
        <v>2156</v>
      </c>
      <c r="H1149" s="931">
        <v>1</v>
      </c>
      <c r="I1149" s="922" t="s">
        <v>2161</v>
      </c>
      <c r="J1149" s="929" t="s">
        <v>1454</v>
      </c>
      <c r="K1149" s="957" t="s">
        <v>6360</v>
      </c>
      <c r="L1149" s="957">
        <v>1173000</v>
      </c>
      <c r="M1149" s="997"/>
      <c r="N1149" s="859">
        <v>1173000</v>
      </c>
      <c r="O1149" s="851">
        <v>42917.5</v>
      </c>
      <c r="P1149" s="851">
        <v>43070.5</v>
      </c>
      <c r="Q1149" s="930" t="s">
        <v>108</v>
      </c>
      <c r="R1149" s="930" t="s">
        <v>112</v>
      </c>
      <c r="S1149" s="930" t="s">
        <v>1457</v>
      </c>
      <c r="T1149" s="847"/>
      <c r="U1149" s="930"/>
      <c r="V1149" s="930"/>
      <c r="W1149" s="934"/>
      <c r="X1149" s="935"/>
      <c r="Y1149" s="934"/>
      <c r="Z1149" s="933"/>
      <c r="AA1149" s="908" t="s">
        <v>1458</v>
      </c>
      <c r="AB1149" s="843" t="s">
        <v>263</v>
      </c>
      <c r="AC1149" s="936"/>
      <c r="AD1149" s="844" t="s">
        <v>113</v>
      </c>
      <c r="AE1149" s="937">
        <f t="shared" si="27"/>
        <v>7</v>
      </c>
    </row>
    <row r="1150" spans="1:31" ht="105" hidden="1" x14ac:dyDescent="0.25">
      <c r="A1150" s="921" t="s">
        <v>6235</v>
      </c>
      <c r="B1150" s="922" t="s">
        <v>1913</v>
      </c>
      <c r="C1150" s="922" t="s">
        <v>1914</v>
      </c>
      <c r="D1150" s="670" t="s">
        <v>6735</v>
      </c>
      <c r="E1150" s="925" t="s">
        <v>6160</v>
      </c>
      <c r="F1150" s="926" t="s">
        <v>1528</v>
      </c>
      <c r="G1150" s="929" t="s">
        <v>2156</v>
      </c>
      <c r="H1150" s="931">
        <v>17</v>
      </c>
      <c r="I1150" s="922" t="s">
        <v>2161</v>
      </c>
      <c r="J1150" s="929" t="s">
        <v>1454</v>
      </c>
      <c r="K1150" s="957" t="s">
        <v>6361</v>
      </c>
      <c r="L1150" s="957">
        <v>82073.240000000005</v>
      </c>
      <c r="M1150" s="997"/>
      <c r="N1150" s="859">
        <v>82073.240000000005</v>
      </c>
      <c r="O1150" s="851">
        <v>42917.5</v>
      </c>
      <c r="P1150" s="851">
        <v>42948.5</v>
      </c>
      <c r="Q1150" s="930" t="s">
        <v>108</v>
      </c>
      <c r="R1150" s="930" t="s">
        <v>112</v>
      </c>
      <c r="S1150" s="930" t="s">
        <v>1457</v>
      </c>
      <c r="T1150" s="847"/>
      <c r="U1150" s="930"/>
      <c r="V1150" s="930"/>
      <c r="W1150" s="934"/>
      <c r="X1150" s="935"/>
      <c r="Y1150" s="934"/>
      <c r="Z1150" s="933"/>
      <c r="AA1150" s="908" t="s">
        <v>1458</v>
      </c>
      <c r="AB1150" s="843" t="s">
        <v>263</v>
      </c>
      <c r="AC1150" s="936"/>
      <c r="AD1150" s="844" t="s">
        <v>113</v>
      </c>
      <c r="AE1150" s="937">
        <f t="shared" si="27"/>
        <v>7</v>
      </c>
    </row>
    <row r="1151" spans="1:31" ht="105" hidden="1" x14ac:dyDescent="0.25">
      <c r="A1151" s="921" t="s">
        <v>6236</v>
      </c>
      <c r="B1151" s="922" t="s">
        <v>1537</v>
      </c>
      <c r="C1151" s="922" t="s">
        <v>6161</v>
      </c>
      <c r="D1151" s="670" t="s">
        <v>6734</v>
      </c>
      <c r="E1151" s="925" t="s">
        <v>6160</v>
      </c>
      <c r="F1151" s="926" t="s">
        <v>1528</v>
      </c>
      <c r="G1151" s="929" t="s">
        <v>2156</v>
      </c>
      <c r="H1151" s="931">
        <v>4660</v>
      </c>
      <c r="I1151" s="922" t="s">
        <v>2161</v>
      </c>
      <c r="J1151" s="929" t="s">
        <v>1454</v>
      </c>
      <c r="K1151" s="957" t="s">
        <v>6362</v>
      </c>
      <c r="L1151" s="957">
        <v>168945.99</v>
      </c>
      <c r="M1151" s="997"/>
      <c r="N1151" s="859">
        <v>168945.99</v>
      </c>
      <c r="O1151" s="851">
        <v>42918.5</v>
      </c>
      <c r="P1151" s="851">
        <v>42949.5</v>
      </c>
      <c r="Q1151" s="930" t="s">
        <v>108</v>
      </c>
      <c r="R1151" s="930" t="s">
        <v>112</v>
      </c>
      <c r="S1151" s="930" t="s">
        <v>1457</v>
      </c>
      <c r="T1151" s="847"/>
      <c r="U1151" s="930"/>
      <c r="V1151" s="930"/>
      <c r="W1151" s="934"/>
      <c r="X1151" s="935"/>
      <c r="Y1151" s="934"/>
      <c r="Z1151" s="933"/>
      <c r="AA1151" s="908" t="s">
        <v>1458</v>
      </c>
      <c r="AB1151" s="843" t="s">
        <v>263</v>
      </c>
      <c r="AC1151" s="936"/>
      <c r="AD1151" s="844" t="s">
        <v>113</v>
      </c>
      <c r="AE1151" s="937">
        <f t="shared" si="27"/>
        <v>7</v>
      </c>
    </row>
    <row r="1152" spans="1:31" ht="105" hidden="1" x14ac:dyDescent="0.25">
      <c r="A1152" s="921" t="s">
        <v>6237</v>
      </c>
      <c r="B1152" s="922" t="s">
        <v>1672</v>
      </c>
      <c r="C1152" s="922" t="s">
        <v>2219</v>
      </c>
      <c r="D1152" s="670" t="s">
        <v>6733</v>
      </c>
      <c r="E1152" s="925" t="s">
        <v>6162</v>
      </c>
      <c r="F1152" s="926" t="s">
        <v>1528</v>
      </c>
      <c r="G1152" s="929" t="s">
        <v>2156</v>
      </c>
      <c r="H1152" s="931">
        <v>440</v>
      </c>
      <c r="I1152" s="922" t="s">
        <v>2161</v>
      </c>
      <c r="J1152" s="929" t="s">
        <v>1454</v>
      </c>
      <c r="K1152" s="957" t="s">
        <v>4939</v>
      </c>
      <c r="L1152" s="957">
        <v>200000</v>
      </c>
      <c r="M1152" s="997"/>
      <c r="N1152" s="859">
        <v>200000</v>
      </c>
      <c r="O1152" s="851">
        <v>42917.5</v>
      </c>
      <c r="P1152" s="851">
        <v>42979.5</v>
      </c>
      <c r="Q1152" s="930" t="s">
        <v>110</v>
      </c>
      <c r="R1152" s="930" t="s">
        <v>113</v>
      </c>
      <c r="S1152" s="930" t="s">
        <v>1455</v>
      </c>
      <c r="T1152" s="847"/>
      <c r="U1152" s="930"/>
      <c r="V1152" s="930"/>
      <c r="W1152" s="934"/>
      <c r="X1152" s="935"/>
      <c r="Y1152" s="934"/>
      <c r="Z1152" s="933"/>
      <c r="AA1152" s="908" t="s">
        <v>1458</v>
      </c>
      <c r="AB1152" s="843" t="s">
        <v>263</v>
      </c>
      <c r="AC1152" s="936"/>
      <c r="AD1152" s="844" t="s">
        <v>113</v>
      </c>
      <c r="AE1152" s="937">
        <f t="shared" si="27"/>
        <v>7</v>
      </c>
    </row>
    <row r="1153" spans="1:31" ht="105" hidden="1" x14ac:dyDescent="0.25">
      <c r="A1153" s="921" t="s">
        <v>6238</v>
      </c>
      <c r="B1153" s="922" t="s">
        <v>1672</v>
      </c>
      <c r="C1153" s="922" t="s">
        <v>2219</v>
      </c>
      <c r="D1153" s="670" t="s">
        <v>6732</v>
      </c>
      <c r="E1153" s="925" t="s">
        <v>6163</v>
      </c>
      <c r="F1153" s="926" t="s">
        <v>1528</v>
      </c>
      <c r="G1153" s="929" t="s">
        <v>2156</v>
      </c>
      <c r="H1153" s="931">
        <v>120</v>
      </c>
      <c r="I1153" s="922" t="s">
        <v>2161</v>
      </c>
      <c r="J1153" s="929" t="s">
        <v>1454</v>
      </c>
      <c r="K1153" s="957" t="s">
        <v>6357</v>
      </c>
      <c r="L1153" s="957">
        <v>353000</v>
      </c>
      <c r="M1153" s="997"/>
      <c r="N1153" s="859">
        <v>353000</v>
      </c>
      <c r="O1153" s="851">
        <v>42917.5</v>
      </c>
      <c r="P1153" s="851">
        <v>42979.5</v>
      </c>
      <c r="Q1153" s="930" t="s">
        <v>110</v>
      </c>
      <c r="R1153" s="930" t="s">
        <v>113</v>
      </c>
      <c r="S1153" s="930" t="s">
        <v>1455</v>
      </c>
      <c r="T1153" s="847"/>
      <c r="U1153" s="930"/>
      <c r="V1153" s="930"/>
      <c r="W1153" s="934"/>
      <c r="X1153" s="935"/>
      <c r="Y1153" s="934"/>
      <c r="Z1153" s="933"/>
      <c r="AA1153" s="908" t="s">
        <v>1458</v>
      </c>
      <c r="AB1153" s="843" t="s">
        <v>263</v>
      </c>
      <c r="AC1153" s="936"/>
      <c r="AD1153" s="844" t="s">
        <v>113</v>
      </c>
      <c r="AE1153" s="937">
        <f t="shared" si="27"/>
        <v>7</v>
      </c>
    </row>
    <row r="1154" spans="1:31" ht="105" hidden="1" x14ac:dyDescent="0.25">
      <c r="A1154" s="921" t="s">
        <v>6239</v>
      </c>
      <c r="B1154" s="922" t="s">
        <v>2213</v>
      </c>
      <c r="C1154" s="922" t="s">
        <v>1703</v>
      </c>
      <c r="D1154" s="670" t="s">
        <v>6731</v>
      </c>
      <c r="E1154" s="925" t="s">
        <v>6164</v>
      </c>
      <c r="F1154" s="926" t="s">
        <v>1528</v>
      </c>
      <c r="G1154" s="929" t="s">
        <v>2156</v>
      </c>
      <c r="H1154" s="931">
        <v>60</v>
      </c>
      <c r="I1154" s="922" t="s">
        <v>2161</v>
      </c>
      <c r="J1154" s="929" t="s">
        <v>1454</v>
      </c>
      <c r="K1154" s="957" t="s">
        <v>6843</v>
      </c>
      <c r="L1154" s="981">
        <v>204831.24</v>
      </c>
      <c r="M1154" s="997" t="s">
        <v>997</v>
      </c>
      <c r="N1154" s="1003">
        <v>204831.24</v>
      </c>
      <c r="O1154" s="851">
        <v>42917.5</v>
      </c>
      <c r="P1154" s="851">
        <v>42979.5</v>
      </c>
      <c r="Q1154" s="930" t="s">
        <v>110</v>
      </c>
      <c r="R1154" s="930" t="s">
        <v>113</v>
      </c>
      <c r="S1154" s="930" t="s">
        <v>1455</v>
      </c>
      <c r="T1154" s="847"/>
      <c r="U1154" s="930"/>
      <c r="V1154" s="930" t="s">
        <v>45</v>
      </c>
      <c r="W1154" s="934" t="s">
        <v>73</v>
      </c>
      <c r="X1154" s="638" t="s">
        <v>6844</v>
      </c>
      <c r="Y1154" s="637" t="s">
        <v>6845</v>
      </c>
      <c r="Z1154" s="933">
        <v>204831.24</v>
      </c>
      <c r="AA1154" s="908" t="s">
        <v>1458</v>
      </c>
      <c r="AB1154" s="843" t="s">
        <v>263</v>
      </c>
      <c r="AC1154" s="936"/>
      <c r="AD1154" s="844" t="s">
        <v>113</v>
      </c>
      <c r="AE1154" s="937">
        <f t="shared" si="27"/>
        <v>7</v>
      </c>
    </row>
    <row r="1155" spans="1:31" ht="105" hidden="1" x14ac:dyDescent="0.25">
      <c r="A1155" s="921" t="s">
        <v>6240</v>
      </c>
      <c r="B1155" s="922" t="s">
        <v>1576</v>
      </c>
      <c r="C1155" s="922" t="s">
        <v>1576</v>
      </c>
      <c r="D1155" s="670" t="s">
        <v>6730</v>
      </c>
      <c r="E1155" s="925" t="s">
        <v>6165</v>
      </c>
      <c r="F1155" s="926" t="s">
        <v>1528</v>
      </c>
      <c r="G1155" s="929" t="s">
        <v>2156</v>
      </c>
      <c r="H1155" s="931">
        <v>25</v>
      </c>
      <c r="I1155" s="922" t="s">
        <v>2161</v>
      </c>
      <c r="J1155" s="929" t="s">
        <v>1454</v>
      </c>
      <c r="K1155" s="957" t="s">
        <v>6364</v>
      </c>
      <c r="L1155" s="957">
        <v>137145.5</v>
      </c>
      <c r="M1155" s="997" t="s">
        <v>997</v>
      </c>
      <c r="N1155" s="859">
        <v>137145.5</v>
      </c>
      <c r="O1155" s="851">
        <v>42917.5</v>
      </c>
      <c r="P1155" s="851">
        <v>42979.5</v>
      </c>
      <c r="Q1155" s="930" t="s">
        <v>110</v>
      </c>
      <c r="R1155" s="930" t="s">
        <v>113</v>
      </c>
      <c r="S1155" s="930" t="s">
        <v>1455</v>
      </c>
      <c r="T1155" s="847"/>
      <c r="U1155" s="930"/>
      <c r="V1155" s="930" t="s">
        <v>45</v>
      </c>
      <c r="W1155" s="934" t="s">
        <v>72</v>
      </c>
      <c r="X1155" s="638" t="s">
        <v>6435</v>
      </c>
      <c r="Y1155" s="637" t="s">
        <v>6436</v>
      </c>
      <c r="Z1155" s="933">
        <v>137145.5</v>
      </c>
      <c r="AA1155" s="908" t="s">
        <v>1458</v>
      </c>
      <c r="AB1155" s="843" t="s">
        <v>263</v>
      </c>
      <c r="AC1155" s="936"/>
      <c r="AD1155" s="844" t="s">
        <v>113</v>
      </c>
      <c r="AE1155" s="937">
        <f t="shared" si="27"/>
        <v>7</v>
      </c>
    </row>
    <row r="1156" spans="1:31" ht="105" hidden="1" x14ac:dyDescent="0.25">
      <c r="A1156" s="921" t="s">
        <v>6241</v>
      </c>
      <c r="B1156" s="922" t="s">
        <v>1576</v>
      </c>
      <c r="C1156" s="922" t="s">
        <v>6166</v>
      </c>
      <c r="D1156" s="670" t="s">
        <v>6729</v>
      </c>
      <c r="E1156" s="925" t="s">
        <v>6167</v>
      </c>
      <c r="F1156" s="926" t="s">
        <v>1528</v>
      </c>
      <c r="G1156" s="929" t="s">
        <v>2156</v>
      </c>
      <c r="H1156" s="931">
        <v>30</v>
      </c>
      <c r="I1156" s="922" t="s">
        <v>2161</v>
      </c>
      <c r="J1156" s="929" t="s">
        <v>1454</v>
      </c>
      <c r="K1156" s="957" t="s">
        <v>6365</v>
      </c>
      <c r="L1156" s="957">
        <v>132000</v>
      </c>
      <c r="M1156" s="997" t="s">
        <v>997</v>
      </c>
      <c r="N1156" s="859">
        <v>132000</v>
      </c>
      <c r="O1156" s="851">
        <v>42917.5</v>
      </c>
      <c r="P1156" s="851">
        <v>42979.5</v>
      </c>
      <c r="Q1156" s="930" t="s">
        <v>110</v>
      </c>
      <c r="R1156" s="930" t="s">
        <v>113</v>
      </c>
      <c r="S1156" s="930" t="s">
        <v>1455</v>
      </c>
      <c r="T1156" s="847"/>
      <c r="U1156" s="930"/>
      <c r="V1156" s="930"/>
      <c r="W1156" s="934" t="s">
        <v>73</v>
      </c>
      <c r="X1156" s="638" t="s">
        <v>6443</v>
      </c>
      <c r="Y1156" s="637" t="s">
        <v>1720</v>
      </c>
      <c r="Z1156" s="933">
        <v>132000</v>
      </c>
      <c r="AA1156" s="908" t="s">
        <v>1458</v>
      </c>
      <c r="AB1156" s="843" t="s">
        <v>263</v>
      </c>
      <c r="AC1156" s="936"/>
      <c r="AD1156" s="844" t="s">
        <v>113</v>
      </c>
      <c r="AE1156" s="937">
        <f t="shared" si="27"/>
        <v>7</v>
      </c>
    </row>
    <row r="1157" spans="1:31" ht="105" hidden="1" x14ac:dyDescent="0.25">
      <c r="A1157" s="921" t="s">
        <v>6242</v>
      </c>
      <c r="B1157" s="922" t="s">
        <v>1475</v>
      </c>
      <c r="C1157" s="922" t="s">
        <v>6168</v>
      </c>
      <c r="D1157" s="670" t="s">
        <v>6728</v>
      </c>
      <c r="E1157" s="925" t="s">
        <v>6169</v>
      </c>
      <c r="F1157" s="926" t="s">
        <v>1528</v>
      </c>
      <c r="G1157" s="929" t="s">
        <v>2156</v>
      </c>
      <c r="H1157" s="931">
        <v>13</v>
      </c>
      <c r="I1157" s="922" t="s">
        <v>2161</v>
      </c>
      <c r="J1157" s="929" t="s">
        <v>1454</v>
      </c>
      <c r="K1157" s="957" t="s">
        <v>6366</v>
      </c>
      <c r="L1157" s="957">
        <v>5629</v>
      </c>
      <c r="M1157" s="997"/>
      <c r="N1157" s="859">
        <v>5629</v>
      </c>
      <c r="O1157" s="851">
        <v>42979</v>
      </c>
      <c r="P1157" s="851">
        <v>43010.5</v>
      </c>
      <c r="Q1157" s="930" t="s">
        <v>108</v>
      </c>
      <c r="R1157" s="930" t="s">
        <v>112</v>
      </c>
      <c r="S1157" s="930" t="s">
        <v>1457</v>
      </c>
      <c r="T1157" s="847"/>
      <c r="U1157" s="930"/>
      <c r="V1157" s="930"/>
      <c r="W1157" s="934"/>
      <c r="X1157" s="935"/>
      <c r="Y1157" s="934"/>
      <c r="Z1157" s="933"/>
      <c r="AA1157" s="908" t="s">
        <v>1458</v>
      </c>
      <c r="AB1157" s="843" t="s">
        <v>263</v>
      </c>
      <c r="AC1157" s="936"/>
      <c r="AD1157" s="844" t="s">
        <v>113</v>
      </c>
      <c r="AE1157" s="937">
        <f t="shared" si="27"/>
        <v>9</v>
      </c>
    </row>
    <row r="1158" spans="1:31" ht="105" hidden="1" x14ac:dyDescent="0.25">
      <c r="A1158" s="921" t="s">
        <v>6243</v>
      </c>
      <c r="B1158" s="922" t="s">
        <v>5539</v>
      </c>
      <c r="C1158" s="922" t="s">
        <v>5540</v>
      </c>
      <c r="D1158" s="924" t="s">
        <v>6310</v>
      </c>
      <c r="E1158" s="925" t="s">
        <v>5541</v>
      </c>
      <c r="F1158" s="926" t="s">
        <v>1528</v>
      </c>
      <c r="G1158" s="929" t="s">
        <v>2156</v>
      </c>
      <c r="H1158" s="931">
        <v>119</v>
      </c>
      <c r="I1158" s="922" t="s">
        <v>2161</v>
      </c>
      <c r="J1158" s="929" t="s">
        <v>1454</v>
      </c>
      <c r="K1158" s="957" t="s">
        <v>5739</v>
      </c>
      <c r="L1158" s="957">
        <v>886925.73</v>
      </c>
      <c r="M1158" s="997"/>
      <c r="N1158" s="859">
        <v>886925.73</v>
      </c>
      <c r="O1158" s="851">
        <v>42918.5</v>
      </c>
      <c r="P1158" s="851">
        <v>42949.5</v>
      </c>
      <c r="Q1158" s="930" t="s">
        <v>108</v>
      </c>
      <c r="R1158" s="634" t="s">
        <v>112</v>
      </c>
      <c r="S1158" s="634" t="s">
        <v>1457</v>
      </c>
      <c r="T1158" s="847"/>
      <c r="U1158" s="930"/>
      <c r="V1158" s="930"/>
      <c r="W1158" s="934"/>
      <c r="X1158" s="935"/>
      <c r="Y1158" s="934"/>
      <c r="Z1158" s="933"/>
      <c r="AA1158" s="908" t="s">
        <v>1458</v>
      </c>
      <c r="AB1158" s="843" t="s">
        <v>263</v>
      </c>
      <c r="AC1158" s="936"/>
      <c r="AD1158" s="844" t="s">
        <v>113</v>
      </c>
      <c r="AE1158" s="937">
        <f t="shared" si="27"/>
        <v>7</v>
      </c>
    </row>
    <row r="1159" spans="1:31" ht="105" hidden="1" x14ac:dyDescent="0.25">
      <c r="A1159" s="921" t="s">
        <v>6244</v>
      </c>
      <c r="B1159" s="922" t="s">
        <v>1576</v>
      </c>
      <c r="C1159" s="922" t="s">
        <v>1576</v>
      </c>
      <c r="D1159" s="670" t="s">
        <v>6727</v>
      </c>
      <c r="E1159" s="925" t="s">
        <v>6170</v>
      </c>
      <c r="F1159" s="926" t="s">
        <v>1528</v>
      </c>
      <c r="G1159" s="929" t="s">
        <v>2156</v>
      </c>
      <c r="H1159" s="931">
        <v>50</v>
      </c>
      <c r="I1159" s="922" t="s">
        <v>2161</v>
      </c>
      <c r="J1159" s="929" t="s">
        <v>1454</v>
      </c>
      <c r="K1159" s="957" t="s">
        <v>6367</v>
      </c>
      <c r="L1159" s="957">
        <v>222000</v>
      </c>
      <c r="M1159" s="997"/>
      <c r="N1159" s="859">
        <v>222000</v>
      </c>
      <c r="O1159" s="851">
        <v>42917.5</v>
      </c>
      <c r="P1159" s="851">
        <v>42979.5</v>
      </c>
      <c r="Q1159" s="930" t="s">
        <v>110</v>
      </c>
      <c r="R1159" s="930" t="s">
        <v>113</v>
      </c>
      <c r="S1159" s="930" t="s">
        <v>1455</v>
      </c>
      <c r="T1159" s="847"/>
      <c r="U1159" s="930"/>
      <c r="V1159" s="930"/>
      <c r="W1159" s="934"/>
      <c r="X1159" s="935"/>
      <c r="Y1159" s="934"/>
      <c r="Z1159" s="933"/>
      <c r="AA1159" s="908" t="s">
        <v>1458</v>
      </c>
      <c r="AB1159" s="843" t="s">
        <v>263</v>
      </c>
      <c r="AC1159" s="936"/>
      <c r="AD1159" s="844" t="s">
        <v>113</v>
      </c>
      <c r="AE1159" s="937">
        <f t="shared" si="27"/>
        <v>7</v>
      </c>
    </row>
    <row r="1160" spans="1:31" ht="105" hidden="1" x14ac:dyDescent="0.25">
      <c r="A1160" s="921" t="s">
        <v>6245</v>
      </c>
      <c r="B1160" s="922" t="s">
        <v>1540</v>
      </c>
      <c r="C1160" s="922" t="s">
        <v>1540</v>
      </c>
      <c r="D1160" s="670" t="s">
        <v>6726</v>
      </c>
      <c r="E1160" s="925" t="s">
        <v>5526</v>
      </c>
      <c r="F1160" s="926" t="s">
        <v>1528</v>
      </c>
      <c r="G1160" s="929" t="s">
        <v>2156</v>
      </c>
      <c r="H1160" s="931">
        <v>700</v>
      </c>
      <c r="I1160" s="922" t="s">
        <v>2161</v>
      </c>
      <c r="J1160" s="929" t="s">
        <v>1454</v>
      </c>
      <c r="K1160" s="957" t="s">
        <v>5720</v>
      </c>
      <c r="L1160" s="957">
        <v>453061</v>
      </c>
      <c r="M1160" s="997"/>
      <c r="N1160" s="859">
        <v>453061</v>
      </c>
      <c r="O1160" s="851">
        <v>42918.5</v>
      </c>
      <c r="P1160" s="851">
        <v>42949.5</v>
      </c>
      <c r="Q1160" s="930" t="s">
        <v>110</v>
      </c>
      <c r="R1160" s="930" t="s">
        <v>113</v>
      </c>
      <c r="S1160" s="930" t="s">
        <v>1455</v>
      </c>
      <c r="T1160" s="847"/>
      <c r="U1160" s="930"/>
      <c r="V1160" s="930"/>
      <c r="W1160" s="934"/>
      <c r="X1160" s="935"/>
      <c r="Y1160" s="934"/>
      <c r="Z1160" s="933"/>
      <c r="AA1160" s="908" t="s">
        <v>1458</v>
      </c>
      <c r="AB1160" s="843" t="s">
        <v>263</v>
      </c>
      <c r="AC1160" s="936"/>
      <c r="AD1160" s="844" t="s">
        <v>113</v>
      </c>
      <c r="AE1160" s="937">
        <f t="shared" si="27"/>
        <v>7</v>
      </c>
    </row>
    <row r="1161" spans="1:31" ht="105" hidden="1" x14ac:dyDescent="0.25">
      <c r="A1161" s="921" t="s">
        <v>6246</v>
      </c>
      <c r="B1161" s="922" t="s">
        <v>1576</v>
      </c>
      <c r="C1161" s="922" t="s">
        <v>1576</v>
      </c>
      <c r="D1161" s="670" t="s">
        <v>6725</v>
      </c>
      <c r="E1161" s="925" t="s">
        <v>5531</v>
      </c>
      <c r="F1161" s="926" t="s">
        <v>1528</v>
      </c>
      <c r="G1161" s="929" t="s">
        <v>2156</v>
      </c>
      <c r="H1161" s="931">
        <v>380</v>
      </c>
      <c r="I1161" s="922" t="s">
        <v>2161</v>
      </c>
      <c r="J1161" s="929" t="s">
        <v>1454</v>
      </c>
      <c r="K1161" s="957" t="s">
        <v>5724</v>
      </c>
      <c r="L1161" s="957">
        <v>1044006.16</v>
      </c>
      <c r="M1161" s="997"/>
      <c r="N1161" s="859">
        <v>1044006.16</v>
      </c>
      <c r="O1161" s="851">
        <v>42918.5</v>
      </c>
      <c r="P1161" s="851">
        <v>42949.5</v>
      </c>
      <c r="Q1161" s="930" t="s">
        <v>110</v>
      </c>
      <c r="R1161" s="930" t="s">
        <v>113</v>
      </c>
      <c r="S1161" s="930" t="s">
        <v>1455</v>
      </c>
      <c r="T1161" s="847"/>
      <c r="U1161" s="930"/>
      <c r="V1161" s="930"/>
      <c r="W1161" s="934"/>
      <c r="X1161" s="935"/>
      <c r="Y1161" s="934"/>
      <c r="Z1161" s="933"/>
      <c r="AA1161" s="908" t="s">
        <v>1458</v>
      </c>
      <c r="AB1161" s="843" t="s">
        <v>263</v>
      </c>
      <c r="AC1161" s="936"/>
      <c r="AD1161" s="844" t="s">
        <v>113</v>
      </c>
      <c r="AE1161" s="937">
        <f t="shared" si="27"/>
        <v>7</v>
      </c>
    </row>
    <row r="1162" spans="1:31" ht="105" hidden="1" x14ac:dyDescent="0.25">
      <c r="A1162" s="921" t="s">
        <v>6247</v>
      </c>
      <c r="B1162" s="922" t="s">
        <v>1540</v>
      </c>
      <c r="C1162" s="922" t="s">
        <v>1745</v>
      </c>
      <c r="D1162" s="670" t="s">
        <v>6724</v>
      </c>
      <c r="E1162" s="925" t="s">
        <v>6171</v>
      </c>
      <c r="F1162" s="926" t="s">
        <v>1528</v>
      </c>
      <c r="G1162" s="929" t="s">
        <v>2156</v>
      </c>
      <c r="H1162" s="931">
        <v>15</v>
      </c>
      <c r="I1162" s="922" t="s">
        <v>2161</v>
      </c>
      <c r="J1162" s="929" t="s">
        <v>1454</v>
      </c>
      <c r="K1162" s="957" t="s">
        <v>6368</v>
      </c>
      <c r="L1162" s="957">
        <v>114838.49</v>
      </c>
      <c r="M1162" s="997"/>
      <c r="N1162" s="859">
        <v>114838.49</v>
      </c>
      <c r="O1162" s="851">
        <v>42918.5</v>
      </c>
      <c r="P1162" s="851">
        <v>42949.5</v>
      </c>
      <c r="Q1162" s="930" t="s">
        <v>110</v>
      </c>
      <c r="R1162" s="930" t="s">
        <v>113</v>
      </c>
      <c r="S1162" s="930" t="s">
        <v>1455</v>
      </c>
      <c r="T1162" s="847"/>
      <c r="U1162" s="930"/>
      <c r="V1162" s="930"/>
      <c r="W1162" s="934"/>
      <c r="X1162" s="935"/>
      <c r="Y1162" s="934"/>
      <c r="Z1162" s="933"/>
      <c r="AA1162" s="908" t="s">
        <v>1458</v>
      </c>
      <c r="AB1162" s="843" t="s">
        <v>263</v>
      </c>
      <c r="AC1162" s="936"/>
      <c r="AD1162" s="844" t="s">
        <v>113</v>
      </c>
      <c r="AE1162" s="937">
        <f t="shared" si="27"/>
        <v>7</v>
      </c>
    </row>
    <row r="1163" spans="1:31" ht="105" hidden="1" x14ac:dyDescent="0.25">
      <c r="A1163" s="921" t="s">
        <v>6248</v>
      </c>
      <c r="B1163" s="922" t="s">
        <v>1576</v>
      </c>
      <c r="C1163" s="922" t="s">
        <v>1576</v>
      </c>
      <c r="D1163" s="670" t="s">
        <v>6723</v>
      </c>
      <c r="E1163" s="925" t="s">
        <v>6172</v>
      </c>
      <c r="F1163" s="926" t="s">
        <v>1528</v>
      </c>
      <c r="G1163" s="929" t="s">
        <v>2156</v>
      </c>
      <c r="H1163" s="931">
        <v>420</v>
      </c>
      <c r="I1163" s="922" t="s">
        <v>2161</v>
      </c>
      <c r="J1163" s="929" t="s">
        <v>1454</v>
      </c>
      <c r="K1163" s="957" t="s">
        <v>6369</v>
      </c>
      <c r="L1163" s="957">
        <v>640067.4</v>
      </c>
      <c r="M1163" s="997"/>
      <c r="N1163" s="859">
        <v>640067.4</v>
      </c>
      <c r="O1163" s="851">
        <v>42918.5</v>
      </c>
      <c r="P1163" s="851">
        <v>42949.5</v>
      </c>
      <c r="Q1163" s="930" t="s">
        <v>110</v>
      </c>
      <c r="R1163" s="930" t="s">
        <v>113</v>
      </c>
      <c r="S1163" s="930" t="s">
        <v>1455</v>
      </c>
      <c r="T1163" s="847"/>
      <c r="U1163" s="930"/>
      <c r="V1163" s="930" t="s">
        <v>45</v>
      </c>
      <c r="W1163" s="934" t="s">
        <v>73</v>
      </c>
      <c r="X1163" s="638" t="s">
        <v>6415</v>
      </c>
      <c r="Y1163" s="637" t="s">
        <v>6416</v>
      </c>
      <c r="Z1163" s="933">
        <v>640067.4</v>
      </c>
      <c r="AA1163" s="908" t="s">
        <v>1458</v>
      </c>
      <c r="AB1163" s="843" t="s">
        <v>263</v>
      </c>
      <c r="AC1163" s="936"/>
      <c r="AD1163" s="844" t="s">
        <v>113</v>
      </c>
      <c r="AE1163" s="937">
        <f t="shared" si="27"/>
        <v>7</v>
      </c>
    </row>
    <row r="1164" spans="1:31" ht="105" hidden="1" x14ac:dyDescent="0.25">
      <c r="A1164" s="921" t="s">
        <v>6249</v>
      </c>
      <c r="B1164" s="922" t="s">
        <v>1576</v>
      </c>
      <c r="C1164" s="922" t="s">
        <v>1738</v>
      </c>
      <c r="D1164" s="670" t="s">
        <v>6722</v>
      </c>
      <c r="E1164" s="925" t="s">
        <v>6173</v>
      </c>
      <c r="F1164" s="926" t="s">
        <v>1528</v>
      </c>
      <c r="G1164" s="929" t="s">
        <v>2156</v>
      </c>
      <c r="H1164" s="931">
        <v>550</v>
      </c>
      <c r="I1164" s="922" t="s">
        <v>2161</v>
      </c>
      <c r="J1164" s="929" t="s">
        <v>1454</v>
      </c>
      <c r="K1164" s="957" t="s">
        <v>6370</v>
      </c>
      <c r="L1164" s="957">
        <v>594000.4</v>
      </c>
      <c r="M1164" s="997"/>
      <c r="N1164" s="859">
        <v>594000.4</v>
      </c>
      <c r="O1164" s="851">
        <v>42918.5</v>
      </c>
      <c r="P1164" s="851">
        <v>42949.5</v>
      </c>
      <c r="Q1164" s="930" t="s">
        <v>110</v>
      </c>
      <c r="R1164" s="930" t="s">
        <v>113</v>
      </c>
      <c r="S1164" s="930" t="s">
        <v>1455</v>
      </c>
      <c r="T1164" s="847"/>
      <c r="U1164" s="930"/>
      <c r="V1164" s="930"/>
      <c r="W1164" s="934"/>
      <c r="X1164" s="935"/>
      <c r="Y1164" s="934"/>
      <c r="Z1164" s="933"/>
      <c r="AA1164" s="908" t="s">
        <v>1458</v>
      </c>
      <c r="AB1164" s="843" t="s">
        <v>263</v>
      </c>
      <c r="AC1164" s="936"/>
      <c r="AD1164" s="844" t="s">
        <v>113</v>
      </c>
      <c r="AE1164" s="937">
        <f t="shared" si="27"/>
        <v>7</v>
      </c>
    </row>
    <row r="1165" spans="1:31" ht="105" hidden="1" x14ac:dyDescent="0.25">
      <c r="A1165" s="921" t="s">
        <v>6250</v>
      </c>
      <c r="B1165" s="922" t="s">
        <v>1740</v>
      </c>
      <c r="C1165" s="922" t="s">
        <v>2436</v>
      </c>
      <c r="D1165" s="670" t="s">
        <v>6721</v>
      </c>
      <c r="E1165" s="925" t="s">
        <v>6174</v>
      </c>
      <c r="F1165" s="926" t="s">
        <v>6175</v>
      </c>
      <c r="G1165" s="929" t="s">
        <v>6176</v>
      </c>
      <c r="H1165" s="931">
        <v>15</v>
      </c>
      <c r="I1165" s="922" t="s">
        <v>2161</v>
      </c>
      <c r="J1165" s="929" t="s">
        <v>1454</v>
      </c>
      <c r="K1165" s="957" t="s">
        <v>6868</v>
      </c>
      <c r="L1165" s="957">
        <v>348159</v>
      </c>
      <c r="M1165" s="997" t="s">
        <v>997</v>
      </c>
      <c r="N1165" s="859">
        <v>348159</v>
      </c>
      <c r="O1165" s="851">
        <v>42918.5</v>
      </c>
      <c r="P1165" s="851">
        <v>42949.5</v>
      </c>
      <c r="Q1165" s="930" t="s">
        <v>110</v>
      </c>
      <c r="R1165" s="930" t="s">
        <v>113</v>
      </c>
      <c r="S1165" s="930" t="s">
        <v>1455</v>
      </c>
      <c r="T1165" s="847"/>
      <c r="U1165" s="930"/>
      <c r="V1165" s="930" t="s">
        <v>45</v>
      </c>
      <c r="W1165" s="934" t="s">
        <v>73</v>
      </c>
      <c r="X1165" s="935" t="s">
        <v>6021</v>
      </c>
      <c r="Y1165" s="934" t="s">
        <v>6022</v>
      </c>
      <c r="Z1165" s="933">
        <v>348159</v>
      </c>
      <c r="AA1165" s="908" t="s">
        <v>1458</v>
      </c>
      <c r="AB1165" s="843" t="s">
        <v>263</v>
      </c>
      <c r="AC1165" s="936"/>
      <c r="AD1165" s="844" t="s">
        <v>113</v>
      </c>
      <c r="AE1165" s="937">
        <f t="shared" si="27"/>
        <v>7</v>
      </c>
    </row>
    <row r="1166" spans="1:31" ht="105" x14ac:dyDescent="0.25">
      <c r="A1166" s="921" t="s">
        <v>6251</v>
      </c>
      <c r="B1166" s="922" t="s">
        <v>1672</v>
      </c>
      <c r="C1166" s="922" t="s">
        <v>1673</v>
      </c>
      <c r="D1166" s="670" t="s">
        <v>6720</v>
      </c>
      <c r="E1166" s="925" t="s">
        <v>6177</v>
      </c>
      <c r="F1166" s="926" t="s">
        <v>1587</v>
      </c>
      <c r="G1166" s="929" t="s">
        <v>2256</v>
      </c>
      <c r="H1166" s="931">
        <v>1</v>
      </c>
      <c r="I1166" s="922" t="s">
        <v>2161</v>
      </c>
      <c r="J1166" s="929" t="s">
        <v>1454</v>
      </c>
      <c r="K1166" s="957" t="s">
        <v>6371</v>
      </c>
      <c r="L1166" s="957">
        <v>104907.78</v>
      </c>
      <c r="M1166" s="997"/>
      <c r="N1166" s="859">
        <v>104907.78</v>
      </c>
      <c r="O1166" s="851">
        <v>42918.5</v>
      </c>
      <c r="P1166" s="851">
        <v>42949.5</v>
      </c>
      <c r="Q1166" s="930" t="s">
        <v>108</v>
      </c>
      <c r="R1166" s="930" t="s">
        <v>112</v>
      </c>
      <c r="S1166" s="634" t="s">
        <v>1457</v>
      </c>
      <c r="T1166" s="847"/>
      <c r="U1166" s="930"/>
      <c r="V1166" s="930"/>
      <c r="W1166" s="934"/>
      <c r="X1166" s="935"/>
      <c r="Y1166" s="934"/>
      <c r="Z1166" s="933"/>
      <c r="AA1166" s="908" t="s">
        <v>1458</v>
      </c>
      <c r="AB1166" s="843" t="s">
        <v>263</v>
      </c>
      <c r="AC1166" s="936"/>
      <c r="AD1166" s="844" t="s">
        <v>113</v>
      </c>
      <c r="AE1166" s="937">
        <f t="shared" si="27"/>
        <v>7</v>
      </c>
    </row>
    <row r="1167" spans="1:31" ht="105" hidden="1" x14ac:dyDescent="0.25">
      <c r="A1167" s="921" t="s">
        <v>6252</v>
      </c>
      <c r="B1167" s="922" t="s">
        <v>1564</v>
      </c>
      <c r="C1167" s="922" t="s">
        <v>1564</v>
      </c>
      <c r="D1167" s="670" t="s">
        <v>6719</v>
      </c>
      <c r="E1167" s="925" t="s">
        <v>3158</v>
      </c>
      <c r="F1167" s="926" t="s">
        <v>1528</v>
      </c>
      <c r="G1167" s="929" t="s">
        <v>2156</v>
      </c>
      <c r="H1167" s="931">
        <v>286</v>
      </c>
      <c r="I1167" s="922" t="s">
        <v>2161</v>
      </c>
      <c r="J1167" s="929" t="s">
        <v>1454</v>
      </c>
      <c r="K1167" s="957" t="s">
        <v>6372</v>
      </c>
      <c r="L1167" s="957">
        <v>107993.60000000001</v>
      </c>
      <c r="M1167" s="997"/>
      <c r="N1167" s="859">
        <v>107993.60000000001</v>
      </c>
      <c r="O1167" s="851">
        <v>42918.5</v>
      </c>
      <c r="P1167" s="851">
        <v>42918.5</v>
      </c>
      <c r="Q1167" s="930" t="s">
        <v>110</v>
      </c>
      <c r="R1167" s="930" t="s">
        <v>113</v>
      </c>
      <c r="S1167" s="930" t="s">
        <v>1455</v>
      </c>
      <c r="T1167" s="847"/>
      <c r="U1167" s="930"/>
      <c r="V1167" s="930"/>
      <c r="W1167" s="934"/>
      <c r="X1167" s="935"/>
      <c r="Y1167" s="934"/>
      <c r="Z1167" s="933"/>
      <c r="AA1167" s="908" t="s">
        <v>1458</v>
      </c>
      <c r="AB1167" s="843" t="s">
        <v>263</v>
      </c>
      <c r="AC1167" s="936"/>
      <c r="AD1167" s="844" t="s">
        <v>113</v>
      </c>
      <c r="AE1167" s="937">
        <f t="shared" si="27"/>
        <v>7</v>
      </c>
    </row>
    <row r="1168" spans="1:31" ht="105" hidden="1" x14ac:dyDescent="0.25">
      <c r="A1168" s="921" t="s">
        <v>6253</v>
      </c>
      <c r="B1168" s="922" t="s">
        <v>1851</v>
      </c>
      <c r="C1168" s="922" t="s">
        <v>2160</v>
      </c>
      <c r="D1168" s="670" t="s">
        <v>6718</v>
      </c>
      <c r="E1168" s="925" t="s">
        <v>3155</v>
      </c>
      <c r="F1168" s="926" t="s">
        <v>1528</v>
      </c>
      <c r="G1168" s="929" t="s">
        <v>2156</v>
      </c>
      <c r="H1168" s="931">
        <v>100</v>
      </c>
      <c r="I1168" s="922" t="s">
        <v>2161</v>
      </c>
      <c r="J1168" s="929" t="s">
        <v>1454</v>
      </c>
      <c r="K1168" s="957" t="s">
        <v>6633</v>
      </c>
      <c r="L1168" s="957">
        <v>1478835</v>
      </c>
      <c r="M1168" s="997"/>
      <c r="N1168" s="859">
        <v>1478835</v>
      </c>
      <c r="O1168" s="851">
        <v>42918.5</v>
      </c>
      <c r="P1168" s="851">
        <v>42949.5</v>
      </c>
      <c r="Q1168" s="930" t="s">
        <v>108</v>
      </c>
      <c r="R1168" s="930" t="s">
        <v>112</v>
      </c>
      <c r="S1168" s="930" t="s">
        <v>1457</v>
      </c>
      <c r="T1168" s="847"/>
      <c r="U1168" s="930"/>
      <c r="V1168" s="930"/>
      <c r="W1168" s="934"/>
      <c r="X1168" s="935"/>
      <c r="Y1168" s="934"/>
      <c r="Z1168" s="933"/>
      <c r="AA1168" s="908" t="s">
        <v>1458</v>
      </c>
      <c r="AB1168" s="843" t="s">
        <v>263</v>
      </c>
      <c r="AC1168" s="936"/>
      <c r="AD1168" s="844" t="s">
        <v>113</v>
      </c>
      <c r="AE1168" s="937">
        <f t="shared" si="27"/>
        <v>7</v>
      </c>
    </row>
    <row r="1169" spans="1:31" ht="105" hidden="1" x14ac:dyDescent="0.25">
      <c r="A1169" s="921" t="s">
        <v>6254</v>
      </c>
      <c r="B1169" s="922" t="s">
        <v>1851</v>
      </c>
      <c r="C1169" s="922" t="s">
        <v>2160</v>
      </c>
      <c r="D1169" s="670" t="s">
        <v>6717</v>
      </c>
      <c r="E1169" s="925" t="s">
        <v>3155</v>
      </c>
      <c r="F1169" s="926" t="s">
        <v>1528</v>
      </c>
      <c r="G1169" s="929" t="s">
        <v>2156</v>
      </c>
      <c r="H1169" s="931">
        <v>8</v>
      </c>
      <c r="I1169" s="922" t="s">
        <v>2161</v>
      </c>
      <c r="J1169" s="929" t="s">
        <v>1454</v>
      </c>
      <c r="K1169" s="957" t="s">
        <v>6373</v>
      </c>
      <c r="L1169" s="957">
        <v>108000</v>
      </c>
      <c r="M1169" s="997"/>
      <c r="N1169" s="859">
        <v>108000</v>
      </c>
      <c r="O1169" s="851">
        <v>42918.5</v>
      </c>
      <c r="P1169" s="851">
        <v>42948.5</v>
      </c>
      <c r="Q1169" s="930" t="s">
        <v>110</v>
      </c>
      <c r="R1169" s="930" t="s">
        <v>113</v>
      </c>
      <c r="S1169" s="930" t="s">
        <v>1455</v>
      </c>
      <c r="T1169" s="847"/>
      <c r="U1169" s="930"/>
      <c r="V1169" s="930"/>
      <c r="W1169" s="934"/>
      <c r="X1169" s="935"/>
      <c r="Y1169" s="934"/>
      <c r="Z1169" s="933"/>
      <c r="AA1169" s="908" t="s">
        <v>1458</v>
      </c>
      <c r="AB1169" s="843" t="s">
        <v>263</v>
      </c>
      <c r="AC1169" s="936"/>
      <c r="AD1169" s="844" t="s">
        <v>113</v>
      </c>
      <c r="AE1169" s="937">
        <f t="shared" ref="AE1169:AE1200" si="28">IF(O1169=0,,MONTH(O1169))</f>
        <v>7</v>
      </c>
    </row>
    <row r="1170" spans="1:31" ht="105" hidden="1" x14ac:dyDescent="0.25">
      <c r="A1170" s="921" t="s">
        <v>6255</v>
      </c>
      <c r="B1170" s="922" t="s">
        <v>1540</v>
      </c>
      <c r="C1170" s="922" t="s">
        <v>1724</v>
      </c>
      <c r="D1170" s="670" t="s">
        <v>6716</v>
      </c>
      <c r="E1170" s="925" t="s">
        <v>3155</v>
      </c>
      <c r="F1170" s="926" t="s">
        <v>1528</v>
      </c>
      <c r="G1170" s="929" t="s">
        <v>2156</v>
      </c>
      <c r="H1170" s="931">
        <v>7</v>
      </c>
      <c r="I1170" s="922" t="s">
        <v>2161</v>
      </c>
      <c r="J1170" s="929" t="s">
        <v>1454</v>
      </c>
      <c r="K1170" s="957" t="s">
        <v>7227</v>
      </c>
      <c r="L1170" s="957">
        <v>1642200</v>
      </c>
      <c r="M1170" s="997"/>
      <c r="N1170" s="859">
        <v>1642200</v>
      </c>
      <c r="O1170" s="851">
        <v>42979</v>
      </c>
      <c r="P1170" s="851">
        <v>43040</v>
      </c>
      <c r="Q1170" s="930" t="s">
        <v>110</v>
      </c>
      <c r="R1170" s="930" t="s">
        <v>113</v>
      </c>
      <c r="S1170" s="930" t="s">
        <v>1455</v>
      </c>
      <c r="T1170" s="847"/>
      <c r="U1170" s="930"/>
      <c r="V1170" s="930"/>
      <c r="W1170" s="934" t="s">
        <v>73</v>
      </c>
      <c r="X1170" s="935" t="s">
        <v>7228</v>
      </c>
      <c r="Y1170" s="934" t="s">
        <v>7229</v>
      </c>
      <c r="Z1170" s="933">
        <v>1642200</v>
      </c>
      <c r="AA1170" s="908" t="s">
        <v>1458</v>
      </c>
      <c r="AB1170" s="843" t="s">
        <v>263</v>
      </c>
      <c r="AC1170" s="936"/>
      <c r="AD1170" s="844" t="s">
        <v>113</v>
      </c>
      <c r="AE1170" s="937">
        <f t="shared" si="28"/>
        <v>9</v>
      </c>
    </row>
    <row r="1171" spans="1:31" ht="105" hidden="1" x14ac:dyDescent="0.25">
      <c r="A1171" s="921" t="s">
        <v>6256</v>
      </c>
      <c r="B1171" s="922" t="s">
        <v>1851</v>
      </c>
      <c r="C1171" s="922" t="s">
        <v>2037</v>
      </c>
      <c r="D1171" s="670" t="s">
        <v>6715</v>
      </c>
      <c r="E1171" s="925" t="s">
        <v>3155</v>
      </c>
      <c r="F1171" s="926" t="s">
        <v>1528</v>
      </c>
      <c r="G1171" s="929" t="s">
        <v>2156</v>
      </c>
      <c r="H1171" s="931">
        <v>12</v>
      </c>
      <c r="I1171" s="922" t="s">
        <v>2161</v>
      </c>
      <c r="J1171" s="929" t="s">
        <v>1454</v>
      </c>
      <c r="K1171" s="957" t="s">
        <v>6374</v>
      </c>
      <c r="L1171" s="957">
        <v>960000</v>
      </c>
      <c r="M1171" s="997"/>
      <c r="N1171" s="859">
        <v>960000</v>
      </c>
      <c r="O1171" s="851">
        <v>42917.5</v>
      </c>
      <c r="P1171" s="851">
        <v>42979.5</v>
      </c>
      <c r="Q1171" s="930" t="s">
        <v>108</v>
      </c>
      <c r="R1171" s="930" t="s">
        <v>112</v>
      </c>
      <c r="S1171" s="930" t="s">
        <v>1457</v>
      </c>
      <c r="T1171" s="847"/>
      <c r="U1171" s="930"/>
      <c r="V1171" s="930"/>
      <c r="W1171" s="934"/>
      <c r="X1171" s="935"/>
      <c r="Y1171" s="934"/>
      <c r="Z1171" s="933"/>
      <c r="AA1171" s="908" t="s">
        <v>1458</v>
      </c>
      <c r="AB1171" s="843" t="s">
        <v>263</v>
      </c>
      <c r="AC1171" s="936"/>
      <c r="AD1171" s="844" t="s">
        <v>113</v>
      </c>
      <c r="AE1171" s="937">
        <f t="shared" si="28"/>
        <v>7</v>
      </c>
    </row>
    <row r="1172" spans="1:31" ht="105" hidden="1" x14ac:dyDescent="0.25">
      <c r="A1172" s="921" t="s">
        <v>6257</v>
      </c>
      <c r="B1172" s="922" t="s">
        <v>1851</v>
      </c>
      <c r="C1172" s="922" t="s">
        <v>2416</v>
      </c>
      <c r="D1172" s="670" t="s">
        <v>6714</v>
      </c>
      <c r="E1172" s="925" t="s">
        <v>3155</v>
      </c>
      <c r="F1172" s="926" t="s">
        <v>1640</v>
      </c>
      <c r="G1172" s="929" t="s">
        <v>2260</v>
      </c>
      <c r="H1172" s="931">
        <v>50</v>
      </c>
      <c r="I1172" s="922" t="s">
        <v>2161</v>
      </c>
      <c r="J1172" s="929" t="s">
        <v>1454</v>
      </c>
      <c r="K1172" s="957" t="s">
        <v>4928</v>
      </c>
      <c r="L1172" s="957">
        <v>500000</v>
      </c>
      <c r="M1172" s="997"/>
      <c r="N1172" s="859">
        <v>500000</v>
      </c>
      <c r="O1172" s="851">
        <v>42917.5</v>
      </c>
      <c r="P1172" s="851">
        <v>42979.5</v>
      </c>
      <c r="Q1172" s="930" t="s">
        <v>108</v>
      </c>
      <c r="R1172" s="930" t="s">
        <v>112</v>
      </c>
      <c r="S1172" s="930" t="s">
        <v>1457</v>
      </c>
      <c r="T1172" s="847"/>
      <c r="U1172" s="930"/>
      <c r="V1172" s="930"/>
      <c r="W1172" s="934"/>
      <c r="X1172" s="935"/>
      <c r="Y1172" s="934"/>
      <c r="Z1172" s="933"/>
      <c r="AA1172" s="908" t="s">
        <v>1458</v>
      </c>
      <c r="AB1172" s="843" t="s">
        <v>263</v>
      </c>
      <c r="AC1172" s="936"/>
      <c r="AD1172" s="844" t="s">
        <v>113</v>
      </c>
      <c r="AE1172" s="937">
        <f t="shared" si="28"/>
        <v>7</v>
      </c>
    </row>
    <row r="1173" spans="1:31" ht="105" hidden="1" x14ac:dyDescent="0.25">
      <c r="A1173" s="921" t="s">
        <v>6258</v>
      </c>
      <c r="B1173" s="922" t="s">
        <v>151</v>
      </c>
      <c r="C1173" s="922" t="s">
        <v>151</v>
      </c>
      <c r="D1173" s="670" t="s">
        <v>6713</v>
      </c>
      <c r="E1173" s="925" t="s">
        <v>3155</v>
      </c>
      <c r="F1173" s="926" t="s">
        <v>1528</v>
      </c>
      <c r="G1173" s="929" t="s">
        <v>2156</v>
      </c>
      <c r="H1173" s="931">
        <v>1</v>
      </c>
      <c r="I1173" s="922" t="s">
        <v>2161</v>
      </c>
      <c r="J1173" s="929" t="s">
        <v>1454</v>
      </c>
      <c r="K1173" s="957" t="s">
        <v>5740</v>
      </c>
      <c r="L1173" s="957">
        <v>300000</v>
      </c>
      <c r="M1173" s="997"/>
      <c r="N1173" s="859">
        <v>300000</v>
      </c>
      <c r="O1173" s="851">
        <v>42917.5</v>
      </c>
      <c r="P1173" s="851">
        <v>42979.5</v>
      </c>
      <c r="Q1173" s="930" t="s">
        <v>108</v>
      </c>
      <c r="R1173" s="930" t="s">
        <v>112</v>
      </c>
      <c r="S1173" s="930" t="s">
        <v>1457</v>
      </c>
      <c r="T1173" s="847"/>
      <c r="U1173" s="930"/>
      <c r="V1173" s="930"/>
      <c r="W1173" s="934"/>
      <c r="X1173" s="935"/>
      <c r="Y1173" s="934"/>
      <c r="Z1173" s="933"/>
      <c r="AA1173" s="908" t="s">
        <v>1458</v>
      </c>
      <c r="AB1173" s="843" t="s">
        <v>263</v>
      </c>
      <c r="AC1173" s="936"/>
      <c r="AD1173" s="844" t="s">
        <v>113</v>
      </c>
      <c r="AE1173" s="937">
        <f t="shared" si="28"/>
        <v>7</v>
      </c>
    </row>
    <row r="1174" spans="1:31" ht="105" hidden="1" x14ac:dyDescent="0.25">
      <c r="A1174" s="921" t="s">
        <v>6259</v>
      </c>
      <c r="B1174" s="922" t="s">
        <v>6178</v>
      </c>
      <c r="C1174" s="922" t="s">
        <v>6178</v>
      </c>
      <c r="D1174" s="670" t="s">
        <v>6712</v>
      </c>
      <c r="E1174" s="925" t="s">
        <v>3155</v>
      </c>
      <c r="F1174" s="926" t="s">
        <v>1528</v>
      </c>
      <c r="G1174" s="929" t="s">
        <v>2156</v>
      </c>
      <c r="H1174" s="931">
        <v>6</v>
      </c>
      <c r="I1174" s="922" t="s">
        <v>2161</v>
      </c>
      <c r="J1174" s="929" t="s">
        <v>1454</v>
      </c>
      <c r="K1174" s="957" t="s">
        <v>6375</v>
      </c>
      <c r="L1174" s="957">
        <v>140000</v>
      </c>
      <c r="M1174" s="997"/>
      <c r="N1174" s="859">
        <v>140000</v>
      </c>
      <c r="O1174" s="851">
        <v>42917.5</v>
      </c>
      <c r="P1174" s="851">
        <v>42979.5</v>
      </c>
      <c r="Q1174" s="930" t="s">
        <v>108</v>
      </c>
      <c r="R1174" s="930" t="s">
        <v>112</v>
      </c>
      <c r="S1174" s="930" t="s">
        <v>1457</v>
      </c>
      <c r="T1174" s="847"/>
      <c r="U1174" s="930"/>
      <c r="V1174" s="930"/>
      <c r="W1174" s="934"/>
      <c r="X1174" s="935"/>
      <c r="Y1174" s="934"/>
      <c r="Z1174" s="933"/>
      <c r="AA1174" s="908" t="s">
        <v>1458</v>
      </c>
      <c r="AB1174" s="843" t="s">
        <v>263</v>
      </c>
      <c r="AC1174" s="936"/>
      <c r="AD1174" s="844" t="s">
        <v>113</v>
      </c>
      <c r="AE1174" s="937">
        <f t="shared" si="28"/>
        <v>7</v>
      </c>
    </row>
    <row r="1175" spans="1:31" ht="105" hidden="1" x14ac:dyDescent="0.25">
      <c r="A1175" s="921" t="s">
        <v>6260</v>
      </c>
      <c r="B1175" s="922" t="s">
        <v>1793</v>
      </c>
      <c r="C1175" s="922" t="s">
        <v>2146</v>
      </c>
      <c r="D1175" s="924" t="s">
        <v>6311</v>
      </c>
      <c r="E1175" s="925" t="s">
        <v>1569</v>
      </c>
      <c r="F1175" s="926" t="s">
        <v>1587</v>
      </c>
      <c r="G1175" s="929" t="s">
        <v>2256</v>
      </c>
      <c r="H1175" s="931">
        <v>1</v>
      </c>
      <c r="I1175" s="922" t="s">
        <v>2161</v>
      </c>
      <c r="J1175" s="929" t="s">
        <v>1454</v>
      </c>
      <c r="K1175" s="957" t="s">
        <v>8196</v>
      </c>
      <c r="L1175" s="957">
        <v>12713665.060000001</v>
      </c>
      <c r="M1175" s="997"/>
      <c r="N1175" s="859">
        <v>12713665.060000001</v>
      </c>
      <c r="O1175" s="851">
        <v>43040</v>
      </c>
      <c r="P1175" s="851">
        <v>43100.5</v>
      </c>
      <c r="Q1175" s="634" t="s">
        <v>100</v>
      </c>
      <c r="R1175" s="634" t="s">
        <v>112</v>
      </c>
      <c r="S1175" s="930" t="s">
        <v>1457</v>
      </c>
      <c r="T1175" s="847"/>
      <c r="U1175" s="930"/>
      <c r="V1175" s="930"/>
      <c r="W1175" s="934"/>
      <c r="X1175" s="935"/>
      <c r="Y1175" s="934"/>
      <c r="Z1175" s="933"/>
      <c r="AA1175" s="908" t="s">
        <v>1458</v>
      </c>
      <c r="AB1175" s="843" t="s">
        <v>263</v>
      </c>
      <c r="AC1175" s="936"/>
      <c r="AD1175" s="844" t="s">
        <v>113</v>
      </c>
      <c r="AE1175" s="937">
        <f t="shared" si="28"/>
        <v>11</v>
      </c>
    </row>
    <row r="1176" spans="1:31" ht="105" hidden="1" x14ac:dyDescent="0.25">
      <c r="A1176" s="921" t="s">
        <v>6261</v>
      </c>
      <c r="B1176" s="922" t="s">
        <v>1919</v>
      </c>
      <c r="C1176" s="922" t="s">
        <v>6154</v>
      </c>
      <c r="D1176" s="670" t="s">
        <v>6711</v>
      </c>
      <c r="E1176" s="925" t="s">
        <v>1657</v>
      </c>
      <c r="F1176" s="926" t="s">
        <v>1587</v>
      </c>
      <c r="G1176" s="929" t="s">
        <v>2256</v>
      </c>
      <c r="H1176" s="931">
        <v>1</v>
      </c>
      <c r="I1176" s="922" t="s">
        <v>2161</v>
      </c>
      <c r="J1176" s="929" t="s">
        <v>1454</v>
      </c>
      <c r="K1176" s="957" t="s">
        <v>6376</v>
      </c>
      <c r="L1176" s="957">
        <v>723046.72</v>
      </c>
      <c r="M1176" s="997"/>
      <c r="N1176" s="859">
        <v>723046.72</v>
      </c>
      <c r="O1176" s="851">
        <v>42926.5</v>
      </c>
      <c r="P1176" s="851">
        <v>43100.5</v>
      </c>
      <c r="Q1176" s="930" t="s">
        <v>108</v>
      </c>
      <c r="R1176" s="634" t="s">
        <v>112</v>
      </c>
      <c r="S1176" s="930" t="s">
        <v>1457</v>
      </c>
      <c r="T1176" s="847"/>
      <c r="U1176" s="930"/>
      <c r="V1176" s="930"/>
      <c r="W1176" s="934"/>
      <c r="X1176" s="935"/>
      <c r="Y1176" s="934"/>
      <c r="Z1176" s="933"/>
      <c r="AA1176" s="908" t="s">
        <v>1458</v>
      </c>
      <c r="AB1176" s="843" t="s">
        <v>263</v>
      </c>
      <c r="AC1176" s="936"/>
      <c r="AD1176" s="844" t="s">
        <v>113</v>
      </c>
      <c r="AE1176" s="937">
        <f t="shared" si="28"/>
        <v>7</v>
      </c>
    </row>
    <row r="1177" spans="1:31" ht="105" hidden="1" x14ac:dyDescent="0.25">
      <c r="A1177" s="921" t="s">
        <v>6262</v>
      </c>
      <c r="B1177" s="922" t="s">
        <v>1687</v>
      </c>
      <c r="C1177" s="922" t="s">
        <v>3132</v>
      </c>
      <c r="D1177" s="670" t="s">
        <v>6710</v>
      </c>
      <c r="E1177" s="925" t="s">
        <v>4944</v>
      </c>
      <c r="F1177" s="926" t="s">
        <v>1645</v>
      </c>
      <c r="G1177" s="929" t="s">
        <v>2259</v>
      </c>
      <c r="H1177" s="931">
        <v>285.13</v>
      </c>
      <c r="I1177" s="922" t="s">
        <v>2161</v>
      </c>
      <c r="J1177" s="929" t="s">
        <v>1454</v>
      </c>
      <c r="K1177" s="957" t="s">
        <v>6327</v>
      </c>
      <c r="L1177" s="957">
        <v>181239.05</v>
      </c>
      <c r="M1177" s="997"/>
      <c r="N1177" s="859">
        <v>181239.05</v>
      </c>
      <c r="O1177" s="851">
        <v>42887</v>
      </c>
      <c r="P1177" s="851">
        <v>42917</v>
      </c>
      <c r="Q1177" s="930" t="s">
        <v>108</v>
      </c>
      <c r="R1177" s="634" t="s">
        <v>112</v>
      </c>
      <c r="S1177" s="930" t="s">
        <v>1457</v>
      </c>
      <c r="T1177" s="847"/>
      <c r="U1177" s="930"/>
      <c r="V1177" s="930"/>
      <c r="W1177" s="934"/>
      <c r="X1177" s="935"/>
      <c r="Y1177" s="934"/>
      <c r="Z1177" s="933"/>
      <c r="AA1177" s="908" t="s">
        <v>1458</v>
      </c>
      <c r="AB1177" s="843" t="s">
        <v>263</v>
      </c>
      <c r="AC1177" s="936"/>
      <c r="AD1177" s="844" t="s">
        <v>113</v>
      </c>
      <c r="AE1177" s="937">
        <f t="shared" si="28"/>
        <v>6</v>
      </c>
    </row>
    <row r="1178" spans="1:31" ht="105" hidden="1" x14ac:dyDescent="0.25">
      <c r="A1178" s="921" t="s">
        <v>6263</v>
      </c>
      <c r="B1178" s="922" t="s">
        <v>1687</v>
      </c>
      <c r="C1178" s="922" t="s">
        <v>3132</v>
      </c>
      <c r="D1178" s="670" t="s">
        <v>6709</v>
      </c>
      <c r="E1178" s="925" t="s">
        <v>4944</v>
      </c>
      <c r="F1178" s="926" t="s">
        <v>1645</v>
      </c>
      <c r="G1178" s="929" t="s">
        <v>2259</v>
      </c>
      <c r="H1178" s="931">
        <v>3296.54</v>
      </c>
      <c r="I1178" s="922" t="s">
        <v>2161</v>
      </c>
      <c r="J1178" s="929" t="s">
        <v>1454</v>
      </c>
      <c r="K1178" s="957" t="s">
        <v>6331</v>
      </c>
      <c r="L1178" s="957">
        <v>159625.54999999999</v>
      </c>
      <c r="M1178" s="997"/>
      <c r="N1178" s="859">
        <v>159625.54999999999</v>
      </c>
      <c r="O1178" s="851">
        <v>42887</v>
      </c>
      <c r="P1178" s="851">
        <v>42917</v>
      </c>
      <c r="Q1178" s="930" t="s">
        <v>108</v>
      </c>
      <c r="R1178" s="634" t="s">
        <v>112</v>
      </c>
      <c r="S1178" s="930" t="s">
        <v>1457</v>
      </c>
      <c r="T1178" s="847"/>
      <c r="U1178" s="930"/>
      <c r="V1178" s="930"/>
      <c r="W1178" s="934"/>
      <c r="X1178" s="935"/>
      <c r="Y1178" s="934"/>
      <c r="Z1178" s="933"/>
      <c r="AA1178" s="908" t="s">
        <v>1458</v>
      </c>
      <c r="AB1178" s="843" t="s">
        <v>263</v>
      </c>
      <c r="AC1178" s="936"/>
      <c r="AD1178" s="844" t="s">
        <v>113</v>
      </c>
      <c r="AE1178" s="937">
        <f t="shared" si="28"/>
        <v>6</v>
      </c>
    </row>
    <row r="1179" spans="1:31" ht="105" hidden="1" x14ac:dyDescent="0.25">
      <c r="A1179" s="921" t="s">
        <v>6264</v>
      </c>
      <c r="B1179" s="922" t="s">
        <v>1793</v>
      </c>
      <c r="C1179" s="922" t="s">
        <v>6145</v>
      </c>
      <c r="D1179" s="670" t="s">
        <v>6708</v>
      </c>
      <c r="E1179" s="925" t="s">
        <v>2235</v>
      </c>
      <c r="F1179" s="926" t="s">
        <v>1587</v>
      </c>
      <c r="G1179" s="929" t="s">
        <v>2256</v>
      </c>
      <c r="H1179" s="931">
        <v>1</v>
      </c>
      <c r="I1179" s="922" t="s">
        <v>2161</v>
      </c>
      <c r="J1179" s="929" t="s">
        <v>1454</v>
      </c>
      <c r="K1179" s="957" t="s">
        <v>6338</v>
      </c>
      <c r="L1179" s="957">
        <v>92221.06</v>
      </c>
      <c r="M1179" s="997"/>
      <c r="N1179" s="859">
        <v>92221.06</v>
      </c>
      <c r="O1179" s="851">
        <v>42917</v>
      </c>
      <c r="P1179" s="851">
        <v>42979</v>
      </c>
      <c r="Q1179" s="930" t="s">
        <v>108</v>
      </c>
      <c r="R1179" s="634" t="s">
        <v>112</v>
      </c>
      <c r="S1179" s="930" t="s">
        <v>1457</v>
      </c>
      <c r="T1179" s="847"/>
      <c r="U1179" s="930"/>
      <c r="V1179" s="930"/>
      <c r="W1179" s="934"/>
      <c r="X1179" s="935"/>
      <c r="Y1179" s="934"/>
      <c r="Z1179" s="933"/>
      <c r="AA1179" s="908" t="s">
        <v>1458</v>
      </c>
      <c r="AB1179" s="843" t="s">
        <v>263</v>
      </c>
      <c r="AC1179" s="936"/>
      <c r="AD1179" s="844" t="s">
        <v>113</v>
      </c>
      <c r="AE1179" s="937">
        <f t="shared" si="28"/>
        <v>7</v>
      </c>
    </row>
    <row r="1180" spans="1:31" ht="105" hidden="1" x14ac:dyDescent="0.25">
      <c r="A1180" s="921" t="s">
        <v>6265</v>
      </c>
      <c r="B1180" s="922" t="s">
        <v>3127</v>
      </c>
      <c r="C1180" s="922" t="s">
        <v>5536</v>
      </c>
      <c r="D1180" s="924" t="s">
        <v>6312</v>
      </c>
      <c r="E1180" s="925" t="s">
        <v>5537</v>
      </c>
      <c r="F1180" s="926" t="s">
        <v>973</v>
      </c>
      <c r="G1180" s="929" t="s">
        <v>6179</v>
      </c>
      <c r="H1180" s="931">
        <v>4</v>
      </c>
      <c r="I1180" s="922" t="s">
        <v>2161</v>
      </c>
      <c r="J1180" s="929" t="s">
        <v>1454</v>
      </c>
      <c r="K1180" s="957" t="s">
        <v>6377</v>
      </c>
      <c r="L1180" s="957">
        <v>278527.2</v>
      </c>
      <c r="M1180" s="997"/>
      <c r="N1180" s="859">
        <v>278527.2</v>
      </c>
      <c r="O1180" s="851">
        <v>42917</v>
      </c>
      <c r="P1180" s="851">
        <v>42949</v>
      </c>
      <c r="Q1180" s="930" t="s">
        <v>108</v>
      </c>
      <c r="R1180" s="634" t="s">
        <v>112</v>
      </c>
      <c r="S1180" s="930" t="s">
        <v>1457</v>
      </c>
      <c r="T1180" s="847"/>
      <c r="U1180" s="930"/>
      <c r="V1180" s="930"/>
      <c r="W1180" s="934"/>
      <c r="X1180" s="935"/>
      <c r="Y1180" s="934"/>
      <c r="Z1180" s="933"/>
      <c r="AA1180" s="908" t="s">
        <v>1458</v>
      </c>
      <c r="AB1180" s="843" t="s">
        <v>263</v>
      </c>
      <c r="AC1180" s="936"/>
      <c r="AD1180" s="844" t="s">
        <v>113</v>
      </c>
      <c r="AE1180" s="937">
        <f t="shared" si="28"/>
        <v>7</v>
      </c>
    </row>
    <row r="1181" spans="1:31" ht="105" hidden="1" x14ac:dyDescent="0.25">
      <c r="A1181" s="921" t="s">
        <v>6266</v>
      </c>
      <c r="B1181" s="922" t="s">
        <v>5553</v>
      </c>
      <c r="C1181" s="922" t="s">
        <v>5554</v>
      </c>
      <c r="D1181" s="670" t="s">
        <v>6707</v>
      </c>
      <c r="E1181" s="925" t="s">
        <v>5552</v>
      </c>
      <c r="F1181" s="926" t="s">
        <v>1528</v>
      </c>
      <c r="G1181" s="929" t="s">
        <v>2156</v>
      </c>
      <c r="H1181" s="931">
        <v>26</v>
      </c>
      <c r="I1181" s="922" t="s">
        <v>2161</v>
      </c>
      <c r="J1181" s="929" t="s">
        <v>1454</v>
      </c>
      <c r="K1181" s="957" t="s">
        <v>6378</v>
      </c>
      <c r="L1181" s="957">
        <v>8299.33</v>
      </c>
      <c r="M1181" s="997"/>
      <c r="N1181" s="859">
        <v>8299.33</v>
      </c>
      <c r="O1181" s="851">
        <v>42917</v>
      </c>
      <c r="P1181" s="851">
        <v>42917</v>
      </c>
      <c r="Q1181" s="930" t="s">
        <v>108</v>
      </c>
      <c r="R1181" s="634" t="s">
        <v>112</v>
      </c>
      <c r="S1181" s="930" t="s">
        <v>1457</v>
      </c>
      <c r="T1181" s="847"/>
      <c r="U1181" s="930"/>
      <c r="V1181" s="930"/>
      <c r="W1181" s="934"/>
      <c r="X1181" s="935"/>
      <c r="Y1181" s="934"/>
      <c r="Z1181" s="933"/>
      <c r="AA1181" s="908" t="s">
        <v>1458</v>
      </c>
      <c r="AB1181" s="843" t="s">
        <v>263</v>
      </c>
      <c r="AC1181" s="936"/>
      <c r="AD1181" s="844" t="s">
        <v>113</v>
      </c>
      <c r="AE1181" s="937">
        <f t="shared" si="28"/>
        <v>7</v>
      </c>
    </row>
    <row r="1182" spans="1:31" ht="105" hidden="1" x14ac:dyDescent="0.25">
      <c r="A1182" s="921" t="s">
        <v>6267</v>
      </c>
      <c r="B1182" s="922" t="s">
        <v>1580</v>
      </c>
      <c r="C1182" s="922" t="s">
        <v>6151</v>
      </c>
      <c r="D1182" s="924" t="s">
        <v>6313</v>
      </c>
      <c r="E1182" s="925" t="s">
        <v>5015</v>
      </c>
      <c r="F1182" s="926" t="s">
        <v>1528</v>
      </c>
      <c r="G1182" s="929" t="s">
        <v>2156</v>
      </c>
      <c r="H1182" s="931">
        <v>1</v>
      </c>
      <c r="I1182" s="922" t="s">
        <v>2161</v>
      </c>
      <c r="J1182" s="929" t="s">
        <v>1454</v>
      </c>
      <c r="K1182" s="957" t="s">
        <v>6379</v>
      </c>
      <c r="L1182" s="957">
        <v>543740.37</v>
      </c>
      <c r="M1182" s="997"/>
      <c r="N1182" s="859">
        <v>543740.37</v>
      </c>
      <c r="O1182" s="851">
        <v>42948</v>
      </c>
      <c r="P1182" s="851">
        <v>42949</v>
      </c>
      <c r="Q1182" s="930" t="s">
        <v>106</v>
      </c>
      <c r="R1182" s="634" t="s">
        <v>112</v>
      </c>
      <c r="S1182" s="930" t="s">
        <v>1457</v>
      </c>
      <c r="T1182" s="847"/>
      <c r="U1182" s="930"/>
      <c r="V1182" s="930"/>
      <c r="W1182" s="934"/>
      <c r="X1182" s="935"/>
      <c r="Y1182" s="934"/>
      <c r="Z1182" s="933"/>
      <c r="AA1182" s="908" t="s">
        <v>1458</v>
      </c>
      <c r="AB1182" s="843" t="s">
        <v>263</v>
      </c>
      <c r="AC1182" s="936"/>
      <c r="AD1182" s="844" t="s">
        <v>113</v>
      </c>
      <c r="AE1182" s="937">
        <f t="shared" si="28"/>
        <v>8</v>
      </c>
    </row>
    <row r="1183" spans="1:31" ht="153" hidden="1" x14ac:dyDescent="0.25">
      <c r="A1183" s="921" t="s">
        <v>6268</v>
      </c>
      <c r="B1183" s="922" t="s">
        <v>2086</v>
      </c>
      <c r="C1183" s="922" t="s">
        <v>2086</v>
      </c>
      <c r="D1183" s="670" t="s">
        <v>6706</v>
      </c>
      <c r="E1183" s="925" t="s">
        <v>2091</v>
      </c>
      <c r="F1183" s="926" t="s">
        <v>1528</v>
      </c>
      <c r="G1183" s="929" t="s">
        <v>2156</v>
      </c>
      <c r="H1183" s="931">
        <v>1</v>
      </c>
      <c r="I1183" s="922" t="s">
        <v>2161</v>
      </c>
      <c r="J1183" s="929" t="s">
        <v>1454</v>
      </c>
      <c r="K1183" s="957" t="s">
        <v>6380</v>
      </c>
      <c r="L1183" s="957">
        <v>3200000</v>
      </c>
      <c r="M1183" s="997"/>
      <c r="N1183" s="859">
        <v>3200000</v>
      </c>
      <c r="O1183" s="851">
        <v>42917</v>
      </c>
      <c r="P1183" s="851">
        <v>43282</v>
      </c>
      <c r="Q1183" s="930" t="s">
        <v>108</v>
      </c>
      <c r="R1183" s="634" t="s">
        <v>112</v>
      </c>
      <c r="S1183" s="930" t="s">
        <v>1457</v>
      </c>
      <c r="T1183" s="847"/>
      <c r="U1183" s="930"/>
      <c r="V1183" s="930"/>
      <c r="W1183" s="934"/>
      <c r="X1183" s="935"/>
      <c r="Y1183" s="934"/>
      <c r="Z1183" s="933"/>
      <c r="AA1183" s="908" t="s">
        <v>1458</v>
      </c>
      <c r="AB1183" s="843" t="s">
        <v>263</v>
      </c>
      <c r="AC1183" s="936"/>
      <c r="AD1183" s="844" t="s">
        <v>113</v>
      </c>
      <c r="AE1183" s="937">
        <f t="shared" si="28"/>
        <v>7</v>
      </c>
    </row>
    <row r="1184" spans="1:31" ht="105" hidden="1" x14ac:dyDescent="0.25">
      <c r="A1184" s="921" t="s">
        <v>6269</v>
      </c>
      <c r="B1184" s="922" t="s">
        <v>6180</v>
      </c>
      <c r="C1184" s="922" t="s">
        <v>6181</v>
      </c>
      <c r="D1184" s="670" t="s">
        <v>6705</v>
      </c>
      <c r="E1184" s="925" t="s">
        <v>6182</v>
      </c>
      <c r="F1184" s="926" t="s">
        <v>1528</v>
      </c>
      <c r="G1184" s="929" t="s">
        <v>2156</v>
      </c>
      <c r="H1184" s="931">
        <v>1</v>
      </c>
      <c r="I1184" s="922" t="s">
        <v>2161</v>
      </c>
      <c r="J1184" s="929" t="s">
        <v>1454</v>
      </c>
      <c r="K1184" s="950" t="s">
        <v>6381</v>
      </c>
      <c r="L1184" s="950">
        <v>382853</v>
      </c>
      <c r="M1184" s="997"/>
      <c r="N1184" s="862">
        <v>382853</v>
      </c>
      <c r="O1184" s="851">
        <v>42948</v>
      </c>
      <c r="P1184" s="851">
        <v>42948</v>
      </c>
      <c r="Q1184" s="930" t="s">
        <v>108</v>
      </c>
      <c r="R1184" s="634" t="s">
        <v>112</v>
      </c>
      <c r="S1184" s="930" t="s">
        <v>1457</v>
      </c>
      <c r="T1184" s="847"/>
      <c r="U1184" s="930"/>
      <c r="V1184" s="930"/>
      <c r="W1184" s="934"/>
      <c r="X1184" s="935"/>
      <c r="Y1184" s="934"/>
      <c r="Z1184" s="933"/>
      <c r="AA1184" s="908" t="s">
        <v>1458</v>
      </c>
      <c r="AB1184" s="843" t="s">
        <v>617</v>
      </c>
      <c r="AC1184" s="936"/>
      <c r="AD1184" s="844" t="s">
        <v>113</v>
      </c>
      <c r="AE1184" s="937">
        <f t="shared" si="28"/>
        <v>8</v>
      </c>
    </row>
    <row r="1185" spans="1:31" ht="105" hidden="1" x14ac:dyDescent="0.25">
      <c r="A1185" s="921" t="s">
        <v>6270</v>
      </c>
      <c r="B1185" s="922" t="s">
        <v>1580</v>
      </c>
      <c r="C1185" s="922" t="s">
        <v>1581</v>
      </c>
      <c r="D1185" s="924" t="s">
        <v>6314</v>
      </c>
      <c r="E1185" s="925" t="s">
        <v>1582</v>
      </c>
      <c r="F1185" s="926" t="s">
        <v>1528</v>
      </c>
      <c r="G1185" s="929" t="str">
        <f>IFERROR(VLOOKUP(F1185,'[12]код океи'!$B$2:$C$448,2,1)," ")</f>
        <v>Штука</v>
      </c>
      <c r="H1185" s="931">
        <v>1</v>
      </c>
      <c r="I1185" s="922" t="s">
        <v>2161</v>
      </c>
      <c r="J1185" s="929" t="s">
        <v>1454</v>
      </c>
      <c r="K1185" s="950" t="s">
        <v>6382</v>
      </c>
      <c r="L1185" s="950">
        <v>3800000</v>
      </c>
      <c r="M1185" s="997"/>
      <c r="N1185" s="862">
        <v>3800000</v>
      </c>
      <c r="O1185" s="851">
        <v>42917</v>
      </c>
      <c r="P1185" s="851">
        <v>42948</v>
      </c>
      <c r="Q1185" s="930" t="s">
        <v>100</v>
      </c>
      <c r="R1185" s="634" t="s">
        <v>112</v>
      </c>
      <c r="S1185" s="930" t="s">
        <v>1457</v>
      </c>
      <c r="T1185" s="847"/>
      <c r="U1185" s="930"/>
      <c r="V1185" s="930"/>
      <c r="W1185" s="934"/>
      <c r="X1185" s="935"/>
      <c r="Y1185" s="934"/>
      <c r="Z1185" s="933"/>
      <c r="AA1185" s="908" t="s">
        <v>1458</v>
      </c>
      <c r="AB1185" s="843" t="s">
        <v>263</v>
      </c>
      <c r="AC1185" s="936"/>
      <c r="AD1185" s="844" t="s">
        <v>113</v>
      </c>
      <c r="AE1185" s="937">
        <f t="shared" si="28"/>
        <v>7</v>
      </c>
    </row>
    <row r="1186" spans="1:31" ht="105" hidden="1" x14ac:dyDescent="0.25">
      <c r="A1186" s="921" t="s">
        <v>6271</v>
      </c>
      <c r="B1186" s="922" t="s">
        <v>1941</v>
      </c>
      <c r="C1186" s="922" t="s">
        <v>1941</v>
      </c>
      <c r="D1186" s="924" t="s">
        <v>6315</v>
      </c>
      <c r="E1186" s="925" t="s">
        <v>1948</v>
      </c>
      <c r="F1186" s="926" t="s">
        <v>1587</v>
      </c>
      <c r="G1186" s="929" t="str">
        <f>IFERROR(VLOOKUP(F1186,'[12]код океи'!$B$2:$C$448,2,1)," ")</f>
        <v>Комплект</v>
      </c>
      <c r="H1186" s="931">
        <v>40</v>
      </c>
      <c r="I1186" s="922" t="s">
        <v>2161</v>
      </c>
      <c r="J1186" s="929" t="s">
        <v>1454</v>
      </c>
      <c r="K1186" s="950" t="s">
        <v>6383</v>
      </c>
      <c r="L1186" s="950">
        <v>4800004</v>
      </c>
      <c r="M1186" s="997"/>
      <c r="N1186" s="862">
        <v>4800004</v>
      </c>
      <c r="O1186" s="851">
        <v>42917</v>
      </c>
      <c r="P1186" s="851">
        <v>43100.5</v>
      </c>
      <c r="Q1186" s="930" t="s">
        <v>110</v>
      </c>
      <c r="R1186" s="634" t="s">
        <v>113</v>
      </c>
      <c r="S1186" s="634" t="s">
        <v>1455</v>
      </c>
      <c r="T1186" s="847"/>
      <c r="U1186" s="930"/>
      <c r="V1186" s="930" t="s">
        <v>45</v>
      </c>
      <c r="W1186" s="934" t="s">
        <v>73</v>
      </c>
      <c r="X1186" s="638" t="s">
        <v>5072</v>
      </c>
      <c r="Y1186" s="637" t="s">
        <v>5073</v>
      </c>
      <c r="Z1186" s="933">
        <v>4800004</v>
      </c>
      <c r="AA1186" s="908" t="s">
        <v>1458</v>
      </c>
      <c r="AB1186" s="843" t="s">
        <v>263</v>
      </c>
      <c r="AC1186" s="936"/>
      <c r="AD1186" s="844" t="s">
        <v>113</v>
      </c>
      <c r="AE1186" s="937">
        <f t="shared" si="28"/>
        <v>7</v>
      </c>
    </row>
    <row r="1187" spans="1:31" ht="105" hidden="1" x14ac:dyDescent="0.25">
      <c r="A1187" s="921" t="s">
        <v>6272</v>
      </c>
      <c r="B1187" s="922" t="s">
        <v>1944</v>
      </c>
      <c r="C1187" s="922" t="s">
        <v>2203</v>
      </c>
      <c r="D1187" s="924" t="s">
        <v>6316</v>
      </c>
      <c r="E1187" s="925" t="s">
        <v>3142</v>
      </c>
      <c r="F1187" s="926" t="s">
        <v>1645</v>
      </c>
      <c r="G1187" s="929" t="str">
        <f>IFERROR(VLOOKUP(F1187,'[12]код океи'!$B$2:$C$448,2,1)," ")</f>
        <v>Килограмм</v>
      </c>
      <c r="H1187" s="931">
        <v>0.34</v>
      </c>
      <c r="I1187" s="922" t="s">
        <v>2161</v>
      </c>
      <c r="J1187" s="929" t="s">
        <v>1454</v>
      </c>
      <c r="K1187" s="950" t="s">
        <v>6384</v>
      </c>
      <c r="L1187" s="950">
        <v>212600</v>
      </c>
      <c r="M1187" s="997" t="s">
        <v>997</v>
      </c>
      <c r="N1187" s="862">
        <v>212600</v>
      </c>
      <c r="O1187" s="851">
        <v>42917</v>
      </c>
      <c r="P1187" s="851">
        <v>42917</v>
      </c>
      <c r="Q1187" s="930" t="s">
        <v>110</v>
      </c>
      <c r="R1187" s="634" t="s">
        <v>113</v>
      </c>
      <c r="S1187" s="634" t="s">
        <v>1455</v>
      </c>
      <c r="T1187" s="847"/>
      <c r="U1187" s="930"/>
      <c r="V1187" s="930" t="s">
        <v>45</v>
      </c>
      <c r="W1187" s="934" t="s">
        <v>268</v>
      </c>
      <c r="X1187" s="638" t="s">
        <v>3359</v>
      </c>
      <c r="Y1187" s="934"/>
      <c r="Z1187" s="933"/>
      <c r="AA1187" s="908" t="s">
        <v>1458</v>
      </c>
      <c r="AB1187" s="843" t="s">
        <v>263</v>
      </c>
      <c r="AC1187" s="936"/>
      <c r="AD1187" s="844" t="s">
        <v>113</v>
      </c>
      <c r="AE1187" s="937">
        <f t="shared" si="28"/>
        <v>7</v>
      </c>
    </row>
    <row r="1188" spans="1:31" ht="105" hidden="1" x14ac:dyDescent="0.25">
      <c r="A1188" s="921" t="s">
        <v>6273</v>
      </c>
      <c r="B1188" s="922" t="s">
        <v>1941</v>
      </c>
      <c r="C1188" s="922" t="s">
        <v>1942</v>
      </c>
      <c r="D1188" s="670" t="s">
        <v>6704</v>
      </c>
      <c r="E1188" s="925" t="s">
        <v>6150</v>
      </c>
      <c r="F1188" s="926" t="s">
        <v>1528</v>
      </c>
      <c r="G1188" s="929" t="str">
        <f>IFERROR(VLOOKUP(F1188,'[12]код океи'!$B$2:$C$448,2,1)," ")</f>
        <v>Штука</v>
      </c>
      <c r="H1188" s="931">
        <v>5127</v>
      </c>
      <c r="I1188" s="922" t="s">
        <v>2161</v>
      </c>
      <c r="J1188" s="929" t="s">
        <v>1454</v>
      </c>
      <c r="K1188" s="950" t="s">
        <v>6404</v>
      </c>
      <c r="L1188" s="950">
        <v>996060</v>
      </c>
      <c r="M1188" s="997" t="s">
        <v>997</v>
      </c>
      <c r="N1188" s="862">
        <v>996060</v>
      </c>
      <c r="O1188" s="851">
        <v>42949</v>
      </c>
      <c r="P1188" s="851">
        <v>43100.5</v>
      </c>
      <c r="Q1188" s="930" t="s">
        <v>110</v>
      </c>
      <c r="R1188" s="634" t="s">
        <v>113</v>
      </c>
      <c r="S1188" s="634" t="s">
        <v>1455</v>
      </c>
      <c r="T1188" s="847"/>
      <c r="U1188" s="930"/>
      <c r="V1188" s="930"/>
      <c r="W1188" s="934" t="s">
        <v>268</v>
      </c>
      <c r="X1188" s="638" t="s">
        <v>3304</v>
      </c>
      <c r="Y1188" s="637" t="s">
        <v>5132</v>
      </c>
      <c r="Z1188" s="933">
        <v>996060</v>
      </c>
      <c r="AA1188" s="908" t="s">
        <v>1458</v>
      </c>
      <c r="AB1188" s="843" t="s">
        <v>263</v>
      </c>
      <c r="AC1188" s="936"/>
      <c r="AD1188" s="844" t="s">
        <v>113</v>
      </c>
      <c r="AE1188" s="937">
        <f t="shared" si="28"/>
        <v>8</v>
      </c>
    </row>
    <row r="1189" spans="1:31" ht="105" hidden="1" x14ac:dyDescent="0.25">
      <c r="A1189" s="921" t="s">
        <v>6274</v>
      </c>
      <c r="B1189" s="922" t="s">
        <v>1976</v>
      </c>
      <c r="C1189" s="922" t="s">
        <v>6183</v>
      </c>
      <c r="D1189" s="924" t="s">
        <v>6317</v>
      </c>
      <c r="E1189" s="925" t="s">
        <v>1978</v>
      </c>
      <c r="F1189" s="926" t="s">
        <v>2113</v>
      </c>
      <c r="G1189" s="929" t="str">
        <f>IFERROR(VLOOKUP(F1189,'[12]код океи'!$B$2:$C$448,2,1)," ")</f>
        <v>Гигакалория в час</v>
      </c>
      <c r="H1189" s="931">
        <v>18670.400000000001</v>
      </c>
      <c r="I1189" s="922" t="s">
        <v>2161</v>
      </c>
      <c r="J1189" s="929" t="s">
        <v>1454</v>
      </c>
      <c r="K1189" s="950" t="s">
        <v>6385</v>
      </c>
      <c r="L1189" s="950">
        <v>17000000</v>
      </c>
      <c r="M1189" s="997"/>
      <c r="N1189" s="862">
        <v>17000000</v>
      </c>
      <c r="O1189" s="851">
        <v>42949</v>
      </c>
      <c r="P1189" s="851">
        <v>43100.5</v>
      </c>
      <c r="Q1189" s="930" t="s">
        <v>110</v>
      </c>
      <c r="R1189" s="634" t="s">
        <v>113</v>
      </c>
      <c r="S1189" s="634" t="s">
        <v>1455</v>
      </c>
      <c r="T1189" s="847"/>
      <c r="U1189" s="930"/>
      <c r="V1189" s="930"/>
      <c r="W1189" s="934" t="s">
        <v>65</v>
      </c>
      <c r="X1189" s="638" t="s">
        <v>6407</v>
      </c>
      <c r="Y1189" s="637" t="s">
        <v>6408</v>
      </c>
      <c r="Z1189" s="933">
        <v>17000000</v>
      </c>
      <c r="AA1189" s="908" t="s">
        <v>1458</v>
      </c>
      <c r="AB1189" s="843" t="s">
        <v>263</v>
      </c>
      <c r="AC1189" s="936"/>
      <c r="AD1189" s="844" t="s">
        <v>113</v>
      </c>
      <c r="AE1189" s="937">
        <f t="shared" si="28"/>
        <v>8</v>
      </c>
    </row>
    <row r="1190" spans="1:31" ht="105" hidden="1" x14ac:dyDescent="0.25">
      <c r="A1190" s="921" t="s">
        <v>6275</v>
      </c>
      <c r="B1190" s="922" t="s">
        <v>1851</v>
      </c>
      <c r="C1190" s="922" t="s">
        <v>1851</v>
      </c>
      <c r="D1190" s="670" t="s">
        <v>6703</v>
      </c>
      <c r="E1190" s="925" t="s">
        <v>1948</v>
      </c>
      <c r="F1190" s="926" t="s">
        <v>1528</v>
      </c>
      <c r="G1190" s="929" t="str">
        <f>IFERROR(VLOOKUP(F1190,'[12]код океи'!$B$2:$C$448,2,1)," ")</f>
        <v>Штука</v>
      </c>
      <c r="H1190" s="931">
        <v>24</v>
      </c>
      <c r="I1190" s="922" t="s">
        <v>2161</v>
      </c>
      <c r="J1190" s="929" t="s">
        <v>1454</v>
      </c>
      <c r="K1190" s="950" t="s">
        <v>6386</v>
      </c>
      <c r="L1190" s="950">
        <v>220896</v>
      </c>
      <c r="M1190" s="997"/>
      <c r="N1190" s="862">
        <v>220896</v>
      </c>
      <c r="O1190" s="851">
        <v>42917</v>
      </c>
      <c r="P1190" s="851">
        <v>43100.5</v>
      </c>
      <c r="Q1190" s="930" t="s">
        <v>110</v>
      </c>
      <c r="R1190" s="634" t="s">
        <v>113</v>
      </c>
      <c r="S1190" s="634" t="s">
        <v>1455</v>
      </c>
      <c r="T1190" s="847"/>
      <c r="U1190" s="930"/>
      <c r="V1190" s="930" t="s">
        <v>45</v>
      </c>
      <c r="W1190" s="934" t="s">
        <v>73</v>
      </c>
      <c r="X1190" s="638" t="s">
        <v>2369</v>
      </c>
      <c r="Y1190" s="637" t="s">
        <v>2370</v>
      </c>
      <c r="Z1190" s="933">
        <v>220896</v>
      </c>
      <c r="AA1190" s="908" t="s">
        <v>1458</v>
      </c>
      <c r="AB1190" s="843" t="s">
        <v>263</v>
      </c>
      <c r="AC1190" s="936"/>
      <c r="AD1190" s="844" t="s">
        <v>113</v>
      </c>
      <c r="AE1190" s="937">
        <f t="shared" si="28"/>
        <v>7</v>
      </c>
    </row>
    <row r="1191" spans="1:31" ht="105" hidden="1" x14ac:dyDescent="0.25">
      <c r="A1191" s="921" t="s">
        <v>6276</v>
      </c>
      <c r="B1191" s="922" t="s">
        <v>1571</v>
      </c>
      <c r="C1191" s="922" t="s">
        <v>6147</v>
      </c>
      <c r="D1191" s="670" t="s">
        <v>6702</v>
      </c>
      <c r="E1191" s="925" t="s">
        <v>2235</v>
      </c>
      <c r="F1191" s="926" t="s">
        <v>1528</v>
      </c>
      <c r="G1191" s="929" t="s">
        <v>2156</v>
      </c>
      <c r="H1191" s="931">
        <v>36</v>
      </c>
      <c r="I1191" s="922" t="s">
        <v>2161</v>
      </c>
      <c r="J1191" s="929" t="s">
        <v>1454</v>
      </c>
      <c r="K1191" s="957" t="s">
        <v>6342</v>
      </c>
      <c r="L1191" s="957">
        <v>341774</v>
      </c>
      <c r="M1191" s="999"/>
      <c r="N1191" s="859">
        <v>341774</v>
      </c>
      <c r="O1191" s="851">
        <v>42917</v>
      </c>
      <c r="P1191" s="851">
        <v>42979</v>
      </c>
      <c r="Q1191" s="930" t="s">
        <v>108</v>
      </c>
      <c r="R1191" s="634" t="s">
        <v>112</v>
      </c>
      <c r="S1191" s="930" t="s">
        <v>1457</v>
      </c>
      <c r="T1191" s="847"/>
      <c r="U1191" s="930"/>
      <c r="V1191" s="930"/>
      <c r="W1191" s="934"/>
      <c r="X1191" s="935"/>
      <c r="Y1191" s="934"/>
      <c r="Z1191" s="933"/>
      <c r="AA1191" s="908" t="s">
        <v>1458</v>
      </c>
      <c r="AB1191" s="843" t="s">
        <v>263</v>
      </c>
      <c r="AC1191" s="936"/>
      <c r="AD1191" s="844" t="s">
        <v>113</v>
      </c>
      <c r="AE1191" s="937">
        <f t="shared" si="28"/>
        <v>7</v>
      </c>
    </row>
    <row r="1192" spans="1:31" ht="105" hidden="1" x14ac:dyDescent="0.25">
      <c r="A1192" s="921" t="s">
        <v>6277</v>
      </c>
      <c r="B1192" s="922" t="s">
        <v>1815</v>
      </c>
      <c r="C1192" s="922" t="s">
        <v>6144</v>
      </c>
      <c r="D1192" s="670" t="s">
        <v>6701</v>
      </c>
      <c r="E1192" s="925" t="s">
        <v>2235</v>
      </c>
      <c r="F1192" s="926" t="s">
        <v>1528</v>
      </c>
      <c r="G1192" s="929" t="s">
        <v>2156</v>
      </c>
      <c r="H1192" s="931">
        <v>1</v>
      </c>
      <c r="I1192" s="922" t="s">
        <v>2161</v>
      </c>
      <c r="J1192" s="929" t="s">
        <v>1454</v>
      </c>
      <c r="K1192" s="957" t="s">
        <v>6337</v>
      </c>
      <c r="L1192" s="957">
        <v>37775</v>
      </c>
      <c r="M1192" s="962"/>
      <c r="N1192" s="859">
        <v>37775</v>
      </c>
      <c r="O1192" s="851">
        <v>42917</v>
      </c>
      <c r="P1192" s="851">
        <v>42979</v>
      </c>
      <c r="Q1192" s="930" t="s">
        <v>108</v>
      </c>
      <c r="R1192" s="634" t="s">
        <v>112</v>
      </c>
      <c r="S1192" s="930" t="s">
        <v>1457</v>
      </c>
      <c r="T1192" s="847"/>
      <c r="U1192" s="930"/>
      <c r="V1192" s="930"/>
      <c r="W1192" s="934"/>
      <c r="X1192" s="935"/>
      <c r="Y1192" s="934"/>
      <c r="Z1192" s="933"/>
      <c r="AA1192" s="908" t="s">
        <v>1458</v>
      </c>
      <c r="AB1192" s="843" t="s">
        <v>263</v>
      </c>
      <c r="AC1192" s="936"/>
      <c r="AD1192" s="844" t="s">
        <v>113</v>
      </c>
      <c r="AE1192" s="937">
        <f t="shared" si="28"/>
        <v>7</v>
      </c>
    </row>
    <row r="1193" spans="1:31" ht="105" hidden="1" x14ac:dyDescent="0.25">
      <c r="A1193" s="921" t="s">
        <v>6278</v>
      </c>
      <c r="B1193" s="922" t="s">
        <v>5555</v>
      </c>
      <c r="C1193" s="922" t="s">
        <v>5556</v>
      </c>
      <c r="D1193" s="670" t="s">
        <v>6700</v>
      </c>
      <c r="E1193" s="925" t="s">
        <v>2235</v>
      </c>
      <c r="F1193" s="926" t="s">
        <v>1528</v>
      </c>
      <c r="G1193" s="929" t="s">
        <v>2156</v>
      </c>
      <c r="H1193" s="931">
        <v>20</v>
      </c>
      <c r="I1193" s="922" t="s">
        <v>2161</v>
      </c>
      <c r="J1193" s="929" t="s">
        <v>1454</v>
      </c>
      <c r="K1193" s="957" t="s">
        <v>6401</v>
      </c>
      <c r="L1193" s="957">
        <v>132416</v>
      </c>
      <c r="M1193" s="1000"/>
      <c r="N1193" s="859">
        <v>132416</v>
      </c>
      <c r="O1193" s="851">
        <v>42917</v>
      </c>
      <c r="P1193" s="851">
        <v>42979</v>
      </c>
      <c r="Q1193" s="930" t="s">
        <v>108</v>
      </c>
      <c r="R1193" s="634" t="s">
        <v>112</v>
      </c>
      <c r="S1193" s="930" t="s">
        <v>1457</v>
      </c>
      <c r="T1193" s="847"/>
      <c r="U1193" s="930"/>
      <c r="V1193" s="930"/>
      <c r="W1193" s="934"/>
      <c r="X1193" s="935"/>
      <c r="Y1193" s="934"/>
      <c r="Z1193" s="933"/>
      <c r="AA1193" s="908" t="s">
        <v>1458</v>
      </c>
      <c r="AB1193" s="843" t="s">
        <v>263</v>
      </c>
      <c r="AC1193" s="936"/>
      <c r="AD1193" s="844" t="s">
        <v>113</v>
      </c>
      <c r="AE1193" s="937">
        <f t="shared" si="28"/>
        <v>7</v>
      </c>
    </row>
    <row r="1194" spans="1:31" ht="105" hidden="1" x14ac:dyDescent="0.25">
      <c r="A1194" s="921" t="s">
        <v>6279</v>
      </c>
      <c r="B1194" s="922" t="s">
        <v>2176</v>
      </c>
      <c r="C1194" s="922" t="s">
        <v>2037</v>
      </c>
      <c r="D1194" s="670" t="s">
        <v>6699</v>
      </c>
      <c r="E1194" s="925" t="s">
        <v>2027</v>
      </c>
      <c r="F1194" s="926" t="s">
        <v>1528</v>
      </c>
      <c r="G1194" s="929" t="str">
        <f>IFERROR(VLOOKUP(F1194,'[12]код океи'!$B$2:$C$448,2,1)," ")</f>
        <v>Штука</v>
      </c>
      <c r="H1194" s="931">
        <v>295</v>
      </c>
      <c r="I1194" s="922" t="s">
        <v>2161</v>
      </c>
      <c r="J1194" s="929" t="s">
        <v>1454</v>
      </c>
      <c r="K1194" s="950" t="s">
        <v>6402</v>
      </c>
      <c r="L1194" s="950">
        <v>5101858</v>
      </c>
      <c r="M1194" s="997"/>
      <c r="N1194" s="862">
        <v>5101858</v>
      </c>
      <c r="O1194" s="851">
        <v>42948</v>
      </c>
      <c r="P1194" s="851">
        <v>43160</v>
      </c>
      <c r="Q1194" s="930" t="s">
        <v>110</v>
      </c>
      <c r="R1194" s="634" t="s">
        <v>113</v>
      </c>
      <c r="S1194" s="634" t="s">
        <v>1455</v>
      </c>
      <c r="T1194" s="847"/>
      <c r="U1194" s="930"/>
      <c r="V1194" s="930"/>
      <c r="W1194" s="934" t="s">
        <v>73</v>
      </c>
      <c r="X1194" s="638" t="s">
        <v>6026</v>
      </c>
      <c r="Y1194" s="637" t="s">
        <v>6850</v>
      </c>
      <c r="Z1194" s="933">
        <v>5101858</v>
      </c>
      <c r="AA1194" s="908" t="s">
        <v>1458</v>
      </c>
      <c r="AB1194" s="843" t="s">
        <v>263</v>
      </c>
      <c r="AC1194" s="936"/>
      <c r="AD1194" s="844" t="s">
        <v>113</v>
      </c>
      <c r="AE1194" s="937">
        <f t="shared" si="28"/>
        <v>8</v>
      </c>
    </row>
    <row r="1195" spans="1:31" ht="105" hidden="1" x14ac:dyDescent="0.25">
      <c r="A1195" s="921" t="s">
        <v>6280</v>
      </c>
      <c r="B1195" s="922" t="s">
        <v>1672</v>
      </c>
      <c r="C1195" s="922" t="s">
        <v>2219</v>
      </c>
      <c r="D1195" s="980" t="s">
        <v>6698</v>
      </c>
      <c r="E1195" s="923" t="s">
        <v>6162</v>
      </c>
      <c r="F1195" s="927" t="s">
        <v>1528</v>
      </c>
      <c r="G1195" s="929" t="str">
        <f>IFERROR(VLOOKUP(F1195,'[13]код океи'!$B$2:$C$448,2,1)," ")</f>
        <v>Штука</v>
      </c>
      <c r="H1195" s="931">
        <v>440</v>
      </c>
      <c r="I1195" s="922">
        <v>45000000000</v>
      </c>
      <c r="J1195" s="929" t="s">
        <v>1454</v>
      </c>
      <c r="K1195" s="966" t="s">
        <v>6403</v>
      </c>
      <c r="L1195" s="965">
        <v>200757.53</v>
      </c>
      <c r="M1195" s="997" t="s">
        <v>997</v>
      </c>
      <c r="N1195" s="1004">
        <v>200757.53</v>
      </c>
      <c r="O1195" s="1005">
        <v>42948</v>
      </c>
      <c r="P1195" s="1005">
        <v>42979</v>
      </c>
      <c r="Q1195" s="930" t="s">
        <v>110</v>
      </c>
      <c r="R1195" s="634" t="s">
        <v>113</v>
      </c>
      <c r="S1195" s="634" t="s">
        <v>1455</v>
      </c>
      <c r="T1195" s="992"/>
      <c r="U1195" s="930"/>
      <c r="V1195" s="930" t="s">
        <v>45</v>
      </c>
      <c r="W1195" s="934" t="s">
        <v>73</v>
      </c>
      <c r="X1195" s="638" t="s">
        <v>6410</v>
      </c>
      <c r="Y1195" s="637" t="s">
        <v>3299</v>
      </c>
      <c r="Z1195" s="933">
        <v>200757.53</v>
      </c>
      <c r="AA1195" s="908" t="s">
        <v>1458</v>
      </c>
      <c r="AB1195" s="843" t="s">
        <v>263</v>
      </c>
      <c r="AC1195" s="936"/>
      <c r="AD1195" s="844" t="s">
        <v>113</v>
      </c>
      <c r="AE1195" s="937">
        <f t="shared" si="28"/>
        <v>8</v>
      </c>
    </row>
    <row r="1196" spans="1:31" ht="105" hidden="1" x14ac:dyDescent="0.25">
      <c r="A1196" s="921" t="s">
        <v>6281</v>
      </c>
      <c r="B1196" s="922" t="s">
        <v>1672</v>
      </c>
      <c r="C1196" s="922" t="s">
        <v>2219</v>
      </c>
      <c r="D1196" s="980" t="s">
        <v>6697</v>
      </c>
      <c r="E1196" s="925" t="s">
        <v>6163</v>
      </c>
      <c r="F1196" s="927" t="s">
        <v>1528</v>
      </c>
      <c r="G1196" s="929" t="str">
        <f>IFERROR(VLOOKUP(F1196,'[13]код океи'!$B$2:$C$448,2,1)," ")</f>
        <v>Штука</v>
      </c>
      <c r="H1196" s="931">
        <v>120</v>
      </c>
      <c r="I1196" s="922">
        <v>45000000000</v>
      </c>
      <c r="J1196" s="929" t="s">
        <v>1454</v>
      </c>
      <c r="K1196" s="951" t="s">
        <v>6841</v>
      </c>
      <c r="L1196" s="951">
        <v>352443.96</v>
      </c>
      <c r="M1196" s="997" t="s">
        <v>997</v>
      </c>
      <c r="N1196" s="1006">
        <v>352443.96</v>
      </c>
      <c r="O1196" s="1005">
        <v>42948</v>
      </c>
      <c r="P1196" s="1005">
        <v>42979</v>
      </c>
      <c r="Q1196" s="930" t="s">
        <v>110</v>
      </c>
      <c r="R1196" s="634" t="s">
        <v>113</v>
      </c>
      <c r="S1196" s="634" t="s">
        <v>1455</v>
      </c>
      <c r="T1196" s="992"/>
      <c r="U1196" s="930"/>
      <c r="V1196" s="930" t="s">
        <v>45</v>
      </c>
      <c r="W1196" s="934" t="s">
        <v>73</v>
      </c>
      <c r="X1196" s="638" t="s">
        <v>6410</v>
      </c>
      <c r="Y1196" s="637" t="s">
        <v>3299</v>
      </c>
      <c r="Z1196" s="933">
        <v>352443.96</v>
      </c>
      <c r="AA1196" s="908" t="s">
        <v>1458</v>
      </c>
      <c r="AB1196" s="843" t="s">
        <v>263</v>
      </c>
      <c r="AC1196" s="936"/>
      <c r="AD1196" s="844" t="s">
        <v>113</v>
      </c>
      <c r="AE1196" s="937">
        <f t="shared" si="28"/>
        <v>8</v>
      </c>
    </row>
    <row r="1197" spans="1:31" ht="105" hidden="1" x14ac:dyDescent="0.25">
      <c r="A1197" s="921" t="s">
        <v>6282</v>
      </c>
      <c r="B1197" s="923" t="s">
        <v>2213</v>
      </c>
      <c r="C1197" s="922" t="s">
        <v>1703</v>
      </c>
      <c r="D1197" s="670" t="s">
        <v>6696</v>
      </c>
      <c r="E1197" s="925" t="s">
        <v>6164</v>
      </c>
      <c r="F1197" s="927" t="s">
        <v>1528</v>
      </c>
      <c r="G1197" s="929" t="str">
        <f>IFERROR(VLOOKUP(F1197,'[14]код океи'!$B$2:$C$448,2,1)," ")</f>
        <v>Штука</v>
      </c>
      <c r="H1197" s="931">
        <v>60</v>
      </c>
      <c r="I1197" s="922">
        <v>45000000000</v>
      </c>
      <c r="J1197" s="929" t="s">
        <v>1454</v>
      </c>
      <c r="K1197" s="951" t="s">
        <v>6363</v>
      </c>
      <c r="L1197" s="951">
        <v>205000</v>
      </c>
      <c r="M1197" s="997"/>
      <c r="N1197" s="1006">
        <v>205000</v>
      </c>
      <c r="O1197" s="1005">
        <v>42948</v>
      </c>
      <c r="P1197" s="1005">
        <v>42979</v>
      </c>
      <c r="Q1197" s="930" t="s">
        <v>110</v>
      </c>
      <c r="R1197" s="634" t="s">
        <v>113</v>
      </c>
      <c r="S1197" s="634" t="s">
        <v>1455</v>
      </c>
      <c r="T1197" s="993"/>
      <c r="U1197" s="930"/>
      <c r="V1197" s="930"/>
      <c r="W1197" s="934"/>
      <c r="X1197" s="935"/>
      <c r="Y1197" s="934"/>
      <c r="Z1197" s="933"/>
      <c r="AA1197" s="908" t="s">
        <v>1458</v>
      </c>
      <c r="AB1197" s="843" t="s">
        <v>263</v>
      </c>
      <c r="AC1197" s="936"/>
      <c r="AD1197" s="844" t="s">
        <v>113</v>
      </c>
      <c r="AE1197" s="937">
        <f t="shared" si="28"/>
        <v>8</v>
      </c>
    </row>
    <row r="1198" spans="1:31" ht="105" hidden="1" x14ac:dyDescent="0.25">
      <c r="A1198" s="921" t="s">
        <v>6283</v>
      </c>
      <c r="B1198" s="923" t="s">
        <v>1540</v>
      </c>
      <c r="C1198" s="922" t="s">
        <v>1745</v>
      </c>
      <c r="D1198" s="670" t="s">
        <v>6695</v>
      </c>
      <c r="E1198" s="925" t="s">
        <v>2466</v>
      </c>
      <c r="F1198" s="927" t="s">
        <v>1528</v>
      </c>
      <c r="G1198" s="929" t="s">
        <v>2156</v>
      </c>
      <c r="H1198" s="931">
        <v>30</v>
      </c>
      <c r="I1198" s="922">
        <v>45000000000</v>
      </c>
      <c r="J1198" s="929" t="s">
        <v>1454</v>
      </c>
      <c r="K1198" s="920" t="s">
        <v>6387</v>
      </c>
      <c r="L1198" s="920">
        <v>310277.81</v>
      </c>
      <c r="M1198" s="997"/>
      <c r="N1198" s="1007">
        <v>310277.81</v>
      </c>
      <c r="O1198" s="1005">
        <v>42949</v>
      </c>
      <c r="P1198" s="1005">
        <v>42979</v>
      </c>
      <c r="Q1198" s="930" t="s">
        <v>110</v>
      </c>
      <c r="R1198" s="634" t="s">
        <v>113</v>
      </c>
      <c r="S1198" s="634" t="s">
        <v>1455</v>
      </c>
      <c r="T1198" s="992"/>
      <c r="U1198" s="930"/>
      <c r="V1198" s="930" t="s">
        <v>45</v>
      </c>
      <c r="W1198" s="934" t="s">
        <v>72</v>
      </c>
      <c r="X1198" s="935" t="s">
        <v>3330</v>
      </c>
      <c r="Y1198" s="934" t="s">
        <v>3331</v>
      </c>
      <c r="Z1198" s="933">
        <v>310277.81</v>
      </c>
      <c r="AA1198" s="908" t="s">
        <v>1458</v>
      </c>
      <c r="AB1198" s="843" t="s">
        <v>263</v>
      </c>
      <c r="AC1198" s="936"/>
      <c r="AD1198" s="844" t="s">
        <v>113</v>
      </c>
      <c r="AE1198" s="937">
        <f t="shared" si="28"/>
        <v>8</v>
      </c>
    </row>
    <row r="1199" spans="1:31" ht="105" hidden="1" x14ac:dyDescent="0.25">
      <c r="A1199" s="921" t="s">
        <v>6284</v>
      </c>
      <c r="B1199" s="922" t="s">
        <v>1576</v>
      </c>
      <c r="C1199" s="922" t="s">
        <v>1576</v>
      </c>
      <c r="D1199" s="670" t="s">
        <v>6694</v>
      </c>
      <c r="E1199" s="925" t="s">
        <v>6170</v>
      </c>
      <c r="F1199" s="928">
        <v>796</v>
      </c>
      <c r="G1199" s="930" t="s">
        <v>1453</v>
      </c>
      <c r="H1199" s="931">
        <v>50</v>
      </c>
      <c r="I1199" s="922">
        <v>45000000000</v>
      </c>
      <c r="J1199" s="929" t="s">
        <v>1454</v>
      </c>
      <c r="K1199" s="951" t="s">
        <v>6367</v>
      </c>
      <c r="L1199" s="951">
        <v>222000</v>
      </c>
      <c r="M1199" s="997"/>
      <c r="N1199" s="1006">
        <v>222000</v>
      </c>
      <c r="O1199" s="1005">
        <v>42950</v>
      </c>
      <c r="P1199" s="1005">
        <v>42979</v>
      </c>
      <c r="Q1199" s="930" t="s">
        <v>110</v>
      </c>
      <c r="R1199" s="634" t="s">
        <v>113</v>
      </c>
      <c r="S1199" s="634" t="s">
        <v>1455</v>
      </c>
      <c r="T1199" s="992"/>
      <c r="U1199" s="930"/>
      <c r="V1199" s="930"/>
      <c r="W1199" s="934"/>
      <c r="X1199" s="935"/>
      <c r="Y1199" s="934"/>
      <c r="Z1199" s="933"/>
      <c r="AA1199" s="908" t="s">
        <v>1458</v>
      </c>
      <c r="AB1199" s="843" t="s">
        <v>263</v>
      </c>
      <c r="AC1199" s="936"/>
      <c r="AD1199" s="844" t="s">
        <v>113</v>
      </c>
      <c r="AE1199" s="937">
        <f t="shared" si="28"/>
        <v>8</v>
      </c>
    </row>
    <row r="1200" spans="1:31" ht="105" hidden="1" x14ac:dyDescent="0.25">
      <c r="A1200" s="921" t="s">
        <v>6285</v>
      </c>
      <c r="B1200" s="922" t="s">
        <v>1540</v>
      </c>
      <c r="C1200" s="922" t="s">
        <v>1540</v>
      </c>
      <c r="D1200" s="670" t="s">
        <v>6693</v>
      </c>
      <c r="E1200" s="925" t="s">
        <v>5526</v>
      </c>
      <c r="F1200" s="927" t="s">
        <v>1528</v>
      </c>
      <c r="G1200" s="929" t="s">
        <v>2156</v>
      </c>
      <c r="H1200" s="931">
        <v>700</v>
      </c>
      <c r="I1200" s="922" t="s">
        <v>2161</v>
      </c>
      <c r="J1200" s="929" t="s">
        <v>1454</v>
      </c>
      <c r="K1200" s="920" t="s">
        <v>5720</v>
      </c>
      <c r="L1200" s="920">
        <v>453061</v>
      </c>
      <c r="M1200" s="997"/>
      <c r="N1200" s="1007">
        <v>453061</v>
      </c>
      <c r="O1200" s="1005">
        <v>42951</v>
      </c>
      <c r="P1200" s="1005">
        <v>42980</v>
      </c>
      <c r="Q1200" s="930" t="s">
        <v>110</v>
      </c>
      <c r="R1200" s="634" t="s">
        <v>113</v>
      </c>
      <c r="S1200" s="634" t="s">
        <v>1455</v>
      </c>
      <c r="T1200" s="994"/>
      <c r="U1200" s="930"/>
      <c r="V1200" s="930"/>
      <c r="W1200" s="934"/>
      <c r="X1200" s="935"/>
      <c r="Y1200" s="934"/>
      <c r="Z1200" s="933"/>
      <c r="AA1200" s="908" t="s">
        <v>1458</v>
      </c>
      <c r="AB1200" s="843" t="s">
        <v>263</v>
      </c>
      <c r="AC1200" s="936"/>
      <c r="AD1200" s="844" t="s">
        <v>113</v>
      </c>
      <c r="AE1200" s="937">
        <f t="shared" si="28"/>
        <v>8</v>
      </c>
    </row>
    <row r="1201" spans="1:31" ht="105" hidden="1" x14ac:dyDescent="0.25">
      <c r="A1201" s="921" t="s">
        <v>6286</v>
      </c>
      <c r="B1201" s="923" t="s">
        <v>1576</v>
      </c>
      <c r="C1201" s="922" t="s">
        <v>1576</v>
      </c>
      <c r="D1201" s="670" t="s">
        <v>6692</v>
      </c>
      <c r="E1201" s="925" t="s">
        <v>6184</v>
      </c>
      <c r="F1201" s="928">
        <v>796</v>
      </c>
      <c r="G1201" s="930" t="s">
        <v>2156</v>
      </c>
      <c r="H1201" s="931">
        <v>290</v>
      </c>
      <c r="I1201" s="922">
        <v>45000000000</v>
      </c>
      <c r="J1201" s="929" t="s">
        <v>1454</v>
      </c>
      <c r="K1201" s="952" t="s">
        <v>6388</v>
      </c>
      <c r="L1201" s="952">
        <v>911306.16</v>
      </c>
      <c r="M1201" s="997"/>
      <c r="N1201" s="1008">
        <v>911306.16</v>
      </c>
      <c r="O1201" s="1005">
        <v>42952</v>
      </c>
      <c r="P1201" s="1005">
        <v>42981</v>
      </c>
      <c r="Q1201" s="930" t="s">
        <v>110</v>
      </c>
      <c r="R1201" s="634" t="s">
        <v>113</v>
      </c>
      <c r="S1201" s="634" t="s">
        <v>1455</v>
      </c>
      <c r="T1201" s="992"/>
      <c r="U1201" s="930"/>
      <c r="V1201" s="930"/>
      <c r="W1201" s="934"/>
      <c r="X1201" s="935"/>
      <c r="Y1201" s="934"/>
      <c r="Z1201" s="933"/>
      <c r="AA1201" s="908" t="s">
        <v>1458</v>
      </c>
      <c r="AB1201" s="843" t="s">
        <v>263</v>
      </c>
      <c r="AC1201" s="936"/>
      <c r="AD1201" s="844" t="s">
        <v>113</v>
      </c>
      <c r="AE1201" s="937">
        <f t="shared" ref="AE1201:AE1221" si="29">IF(O1201=0,,MONTH(O1201))</f>
        <v>8</v>
      </c>
    </row>
    <row r="1202" spans="1:31" ht="105" hidden="1" x14ac:dyDescent="0.25">
      <c r="A1202" s="921" t="s">
        <v>6287</v>
      </c>
      <c r="B1202" s="922" t="s">
        <v>1540</v>
      </c>
      <c r="C1202" s="923" t="s">
        <v>1745</v>
      </c>
      <c r="D1202" s="980" t="s">
        <v>6691</v>
      </c>
      <c r="E1202" s="923" t="s">
        <v>6171</v>
      </c>
      <c r="F1202" s="927" t="s">
        <v>1528</v>
      </c>
      <c r="G1202" s="929" t="str">
        <f>IFERROR(VLOOKUP(F1202,'[15]код океи'!$B$2:$C$448,2,1)," ")</f>
        <v>Штука</v>
      </c>
      <c r="H1202" s="932">
        <v>15</v>
      </c>
      <c r="I1202" s="922">
        <v>45000000000</v>
      </c>
      <c r="J1202" s="929" t="str">
        <f>IFERROR(VLOOKUP(I1202,[16]регион!$A$1:$B$86,2,0)," ")</f>
        <v>Москва</v>
      </c>
      <c r="K1202" s="920" t="s">
        <v>6368</v>
      </c>
      <c r="L1202" s="920">
        <v>114838.49</v>
      </c>
      <c r="M1202" s="997"/>
      <c r="N1202" s="1007">
        <v>114838.49</v>
      </c>
      <c r="O1202" s="1005">
        <v>42952</v>
      </c>
      <c r="P1202" s="1005">
        <v>42981</v>
      </c>
      <c r="Q1202" s="930" t="s">
        <v>110</v>
      </c>
      <c r="R1202" s="634" t="s">
        <v>113</v>
      </c>
      <c r="S1202" s="634" t="s">
        <v>1455</v>
      </c>
      <c r="T1202" s="992"/>
      <c r="U1202" s="930"/>
      <c r="V1202" s="930"/>
      <c r="W1202" s="934"/>
      <c r="X1202" s="935"/>
      <c r="Y1202" s="934"/>
      <c r="Z1202" s="933"/>
      <c r="AA1202" s="908" t="s">
        <v>1458</v>
      </c>
      <c r="AB1202" s="843" t="s">
        <v>263</v>
      </c>
      <c r="AC1202" s="936"/>
      <c r="AD1202" s="844" t="s">
        <v>113</v>
      </c>
      <c r="AE1202" s="937">
        <f t="shared" si="29"/>
        <v>8</v>
      </c>
    </row>
    <row r="1203" spans="1:31" ht="105" hidden="1" x14ac:dyDescent="0.25">
      <c r="A1203" s="921" t="s">
        <v>6288</v>
      </c>
      <c r="B1203" s="922" t="s">
        <v>1576</v>
      </c>
      <c r="C1203" s="922" t="s">
        <v>1738</v>
      </c>
      <c r="D1203" s="670" t="s">
        <v>6690</v>
      </c>
      <c r="E1203" s="925" t="s">
        <v>6173</v>
      </c>
      <c r="F1203" s="927" t="s">
        <v>1528</v>
      </c>
      <c r="G1203" s="929" t="str">
        <f>IFERROR(VLOOKUP(F1203,'[15]код океи'!$B$2:$C$448,2,1)," ")</f>
        <v>Штука</v>
      </c>
      <c r="H1203" s="931">
        <v>550</v>
      </c>
      <c r="I1203" s="922">
        <v>45000000000</v>
      </c>
      <c r="J1203" s="929" t="str">
        <f>IFERROR(VLOOKUP(I1203,[16]регион!$A$1:$B$86,2,0)," ")</f>
        <v>Москва</v>
      </c>
      <c r="K1203" s="953" t="s">
        <v>6859</v>
      </c>
      <c r="L1203" s="953">
        <v>523652.03</v>
      </c>
      <c r="M1203" s="997" t="s">
        <v>997</v>
      </c>
      <c r="N1203" s="1009">
        <v>523652.03</v>
      </c>
      <c r="O1203" s="1005">
        <v>42952</v>
      </c>
      <c r="P1203" s="1005">
        <v>42981</v>
      </c>
      <c r="Q1203" s="930" t="s">
        <v>110</v>
      </c>
      <c r="R1203" s="634" t="s">
        <v>113</v>
      </c>
      <c r="S1203" s="634" t="s">
        <v>1455</v>
      </c>
      <c r="T1203" s="992"/>
      <c r="U1203" s="930"/>
      <c r="V1203" s="930" t="s">
        <v>45</v>
      </c>
      <c r="W1203" s="934" t="s">
        <v>72</v>
      </c>
      <c r="X1203" s="638" t="s">
        <v>3077</v>
      </c>
      <c r="Y1203" s="637" t="s">
        <v>3078</v>
      </c>
      <c r="Z1203" s="933">
        <v>523652.03</v>
      </c>
      <c r="AA1203" s="908" t="s">
        <v>1458</v>
      </c>
      <c r="AB1203" s="843" t="s">
        <v>263</v>
      </c>
      <c r="AC1203" s="936"/>
      <c r="AD1203" s="844" t="s">
        <v>113</v>
      </c>
      <c r="AE1203" s="937">
        <f t="shared" si="29"/>
        <v>8</v>
      </c>
    </row>
    <row r="1204" spans="1:31" ht="105" hidden="1" x14ac:dyDescent="0.25">
      <c r="A1204" s="921" t="s">
        <v>6289</v>
      </c>
      <c r="B1204" s="922" t="s">
        <v>1740</v>
      </c>
      <c r="C1204" s="922" t="s">
        <v>2436</v>
      </c>
      <c r="D1204" s="670" t="s">
        <v>6689</v>
      </c>
      <c r="E1204" s="925" t="s">
        <v>6174</v>
      </c>
      <c r="F1204" s="927" t="s">
        <v>6175</v>
      </c>
      <c r="G1204" s="929" t="s">
        <v>1453</v>
      </c>
      <c r="H1204" s="931">
        <v>15</v>
      </c>
      <c r="I1204" s="922">
        <v>45000000000</v>
      </c>
      <c r="J1204" s="929" t="str">
        <f>IFERROR(VLOOKUP(I1204,[16]регион!$A$1:$B$86,2,0)," ")</f>
        <v>Москва</v>
      </c>
      <c r="K1204" s="954" t="s">
        <v>6389</v>
      </c>
      <c r="L1204" s="954" t="s">
        <v>6189</v>
      </c>
      <c r="M1204" s="997"/>
      <c r="N1204" s="1010" t="s">
        <v>6189</v>
      </c>
      <c r="O1204" s="1005">
        <v>42952</v>
      </c>
      <c r="P1204" s="1005">
        <v>42981</v>
      </c>
      <c r="Q1204" s="930" t="s">
        <v>110</v>
      </c>
      <c r="R1204" s="634" t="s">
        <v>113</v>
      </c>
      <c r="S1204" s="634" t="s">
        <v>1455</v>
      </c>
      <c r="T1204" s="992"/>
      <c r="U1204" s="930"/>
      <c r="V1204" s="930"/>
      <c r="W1204" s="934"/>
      <c r="X1204" s="935"/>
      <c r="Y1204" s="934"/>
      <c r="Z1204" s="933"/>
      <c r="AA1204" s="908" t="s">
        <v>1458</v>
      </c>
      <c r="AB1204" s="843" t="s">
        <v>263</v>
      </c>
      <c r="AC1204" s="936"/>
      <c r="AD1204" s="844" t="s">
        <v>113</v>
      </c>
      <c r="AE1204" s="937">
        <f t="shared" si="29"/>
        <v>8</v>
      </c>
    </row>
    <row r="1205" spans="1:31" ht="105" hidden="1" x14ac:dyDescent="0.25">
      <c r="A1205" s="921" t="s">
        <v>6290</v>
      </c>
      <c r="B1205" s="923" t="s">
        <v>1787</v>
      </c>
      <c r="C1205" s="922" t="s">
        <v>3123</v>
      </c>
      <c r="D1205" s="670" t="s">
        <v>6688</v>
      </c>
      <c r="E1205" s="925" t="s">
        <v>2235</v>
      </c>
      <c r="F1205" s="927" t="s">
        <v>1528</v>
      </c>
      <c r="G1205" s="929" t="str">
        <f>IFERROR(VLOOKUP(F1205,'[17]код океи'!$B$2:$C$448,2,1)," ")</f>
        <v>Штука</v>
      </c>
      <c r="H1205" s="931">
        <v>2</v>
      </c>
      <c r="I1205" s="922">
        <v>45000000000</v>
      </c>
      <c r="J1205" s="929" t="s">
        <v>1454</v>
      </c>
      <c r="K1205" s="955" t="s">
        <v>6390</v>
      </c>
      <c r="L1205" s="955">
        <v>602300</v>
      </c>
      <c r="M1205" s="997"/>
      <c r="N1205" s="1011">
        <v>602300</v>
      </c>
      <c r="O1205" s="1012">
        <v>42948</v>
      </c>
      <c r="P1205" s="1012">
        <v>43009</v>
      </c>
      <c r="Q1205" s="930" t="s">
        <v>110</v>
      </c>
      <c r="R1205" s="634" t="s">
        <v>113</v>
      </c>
      <c r="S1205" s="634" t="s">
        <v>1455</v>
      </c>
      <c r="T1205" s="995"/>
      <c r="U1205" s="930"/>
      <c r="V1205" s="930"/>
      <c r="W1205" s="934" t="s">
        <v>73</v>
      </c>
      <c r="X1205" s="638" t="s">
        <v>3043</v>
      </c>
      <c r="Y1205" s="637" t="s">
        <v>3044</v>
      </c>
      <c r="Z1205" s="933">
        <v>602300</v>
      </c>
      <c r="AA1205" s="908" t="s">
        <v>1458</v>
      </c>
      <c r="AB1205" s="843" t="s">
        <v>263</v>
      </c>
      <c r="AC1205" s="936"/>
      <c r="AD1205" s="844" t="s">
        <v>113</v>
      </c>
      <c r="AE1205" s="937">
        <f t="shared" si="29"/>
        <v>8</v>
      </c>
    </row>
    <row r="1206" spans="1:31" ht="105" hidden="1" x14ac:dyDescent="0.25">
      <c r="A1206" s="921" t="s">
        <v>6291</v>
      </c>
      <c r="B1206" s="922" t="s">
        <v>1526</v>
      </c>
      <c r="C1206" s="922" t="s">
        <v>1900</v>
      </c>
      <c r="D1206" s="670" t="s">
        <v>6687</v>
      </c>
      <c r="E1206" s="925" t="s">
        <v>2235</v>
      </c>
      <c r="F1206" s="926" t="s">
        <v>1528</v>
      </c>
      <c r="G1206" s="929" t="s">
        <v>2156</v>
      </c>
      <c r="H1206" s="931">
        <v>1</v>
      </c>
      <c r="I1206" s="922" t="s">
        <v>2161</v>
      </c>
      <c r="J1206" s="929" t="s">
        <v>1454</v>
      </c>
      <c r="K1206" s="957" t="s">
        <v>4995</v>
      </c>
      <c r="L1206" s="957">
        <v>11555030.470000001</v>
      </c>
      <c r="M1206" s="997"/>
      <c r="N1206" s="859">
        <v>11555030.470000001</v>
      </c>
      <c r="O1206" s="851">
        <v>42948</v>
      </c>
      <c r="P1206" s="851">
        <v>43100.5</v>
      </c>
      <c r="Q1206" s="930" t="s">
        <v>108</v>
      </c>
      <c r="R1206" s="634" t="s">
        <v>112</v>
      </c>
      <c r="S1206" s="930" t="s">
        <v>1457</v>
      </c>
      <c r="T1206" s="847"/>
      <c r="U1206" s="930"/>
      <c r="V1206" s="930"/>
      <c r="W1206" s="934"/>
      <c r="X1206" s="935"/>
      <c r="Y1206" s="934"/>
      <c r="Z1206" s="933"/>
      <c r="AA1206" s="908" t="s">
        <v>1458</v>
      </c>
      <c r="AB1206" s="843" t="s">
        <v>263</v>
      </c>
      <c r="AC1206" s="936"/>
      <c r="AD1206" s="844" t="s">
        <v>113</v>
      </c>
      <c r="AE1206" s="937">
        <f t="shared" si="29"/>
        <v>8</v>
      </c>
    </row>
    <row r="1207" spans="1:31" ht="105" hidden="1" x14ac:dyDescent="0.25">
      <c r="A1207" s="921" t="s">
        <v>6292</v>
      </c>
      <c r="B1207" s="922" t="s">
        <v>1941</v>
      </c>
      <c r="C1207" s="922" t="s">
        <v>1941</v>
      </c>
      <c r="D1207" s="924" t="s">
        <v>6318</v>
      </c>
      <c r="E1207" s="925" t="s">
        <v>1948</v>
      </c>
      <c r="F1207" s="926" t="s">
        <v>1587</v>
      </c>
      <c r="G1207" s="929" t="str">
        <f>IFERROR(VLOOKUP(F1207,'[12]код океи'!$B$2:$C$448,2,1)," ")</f>
        <v>Комплект</v>
      </c>
      <c r="H1207" s="931">
        <v>839</v>
      </c>
      <c r="I1207" s="922" t="s">
        <v>2161</v>
      </c>
      <c r="J1207" s="929" t="s">
        <v>1454</v>
      </c>
      <c r="K1207" s="950" t="s">
        <v>6391</v>
      </c>
      <c r="L1207" s="950">
        <v>3496000</v>
      </c>
      <c r="M1207" s="997" t="s">
        <v>997</v>
      </c>
      <c r="N1207" s="862">
        <v>3496000</v>
      </c>
      <c r="O1207" s="851">
        <v>42948</v>
      </c>
      <c r="P1207" s="851">
        <v>43100.5</v>
      </c>
      <c r="Q1207" s="930" t="s">
        <v>110</v>
      </c>
      <c r="R1207" s="634" t="s">
        <v>113</v>
      </c>
      <c r="S1207" s="634" t="s">
        <v>1455</v>
      </c>
      <c r="T1207" s="847"/>
      <c r="U1207" s="930"/>
      <c r="V1207" s="930"/>
      <c r="W1207" s="934" t="s">
        <v>73</v>
      </c>
      <c r="X1207" s="638" t="s">
        <v>2334</v>
      </c>
      <c r="Y1207" s="637" t="s">
        <v>2335</v>
      </c>
      <c r="Z1207" s="933">
        <v>3496000</v>
      </c>
      <c r="AA1207" s="908" t="s">
        <v>1458</v>
      </c>
      <c r="AB1207" s="843" t="s">
        <v>263</v>
      </c>
      <c r="AC1207" s="936"/>
      <c r="AD1207" s="844" t="s">
        <v>113</v>
      </c>
      <c r="AE1207" s="937">
        <f t="shared" si="29"/>
        <v>8</v>
      </c>
    </row>
    <row r="1208" spans="1:31" ht="105" hidden="1" x14ac:dyDescent="0.25">
      <c r="A1208" s="921" t="s">
        <v>6293</v>
      </c>
      <c r="B1208" s="922" t="s">
        <v>1941</v>
      </c>
      <c r="C1208" s="922" t="s">
        <v>1941</v>
      </c>
      <c r="D1208" s="670" t="s">
        <v>6686</v>
      </c>
      <c r="E1208" s="925" t="s">
        <v>1948</v>
      </c>
      <c r="F1208" s="926" t="s">
        <v>1587</v>
      </c>
      <c r="G1208" s="929" t="str">
        <f>IFERROR(VLOOKUP(F1208,'[12]код океи'!$B$2:$C$448,2,1)," ")</f>
        <v>Комплект</v>
      </c>
      <c r="H1208" s="931">
        <v>15</v>
      </c>
      <c r="I1208" s="922" t="s">
        <v>2161</v>
      </c>
      <c r="J1208" s="929" t="s">
        <v>1454</v>
      </c>
      <c r="K1208" s="950" t="s">
        <v>6392</v>
      </c>
      <c r="L1208" s="950">
        <v>245000</v>
      </c>
      <c r="M1208" s="997"/>
      <c r="N1208" s="862">
        <v>245000</v>
      </c>
      <c r="O1208" s="851">
        <v>42948</v>
      </c>
      <c r="P1208" s="851">
        <v>43070</v>
      </c>
      <c r="Q1208" s="930" t="s">
        <v>110</v>
      </c>
      <c r="R1208" s="634" t="s">
        <v>113</v>
      </c>
      <c r="S1208" s="634" t="s">
        <v>1455</v>
      </c>
      <c r="T1208" s="847"/>
      <c r="U1208" s="930"/>
      <c r="V1208" s="930"/>
      <c r="W1208" s="934"/>
      <c r="X1208" s="935"/>
      <c r="Y1208" s="934"/>
      <c r="Z1208" s="933"/>
      <c r="AA1208" s="908" t="s">
        <v>1458</v>
      </c>
      <c r="AB1208" s="843" t="s">
        <v>263</v>
      </c>
      <c r="AC1208" s="936"/>
      <c r="AD1208" s="844" t="s">
        <v>113</v>
      </c>
      <c r="AE1208" s="937">
        <f t="shared" si="29"/>
        <v>8</v>
      </c>
    </row>
    <row r="1209" spans="1:31" ht="105" hidden="1" x14ac:dyDescent="0.25">
      <c r="A1209" s="921" t="s">
        <v>6294</v>
      </c>
      <c r="B1209" s="922" t="s">
        <v>1851</v>
      </c>
      <c r="C1209" s="922" t="s">
        <v>1851</v>
      </c>
      <c r="D1209" s="670" t="s">
        <v>6685</v>
      </c>
      <c r="E1209" s="925" t="s">
        <v>1948</v>
      </c>
      <c r="F1209" s="926" t="s">
        <v>1528</v>
      </c>
      <c r="G1209" s="929" t="str">
        <f>IFERROR(VLOOKUP(F1209,'[12]код океи'!$B$2:$C$448,2,1)," ")</f>
        <v>Штука</v>
      </c>
      <c r="H1209" s="931">
        <v>15</v>
      </c>
      <c r="I1209" s="922" t="s">
        <v>2161</v>
      </c>
      <c r="J1209" s="929" t="s">
        <v>1454</v>
      </c>
      <c r="K1209" s="950" t="s">
        <v>6835</v>
      </c>
      <c r="L1209" s="950">
        <v>185850</v>
      </c>
      <c r="M1209" s="997" t="s">
        <v>997</v>
      </c>
      <c r="N1209" s="862">
        <v>185850</v>
      </c>
      <c r="O1209" s="851">
        <v>42948</v>
      </c>
      <c r="P1209" s="851">
        <v>43070</v>
      </c>
      <c r="Q1209" s="930" t="s">
        <v>110</v>
      </c>
      <c r="R1209" s="634" t="s">
        <v>113</v>
      </c>
      <c r="S1209" s="634" t="s">
        <v>1455</v>
      </c>
      <c r="T1209" s="847"/>
      <c r="U1209" s="930"/>
      <c r="V1209" s="930"/>
      <c r="W1209" s="934" t="s">
        <v>73</v>
      </c>
      <c r="X1209" s="638" t="s">
        <v>2369</v>
      </c>
      <c r="Y1209" s="637" t="s">
        <v>2370</v>
      </c>
      <c r="Z1209" s="933">
        <v>185850</v>
      </c>
      <c r="AA1209" s="908" t="s">
        <v>1458</v>
      </c>
      <c r="AB1209" s="843" t="s">
        <v>263</v>
      </c>
      <c r="AC1209" s="936"/>
      <c r="AD1209" s="844" t="s">
        <v>113</v>
      </c>
      <c r="AE1209" s="937">
        <f t="shared" si="29"/>
        <v>8</v>
      </c>
    </row>
    <row r="1210" spans="1:31" ht="105" hidden="1" x14ac:dyDescent="0.25">
      <c r="A1210" s="921" t="s">
        <v>6295</v>
      </c>
      <c r="B1210" s="922" t="s">
        <v>1951</v>
      </c>
      <c r="C1210" s="922" t="s">
        <v>1951</v>
      </c>
      <c r="D1210" s="670" t="s">
        <v>6684</v>
      </c>
      <c r="E1210" s="925" t="s">
        <v>1948</v>
      </c>
      <c r="F1210" s="926" t="s">
        <v>1587</v>
      </c>
      <c r="G1210" s="929" t="str">
        <f>IFERROR(VLOOKUP(F1210,'[12]код океи'!$B$2:$C$448,2,1)," ")</f>
        <v>Комплект</v>
      </c>
      <c r="H1210" s="931">
        <v>15</v>
      </c>
      <c r="I1210" s="922" t="s">
        <v>2161</v>
      </c>
      <c r="J1210" s="929" t="s">
        <v>1454</v>
      </c>
      <c r="K1210" s="950" t="s">
        <v>6393</v>
      </c>
      <c r="L1210" s="950">
        <v>240000</v>
      </c>
      <c r="M1210" s="997"/>
      <c r="N1210" s="862">
        <v>240000</v>
      </c>
      <c r="O1210" s="851">
        <v>42948</v>
      </c>
      <c r="P1210" s="851">
        <v>43070</v>
      </c>
      <c r="Q1210" s="930" t="s">
        <v>110</v>
      </c>
      <c r="R1210" s="634" t="s">
        <v>113</v>
      </c>
      <c r="S1210" s="634" t="s">
        <v>1455</v>
      </c>
      <c r="T1210" s="847"/>
      <c r="U1210" s="930"/>
      <c r="V1210" s="930"/>
      <c r="W1210" s="934"/>
      <c r="X1210" s="935"/>
      <c r="Y1210" s="934"/>
      <c r="Z1210" s="933"/>
      <c r="AA1210" s="908" t="s">
        <v>1458</v>
      </c>
      <c r="AB1210" s="843" t="s">
        <v>263</v>
      </c>
      <c r="AC1210" s="936"/>
      <c r="AD1210" s="844" t="s">
        <v>113</v>
      </c>
      <c r="AE1210" s="937">
        <f t="shared" si="29"/>
        <v>8</v>
      </c>
    </row>
    <row r="1211" spans="1:31" ht="105" hidden="1" x14ac:dyDescent="0.25">
      <c r="A1211" s="921" t="s">
        <v>6296</v>
      </c>
      <c r="B1211" s="923" t="s">
        <v>1517</v>
      </c>
      <c r="C1211" s="922" t="s">
        <v>6185</v>
      </c>
      <c r="D1211" s="670" t="s">
        <v>6683</v>
      </c>
      <c r="E1211" s="925" t="s">
        <v>2235</v>
      </c>
      <c r="F1211" s="927" t="s">
        <v>1528</v>
      </c>
      <c r="G1211" s="929" t="str">
        <f>IFERROR(VLOOKUP(F1211,'[18]код океи'!$B$2:$C$448,2,1)," ")</f>
        <v>Штука</v>
      </c>
      <c r="H1211" s="931">
        <v>1</v>
      </c>
      <c r="I1211" s="922">
        <v>45000000000</v>
      </c>
      <c r="J1211" s="929" t="s">
        <v>1454</v>
      </c>
      <c r="K1211" s="956" t="s">
        <v>6394</v>
      </c>
      <c r="L1211" s="956">
        <v>62111.12</v>
      </c>
      <c r="M1211" s="997"/>
      <c r="N1211" s="1013">
        <v>62111.12</v>
      </c>
      <c r="O1211" s="1014">
        <v>42948</v>
      </c>
      <c r="P1211" s="1014">
        <v>43009</v>
      </c>
      <c r="Q1211" s="930" t="s">
        <v>108</v>
      </c>
      <c r="R1211" s="634" t="s">
        <v>112</v>
      </c>
      <c r="S1211" s="930" t="s">
        <v>1457</v>
      </c>
      <c r="T1211" s="996"/>
      <c r="U1211" s="930"/>
      <c r="V1211" s="930"/>
      <c r="W1211" s="934"/>
      <c r="X1211" s="935"/>
      <c r="Y1211" s="934"/>
      <c r="Z1211" s="933"/>
      <c r="AA1211" s="908" t="s">
        <v>1458</v>
      </c>
      <c r="AB1211" s="843" t="s">
        <v>263</v>
      </c>
      <c r="AC1211" s="936"/>
      <c r="AD1211" s="844" t="s">
        <v>113</v>
      </c>
      <c r="AE1211" s="937">
        <f t="shared" si="29"/>
        <v>8</v>
      </c>
    </row>
    <row r="1212" spans="1:31" ht="105" hidden="1" x14ac:dyDescent="0.25">
      <c r="A1212" s="921" t="s">
        <v>6297</v>
      </c>
      <c r="B1212" s="922" t="s">
        <v>1793</v>
      </c>
      <c r="C1212" s="922" t="s">
        <v>4977</v>
      </c>
      <c r="D1212" s="670" t="s">
        <v>6682</v>
      </c>
      <c r="E1212" s="925" t="s">
        <v>2235</v>
      </c>
      <c r="F1212" s="927" t="s">
        <v>1587</v>
      </c>
      <c r="G1212" s="929" t="s">
        <v>2256</v>
      </c>
      <c r="H1212" s="931">
        <v>1</v>
      </c>
      <c r="I1212" s="922">
        <v>45000000000</v>
      </c>
      <c r="J1212" s="929" t="s">
        <v>1454</v>
      </c>
      <c r="K1212" s="956" t="s">
        <v>6395</v>
      </c>
      <c r="L1212" s="956">
        <v>548658</v>
      </c>
      <c r="M1212" s="997"/>
      <c r="N1212" s="1013">
        <v>548658</v>
      </c>
      <c r="O1212" s="1014">
        <v>42948</v>
      </c>
      <c r="P1212" s="1014">
        <v>43009</v>
      </c>
      <c r="Q1212" s="930" t="s">
        <v>108</v>
      </c>
      <c r="R1212" s="634" t="s">
        <v>112</v>
      </c>
      <c r="S1212" s="930" t="s">
        <v>1457</v>
      </c>
      <c r="T1212" s="996"/>
      <c r="U1212" s="930"/>
      <c r="V1212" s="930"/>
      <c r="W1212" s="934"/>
      <c r="X1212" s="935"/>
      <c r="Y1212" s="934"/>
      <c r="Z1212" s="933"/>
      <c r="AA1212" s="908" t="s">
        <v>1458</v>
      </c>
      <c r="AB1212" s="843" t="s">
        <v>263</v>
      </c>
      <c r="AC1212" s="936"/>
      <c r="AD1212" s="844" t="s">
        <v>113</v>
      </c>
      <c r="AE1212" s="937">
        <f t="shared" si="29"/>
        <v>8</v>
      </c>
    </row>
    <row r="1213" spans="1:31" ht="105" hidden="1" x14ac:dyDescent="0.25">
      <c r="A1213" s="921" t="s">
        <v>6298</v>
      </c>
      <c r="B1213" s="922" t="s">
        <v>1831</v>
      </c>
      <c r="C1213" s="922" t="s">
        <v>6186</v>
      </c>
      <c r="D1213" s="670" t="s">
        <v>6681</v>
      </c>
      <c r="E1213" s="925" t="s">
        <v>2235</v>
      </c>
      <c r="F1213" s="927" t="s">
        <v>1528</v>
      </c>
      <c r="G1213" s="929" t="s">
        <v>2156</v>
      </c>
      <c r="H1213" s="931">
        <v>1</v>
      </c>
      <c r="I1213" s="922">
        <v>45000000000</v>
      </c>
      <c r="J1213" s="929" t="s">
        <v>1454</v>
      </c>
      <c r="K1213" s="956" t="s">
        <v>4995</v>
      </c>
      <c r="L1213" s="956">
        <v>11555030.470000001</v>
      </c>
      <c r="M1213" s="997"/>
      <c r="N1213" s="1013">
        <v>11555030.470000001</v>
      </c>
      <c r="O1213" s="1014">
        <v>42948</v>
      </c>
      <c r="P1213" s="1014">
        <v>43009</v>
      </c>
      <c r="Q1213" s="930" t="s">
        <v>100</v>
      </c>
      <c r="R1213" s="634" t="s">
        <v>112</v>
      </c>
      <c r="S1213" s="930" t="s">
        <v>1457</v>
      </c>
      <c r="T1213" s="996"/>
      <c r="U1213" s="930"/>
      <c r="V1213" s="930"/>
      <c r="W1213" s="934"/>
      <c r="X1213" s="935"/>
      <c r="Y1213" s="934"/>
      <c r="Z1213" s="933"/>
      <c r="AA1213" s="908" t="s">
        <v>1458</v>
      </c>
      <c r="AB1213" s="843" t="s">
        <v>263</v>
      </c>
      <c r="AC1213" s="936"/>
      <c r="AD1213" s="844" t="s">
        <v>113</v>
      </c>
      <c r="AE1213" s="937">
        <f t="shared" si="29"/>
        <v>8</v>
      </c>
    </row>
    <row r="1214" spans="1:31" ht="105" hidden="1" x14ac:dyDescent="0.25">
      <c r="A1214" s="921" t="s">
        <v>6299</v>
      </c>
      <c r="B1214" s="922" t="s">
        <v>2086</v>
      </c>
      <c r="C1214" s="922" t="s">
        <v>2086</v>
      </c>
      <c r="D1214" s="670" t="s">
        <v>6611</v>
      </c>
      <c r="E1214" s="977" t="s">
        <v>6187</v>
      </c>
      <c r="F1214" s="926" t="s">
        <v>1528</v>
      </c>
      <c r="G1214" s="929" t="str">
        <f>IFERROR(VLOOKUP(F1214,'[12]код океи'!$B$2:$C$448,2,1)," ")</f>
        <v>Штука</v>
      </c>
      <c r="H1214" s="931">
        <v>2</v>
      </c>
      <c r="I1214" s="922">
        <v>45000000000</v>
      </c>
      <c r="J1214" s="929" t="s">
        <v>1454</v>
      </c>
      <c r="K1214" s="950" t="s">
        <v>6396</v>
      </c>
      <c r="L1214" s="950">
        <v>310000</v>
      </c>
      <c r="M1214" s="997"/>
      <c r="N1214" s="862">
        <v>310000</v>
      </c>
      <c r="O1214" s="851">
        <v>42979</v>
      </c>
      <c r="P1214" s="851">
        <v>43374</v>
      </c>
      <c r="Q1214" s="930" t="s">
        <v>108</v>
      </c>
      <c r="R1214" s="634" t="s">
        <v>112</v>
      </c>
      <c r="S1214" s="930" t="s">
        <v>1457</v>
      </c>
      <c r="T1214" s="847"/>
      <c r="U1214" s="930"/>
      <c r="V1214" s="930"/>
      <c r="W1214" s="934"/>
      <c r="X1214" s="935"/>
      <c r="Y1214" s="934"/>
      <c r="Z1214" s="933"/>
      <c r="AA1214" s="908" t="s">
        <v>1458</v>
      </c>
      <c r="AB1214" s="843" t="s">
        <v>263</v>
      </c>
      <c r="AC1214" s="936"/>
      <c r="AD1214" s="844" t="s">
        <v>113</v>
      </c>
      <c r="AE1214" s="937">
        <f t="shared" si="29"/>
        <v>9</v>
      </c>
    </row>
    <row r="1215" spans="1:31" ht="105" hidden="1" x14ac:dyDescent="0.25">
      <c r="A1215" s="921" t="s">
        <v>6300</v>
      </c>
      <c r="B1215" s="922" t="s">
        <v>2433</v>
      </c>
      <c r="C1215" s="922" t="s">
        <v>1548</v>
      </c>
      <c r="D1215" s="670" t="s">
        <v>6680</v>
      </c>
      <c r="E1215" s="925" t="s">
        <v>2235</v>
      </c>
      <c r="F1215" s="926" t="s">
        <v>1587</v>
      </c>
      <c r="G1215" s="929" t="str">
        <f>IFERROR(VLOOKUP(F1215,'[12]код океи'!$B$2:$C$448,2,1)," ")</f>
        <v>Комплект</v>
      </c>
      <c r="H1215" s="931">
        <v>1</v>
      </c>
      <c r="I1215" s="922">
        <v>45000000000</v>
      </c>
      <c r="J1215" s="929" t="s">
        <v>1454</v>
      </c>
      <c r="K1215" s="950" t="s">
        <v>6397</v>
      </c>
      <c r="L1215" s="950">
        <v>498000</v>
      </c>
      <c r="M1215" s="997"/>
      <c r="N1215" s="862">
        <v>498000</v>
      </c>
      <c r="O1215" s="1014">
        <v>42948</v>
      </c>
      <c r="P1215" s="851">
        <v>42982</v>
      </c>
      <c r="Q1215" s="930" t="s">
        <v>110</v>
      </c>
      <c r="R1215" s="634" t="s">
        <v>113</v>
      </c>
      <c r="S1215" s="634" t="s">
        <v>1455</v>
      </c>
      <c r="T1215" s="847"/>
      <c r="U1215" s="930"/>
      <c r="V1215" s="930"/>
      <c r="W1215" s="934" t="s">
        <v>92</v>
      </c>
      <c r="X1215" s="638" t="s">
        <v>6417</v>
      </c>
      <c r="Y1215" s="637" t="s">
        <v>6418</v>
      </c>
      <c r="Z1215" s="933">
        <v>498000</v>
      </c>
      <c r="AA1215" s="908" t="s">
        <v>1458</v>
      </c>
      <c r="AB1215" s="843" t="s">
        <v>263</v>
      </c>
      <c r="AC1215" s="936"/>
      <c r="AD1215" s="844" t="s">
        <v>113</v>
      </c>
      <c r="AE1215" s="937">
        <f t="shared" si="29"/>
        <v>8</v>
      </c>
    </row>
    <row r="1216" spans="1:31" ht="105" hidden="1" x14ac:dyDescent="0.25">
      <c r="A1216" s="921" t="s">
        <v>6301</v>
      </c>
      <c r="B1216" s="922" t="s">
        <v>2433</v>
      </c>
      <c r="C1216" s="922" t="s">
        <v>1548</v>
      </c>
      <c r="D1216" s="670" t="s">
        <v>6679</v>
      </c>
      <c r="E1216" s="925" t="s">
        <v>2235</v>
      </c>
      <c r="F1216" s="926" t="s">
        <v>1528</v>
      </c>
      <c r="G1216" s="929" t="str">
        <f>IFERROR(VLOOKUP(F1216,'[12]код океи'!$B$2:$C$448,2,1)," ")</f>
        <v>Штука</v>
      </c>
      <c r="H1216" s="931">
        <v>10</v>
      </c>
      <c r="I1216" s="922">
        <v>45000000000</v>
      </c>
      <c r="J1216" s="929" t="s">
        <v>1454</v>
      </c>
      <c r="K1216" s="950" t="s">
        <v>6778</v>
      </c>
      <c r="L1216" s="957">
        <v>427000</v>
      </c>
      <c r="M1216" s="998"/>
      <c r="N1216" s="859">
        <v>427000</v>
      </c>
      <c r="O1216" s="1014">
        <v>42948</v>
      </c>
      <c r="P1216" s="851">
        <v>42980</v>
      </c>
      <c r="Q1216" s="930" t="s">
        <v>108</v>
      </c>
      <c r="R1216" s="634" t="s">
        <v>112</v>
      </c>
      <c r="S1216" s="930" t="s">
        <v>1457</v>
      </c>
      <c r="T1216" s="847"/>
      <c r="U1216" s="930"/>
      <c r="V1216" s="930"/>
      <c r="W1216" s="934"/>
      <c r="X1216" s="935"/>
      <c r="Y1216" s="934"/>
      <c r="Z1216" s="933"/>
      <c r="AA1216" s="908" t="s">
        <v>1458</v>
      </c>
      <c r="AB1216" s="843" t="s">
        <v>263</v>
      </c>
      <c r="AC1216" s="936"/>
      <c r="AD1216" s="844" t="s">
        <v>113</v>
      </c>
      <c r="AE1216" s="937">
        <f t="shared" si="29"/>
        <v>8</v>
      </c>
    </row>
    <row r="1217" spans="1:31" ht="114.75" hidden="1" x14ac:dyDescent="0.25">
      <c r="A1217" s="921" t="s">
        <v>6302</v>
      </c>
      <c r="B1217" s="922" t="s">
        <v>1576</v>
      </c>
      <c r="C1217" s="922" t="s">
        <v>4864</v>
      </c>
      <c r="D1217" s="670" t="s">
        <v>6678</v>
      </c>
      <c r="E1217" s="925" t="s">
        <v>3139</v>
      </c>
      <c r="F1217" s="926" t="s">
        <v>1528</v>
      </c>
      <c r="G1217" s="929" t="str">
        <f>IFERROR(VLOOKUP(F1217,'[12]код океи'!$B$2:$C$448,2,1)," ")</f>
        <v>Штука</v>
      </c>
      <c r="H1217" s="931">
        <v>605</v>
      </c>
      <c r="I1217" s="922">
        <v>45000000000</v>
      </c>
      <c r="J1217" s="929" t="s">
        <v>1454</v>
      </c>
      <c r="K1217" s="950" t="s">
        <v>6398</v>
      </c>
      <c r="L1217" s="950">
        <v>8667000</v>
      </c>
      <c r="M1217" s="997"/>
      <c r="N1217" s="862">
        <v>8667000</v>
      </c>
      <c r="O1217" s="1014">
        <v>42948</v>
      </c>
      <c r="P1217" s="851">
        <v>42948</v>
      </c>
      <c r="Q1217" s="930" t="s">
        <v>110</v>
      </c>
      <c r="R1217" s="634" t="s">
        <v>113</v>
      </c>
      <c r="S1217" s="634" t="s">
        <v>1455</v>
      </c>
      <c r="T1217" s="847"/>
      <c r="U1217" s="930"/>
      <c r="V1217" s="930"/>
      <c r="W1217" s="934" t="s">
        <v>73</v>
      </c>
      <c r="X1217" s="935" t="s">
        <v>6412</v>
      </c>
      <c r="Y1217" s="934" t="s">
        <v>6413</v>
      </c>
      <c r="Z1217" s="933">
        <v>8667000</v>
      </c>
      <c r="AA1217" s="908" t="s">
        <v>1458</v>
      </c>
      <c r="AB1217" s="843" t="s">
        <v>263</v>
      </c>
      <c r="AC1217" s="936"/>
      <c r="AD1217" s="844" t="s">
        <v>113</v>
      </c>
      <c r="AE1217" s="937">
        <f t="shared" si="29"/>
        <v>8</v>
      </c>
    </row>
    <row r="1218" spans="1:31" ht="105" hidden="1" x14ac:dyDescent="0.25">
      <c r="A1218" s="921" t="s">
        <v>6303</v>
      </c>
      <c r="B1218" s="922" t="s">
        <v>1576</v>
      </c>
      <c r="C1218" s="922" t="s">
        <v>4864</v>
      </c>
      <c r="D1218" s="670" t="s">
        <v>6677</v>
      </c>
      <c r="E1218" s="925" t="s">
        <v>3139</v>
      </c>
      <c r="F1218" s="926" t="s">
        <v>1528</v>
      </c>
      <c r="G1218" s="929" t="str">
        <f>IFERROR(VLOOKUP(F1218,'[12]код океи'!$B$2:$C$448,2,1)," ")</f>
        <v>Штука</v>
      </c>
      <c r="H1218" s="931">
        <v>300</v>
      </c>
      <c r="I1218" s="922">
        <v>45000000000</v>
      </c>
      <c r="J1218" s="929" t="s">
        <v>1454</v>
      </c>
      <c r="K1218" s="950" t="s">
        <v>6399</v>
      </c>
      <c r="L1218" s="950">
        <v>4497000</v>
      </c>
      <c r="M1218" s="997"/>
      <c r="N1218" s="862">
        <v>4497000</v>
      </c>
      <c r="O1218" s="1014">
        <v>42948</v>
      </c>
      <c r="P1218" s="851">
        <v>42948</v>
      </c>
      <c r="Q1218" s="930" t="s">
        <v>110</v>
      </c>
      <c r="R1218" s="634" t="s">
        <v>113</v>
      </c>
      <c r="S1218" s="634" t="s">
        <v>1455</v>
      </c>
      <c r="T1218" s="847"/>
      <c r="U1218" s="930"/>
      <c r="V1218" s="930"/>
      <c r="W1218" s="934"/>
      <c r="X1218" s="935"/>
      <c r="Y1218" s="934"/>
      <c r="Z1218" s="933"/>
      <c r="AA1218" s="908" t="s">
        <v>1458</v>
      </c>
      <c r="AB1218" s="843" t="s">
        <v>263</v>
      </c>
      <c r="AC1218" s="936"/>
      <c r="AD1218" s="844" t="s">
        <v>113</v>
      </c>
      <c r="AE1218" s="937">
        <f t="shared" si="29"/>
        <v>8</v>
      </c>
    </row>
    <row r="1219" spans="1:31" ht="105" hidden="1" x14ac:dyDescent="0.25">
      <c r="A1219" s="921" t="s">
        <v>6304</v>
      </c>
      <c r="B1219" s="922" t="s">
        <v>5037</v>
      </c>
      <c r="C1219" s="922" t="s">
        <v>5037</v>
      </c>
      <c r="D1219" s="924" t="s">
        <v>6319</v>
      </c>
      <c r="E1219" s="925" t="s">
        <v>6188</v>
      </c>
      <c r="F1219" s="926" t="s">
        <v>1528</v>
      </c>
      <c r="G1219" s="929" t="str">
        <f>IFERROR(VLOOKUP(F1219,'[12]код океи'!$B$2:$C$448,2,1)," ")</f>
        <v>Штука</v>
      </c>
      <c r="H1219" s="931">
        <v>1</v>
      </c>
      <c r="I1219" s="922">
        <v>45000000000</v>
      </c>
      <c r="J1219" s="929" t="s">
        <v>1454</v>
      </c>
      <c r="K1219" s="950" t="s">
        <v>6400</v>
      </c>
      <c r="L1219" s="950">
        <v>2775684.04</v>
      </c>
      <c r="M1219" s="997"/>
      <c r="N1219" s="862">
        <v>2775684.04</v>
      </c>
      <c r="O1219" s="1014">
        <v>42948</v>
      </c>
      <c r="P1219" s="1014">
        <v>42948</v>
      </c>
      <c r="Q1219" s="930" t="s">
        <v>110</v>
      </c>
      <c r="R1219" s="634" t="s">
        <v>113</v>
      </c>
      <c r="S1219" s="634" t="s">
        <v>1455</v>
      </c>
      <c r="T1219" s="847"/>
      <c r="U1219" s="930"/>
      <c r="V1219" s="930"/>
      <c r="W1219" s="934" t="s">
        <v>96</v>
      </c>
      <c r="X1219" s="638" t="s">
        <v>2353</v>
      </c>
      <c r="Y1219" s="637" t="s">
        <v>2354</v>
      </c>
      <c r="Z1219" s="933">
        <v>2775684.04</v>
      </c>
      <c r="AA1219" s="908" t="s">
        <v>1458</v>
      </c>
      <c r="AB1219" s="843" t="s">
        <v>263</v>
      </c>
      <c r="AC1219" s="936"/>
      <c r="AD1219" s="844" t="s">
        <v>113</v>
      </c>
      <c r="AE1219" s="937">
        <f t="shared" si="29"/>
        <v>8</v>
      </c>
    </row>
    <row r="1220" spans="1:31" ht="153" hidden="1" x14ac:dyDescent="0.25">
      <c r="A1220" s="921" t="s">
        <v>6305</v>
      </c>
      <c r="B1220" s="922" t="s">
        <v>1580</v>
      </c>
      <c r="C1220" s="922" t="s">
        <v>1581</v>
      </c>
      <c r="D1220" s="924" t="s">
        <v>6320</v>
      </c>
      <c r="E1220" s="925" t="s">
        <v>5516</v>
      </c>
      <c r="F1220" s="926" t="s">
        <v>1528</v>
      </c>
      <c r="G1220" s="929" t="s">
        <v>2156</v>
      </c>
      <c r="H1220" s="931">
        <v>1</v>
      </c>
      <c r="I1220" s="922" t="s">
        <v>2161</v>
      </c>
      <c r="J1220" s="929" t="s">
        <v>1454</v>
      </c>
      <c r="K1220" s="957" t="s">
        <v>5707</v>
      </c>
      <c r="L1220" s="957">
        <v>33000000</v>
      </c>
      <c r="M1220" s="997"/>
      <c r="N1220" s="859">
        <v>33000000</v>
      </c>
      <c r="O1220" s="1014">
        <v>42948</v>
      </c>
      <c r="P1220" s="851">
        <v>43100.5</v>
      </c>
      <c r="Q1220" s="930" t="s">
        <v>100</v>
      </c>
      <c r="R1220" s="634" t="s">
        <v>112</v>
      </c>
      <c r="S1220" s="930" t="s">
        <v>1457</v>
      </c>
      <c r="T1220" s="847"/>
      <c r="U1220" s="930"/>
      <c r="V1220" s="930"/>
      <c r="W1220" s="934"/>
      <c r="X1220" s="935"/>
      <c r="Y1220" s="934"/>
      <c r="Z1220" s="933"/>
      <c r="AA1220" s="908" t="s">
        <v>1458</v>
      </c>
      <c r="AB1220" s="843" t="s">
        <v>263</v>
      </c>
      <c r="AC1220" s="936"/>
      <c r="AD1220" s="844" t="s">
        <v>113</v>
      </c>
      <c r="AE1220" s="937">
        <f t="shared" si="29"/>
        <v>8</v>
      </c>
    </row>
    <row r="1221" spans="1:31" ht="293.25" hidden="1" x14ac:dyDescent="0.25">
      <c r="A1221" s="976" t="s">
        <v>6306</v>
      </c>
      <c r="B1221" s="938" t="s">
        <v>1580</v>
      </c>
      <c r="C1221" s="938" t="s">
        <v>1581</v>
      </c>
      <c r="D1221" s="939" t="s">
        <v>6321</v>
      </c>
      <c r="E1221" s="940" t="s">
        <v>2223</v>
      </c>
      <c r="F1221" s="941" t="s">
        <v>1528</v>
      </c>
      <c r="G1221" s="942" t="s">
        <v>2156</v>
      </c>
      <c r="H1221" s="943">
        <v>1</v>
      </c>
      <c r="I1221" s="938" t="s">
        <v>2161</v>
      </c>
      <c r="J1221" s="942" t="s">
        <v>1454</v>
      </c>
      <c r="K1221" s="957" t="s">
        <v>5708</v>
      </c>
      <c r="L1221" s="957">
        <v>40500000</v>
      </c>
      <c r="M1221" s="999"/>
      <c r="N1221" s="859">
        <v>40500000</v>
      </c>
      <c r="O1221" s="1014">
        <v>42948</v>
      </c>
      <c r="P1221" s="851">
        <v>43100.5</v>
      </c>
      <c r="Q1221" s="945" t="s">
        <v>100</v>
      </c>
      <c r="R1221" s="963" t="s">
        <v>112</v>
      </c>
      <c r="S1221" s="963" t="s">
        <v>1457</v>
      </c>
      <c r="T1221" s="847"/>
      <c r="U1221" s="945"/>
      <c r="V1221" s="945"/>
      <c r="W1221" s="946"/>
      <c r="X1221" s="947"/>
      <c r="Y1221" s="946"/>
      <c r="Z1221" s="944"/>
      <c r="AA1221" s="908" t="s">
        <v>1458</v>
      </c>
      <c r="AB1221" s="843" t="s">
        <v>263</v>
      </c>
      <c r="AC1221" s="948"/>
      <c r="AD1221" s="844" t="s">
        <v>113</v>
      </c>
      <c r="AE1221" s="949">
        <f t="shared" si="29"/>
        <v>8</v>
      </c>
    </row>
    <row r="1222" spans="1:31" s="969" customFormat="1" ht="105" hidden="1" x14ac:dyDescent="0.25">
      <c r="A1222" s="671" t="s">
        <v>6546</v>
      </c>
      <c r="B1222" s="971" t="s">
        <v>1576</v>
      </c>
      <c r="C1222" s="971" t="s">
        <v>4864</v>
      </c>
      <c r="D1222" s="856" t="s">
        <v>6676</v>
      </c>
      <c r="E1222" s="856" t="s">
        <v>3139</v>
      </c>
      <c r="F1222" s="971" t="s">
        <v>1528</v>
      </c>
      <c r="G1222" s="856" t="s">
        <v>2156</v>
      </c>
      <c r="H1222" s="972">
        <v>320</v>
      </c>
      <c r="I1222" s="971" t="s">
        <v>2161</v>
      </c>
      <c r="J1222" s="856" t="s">
        <v>1454</v>
      </c>
      <c r="K1222" s="973" t="s">
        <v>6515</v>
      </c>
      <c r="L1222" s="974">
        <v>312483.20000000001</v>
      </c>
      <c r="M1222" s="997" t="s">
        <v>997</v>
      </c>
      <c r="N1222" s="974">
        <v>312483.20000000001</v>
      </c>
      <c r="O1222" s="975">
        <v>42948.5</v>
      </c>
      <c r="P1222" s="975">
        <v>42948.5</v>
      </c>
      <c r="Q1222" s="930" t="s">
        <v>110</v>
      </c>
      <c r="R1222" s="634" t="s">
        <v>113</v>
      </c>
      <c r="S1222" s="634" t="s">
        <v>1455</v>
      </c>
      <c r="T1222" s="847"/>
      <c r="U1222" s="930"/>
      <c r="V1222" s="930"/>
      <c r="W1222" s="930" t="s">
        <v>73</v>
      </c>
      <c r="X1222" s="635" t="s">
        <v>6852</v>
      </c>
      <c r="Y1222" s="634" t="s">
        <v>6853</v>
      </c>
      <c r="Z1222" s="932">
        <v>312483.20000000001</v>
      </c>
      <c r="AA1222" s="908" t="s">
        <v>1458</v>
      </c>
      <c r="AB1222" s="843" t="s">
        <v>263</v>
      </c>
      <c r="AC1222" s="936"/>
      <c r="AD1222" s="844" t="s">
        <v>113</v>
      </c>
      <c r="AE1222" s="937">
        <f t="shared" ref="AE1222:AE1234" si="30">IF(O1222=0,,MONTH(O1222))</f>
        <v>8</v>
      </c>
    </row>
    <row r="1223" spans="1:31" s="969" customFormat="1" ht="105" hidden="1" x14ac:dyDescent="0.25">
      <c r="A1223" s="671" t="s">
        <v>6547</v>
      </c>
      <c r="B1223" s="971" t="s">
        <v>1851</v>
      </c>
      <c r="C1223" s="971" t="s">
        <v>2416</v>
      </c>
      <c r="D1223" s="856" t="s">
        <v>6675</v>
      </c>
      <c r="E1223" s="856" t="s">
        <v>3155</v>
      </c>
      <c r="F1223" s="971" t="s">
        <v>1528</v>
      </c>
      <c r="G1223" s="856" t="s">
        <v>2156</v>
      </c>
      <c r="H1223" s="972">
        <v>1</v>
      </c>
      <c r="I1223" s="971" t="s">
        <v>2161</v>
      </c>
      <c r="J1223" s="856" t="s">
        <v>1454</v>
      </c>
      <c r="K1223" s="973" t="s">
        <v>2978</v>
      </c>
      <c r="L1223" s="974">
        <v>177000</v>
      </c>
      <c r="M1223" s="997" t="s">
        <v>999</v>
      </c>
      <c r="N1223" s="974">
        <v>177000</v>
      </c>
      <c r="O1223" s="975">
        <v>42979.5</v>
      </c>
      <c r="P1223" s="975">
        <v>42979.5</v>
      </c>
      <c r="Q1223" s="930" t="s">
        <v>110</v>
      </c>
      <c r="R1223" s="634" t="s">
        <v>113</v>
      </c>
      <c r="S1223" s="634" t="s">
        <v>1455</v>
      </c>
      <c r="T1223" s="847"/>
      <c r="U1223" s="930"/>
      <c r="V1223" s="930"/>
      <c r="W1223" s="930" t="s">
        <v>268</v>
      </c>
      <c r="X1223" s="970" t="s">
        <v>6823</v>
      </c>
      <c r="Y1223" s="930" t="s">
        <v>6824</v>
      </c>
      <c r="Z1223" s="932">
        <v>177000</v>
      </c>
      <c r="AA1223" s="908" t="s">
        <v>1458</v>
      </c>
      <c r="AB1223" s="843" t="s">
        <v>263</v>
      </c>
      <c r="AC1223" s="936"/>
      <c r="AD1223" s="844" t="s">
        <v>113</v>
      </c>
      <c r="AE1223" s="937">
        <f t="shared" si="30"/>
        <v>9</v>
      </c>
    </row>
    <row r="1224" spans="1:31" s="969" customFormat="1" ht="105" hidden="1" x14ac:dyDescent="0.25">
      <c r="A1224" s="671" t="s">
        <v>6548</v>
      </c>
      <c r="B1224" s="971" t="s">
        <v>1851</v>
      </c>
      <c r="C1224" s="971" t="s">
        <v>2037</v>
      </c>
      <c r="D1224" s="856" t="s">
        <v>6674</v>
      </c>
      <c r="E1224" s="856" t="s">
        <v>3155</v>
      </c>
      <c r="F1224" s="971" t="s">
        <v>1528</v>
      </c>
      <c r="G1224" s="856" t="s">
        <v>2156</v>
      </c>
      <c r="H1224" s="972">
        <v>1</v>
      </c>
      <c r="I1224" s="971" t="s">
        <v>2161</v>
      </c>
      <c r="J1224" s="856" t="s">
        <v>1454</v>
      </c>
      <c r="K1224" s="973" t="s">
        <v>6516</v>
      </c>
      <c r="L1224" s="974">
        <v>265500</v>
      </c>
      <c r="M1224" s="997" t="s">
        <v>997</v>
      </c>
      <c r="N1224" s="974">
        <v>265500</v>
      </c>
      <c r="O1224" s="975">
        <v>42979.5</v>
      </c>
      <c r="P1224" s="975">
        <v>42979.5</v>
      </c>
      <c r="Q1224" s="930" t="s">
        <v>110</v>
      </c>
      <c r="R1224" s="634" t="s">
        <v>113</v>
      </c>
      <c r="S1224" s="634" t="s">
        <v>1455</v>
      </c>
      <c r="T1224" s="847"/>
      <c r="U1224" s="930"/>
      <c r="V1224" s="930" t="s">
        <v>45</v>
      </c>
      <c r="W1224" s="930" t="s">
        <v>268</v>
      </c>
      <c r="X1224" s="970" t="s">
        <v>2369</v>
      </c>
      <c r="Y1224" s="930" t="s">
        <v>2370</v>
      </c>
      <c r="Z1224" s="932">
        <v>265500</v>
      </c>
      <c r="AA1224" s="908" t="s">
        <v>1458</v>
      </c>
      <c r="AB1224" s="843" t="s">
        <v>263</v>
      </c>
      <c r="AC1224" s="936"/>
      <c r="AD1224" s="844" t="s">
        <v>113</v>
      </c>
      <c r="AE1224" s="937">
        <f t="shared" si="30"/>
        <v>9</v>
      </c>
    </row>
    <row r="1225" spans="1:31" s="969" customFormat="1" ht="105" hidden="1" x14ac:dyDescent="0.25">
      <c r="A1225" s="671" t="s">
        <v>6549</v>
      </c>
      <c r="B1225" s="971" t="s">
        <v>1851</v>
      </c>
      <c r="C1225" s="971" t="s">
        <v>2037</v>
      </c>
      <c r="D1225" s="856" t="s">
        <v>6673</v>
      </c>
      <c r="E1225" s="856" t="s">
        <v>3155</v>
      </c>
      <c r="F1225" s="971" t="s">
        <v>1528</v>
      </c>
      <c r="G1225" s="856" t="s">
        <v>2156</v>
      </c>
      <c r="H1225" s="972">
        <v>8</v>
      </c>
      <c r="I1225" s="971" t="s">
        <v>2161</v>
      </c>
      <c r="J1225" s="856" t="s">
        <v>1454</v>
      </c>
      <c r="K1225" s="973" t="s">
        <v>8066</v>
      </c>
      <c r="L1225" s="974">
        <v>2056266.64</v>
      </c>
      <c r="M1225" s="997"/>
      <c r="N1225" s="974">
        <v>2056266.64</v>
      </c>
      <c r="O1225" s="1015">
        <v>43070.625</v>
      </c>
      <c r="P1225" s="1015">
        <v>43101.625</v>
      </c>
      <c r="Q1225" s="930" t="s">
        <v>108</v>
      </c>
      <c r="R1225" s="634" t="s">
        <v>112</v>
      </c>
      <c r="S1225" s="930" t="s">
        <v>1457</v>
      </c>
      <c r="T1225" s="847"/>
      <c r="U1225" s="930"/>
      <c r="V1225" s="930"/>
      <c r="W1225" s="930"/>
      <c r="X1225" s="970"/>
      <c r="Y1225" s="930"/>
      <c r="Z1225" s="932"/>
      <c r="AA1225" s="908" t="s">
        <v>1458</v>
      </c>
      <c r="AB1225" s="843" t="s">
        <v>263</v>
      </c>
      <c r="AC1225" s="936"/>
      <c r="AD1225" s="844" t="s">
        <v>113</v>
      </c>
      <c r="AE1225" s="937">
        <f t="shared" si="30"/>
        <v>12</v>
      </c>
    </row>
    <row r="1226" spans="1:31" s="969" customFormat="1" ht="105" hidden="1" x14ac:dyDescent="0.25">
      <c r="A1226" s="671" t="s">
        <v>6550</v>
      </c>
      <c r="B1226" s="971" t="s">
        <v>1941</v>
      </c>
      <c r="C1226" s="971" t="s">
        <v>1576</v>
      </c>
      <c r="D1226" s="856" t="s">
        <v>6672</v>
      </c>
      <c r="E1226" s="856" t="s">
        <v>3158</v>
      </c>
      <c r="F1226" s="971" t="s">
        <v>1528</v>
      </c>
      <c r="G1226" s="856" t="s">
        <v>2156</v>
      </c>
      <c r="H1226" s="972">
        <v>376</v>
      </c>
      <c r="I1226" s="971" t="s">
        <v>2161</v>
      </c>
      <c r="J1226" s="856" t="s">
        <v>1454</v>
      </c>
      <c r="K1226" s="973" t="s">
        <v>6517</v>
      </c>
      <c r="L1226" s="974">
        <v>558320</v>
      </c>
      <c r="M1226" s="997"/>
      <c r="N1226" s="974">
        <v>558320</v>
      </c>
      <c r="O1226" s="975">
        <v>42948.5</v>
      </c>
      <c r="P1226" s="975">
        <v>42986.5</v>
      </c>
      <c r="Q1226" s="930" t="s">
        <v>110</v>
      </c>
      <c r="R1226" s="634" t="s">
        <v>113</v>
      </c>
      <c r="S1226" s="634" t="s">
        <v>1455</v>
      </c>
      <c r="T1226" s="847"/>
      <c r="U1226" s="930"/>
      <c r="V1226" s="930" t="s">
        <v>45</v>
      </c>
      <c r="W1226" s="930" t="s">
        <v>73</v>
      </c>
      <c r="X1226" s="635" t="s">
        <v>3304</v>
      </c>
      <c r="Y1226" s="930"/>
      <c r="Z1226" s="932"/>
      <c r="AA1226" s="908" t="s">
        <v>1458</v>
      </c>
      <c r="AB1226" s="843" t="s">
        <v>263</v>
      </c>
      <c r="AC1226" s="936"/>
      <c r="AD1226" s="844" t="s">
        <v>113</v>
      </c>
      <c r="AE1226" s="937">
        <f t="shared" si="30"/>
        <v>8</v>
      </c>
    </row>
    <row r="1227" spans="1:31" s="969" customFormat="1" ht="105" hidden="1" x14ac:dyDescent="0.25">
      <c r="A1227" s="671" t="s">
        <v>6551</v>
      </c>
      <c r="B1227" s="971" t="s">
        <v>6490</v>
      </c>
      <c r="C1227" s="971" t="s">
        <v>1733</v>
      </c>
      <c r="D1227" s="856" t="s">
        <v>6671</v>
      </c>
      <c r="E1227" s="856" t="s">
        <v>6491</v>
      </c>
      <c r="F1227" s="971" t="s">
        <v>1528</v>
      </c>
      <c r="G1227" s="856" t="s">
        <v>2156</v>
      </c>
      <c r="H1227" s="972">
        <v>15</v>
      </c>
      <c r="I1227" s="971" t="s">
        <v>2161</v>
      </c>
      <c r="J1227" s="856" t="s">
        <v>1454</v>
      </c>
      <c r="K1227" s="973" t="s">
        <v>6518</v>
      </c>
      <c r="L1227" s="974">
        <v>252589.62</v>
      </c>
      <c r="M1227" s="997"/>
      <c r="N1227" s="974">
        <v>252589.62</v>
      </c>
      <c r="O1227" s="975">
        <v>42948.5</v>
      </c>
      <c r="P1227" s="975">
        <v>43100.5</v>
      </c>
      <c r="Q1227" s="930" t="s">
        <v>110</v>
      </c>
      <c r="R1227" s="634" t="s">
        <v>113</v>
      </c>
      <c r="S1227" s="634" t="s">
        <v>1455</v>
      </c>
      <c r="T1227" s="847"/>
      <c r="U1227" s="930"/>
      <c r="V1227" s="930"/>
      <c r="W1227" s="930"/>
      <c r="X1227" s="970"/>
      <c r="Y1227" s="930"/>
      <c r="Z1227" s="932"/>
      <c r="AA1227" s="908" t="s">
        <v>1458</v>
      </c>
      <c r="AB1227" s="843" t="s">
        <v>263</v>
      </c>
      <c r="AC1227" s="936"/>
      <c r="AD1227" s="844" t="s">
        <v>113</v>
      </c>
      <c r="AE1227" s="937">
        <f t="shared" si="30"/>
        <v>8</v>
      </c>
    </row>
    <row r="1228" spans="1:31" s="969" customFormat="1" ht="105" hidden="1" x14ac:dyDescent="0.25">
      <c r="A1228" s="671" t="s">
        <v>6552</v>
      </c>
      <c r="B1228" s="971" t="s">
        <v>1672</v>
      </c>
      <c r="C1228" s="971" t="s">
        <v>1673</v>
      </c>
      <c r="D1228" s="856" t="s">
        <v>6670</v>
      </c>
      <c r="E1228" s="856" t="s">
        <v>6492</v>
      </c>
      <c r="F1228" s="971" t="s">
        <v>1587</v>
      </c>
      <c r="G1228" s="856" t="s">
        <v>2256</v>
      </c>
      <c r="H1228" s="972">
        <v>1</v>
      </c>
      <c r="I1228" s="971" t="s">
        <v>2161</v>
      </c>
      <c r="J1228" s="856" t="s">
        <v>1454</v>
      </c>
      <c r="K1228" s="973" t="s">
        <v>6519</v>
      </c>
      <c r="L1228" s="974">
        <v>1573514.22</v>
      </c>
      <c r="M1228" s="997"/>
      <c r="N1228" s="974">
        <v>1573514.22</v>
      </c>
      <c r="O1228" s="975">
        <v>42948.5</v>
      </c>
      <c r="P1228" s="975">
        <v>42979.5</v>
      </c>
      <c r="Q1228" s="930" t="s">
        <v>108</v>
      </c>
      <c r="R1228" s="634" t="s">
        <v>112</v>
      </c>
      <c r="S1228" s="930" t="s">
        <v>1457</v>
      </c>
      <c r="T1228" s="847"/>
      <c r="U1228" s="930"/>
      <c r="V1228" s="930"/>
      <c r="W1228" s="930"/>
      <c r="X1228" s="970"/>
      <c r="Y1228" s="930"/>
      <c r="Z1228" s="932"/>
      <c r="AA1228" s="908" t="s">
        <v>1458</v>
      </c>
      <c r="AB1228" s="843" t="s">
        <v>263</v>
      </c>
      <c r="AC1228" s="936"/>
      <c r="AD1228" s="844" t="s">
        <v>113</v>
      </c>
      <c r="AE1228" s="937">
        <f t="shared" si="30"/>
        <v>8</v>
      </c>
    </row>
    <row r="1229" spans="1:31" s="969" customFormat="1" ht="150" hidden="1" x14ac:dyDescent="0.25">
      <c r="A1229" s="671" t="s">
        <v>6553</v>
      </c>
      <c r="B1229" s="971" t="s">
        <v>1687</v>
      </c>
      <c r="C1229" s="971" t="s">
        <v>3132</v>
      </c>
      <c r="D1229" s="856" t="s">
        <v>6669</v>
      </c>
      <c r="E1229" s="856" t="s">
        <v>4944</v>
      </c>
      <c r="F1229" s="971" t="s">
        <v>1645</v>
      </c>
      <c r="G1229" s="856" t="s">
        <v>2259</v>
      </c>
      <c r="H1229" s="972">
        <v>130</v>
      </c>
      <c r="I1229" s="971" t="s">
        <v>2161</v>
      </c>
      <c r="J1229" s="856" t="s">
        <v>1454</v>
      </c>
      <c r="K1229" s="973" t="s">
        <v>6520</v>
      </c>
      <c r="L1229" s="974">
        <v>44562.78</v>
      </c>
      <c r="M1229" s="997"/>
      <c r="N1229" s="974">
        <v>44562.78</v>
      </c>
      <c r="O1229" s="975">
        <v>42948.5</v>
      </c>
      <c r="P1229" s="975">
        <v>42979.5</v>
      </c>
      <c r="Q1229" s="930" t="s">
        <v>108</v>
      </c>
      <c r="R1229" s="634" t="s">
        <v>112</v>
      </c>
      <c r="S1229" s="930" t="s">
        <v>1457</v>
      </c>
      <c r="T1229" s="847"/>
      <c r="U1229" s="930"/>
      <c r="V1229" s="930"/>
      <c r="W1229" s="930"/>
      <c r="X1229" s="970"/>
      <c r="Y1229" s="930"/>
      <c r="Z1229" s="932"/>
      <c r="AA1229" s="908" t="s">
        <v>1458</v>
      </c>
      <c r="AB1229" s="843" t="s">
        <v>263</v>
      </c>
      <c r="AC1229" s="936"/>
      <c r="AD1229" s="844" t="s">
        <v>113</v>
      </c>
      <c r="AE1229" s="937">
        <f t="shared" si="30"/>
        <v>8</v>
      </c>
    </row>
    <row r="1230" spans="1:31" s="969" customFormat="1" ht="105" hidden="1" x14ac:dyDescent="0.25">
      <c r="A1230" s="671" t="s">
        <v>6554</v>
      </c>
      <c r="B1230" s="971" t="s">
        <v>1672</v>
      </c>
      <c r="C1230" s="971" t="s">
        <v>1673</v>
      </c>
      <c r="D1230" s="856" t="s">
        <v>6668</v>
      </c>
      <c r="E1230" s="856" t="s">
        <v>6492</v>
      </c>
      <c r="F1230" s="971" t="s">
        <v>1587</v>
      </c>
      <c r="G1230" s="856" t="s">
        <v>2256</v>
      </c>
      <c r="H1230" s="972">
        <v>1</v>
      </c>
      <c r="I1230" s="971" t="s">
        <v>2161</v>
      </c>
      <c r="J1230" s="856" t="s">
        <v>1454</v>
      </c>
      <c r="K1230" s="973" t="s">
        <v>6521</v>
      </c>
      <c r="L1230" s="974">
        <v>210329.18</v>
      </c>
      <c r="M1230" s="997"/>
      <c r="N1230" s="974">
        <v>210329.18</v>
      </c>
      <c r="O1230" s="975">
        <v>42948.5</v>
      </c>
      <c r="P1230" s="975">
        <v>42979.5</v>
      </c>
      <c r="Q1230" s="930" t="s">
        <v>108</v>
      </c>
      <c r="R1230" s="634" t="s">
        <v>112</v>
      </c>
      <c r="S1230" s="930" t="s">
        <v>1457</v>
      </c>
      <c r="T1230" s="847"/>
      <c r="U1230" s="930"/>
      <c r="V1230" s="930"/>
      <c r="W1230" s="930"/>
      <c r="X1230" s="970"/>
      <c r="Y1230" s="930"/>
      <c r="Z1230" s="932"/>
      <c r="AA1230" s="908" t="s">
        <v>1458</v>
      </c>
      <c r="AB1230" s="843" t="s">
        <v>263</v>
      </c>
      <c r="AC1230" s="936"/>
      <c r="AD1230" s="844" t="s">
        <v>113</v>
      </c>
      <c r="AE1230" s="937">
        <f t="shared" si="30"/>
        <v>8</v>
      </c>
    </row>
    <row r="1231" spans="1:31" s="969" customFormat="1" ht="105" hidden="1" x14ac:dyDescent="0.25">
      <c r="A1231" s="671" t="s">
        <v>6555</v>
      </c>
      <c r="B1231" s="971" t="s">
        <v>1672</v>
      </c>
      <c r="C1231" s="971" t="s">
        <v>1673</v>
      </c>
      <c r="D1231" s="856" t="s">
        <v>6667</v>
      </c>
      <c r="E1231" s="856" t="s">
        <v>6492</v>
      </c>
      <c r="F1231" s="971" t="s">
        <v>1587</v>
      </c>
      <c r="G1231" s="856" t="s">
        <v>2256</v>
      </c>
      <c r="H1231" s="972">
        <v>1</v>
      </c>
      <c r="I1231" s="971" t="s">
        <v>2161</v>
      </c>
      <c r="J1231" s="856" t="s">
        <v>1454</v>
      </c>
      <c r="K1231" s="973" t="s">
        <v>6522</v>
      </c>
      <c r="L1231" s="974">
        <v>172082.91</v>
      </c>
      <c r="M1231" s="997"/>
      <c r="N1231" s="974">
        <v>172082.91</v>
      </c>
      <c r="O1231" s="975">
        <v>42948.5</v>
      </c>
      <c r="P1231" s="975">
        <v>42979.5</v>
      </c>
      <c r="Q1231" s="930" t="s">
        <v>108</v>
      </c>
      <c r="R1231" s="634" t="s">
        <v>112</v>
      </c>
      <c r="S1231" s="930" t="s">
        <v>1457</v>
      </c>
      <c r="T1231" s="847"/>
      <c r="U1231" s="930"/>
      <c r="V1231" s="930"/>
      <c r="W1231" s="930"/>
      <c r="X1231" s="970"/>
      <c r="Y1231" s="930"/>
      <c r="Z1231" s="932"/>
      <c r="AA1231" s="908" t="s">
        <v>1458</v>
      </c>
      <c r="AB1231" s="843" t="s">
        <v>263</v>
      </c>
      <c r="AC1231" s="936"/>
      <c r="AD1231" s="844" t="s">
        <v>113</v>
      </c>
      <c r="AE1231" s="937">
        <f t="shared" si="30"/>
        <v>8</v>
      </c>
    </row>
    <row r="1232" spans="1:31" s="969" customFormat="1" ht="105" hidden="1" x14ac:dyDescent="0.25">
      <c r="A1232" s="671" t="s">
        <v>6556</v>
      </c>
      <c r="B1232" s="971" t="s">
        <v>1537</v>
      </c>
      <c r="C1232" s="971" t="s">
        <v>6161</v>
      </c>
      <c r="D1232" s="856" t="s">
        <v>6666</v>
      </c>
      <c r="E1232" s="856" t="s">
        <v>6492</v>
      </c>
      <c r="F1232" s="971" t="s">
        <v>1528</v>
      </c>
      <c r="G1232" s="856" t="s">
        <v>2156</v>
      </c>
      <c r="H1232" s="972">
        <v>4960</v>
      </c>
      <c r="I1232" s="971" t="s">
        <v>2161</v>
      </c>
      <c r="J1232" s="856" t="s">
        <v>1454</v>
      </c>
      <c r="K1232" s="973" t="s">
        <v>6523</v>
      </c>
      <c r="L1232" s="974">
        <v>174635.99</v>
      </c>
      <c r="M1232" s="997"/>
      <c r="N1232" s="974">
        <v>174635.99</v>
      </c>
      <c r="O1232" s="975">
        <v>42948.5</v>
      </c>
      <c r="P1232" s="975">
        <v>42979.5</v>
      </c>
      <c r="Q1232" s="930" t="s">
        <v>108</v>
      </c>
      <c r="R1232" s="634" t="s">
        <v>112</v>
      </c>
      <c r="S1232" s="634" t="s">
        <v>1457</v>
      </c>
      <c r="T1232" s="847"/>
      <c r="U1232" s="930"/>
      <c r="V1232" s="930"/>
      <c r="W1232" s="930"/>
      <c r="X1232" s="970"/>
      <c r="Y1232" s="930"/>
      <c r="Z1232" s="932"/>
      <c r="AA1232" s="908" t="s">
        <v>1458</v>
      </c>
      <c r="AB1232" s="843" t="s">
        <v>263</v>
      </c>
      <c r="AC1232" s="936"/>
      <c r="AD1232" s="844" t="s">
        <v>113</v>
      </c>
      <c r="AE1232" s="937">
        <f t="shared" si="30"/>
        <v>8</v>
      </c>
    </row>
    <row r="1233" spans="1:31" s="969" customFormat="1" ht="105" hidden="1" x14ac:dyDescent="0.25">
      <c r="A1233" s="671" t="s">
        <v>6557</v>
      </c>
      <c r="B1233" s="971" t="s">
        <v>1654</v>
      </c>
      <c r="C1233" s="971" t="s">
        <v>6141</v>
      </c>
      <c r="D1233" s="856" t="s">
        <v>6665</v>
      </c>
      <c r="E1233" s="856" t="s">
        <v>6492</v>
      </c>
      <c r="F1233" s="971" t="s">
        <v>1587</v>
      </c>
      <c r="G1233" s="856" t="s">
        <v>2256</v>
      </c>
      <c r="H1233" s="972">
        <v>1</v>
      </c>
      <c r="I1233" s="971" t="s">
        <v>2161</v>
      </c>
      <c r="J1233" s="856" t="s">
        <v>1454</v>
      </c>
      <c r="K1233" s="973" t="s">
        <v>6524</v>
      </c>
      <c r="L1233" s="974">
        <v>99188.19</v>
      </c>
      <c r="M1233" s="997"/>
      <c r="N1233" s="974">
        <v>99188.19</v>
      </c>
      <c r="O1233" s="975">
        <v>42948.5</v>
      </c>
      <c r="P1233" s="975">
        <v>42979.5</v>
      </c>
      <c r="Q1233" s="930" t="s">
        <v>108</v>
      </c>
      <c r="R1233" s="634" t="s">
        <v>112</v>
      </c>
      <c r="S1233" s="930" t="s">
        <v>1457</v>
      </c>
      <c r="T1233" s="847"/>
      <c r="U1233" s="930"/>
      <c r="V1233" s="930"/>
      <c r="W1233" s="930"/>
      <c r="X1233" s="970"/>
      <c r="Y1233" s="930"/>
      <c r="Z1233" s="932"/>
      <c r="AA1233" s="908" t="s">
        <v>1458</v>
      </c>
      <c r="AB1233" s="843" t="s">
        <v>263</v>
      </c>
      <c r="AC1233" s="936"/>
      <c r="AD1233" s="844" t="s">
        <v>113</v>
      </c>
      <c r="AE1233" s="937">
        <f t="shared" si="30"/>
        <v>8</v>
      </c>
    </row>
    <row r="1234" spans="1:31" s="969" customFormat="1" ht="105" hidden="1" x14ac:dyDescent="0.25">
      <c r="A1234" s="671" t="s">
        <v>6558</v>
      </c>
      <c r="B1234" s="971" t="s">
        <v>1480</v>
      </c>
      <c r="C1234" s="971" t="s">
        <v>6493</v>
      </c>
      <c r="D1234" s="856" t="s">
        <v>6664</v>
      </c>
      <c r="E1234" s="856" t="s">
        <v>3142</v>
      </c>
      <c r="F1234" s="971" t="s">
        <v>1528</v>
      </c>
      <c r="G1234" s="856" t="s">
        <v>2156</v>
      </c>
      <c r="H1234" s="972">
        <v>1</v>
      </c>
      <c r="I1234" s="971" t="s">
        <v>2161</v>
      </c>
      <c r="J1234" s="856" t="s">
        <v>1454</v>
      </c>
      <c r="K1234" s="973" t="s">
        <v>6525</v>
      </c>
      <c r="L1234" s="974">
        <v>396035</v>
      </c>
      <c r="M1234" s="997"/>
      <c r="N1234" s="974">
        <v>396035</v>
      </c>
      <c r="O1234" s="975">
        <v>42948.5</v>
      </c>
      <c r="P1234" s="975">
        <v>42948.5</v>
      </c>
      <c r="Q1234" s="930" t="s">
        <v>108</v>
      </c>
      <c r="R1234" s="634" t="s">
        <v>112</v>
      </c>
      <c r="S1234" s="930" t="s">
        <v>1457</v>
      </c>
      <c r="T1234" s="847"/>
      <c r="U1234" s="930"/>
      <c r="V1234" s="930"/>
      <c r="W1234" s="930"/>
      <c r="X1234" s="970"/>
      <c r="Y1234" s="930"/>
      <c r="Z1234" s="932"/>
      <c r="AA1234" s="908" t="s">
        <v>1458</v>
      </c>
      <c r="AB1234" s="843" t="s">
        <v>263</v>
      </c>
      <c r="AC1234" s="936"/>
      <c r="AD1234" s="844" t="s">
        <v>113</v>
      </c>
      <c r="AE1234" s="937">
        <f t="shared" si="30"/>
        <v>8</v>
      </c>
    </row>
    <row r="1235" spans="1:31" s="969" customFormat="1" ht="409.5" hidden="1" x14ac:dyDescent="0.25">
      <c r="A1235" s="671" t="s">
        <v>6559</v>
      </c>
      <c r="B1235" s="971" t="s">
        <v>1534</v>
      </c>
      <c r="C1235" s="971" t="s">
        <v>6494</v>
      </c>
      <c r="D1235" s="856" t="s">
        <v>6598</v>
      </c>
      <c r="E1235" s="856" t="s">
        <v>6495</v>
      </c>
      <c r="F1235" s="971" t="s">
        <v>1528</v>
      </c>
      <c r="G1235" s="856" t="s">
        <v>2156</v>
      </c>
      <c r="H1235" s="972">
        <v>1</v>
      </c>
      <c r="I1235" s="971" t="s">
        <v>2161</v>
      </c>
      <c r="J1235" s="856" t="s">
        <v>1454</v>
      </c>
      <c r="K1235" s="973" t="s">
        <v>6526</v>
      </c>
      <c r="L1235" s="974">
        <v>4961895.79</v>
      </c>
      <c r="M1235" s="997"/>
      <c r="N1235" s="974">
        <v>4961895.79</v>
      </c>
      <c r="O1235" s="975">
        <v>42948.5</v>
      </c>
      <c r="P1235" s="975">
        <v>43009.5</v>
      </c>
      <c r="Q1235" s="930" t="s">
        <v>108</v>
      </c>
      <c r="R1235" s="634" t="s">
        <v>112</v>
      </c>
      <c r="S1235" s="930" t="s">
        <v>1457</v>
      </c>
      <c r="T1235" s="847"/>
      <c r="U1235" s="930"/>
      <c r="V1235" s="930"/>
      <c r="W1235" s="930"/>
      <c r="X1235" s="970"/>
      <c r="Y1235" s="930"/>
      <c r="Z1235" s="932"/>
      <c r="AA1235" s="908" t="s">
        <v>1458</v>
      </c>
      <c r="AB1235" s="843" t="s">
        <v>263</v>
      </c>
      <c r="AC1235" s="936"/>
      <c r="AD1235" s="844" t="s">
        <v>113</v>
      </c>
      <c r="AE1235" s="937">
        <f t="shared" ref="AE1235:AE1273" si="31">IF(O1235=0,,MONTH(O1235))</f>
        <v>8</v>
      </c>
    </row>
    <row r="1236" spans="1:31" s="969" customFormat="1" ht="105" hidden="1" x14ac:dyDescent="0.25">
      <c r="A1236" s="671" t="s">
        <v>6560</v>
      </c>
      <c r="B1236" s="971" t="s">
        <v>3127</v>
      </c>
      <c r="C1236" s="971" t="s">
        <v>5536</v>
      </c>
      <c r="D1236" s="856" t="s">
        <v>6599</v>
      </c>
      <c r="E1236" s="856" t="s">
        <v>5537</v>
      </c>
      <c r="F1236" s="971" t="s">
        <v>973</v>
      </c>
      <c r="G1236" s="856" t="s">
        <v>6179</v>
      </c>
      <c r="H1236" s="972">
        <v>4</v>
      </c>
      <c r="I1236" s="971" t="s">
        <v>2161</v>
      </c>
      <c r="J1236" s="856" t="s">
        <v>1454</v>
      </c>
      <c r="K1236" s="973" t="s">
        <v>6527</v>
      </c>
      <c r="L1236" s="974">
        <v>278527.2</v>
      </c>
      <c r="M1236" s="997"/>
      <c r="N1236" s="974">
        <v>278527.2</v>
      </c>
      <c r="O1236" s="975">
        <v>42948.5</v>
      </c>
      <c r="P1236" s="975">
        <v>42979.5</v>
      </c>
      <c r="Q1236" s="930" t="s">
        <v>110</v>
      </c>
      <c r="R1236" s="634" t="s">
        <v>113</v>
      </c>
      <c r="S1236" s="634" t="s">
        <v>1455</v>
      </c>
      <c r="T1236" s="847"/>
      <c r="U1236" s="930"/>
      <c r="V1236" s="930"/>
      <c r="W1236" s="930" t="s">
        <v>92</v>
      </c>
      <c r="X1236" s="970" t="s">
        <v>7237</v>
      </c>
      <c r="Y1236" s="930" t="s">
        <v>7238</v>
      </c>
      <c r="Z1236" s="932">
        <v>278527.2</v>
      </c>
      <c r="AA1236" s="908" t="s">
        <v>1458</v>
      </c>
      <c r="AB1236" s="843" t="s">
        <v>263</v>
      </c>
      <c r="AC1236" s="936"/>
      <c r="AD1236" s="844" t="s">
        <v>113</v>
      </c>
      <c r="AE1236" s="937">
        <f t="shared" si="31"/>
        <v>8</v>
      </c>
    </row>
    <row r="1237" spans="1:31" s="969" customFormat="1" ht="180" hidden="1" x14ac:dyDescent="0.25">
      <c r="A1237" s="671" t="s">
        <v>6561</v>
      </c>
      <c r="B1237" s="971" t="s">
        <v>1984</v>
      </c>
      <c r="C1237" s="971" t="s">
        <v>1985</v>
      </c>
      <c r="D1237" s="856" t="s">
        <v>6600</v>
      </c>
      <c r="E1237" s="856" t="s">
        <v>6496</v>
      </c>
      <c r="F1237" s="971" t="s">
        <v>1528</v>
      </c>
      <c r="G1237" s="856" t="s">
        <v>2156</v>
      </c>
      <c r="H1237" s="972">
        <v>1</v>
      </c>
      <c r="I1237" s="971" t="s">
        <v>2161</v>
      </c>
      <c r="J1237" s="856" t="s">
        <v>1454</v>
      </c>
      <c r="K1237" s="973" t="s">
        <v>6528</v>
      </c>
      <c r="L1237" s="974">
        <v>590000</v>
      </c>
      <c r="M1237" s="997"/>
      <c r="N1237" s="974">
        <v>590000</v>
      </c>
      <c r="O1237" s="975">
        <v>42979.5</v>
      </c>
      <c r="P1237" s="975">
        <v>43040.5</v>
      </c>
      <c r="Q1237" s="930" t="s">
        <v>108</v>
      </c>
      <c r="R1237" s="634" t="s">
        <v>112</v>
      </c>
      <c r="S1237" s="930" t="s">
        <v>1457</v>
      </c>
      <c r="T1237" s="847"/>
      <c r="U1237" s="930"/>
      <c r="V1237" s="930"/>
      <c r="W1237" s="930"/>
      <c r="X1237" s="970"/>
      <c r="Y1237" s="930"/>
      <c r="Z1237" s="932"/>
      <c r="AA1237" s="908" t="s">
        <v>1458</v>
      </c>
      <c r="AB1237" s="843" t="s">
        <v>263</v>
      </c>
      <c r="AC1237" s="936"/>
      <c r="AD1237" s="844" t="s">
        <v>113</v>
      </c>
      <c r="AE1237" s="937">
        <f t="shared" si="31"/>
        <v>9</v>
      </c>
    </row>
    <row r="1238" spans="1:31" s="969" customFormat="1" ht="105" hidden="1" x14ac:dyDescent="0.25">
      <c r="A1238" s="671" t="s">
        <v>6562</v>
      </c>
      <c r="B1238" s="971" t="s">
        <v>1540</v>
      </c>
      <c r="C1238" s="971" t="s">
        <v>1545</v>
      </c>
      <c r="D1238" s="856" t="s">
        <v>6663</v>
      </c>
      <c r="E1238" s="856" t="s">
        <v>2022</v>
      </c>
      <c r="F1238" s="971" t="s">
        <v>2474</v>
      </c>
      <c r="G1238" s="856" t="s">
        <v>4892</v>
      </c>
      <c r="H1238" s="972">
        <v>800</v>
      </c>
      <c r="I1238" s="971" t="s">
        <v>2161</v>
      </c>
      <c r="J1238" s="856" t="s">
        <v>1454</v>
      </c>
      <c r="K1238" s="973" t="s">
        <v>6529</v>
      </c>
      <c r="L1238" s="974">
        <v>283200</v>
      </c>
      <c r="M1238" s="997"/>
      <c r="N1238" s="974">
        <v>283200</v>
      </c>
      <c r="O1238" s="975">
        <v>42979.5</v>
      </c>
      <c r="P1238" s="975">
        <v>43100.5</v>
      </c>
      <c r="Q1238" s="930" t="s">
        <v>110</v>
      </c>
      <c r="R1238" s="634" t="s">
        <v>113</v>
      </c>
      <c r="S1238" s="634" t="s">
        <v>1455</v>
      </c>
      <c r="T1238" s="847"/>
      <c r="U1238" s="930"/>
      <c r="V1238" s="930" t="s">
        <v>45</v>
      </c>
      <c r="W1238" s="930" t="s">
        <v>73</v>
      </c>
      <c r="X1238" s="970" t="s">
        <v>5068</v>
      </c>
      <c r="Y1238" s="930" t="s">
        <v>6833</v>
      </c>
      <c r="Z1238" s="932">
        <v>283200</v>
      </c>
      <c r="AA1238" s="908" t="s">
        <v>1458</v>
      </c>
      <c r="AB1238" s="843" t="s">
        <v>263</v>
      </c>
      <c r="AC1238" s="936"/>
      <c r="AD1238" s="844" t="s">
        <v>113</v>
      </c>
      <c r="AE1238" s="937">
        <f t="shared" si="31"/>
        <v>9</v>
      </c>
    </row>
    <row r="1239" spans="1:31" s="969" customFormat="1" ht="105" hidden="1" x14ac:dyDescent="0.25">
      <c r="A1239" s="671" t="s">
        <v>6563</v>
      </c>
      <c r="B1239" s="971" t="s">
        <v>1540</v>
      </c>
      <c r="C1239" s="971" t="s">
        <v>2432</v>
      </c>
      <c r="D1239" s="856" t="s">
        <v>6662</v>
      </c>
      <c r="E1239" s="856" t="s">
        <v>2441</v>
      </c>
      <c r="F1239" s="971" t="s">
        <v>1528</v>
      </c>
      <c r="G1239" s="856" t="s">
        <v>2156</v>
      </c>
      <c r="H1239" s="972">
        <v>6100</v>
      </c>
      <c r="I1239" s="971" t="s">
        <v>2161</v>
      </c>
      <c r="J1239" s="856" t="s">
        <v>1454</v>
      </c>
      <c r="K1239" s="973" t="s">
        <v>6530</v>
      </c>
      <c r="L1239" s="974">
        <v>1102157.76</v>
      </c>
      <c r="M1239" s="997"/>
      <c r="N1239" s="974">
        <v>1102157.76</v>
      </c>
      <c r="O1239" s="975">
        <v>42979.5</v>
      </c>
      <c r="P1239" s="975">
        <v>43100.5</v>
      </c>
      <c r="Q1239" s="930" t="s">
        <v>110</v>
      </c>
      <c r="R1239" s="634" t="s">
        <v>113</v>
      </c>
      <c r="S1239" s="634" t="s">
        <v>1455</v>
      </c>
      <c r="T1239" s="847"/>
      <c r="U1239" s="930"/>
      <c r="V1239" s="930"/>
      <c r="W1239" s="930"/>
      <c r="X1239" s="970"/>
      <c r="Y1239" s="930"/>
      <c r="Z1239" s="932"/>
      <c r="AA1239" s="908" t="s">
        <v>1458</v>
      </c>
      <c r="AB1239" s="843" t="s">
        <v>263</v>
      </c>
      <c r="AC1239" s="936"/>
      <c r="AD1239" s="844" t="s">
        <v>113</v>
      </c>
      <c r="AE1239" s="937">
        <f t="shared" si="31"/>
        <v>9</v>
      </c>
    </row>
    <row r="1240" spans="1:31" s="969" customFormat="1" ht="105" hidden="1" x14ac:dyDescent="0.25">
      <c r="A1240" s="671" t="s">
        <v>6564</v>
      </c>
      <c r="B1240" s="971" t="s">
        <v>6497</v>
      </c>
      <c r="C1240" s="971" t="s">
        <v>6498</v>
      </c>
      <c r="D1240" s="856" t="s">
        <v>6601</v>
      </c>
      <c r="E1240" s="856" t="s">
        <v>1569</v>
      </c>
      <c r="F1240" s="971" t="s">
        <v>1528</v>
      </c>
      <c r="G1240" s="856" t="s">
        <v>2156</v>
      </c>
      <c r="H1240" s="972">
        <v>1</v>
      </c>
      <c r="I1240" s="971" t="s">
        <v>2161</v>
      </c>
      <c r="J1240" s="856" t="s">
        <v>1454</v>
      </c>
      <c r="K1240" s="973" t="s">
        <v>8305</v>
      </c>
      <c r="L1240" s="983">
        <v>425904.48</v>
      </c>
      <c r="M1240" s="997"/>
      <c r="N1240" s="983">
        <v>425904.48</v>
      </c>
      <c r="O1240" s="975">
        <v>42979</v>
      </c>
      <c r="P1240" s="975">
        <v>43100.5</v>
      </c>
      <c r="Q1240" s="930" t="s">
        <v>110</v>
      </c>
      <c r="R1240" s="634" t="s">
        <v>113</v>
      </c>
      <c r="S1240" s="930"/>
      <c r="T1240" s="847"/>
      <c r="U1240" s="930"/>
      <c r="V1240" s="930"/>
      <c r="W1240" s="930" t="s">
        <v>73</v>
      </c>
      <c r="X1240" s="635" t="s">
        <v>2385</v>
      </c>
      <c r="Y1240" s="634" t="s">
        <v>2384</v>
      </c>
      <c r="Z1240" s="932">
        <v>425904.48</v>
      </c>
      <c r="AA1240" s="908" t="s">
        <v>1458</v>
      </c>
      <c r="AB1240" s="843" t="s">
        <v>263</v>
      </c>
      <c r="AC1240" s="936"/>
      <c r="AD1240" s="844" t="s">
        <v>113</v>
      </c>
      <c r="AE1240" s="937">
        <f t="shared" si="31"/>
        <v>9</v>
      </c>
    </row>
    <row r="1241" spans="1:31" s="969" customFormat="1" ht="120" hidden="1" x14ac:dyDescent="0.25">
      <c r="A1241" s="671" t="s">
        <v>6565</v>
      </c>
      <c r="B1241" s="971" t="s">
        <v>6499</v>
      </c>
      <c r="C1241" s="971" t="s">
        <v>6500</v>
      </c>
      <c r="D1241" s="856" t="s">
        <v>6661</v>
      </c>
      <c r="E1241" s="856" t="s">
        <v>5015</v>
      </c>
      <c r="F1241" s="971" t="s">
        <v>1528</v>
      </c>
      <c r="G1241" s="856" t="s">
        <v>2156</v>
      </c>
      <c r="H1241" s="972">
        <v>1</v>
      </c>
      <c r="I1241" s="971" t="s">
        <v>2161</v>
      </c>
      <c r="J1241" s="856" t="s">
        <v>1454</v>
      </c>
      <c r="K1241" s="973" t="s">
        <v>1979</v>
      </c>
      <c r="L1241" s="974">
        <v>20000000</v>
      </c>
      <c r="M1241" s="997"/>
      <c r="N1241" s="974">
        <v>20000000</v>
      </c>
      <c r="O1241" s="975">
        <v>43009.5</v>
      </c>
      <c r="P1241" s="975">
        <v>43100.5</v>
      </c>
      <c r="Q1241" s="930" t="s">
        <v>100</v>
      </c>
      <c r="R1241" s="634" t="s">
        <v>112</v>
      </c>
      <c r="S1241" s="930" t="s">
        <v>1457</v>
      </c>
      <c r="T1241" s="847"/>
      <c r="U1241" s="930"/>
      <c r="V1241" s="930"/>
      <c r="W1241" s="930"/>
      <c r="X1241" s="970"/>
      <c r="Y1241" s="930"/>
      <c r="Z1241" s="932"/>
      <c r="AA1241" s="908" t="s">
        <v>1458</v>
      </c>
      <c r="AB1241" s="843" t="s">
        <v>263</v>
      </c>
      <c r="AC1241" s="936"/>
      <c r="AD1241" s="844" t="s">
        <v>113</v>
      </c>
      <c r="AE1241" s="937">
        <f t="shared" si="31"/>
        <v>10</v>
      </c>
    </row>
    <row r="1242" spans="1:31" s="969" customFormat="1" ht="135" hidden="1" x14ac:dyDescent="0.25">
      <c r="A1242" s="671" t="s">
        <v>6566</v>
      </c>
      <c r="B1242" s="971" t="s">
        <v>2044</v>
      </c>
      <c r="C1242" s="971" t="s">
        <v>2115</v>
      </c>
      <c r="D1242" s="856" t="s">
        <v>6660</v>
      </c>
      <c r="E1242" s="856" t="s">
        <v>6501</v>
      </c>
      <c r="F1242" s="971" t="s">
        <v>1528</v>
      </c>
      <c r="G1242" s="856" t="s">
        <v>2156</v>
      </c>
      <c r="H1242" s="972">
        <v>1</v>
      </c>
      <c r="I1242" s="971" t="s">
        <v>2161</v>
      </c>
      <c r="J1242" s="856" t="s">
        <v>1454</v>
      </c>
      <c r="K1242" s="973" t="s">
        <v>6531</v>
      </c>
      <c r="L1242" s="974">
        <v>178658.32</v>
      </c>
      <c r="M1242" s="997"/>
      <c r="N1242" s="974">
        <v>178658.32</v>
      </c>
      <c r="O1242" s="975">
        <v>42979.5</v>
      </c>
      <c r="P1242" s="975">
        <v>43100.5</v>
      </c>
      <c r="Q1242" s="930" t="s">
        <v>108</v>
      </c>
      <c r="R1242" s="634" t="s">
        <v>112</v>
      </c>
      <c r="S1242" s="930" t="s">
        <v>1457</v>
      </c>
      <c r="T1242" s="847"/>
      <c r="U1242" s="930"/>
      <c r="V1242" s="930"/>
      <c r="W1242" s="930"/>
      <c r="X1242" s="970"/>
      <c r="Y1242" s="930"/>
      <c r="Z1242" s="932"/>
      <c r="AA1242" s="908" t="s">
        <v>1458</v>
      </c>
      <c r="AB1242" s="843" t="s">
        <v>263</v>
      </c>
      <c r="AC1242" s="936"/>
      <c r="AD1242" s="844" t="s">
        <v>113</v>
      </c>
      <c r="AE1242" s="937">
        <f t="shared" si="31"/>
        <v>9</v>
      </c>
    </row>
    <row r="1243" spans="1:31" s="969" customFormat="1" ht="105" hidden="1" x14ac:dyDescent="0.25">
      <c r="A1243" s="671" t="s">
        <v>6567</v>
      </c>
      <c r="B1243" s="971" t="s">
        <v>1941</v>
      </c>
      <c r="C1243" s="971" t="s">
        <v>1942</v>
      </c>
      <c r="D1243" s="856" t="s">
        <v>6659</v>
      </c>
      <c r="E1243" s="856" t="s">
        <v>6150</v>
      </c>
      <c r="F1243" s="971" t="s">
        <v>1528</v>
      </c>
      <c r="G1243" s="856" t="s">
        <v>2156</v>
      </c>
      <c r="H1243" s="972">
        <v>1200</v>
      </c>
      <c r="I1243" s="971" t="s">
        <v>2161</v>
      </c>
      <c r="J1243" s="856" t="s">
        <v>1454</v>
      </c>
      <c r="K1243" s="973" t="s">
        <v>6532</v>
      </c>
      <c r="L1243" s="974">
        <v>187200</v>
      </c>
      <c r="M1243" s="997" t="s">
        <v>998</v>
      </c>
      <c r="N1243" s="974">
        <v>187200</v>
      </c>
      <c r="O1243" s="975">
        <v>42979.5</v>
      </c>
      <c r="P1243" s="975">
        <v>43100.5</v>
      </c>
      <c r="Q1243" s="930" t="s">
        <v>110</v>
      </c>
      <c r="R1243" s="634" t="s">
        <v>113</v>
      </c>
      <c r="S1243" s="634" t="s">
        <v>1455</v>
      </c>
      <c r="T1243" s="847"/>
      <c r="U1243" s="930"/>
      <c r="V1243" s="930"/>
      <c r="W1243" s="930" t="s">
        <v>73</v>
      </c>
      <c r="X1243" s="970" t="s">
        <v>3304</v>
      </c>
      <c r="Y1243" s="930" t="s">
        <v>3305</v>
      </c>
      <c r="Z1243" s="932">
        <v>187200</v>
      </c>
      <c r="AA1243" s="908" t="s">
        <v>1458</v>
      </c>
      <c r="AB1243" s="843" t="s">
        <v>263</v>
      </c>
      <c r="AC1243" s="936"/>
      <c r="AD1243" s="844" t="s">
        <v>113</v>
      </c>
      <c r="AE1243" s="937">
        <f t="shared" si="31"/>
        <v>9</v>
      </c>
    </row>
    <row r="1244" spans="1:31" s="969" customFormat="1" ht="105" hidden="1" x14ac:dyDescent="0.25">
      <c r="A1244" s="671" t="s">
        <v>6568</v>
      </c>
      <c r="B1244" s="971" t="s">
        <v>4878</v>
      </c>
      <c r="C1244" s="971" t="s">
        <v>4878</v>
      </c>
      <c r="D1244" s="856" t="s">
        <v>6658</v>
      </c>
      <c r="E1244" s="856" t="s">
        <v>6502</v>
      </c>
      <c r="F1244" s="971" t="s">
        <v>1528</v>
      </c>
      <c r="G1244" s="856" t="s">
        <v>2156</v>
      </c>
      <c r="H1244" s="972">
        <v>4</v>
      </c>
      <c r="I1244" s="971" t="s">
        <v>2161</v>
      </c>
      <c r="J1244" s="856" t="s">
        <v>1454</v>
      </c>
      <c r="K1244" s="973" t="s">
        <v>6533</v>
      </c>
      <c r="L1244" s="974">
        <v>104000</v>
      </c>
      <c r="M1244" s="997"/>
      <c r="N1244" s="974">
        <v>104000</v>
      </c>
      <c r="O1244" s="975">
        <v>42979.5</v>
      </c>
      <c r="P1244" s="975">
        <v>43009.5</v>
      </c>
      <c r="Q1244" s="930" t="s">
        <v>110</v>
      </c>
      <c r="R1244" s="634" t="s">
        <v>113</v>
      </c>
      <c r="S1244" s="634" t="s">
        <v>1455</v>
      </c>
      <c r="T1244" s="847"/>
      <c r="U1244" s="930"/>
      <c r="V1244" s="930"/>
      <c r="W1244" s="930"/>
      <c r="X1244" s="970"/>
      <c r="Y1244" s="930"/>
      <c r="Z1244" s="932"/>
      <c r="AA1244" s="908" t="s">
        <v>1458</v>
      </c>
      <c r="AB1244" s="843" t="s">
        <v>263</v>
      </c>
      <c r="AC1244" s="936"/>
      <c r="AD1244" s="844" t="s">
        <v>113</v>
      </c>
      <c r="AE1244" s="937">
        <f t="shared" si="31"/>
        <v>9</v>
      </c>
    </row>
    <row r="1245" spans="1:31" s="969" customFormat="1" ht="105" hidden="1" x14ac:dyDescent="0.25">
      <c r="A1245" s="671" t="s">
        <v>6569</v>
      </c>
      <c r="B1245" s="971" t="s">
        <v>2176</v>
      </c>
      <c r="C1245" s="971" t="s">
        <v>2037</v>
      </c>
      <c r="D1245" s="856" t="s">
        <v>6657</v>
      </c>
      <c r="E1245" s="856" t="s">
        <v>2027</v>
      </c>
      <c r="F1245" s="971" t="s">
        <v>1528</v>
      </c>
      <c r="G1245" s="856" t="s">
        <v>2156</v>
      </c>
      <c r="H1245" s="972">
        <v>260</v>
      </c>
      <c r="I1245" s="971" t="s">
        <v>2161</v>
      </c>
      <c r="J1245" s="856" t="s">
        <v>1454</v>
      </c>
      <c r="K1245" s="973" t="s">
        <v>6862</v>
      </c>
      <c r="L1245" s="974">
        <v>5290052.8099999996</v>
      </c>
      <c r="M1245" s="997"/>
      <c r="N1245" s="974">
        <v>5290052.8099999996</v>
      </c>
      <c r="O1245" s="975">
        <v>42979.5</v>
      </c>
      <c r="P1245" s="975">
        <v>43100.5</v>
      </c>
      <c r="Q1245" s="930" t="s">
        <v>110</v>
      </c>
      <c r="R1245" s="634" t="s">
        <v>113</v>
      </c>
      <c r="S1245" s="634" t="s">
        <v>1455</v>
      </c>
      <c r="T1245" s="847"/>
      <c r="U1245" s="930"/>
      <c r="V1245" s="930"/>
      <c r="W1245" s="930" t="s">
        <v>73</v>
      </c>
      <c r="X1245" s="970" t="s">
        <v>2400</v>
      </c>
      <c r="Y1245" s="930" t="s">
        <v>2401</v>
      </c>
      <c r="Z1245" s="932">
        <v>5290052.8099999996</v>
      </c>
      <c r="AA1245" s="908" t="s">
        <v>1458</v>
      </c>
      <c r="AB1245" s="843" t="s">
        <v>263</v>
      </c>
      <c r="AC1245" s="936"/>
      <c r="AD1245" s="844" t="s">
        <v>113</v>
      </c>
      <c r="AE1245" s="937">
        <f t="shared" si="31"/>
        <v>9</v>
      </c>
    </row>
    <row r="1246" spans="1:31" s="969" customFormat="1" ht="105" hidden="1" x14ac:dyDescent="0.25">
      <c r="A1246" s="671" t="s">
        <v>6570</v>
      </c>
      <c r="B1246" s="971" t="s">
        <v>2176</v>
      </c>
      <c r="C1246" s="971" t="s">
        <v>2037</v>
      </c>
      <c r="D1246" s="856" t="s">
        <v>6656</v>
      </c>
      <c r="E1246" s="856" t="s">
        <v>2027</v>
      </c>
      <c r="F1246" s="971" t="s">
        <v>1528</v>
      </c>
      <c r="G1246" s="856" t="s">
        <v>2156</v>
      </c>
      <c r="H1246" s="972">
        <v>930</v>
      </c>
      <c r="I1246" s="971" t="s">
        <v>2161</v>
      </c>
      <c r="J1246" s="856" t="s">
        <v>1454</v>
      </c>
      <c r="K1246" s="973" t="s">
        <v>6534</v>
      </c>
      <c r="L1246" s="974">
        <v>13639318.859999999</v>
      </c>
      <c r="M1246" s="997"/>
      <c r="N1246" s="974">
        <v>13639318.859999999</v>
      </c>
      <c r="O1246" s="975">
        <v>42979.5</v>
      </c>
      <c r="P1246" s="975">
        <v>43313.5</v>
      </c>
      <c r="Q1246" s="930" t="s">
        <v>110</v>
      </c>
      <c r="R1246" s="634" t="s">
        <v>113</v>
      </c>
      <c r="S1246" s="634" t="s">
        <v>1455</v>
      </c>
      <c r="T1246" s="847"/>
      <c r="U1246" s="930"/>
      <c r="V1246" s="930"/>
      <c r="W1246" s="930"/>
      <c r="X1246" s="970"/>
      <c r="Y1246" s="930"/>
      <c r="Z1246" s="932"/>
      <c r="AA1246" s="908" t="s">
        <v>1458</v>
      </c>
      <c r="AB1246" s="843" t="s">
        <v>263</v>
      </c>
      <c r="AC1246" s="936"/>
      <c r="AD1246" s="844" t="s">
        <v>113</v>
      </c>
      <c r="AE1246" s="937">
        <f t="shared" si="31"/>
        <v>9</v>
      </c>
    </row>
    <row r="1247" spans="1:31" s="969" customFormat="1" ht="105" hidden="1" x14ac:dyDescent="0.25">
      <c r="A1247" s="671" t="s">
        <v>6571</v>
      </c>
      <c r="B1247" s="971" t="s">
        <v>152</v>
      </c>
      <c r="C1247" s="971" t="s">
        <v>2042</v>
      </c>
      <c r="D1247" s="856" t="s">
        <v>6655</v>
      </c>
      <c r="E1247" s="856" t="s">
        <v>2022</v>
      </c>
      <c r="F1247" s="971" t="s">
        <v>1587</v>
      </c>
      <c r="G1247" s="856" t="s">
        <v>2256</v>
      </c>
      <c r="H1247" s="972">
        <v>36</v>
      </c>
      <c r="I1247" s="971" t="s">
        <v>2161</v>
      </c>
      <c r="J1247" s="856" t="s">
        <v>1454</v>
      </c>
      <c r="K1247" s="973" t="s">
        <v>6857</v>
      </c>
      <c r="L1247" s="982">
        <v>489564</v>
      </c>
      <c r="M1247" s="997"/>
      <c r="N1247" s="982">
        <v>489564</v>
      </c>
      <c r="O1247" s="975">
        <v>42979.5</v>
      </c>
      <c r="P1247" s="975">
        <v>43313.5</v>
      </c>
      <c r="Q1247" s="930" t="s">
        <v>110</v>
      </c>
      <c r="R1247" s="634" t="s">
        <v>113</v>
      </c>
      <c r="S1247" s="634" t="s">
        <v>1455</v>
      </c>
      <c r="T1247" s="847"/>
      <c r="U1247" s="930"/>
      <c r="V1247" s="930"/>
      <c r="W1247" s="930" t="s">
        <v>73</v>
      </c>
      <c r="X1247" s="635" t="s">
        <v>5111</v>
      </c>
      <c r="Y1247" s="634" t="s">
        <v>5112</v>
      </c>
      <c r="Z1247" s="932">
        <v>489564</v>
      </c>
      <c r="AA1247" s="908" t="s">
        <v>1458</v>
      </c>
      <c r="AB1247" s="843" t="s">
        <v>263</v>
      </c>
      <c r="AC1247" s="936"/>
      <c r="AD1247" s="844" t="s">
        <v>113</v>
      </c>
      <c r="AE1247" s="937">
        <f t="shared" si="31"/>
        <v>9</v>
      </c>
    </row>
    <row r="1248" spans="1:31" s="969" customFormat="1" ht="105" hidden="1" x14ac:dyDescent="0.25">
      <c r="A1248" s="671" t="s">
        <v>6572</v>
      </c>
      <c r="B1248" s="971" t="s">
        <v>1672</v>
      </c>
      <c r="C1248" s="971" t="s">
        <v>2219</v>
      </c>
      <c r="D1248" s="856" t="s">
        <v>6654</v>
      </c>
      <c r="E1248" s="856" t="s">
        <v>6163</v>
      </c>
      <c r="F1248" s="971" t="s">
        <v>1528</v>
      </c>
      <c r="G1248" s="856" t="s">
        <v>2156</v>
      </c>
      <c r="H1248" s="972">
        <v>120</v>
      </c>
      <c r="I1248" s="971" t="s">
        <v>2161</v>
      </c>
      <c r="J1248" s="856" t="s">
        <v>1454</v>
      </c>
      <c r="K1248" s="973" t="s">
        <v>6535</v>
      </c>
      <c r="L1248" s="974">
        <v>353000</v>
      </c>
      <c r="M1248" s="997"/>
      <c r="N1248" s="974">
        <v>353000</v>
      </c>
      <c r="O1248" s="975">
        <v>42979.5</v>
      </c>
      <c r="P1248" s="975">
        <v>43009.5</v>
      </c>
      <c r="Q1248" s="930" t="s">
        <v>110</v>
      </c>
      <c r="R1248" s="634" t="s">
        <v>113</v>
      </c>
      <c r="S1248" s="634" t="s">
        <v>1455</v>
      </c>
      <c r="T1248" s="847"/>
      <c r="U1248" s="930"/>
      <c r="V1248" s="930"/>
      <c r="W1248" s="930"/>
      <c r="X1248" s="970"/>
      <c r="Y1248" s="930"/>
      <c r="Z1248" s="932"/>
      <c r="AA1248" s="908" t="s">
        <v>1458</v>
      </c>
      <c r="AB1248" s="843" t="s">
        <v>263</v>
      </c>
      <c r="AC1248" s="936"/>
      <c r="AD1248" s="844" t="s">
        <v>113</v>
      </c>
      <c r="AE1248" s="937">
        <f t="shared" si="31"/>
        <v>9</v>
      </c>
    </row>
    <row r="1249" spans="1:31" s="969" customFormat="1" ht="105" hidden="1" x14ac:dyDescent="0.25">
      <c r="A1249" s="671" t="s">
        <v>6573</v>
      </c>
      <c r="B1249" s="971" t="s">
        <v>2213</v>
      </c>
      <c r="C1249" s="971" t="s">
        <v>1703</v>
      </c>
      <c r="D1249" s="856" t="s">
        <v>6653</v>
      </c>
      <c r="E1249" s="856" t="s">
        <v>6164</v>
      </c>
      <c r="F1249" s="971" t="s">
        <v>1528</v>
      </c>
      <c r="G1249" s="856" t="s">
        <v>2156</v>
      </c>
      <c r="H1249" s="972">
        <v>60</v>
      </c>
      <c r="I1249" s="971" t="s">
        <v>2161</v>
      </c>
      <c r="J1249" s="856" t="s">
        <v>1454</v>
      </c>
      <c r="K1249" s="973" t="s">
        <v>1998</v>
      </c>
      <c r="L1249" s="974">
        <v>205000</v>
      </c>
      <c r="M1249" s="997"/>
      <c r="N1249" s="974">
        <v>205000</v>
      </c>
      <c r="O1249" s="975">
        <v>42979.5</v>
      </c>
      <c r="P1249" s="975">
        <v>43009.5</v>
      </c>
      <c r="Q1249" s="930" t="s">
        <v>110</v>
      </c>
      <c r="R1249" s="634" t="s">
        <v>113</v>
      </c>
      <c r="S1249" s="634" t="s">
        <v>1455</v>
      </c>
      <c r="T1249" s="847"/>
      <c r="U1249" s="930"/>
      <c r="V1249" s="930"/>
      <c r="W1249" s="930"/>
      <c r="X1249" s="970"/>
      <c r="Y1249" s="930"/>
      <c r="Z1249" s="932"/>
      <c r="AA1249" s="908" t="s">
        <v>1458</v>
      </c>
      <c r="AB1249" s="843" t="s">
        <v>263</v>
      </c>
      <c r="AC1249" s="936"/>
      <c r="AD1249" s="844" t="s">
        <v>113</v>
      </c>
      <c r="AE1249" s="937">
        <f t="shared" si="31"/>
        <v>9</v>
      </c>
    </row>
    <row r="1250" spans="1:31" s="969" customFormat="1" ht="105" hidden="1" x14ac:dyDescent="0.25">
      <c r="A1250" s="671" t="s">
        <v>6574</v>
      </c>
      <c r="B1250" s="971" t="s">
        <v>1540</v>
      </c>
      <c r="C1250" s="971" t="s">
        <v>1745</v>
      </c>
      <c r="D1250" s="856" t="s">
        <v>6652</v>
      </c>
      <c r="E1250" s="856" t="s">
        <v>2466</v>
      </c>
      <c r="F1250" s="971" t="s">
        <v>1528</v>
      </c>
      <c r="G1250" s="856" t="s">
        <v>2156</v>
      </c>
      <c r="H1250" s="972">
        <v>30</v>
      </c>
      <c r="I1250" s="971" t="s">
        <v>2161</v>
      </c>
      <c r="J1250" s="856" t="s">
        <v>1454</v>
      </c>
      <c r="K1250" s="973" t="s">
        <v>6387</v>
      </c>
      <c r="L1250" s="974">
        <v>310277.81</v>
      </c>
      <c r="M1250" s="997"/>
      <c r="N1250" s="974">
        <v>310277.81</v>
      </c>
      <c r="O1250" s="975">
        <v>42979.5</v>
      </c>
      <c r="P1250" s="975">
        <v>43009.5</v>
      </c>
      <c r="Q1250" s="930" t="s">
        <v>110</v>
      </c>
      <c r="R1250" s="634" t="s">
        <v>113</v>
      </c>
      <c r="S1250" s="634" t="s">
        <v>1455</v>
      </c>
      <c r="T1250" s="847"/>
      <c r="U1250" s="930"/>
      <c r="V1250" s="930"/>
      <c r="W1250" s="930"/>
      <c r="X1250" s="970"/>
      <c r="Y1250" s="930"/>
      <c r="Z1250" s="932"/>
      <c r="AA1250" s="908" t="s">
        <v>1458</v>
      </c>
      <c r="AB1250" s="843" t="s">
        <v>263</v>
      </c>
      <c r="AC1250" s="936"/>
      <c r="AD1250" s="844" t="s">
        <v>113</v>
      </c>
      <c r="AE1250" s="937">
        <f t="shared" si="31"/>
        <v>9</v>
      </c>
    </row>
    <row r="1251" spans="1:31" s="969" customFormat="1" ht="105" hidden="1" x14ac:dyDescent="0.25">
      <c r="A1251" s="671" t="s">
        <v>6575</v>
      </c>
      <c r="B1251" s="971" t="s">
        <v>1576</v>
      </c>
      <c r="C1251" s="971" t="s">
        <v>1576</v>
      </c>
      <c r="D1251" s="856" t="s">
        <v>6651</v>
      </c>
      <c r="E1251" s="856" t="s">
        <v>6170</v>
      </c>
      <c r="F1251" s="971" t="s">
        <v>1528</v>
      </c>
      <c r="G1251" s="856" t="s">
        <v>2156</v>
      </c>
      <c r="H1251" s="972">
        <v>50</v>
      </c>
      <c r="I1251" s="971" t="s">
        <v>2161</v>
      </c>
      <c r="J1251" s="856" t="s">
        <v>1454</v>
      </c>
      <c r="K1251" s="973" t="s">
        <v>6864</v>
      </c>
      <c r="L1251" s="974">
        <v>221578</v>
      </c>
      <c r="M1251" s="997" t="s">
        <v>997</v>
      </c>
      <c r="N1251" s="974">
        <v>221578</v>
      </c>
      <c r="O1251" s="975">
        <v>42979.5</v>
      </c>
      <c r="P1251" s="975">
        <v>43009.5</v>
      </c>
      <c r="Q1251" s="930" t="s">
        <v>110</v>
      </c>
      <c r="R1251" s="634" t="s">
        <v>113</v>
      </c>
      <c r="S1251" s="634" t="s">
        <v>1455</v>
      </c>
      <c r="T1251" s="847"/>
      <c r="U1251" s="930"/>
      <c r="V1251" s="930"/>
      <c r="W1251" s="930" t="s">
        <v>72</v>
      </c>
      <c r="X1251" s="970" t="s">
        <v>6865</v>
      </c>
      <c r="Y1251" s="930" t="s">
        <v>6866</v>
      </c>
      <c r="Z1251" s="932">
        <v>221578</v>
      </c>
      <c r="AA1251" s="908" t="s">
        <v>1458</v>
      </c>
      <c r="AB1251" s="843" t="s">
        <v>263</v>
      </c>
      <c r="AC1251" s="936"/>
      <c r="AD1251" s="844" t="s">
        <v>113</v>
      </c>
      <c r="AE1251" s="937">
        <f t="shared" si="31"/>
        <v>9</v>
      </c>
    </row>
    <row r="1252" spans="1:31" s="969" customFormat="1" ht="105" hidden="1" x14ac:dyDescent="0.25">
      <c r="A1252" s="671" t="s">
        <v>6576</v>
      </c>
      <c r="B1252" s="971" t="s">
        <v>1540</v>
      </c>
      <c r="C1252" s="971" t="s">
        <v>1540</v>
      </c>
      <c r="D1252" s="856" t="s">
        <v>6650</v>
      </c>
      <c r="E1252" s="856" t="s">
        <v>5526</v>
      </c>
      <c r="F1252" s="971" t="s">
        <v>1528</v>
      </c>
      <c r="G1252" s="856" t="s">
        <v>2156</v>
      </c>
      <c r="H1252" s="972">
        <v>700</v>
      </c>
      <c r="I1252" s="971" t="s">
        <v>2161</v>
      </c>
      <c r="J1252" s="856" t="s">
        <v>1454</v>
      </c>
      <c r="K1252" s="973" t="s">
        <v>6536</v>
      </c>
      <c r="L1252" s="974">
        <v>453061</v>
      </c>
      <c r="M1252" s="997"/>
      <c r="N1252" s="974">
        <v>453061</v>
      </c>
      <c r="O1252" s="975">
        <v>42979.5</v>
      </c>
      <c r="P1252" s="975">
        <v>43010.5</v>
      </c>
      <c r="Q1252" s="930" t="s">
        <v>110</v>
      </c>
      <c r="R1252" s="634" t="s">
        <v>113</v>
      </c>
      <c r="S1252" s="634" t="s">
        <v>1455</v>
      </c>
      <c r="T1252" s="847"/>
      <c r="U1252" s="930"/>
      <c r="V1252" s="930"/>
      <c r="W1252" s="930"/>
      <c r="X1252" s="970"/>
      <c r="Y1252" s="930"/>
      <c r="Z1252" s="932"/>
      <c r="AA1252" s="908" t="s">
        <v>1458</v>
      </c>
      <c r="AB1252" s="843" t="s">
        <v>263</v>
      </c>
      <c r="AC1252" s="936"/>
      <c r="AD1252" s="844" t="s">
        <v>113</v>
      </c>
      <c r="AE1252" s="937">
        <f t="shared" si="31"/>
        <v>9</v>
      </c>
    </row>
    <row r="1253" spans="1:31" s="969" customFormat="1" ht="105" hidden="1" x14ac:dyDescent="0.25">
      <c r="A1253" s="671" t="s">
        <v>6577</v>
      </c>
      <c r="B1253" s="971" t="s">
        <v>1540</v>
      </c>
      <c r="C1253" s="971" t="s">
        <v>1540</v>
      </c>
      <c r="D1253" s="856" t="s">
        <v>6649</v>
      </c>
      <c r="E1253" s="856" t="s">
        <v>6184</v>
      </c>
      <c r="F1253" s="971" t="s">
        <v>1528</v>
      </c>
      <c r="G1253" s="856" t="s">
        <v>2156</v>
      </c>
      <c r="H1253" s="972">
        <v>255</v>
      </c>
      <c r="I1253" s="971" t="s">
        <v>2161</v>
      </c>
      <c r="J1253" s="856" t="s">
        <v>1454</v>
      </c>
      <c r="K1253" s="973" t="s">
        <v>6537</v>
      </c>
      <c r="L1253" s="974">
        <v>809236.16</v>
      </c>
      <c r="M1253" s="997" t="s">
        <v>997</v>
      </c>
      <c r="N1253" s="974">
        <v>809236.16</v>
      </c>
      <c r="O1253" s="975">
        <v>42979.5</v>
      </c>
      <c r="P1253" s="975">
        <v>43011.5</v>
      </c>
      <c r="Q1253" s="930" t="s">
        <v>110</v>
      </c>
      <c r="R1253" s="634" t="s">
        <v>113</v>
      </c>
      <c r="S1253" s="634" t="s">
        <v>1455</v>
      </c>
      <c r="T1253" s="847"/>
      <c r="U1253" s="930"/>
      <c r="V1253" s="930" t="s">
        <v>45</v>
      </c>
      <c r="W1253" s="930" t="s">
        <v>72</v>
      </c>
      <c r="X1253" s="970" t="s">
        <v>5103</v>
      </c>
      <c r="Y1253" s="930" t="s">
        <v>1717</v>
      </c>
      <c r="Z1253" s="932">
        <v>809236.16</v>
      </c>
      <c r="AA1253" s="908" t="s">
        <v>1458</v>
      </c>
      <c r="AB1253" s="843" t="s">
        <v>263</v>
      </c>
      <c r="AC1253" s="936"/>
      <c r="AD1253" s="844" t="s">
        <v>113</v>
      </c>
      <c r="AE1253" s="937">
        <f t="shared" si="31"/>
        <v>9</v>
      </c>
    </row>
    <row r="1254" spans="1:31" s="969" customFormat="1" ht="105" hidden="1" x14ac:dyDescent="0.25">
      <c r="A1254" s="671" t="s">
        <v>6578</v>
      </c>
      <c r="B1254" s="971" t="s">
        <v>1540</v>
      </c>
      <c r="C1254" s="971" t="s">
        <v>1540</v>
      </c>
      <c r="D1254" s="856" t="s">
        <v>6648</v>
      </c>
      <c r="E1254" s="856" t="s">
        <v>6503</v>
      </c>
      <c r="F1254" s="971" t="s">
        <v>1528</v>
      </c>
      <c r="G1254" s="856" t="s">
        <v>2156</v>
      </c>
      <c r="H1254" s="972">
        <v>195</v>
      </c>
      <c r="I1254" s="971" t="s">
        <v>2161</v>
      </c>
      <c r="J1254" s="856" t="s">
        <v>1454</v>
      </c>
      <c r="K1254" s="973" t="s">
        <v>6538</v>
      </c>
      <c r="L1254" s="974">
        <v>198190.45</v>
      </c>
      <c r="M1254" s="997" t="s">
        <v>997</v>
      </c>
      <c r="N1254" s="974">
        <v>198190.45</v>
      </c>
      <c r="O1254" s="975">
        <v>42979.5</v>
      </c>
      <c r="P1254" s="975">
        <v>43012.5</v>
      </c>
      <c r="Q1254" s="930" t="s">
        <v>110</v>
      </c>
      <c r="R1254" s="634" t="s">
        <v>113</v>
      </c>
      <c r="S1254" s="634" t="s">
        <v>1455</v>
      </c>
      <c r="T1254" s="847"/>
      <c r="U1254" s="930"/>
      <c r="V1254" s="930"/>
      <c r="W1254" s="930" t="s">
        <v>73</v>
      </c>
      <c r="X1254" s="970" t="s">
        <v>5103</v>
      </c>
      <c r="Y1254" s="930" t="s">
        <v>1717</v>
      </c>
      <c r="Z1254" s="932">
        <v>198190.45</v>
      </c>
      <c r="AA1254" s="908" t="s">
        <v>1458</v>
      </c>
      <c r="AB1254" s="843" t="s">
        <v>263</v>
      </c>
      <c r="AC1254" s="936"/>
      <c r="AD1254" s="844" t="s">
        <v>113</v>
      </c>
      <c r="AE1254" s="937">
        <f t="shared" si="31"/>
        <v>9</v>
      </c>
    </row>
    <row r="1255" spans="1:31" s="969" customFormat="1" ht="105" hidden="1" x14ac:dyDescent="0.25">
      <c r="A1255" s="671" t="s">
        <v>6579</v>
      </c>
      <c r="B1255" s="971" t="s">
        <v>1540</v>
      </c>
      <c r="C1255" s="971" t="s">
        <v>1745</v>
      </c>
      <c r="D1255" s="856" t="s">
        <v>6647</v>
      </c>
      <c r="E1255" s="856" t="s">
        <v>6171</v>
      </c>
      <c r="F1255" s="971" t="s">
        <v>1528</v>
      </c>
      <c r="G1255" s="856" t="s">
        <v>2156</v>
      </c>
      <c r="H1255" s="972">
        <v>15</v>
      </c>
      <c r="I1255" s="971" t="s">
        <v>2161</v>
      </c>
      <c r="J1255" s="856" t="s">
        <v>1454</v>
      </c>
      <c r="K1255" s="973" t="s">
        <v>6368</v>
      </c>
      <c r="L1255" s="974">
        <v>114838.49</v>
      </c>
      <c r="M1255" s="997"/>
      <c r="N1255" s="974">
        <v>114838.49</v>
      </c>
      <c r="O1255" s="975">
        <v>42979.5</v>
      </c>
      <c r="P1255" s="975">
        <v>43013.5</v>
      </c>
      <c r="Q1255" s="930" t="s">
        <v>110</v>
      </c>
      <c r="R1255" s="634" t="s">
        <v>113</v>
      </c>
      <c r="S1255" s="634" t="s">
        <v>1455</v>
      </c>
      <c r="T1255" s="847"/>
      <c r="U1255" s="930"/>
      <c r="V1255" s="930"/>
      <c r="W1255" s="930"/>
      <c r="X1255" s="970"/>
      <c r="Y1255" s="930"/>
      <c r="Z1255" s="932"/>
      <c r="AA1255" s="908" t="s">
        <v>1458</v>
      </c>
      <c r="AB1255" s="843" t="s">
        <v>263</v>
      </c>
      <c r="AC1255" s="936"/>
      <c r="AD1255" s="844" t="s">
        <v>113</v>
      </c>
      <c r="AE1255" s="937">
        <f t="shared" si="31"/>
        <v>9</v>
      </c>
    </row>
    <row r="1256" spans="1:31" s="969" customFormat="1" ht="105" hidden="1" x14ac:dyDescent="0.25">
      <c r="A1256" s="671" t="s">
        <v>6580</v>
      </c>
      <c r="B1256" s="971" t="s">
        <v>1576</v>
      </c>
      <c r="C1256" s="971" t="s">
        <v>1738</v>
      </c>
      <c r="D1256" s="856" t="s">
        <v>6646</v>
      </c>
      <c r="E1256" s="856" t="s">
        <v>6173</v>
      </c>
      <c r="F1256" s="971" t="s">
        <v>1528</v>
      </c>
      <c r="G1256" s="856" t="s">
        <v>2156</v>
      </c>
      <c r="H1256" s="972">
        <v>550</v>
      </c>
      <c r="I1256" s="971" t="s">
        <v>2161</v>
      </c>
      <c r="J1256" s="856" t="s">
        <v>1454</v>
      </c>
      <c r="K1256" s="973" t="s">
        <v>6539</v>
      </c>
      <c r="L1256" s="974">
        <v>594000.4</v>
      </c>
      <c r="M1256" s="997"/>
      <c r="N1256" s="974">
        <v>594000.4</v>
      </c>
      <c r="O1256" s="975">
        <v>42983.5</v>
      </c>
      <c r="P1256" s="975">
        <v>43011.5</v>
      </c>
      <c r="Q1256" s="930" t="s">
        <v>110</v>
      </c>
      <c r="R1256" s="634" t="s">
        <v>113</v>
      </c>
      <c r="S1256" s="634" t="s">
        <v>1455</v>
      </c>
      <c r="T1256" s="847"/>
      <c r="U1256" s="930"/>
      <c r="V1256" s="930"/>
      <c r="W1256" s="930"/>
      <c r="X1256" s="970"/>
      <c r="Y1256" s="930"/>
      <c r="Z1256" s="932"/>
      <c r="AA1256" s="908" t="s">
        <v>1458</v>
      </c>
      <c r="AB1256" s="843" t="s">
        <v>263</v>
      </c>
      <c r="AC1256" s="936"/>
      <c r="AD1256" s="844" t="s">
        <v>113</v>
      </c>
      <c r="AE1256" s="937">
        <f t="shared" si="31"/>
        <v>9</v>
      </c>
    </row>
    <row r="1257" spans="1:31" s="969" customFormat="1" ht="105" hidden="1" x14ac:dyDescent="0.25">
      <c r="A1257" s="671" t="s">
        <v>6581</v>
      </c>
      <c r="B1257" s="971" t="s">
        <v>1740</v>
      </c>
      <c r="C1257" s="971" t="s">
        <v>2436</v>
      </c>
      <c r="D1257" s="856" t="s">
        <v>6645</v>
      </c>
      <c r="E1257" s="856" t="s">
        <v>6174</v>
      </c>
      <c r="F1257" s="971" t="s">
        <v>1528</v>
      </c>
      <c r="G1257" s="856" t="s">
        <v>2156</v>
      </c>
      <c r="H1257" s="972">
        <v>15</v>
      </c>
      <c r="I1257" s="971" t="s">
        <v>2161</v>
      </c>
      <c r="J1257" s="856" t="s">
        <v>1454</v>
      </c>
      <c r="K1257" s="973" t="s">
        <v>1746</v>
      </c>
      <c r="L1257" s="974">
        <v>350000</v>
      </c>
      <c r="M1257" s="997"/>
      <c r="N1257" s="974">
        <v>350000</v>
      </c>
      <c r="O1257" s="975">
        <v>42983.5</v>
      </c>
      <c r="P1257" s="975">
        <v>43011.5</v>
      </c>
      <c r="Q1257" s="930" t="s">
        <v>110</v>
      </c>
      <c r="R1257" s="634" t="s">
        <v>113</v>
      </c>
      <c r="S1257" s="634" t="s">
        <v>1455</v>
      </c>
      <c r="T1257" s="847"/>
      <c r="U1257" s="930"/>
      <c r="V1257" s="930"/>
      <c r="W1257" s="930"/>
      <c r="X1257" s="970"/>
      <c r="Y1257" s="930"/>
      <c r="Z1257" s="932"/>
      <c r="AA1257" s="908" t="s">
        <v>1458</v>
      </c>
      <c r="AB1257" s="843" t="s">
        <v>263</v>
      </c>
      <c r="AC1257" s="936"/>
      <c r="AD1257" s="844" t="s">
        <v>113</v>
      </c>
      <c r="AE1257" s="937">
        <f t="shared" si="31"/>
        <v>9</v>
      </c>
    </row>
    <row r="1258" spans="1:31" s="969" customFormat="1" ht="105" hidden="1" x14ac:dyDescent="0.25">
      <c r="A1258" s="671" t="s">
        <v>6582</v>
      </c>
      <c r="B1258" s="971" t="s">
        <v>1576</v>
      </c>
      <c r="C1258" s="971" t="s">
        <v>1738</v>
      </c>
      <c r="D1258" s="856" t="s">
        <v>6644</v>
      </c>
      <c r="E1258" s="856" t="s">
        <v>5034</v>
      </c>
      <c r="F1258" s="971" t="s">
        <v>1528</v>
      </c>
      <c r="G1258" s="856" t="s">
        <v>2156</v>
      </c>
      <c r="H1258" s="972">
        <v>108</v>
      </c>
      <c r="I1258" s="971" t="s">
        <v>2161</v>
      </c>
      <c r="J1258" s="856" t="s">
        <v>1454</v>
      </c>
      <c r="K1258" s="973" t="s">
        <v>6540</v>
      </c>
      <c r="L1258" s="974">
        <v>250840.15</v>
      </c>
      <c r="M1258" s="997"/>
      <c r="N1258" s="974">
        <v>250840.15</v>
      </c>
      <c r="O1258" s="975">
        <v>42984.5</v>
      </c>
      <c r="P1258" s="975">
        <v>43012.5</v>
      </c>
      <c r="Q1258" s="930" t="s">
        <v>110</v>
      </c>
      <c r="R1258" s="634" t="s">
        <v>113</v>
      </c>
      <c r="S1258" s="634" t="s">
        <v>1455</v>
      </c>
      <c r="T1258" s="847"/>
      <c r="U1258" s="930"/>
      <c r="V1258" s="930"/>
      <c r="W1258" s="930"/>
      <c r="X1258" s="970"/>
      <c r="Y1258" s="930"/>
      <c r="Z1258" s="932"/>
      <c r="AA1258" s="908" t="s">
        <v>1458</v>
      </c>
      <c r="AB1258" s="843" t="s">
        <v>263</v>
      </c>
      <c r="AC1258" s="936"/>
      <c r="AD1258" s="844" t="s">
        <v>113</v>
      </c>
      <c r="AE1258" s="937">
        <f t="shared" si="31"/>
        <v>9</v>
      </c>
    </row>
    <row r="1259" spans="1:31" s="969" customFormat="1" ht="105" hidden="1" x14ac:dyDescent="0.25">
      <c r="A1259" s="671" t="s">
        <v>6583</v>
      </c>
      <c r="B1259" s="971" t="s">
        <v>6504</v>
      </c>
      <c r="C1259" s="971" t="s">
        <v>6505</v>
      </c>
      <c r="D1259" s="856" t="s">
        <v>6643</v>
      </c>
      <c r="E1259" s="856" t="s">
        <v>6506</v>
      </c>
      <c r="F1259" s="971" t="s">
        <v>1528</v>
      </c>
      <c r="G1259" s="856" t="s">
        <v>2156</v>
      </c>
      <c r="H1259" s="972">
        <v>1</v>
      </c>
      <c r="I1259" s="971" t="s">
        <v>2161</v>
      </c>
      <c r="J1259" s="856" t="s">
        <v>1454</v>
      </c>
      <c r="K1259" s="973" t="s">
        <v>6541</v>
      </c>
      <c r="L1259" s="974">
        <v>80000</v>
      </c>
      <c r="M1259" s="997"/>
      <c r="N1259" s="974">
        <v>80000</v>
      </c>
      <c r="O1259" s="975">
        <v>42983.5</v>
      </c>
      <c r="P1259" s="975">
        <v>43011.5</v>
      </c>
      <c r="Q1259" s="930" t="s">
        <v>108</v>
      </c>
      <c r="R1259" s="634" t="s">
        <v>112</v>
      </c>
      <c r="S1259" s="930" t="s">
        <v>1457</v>
      </c>
      <c r="T1259" s="847"/>
      <c r="U1259" s="930"/>
      <c r="V1259" s="930"/>
      <c r="W1259" s="930"/>
      <c r="X1259" s="970"/>
      <c r="Y1259" s="930"/>
      <c r="Z1259" s="932"/>
      <c r="AA1259" s="908" t="s">
        <v>1458</v>
      </c>
      <c r="AB1259" s="843" t="s">
        <v>263</v>
      </c>
      <c r="AC1259" s="936"/>
      <c r="AD1259" s="844" t="s">
        <v>113</v>
      </c>
      <c r="AE1259" s="937">
        <f t="shared" si="31"/>
        <v>9</v>
      </c>
    </row>
    <row r="1260" spans="1:31" s="969" customFormat="1" ht="105" hidden="1" x14ac:dyDescent="0.25">
      <c r="A1260" s="671" t="s">
        <v>6584</v>
      </c>
      <c r="B1260" s="971" t="s">
        <v>1666</v>
      </c>
      <c r="C1260" s="971" t="s">
        <v>6507</v>
      </c>
      <c r="D1260" s="856" t="s">
        <v>6602</v>
      </c>
      <c r="E1260" s="856" t="s">
        <v>6508</v>
      </c>
      <c r="F1260" s="971" t="s">
        <v>1528</v>
      </c>
      <c r="G1260" s="856" t="s">
        <v>2156</v>
      </c>
      <c r="H1260" s="972">
        <v>80</v>
      </c>
      <c r="I1260" s="971" t="s">
        <v>2161</v>
      </c>
      <c r="J1260" s="856" t="s">
        <v>1454</v>
      </c>
      <c r="K1260" s="973" t="s">
        <v>7225</v>
      </c>
      <c r="L1260" s="974">
        <v>141057.20000000001</v>
      </c>
      <c r="M1260" s="997" t="s">
        <v>997</v>
      </c>
      <c r="N1260" s="974">
        <v>141057.20000000001</v>
      </c>
      <c r="O1260" s="975">
        <v>42984.5</v>
      </c>
      <c r="P1260" s="975">
        <v>43012.5</v>
      </c>
      <c r="Q1260" s="930" t="s">
        <v>110</v>
      </c>
      <c r="R1260" s="634" t="s">
        <v>113</v>
      </c>
      <c r="S1260" s="634" t="s">
        <v>1455</v>
      </c>
      <c r="T1260" s="847"/>
      <c r="U1260" s="930"/>
      <c r="V1260" s="930" t="s">
        <v>45</v>
      </c>
      <c r="W1260" s="930" t="s">
        <v>268</v>
      </c>
      <c r="X1260" s="970" t="s">
        <v>7223</v>
      </c>
      <c r="Y1260" s="930" t="s">
        <v>7224</v>
      </c>
      <c r="Z1260" s="932">
        <v>141057.20000000001</v>
      </c>
      <c r="AA1260" s="908" t="s">
        <v>1458</v>
      </c>
      <c r="AB1260" s="843" t="s">
        <v>263</v>
      </c>
      <c r="AC1260" s="936"/>
      <c r="AD1260" s="844" t="s">
        <v>113</v>
      </c>
      <c r="AE1260" s="937">
        <f t="shared" si="31"/>
        <v>9</v>
      </c>
    </row>
    <row r="1261" spans="1:31" s="969" customFormat="1" ht="105" hidden="1" x14ac:dyDescent="0.25">
      <c r="A1261" s="671" t="s">
        <v>6585</v>
      </c>
      <c r="B1261" s="971" t="s">
        <v>1663</v>
      </c>
      <c r="C1261" s="971" t="s">
        <v>1663</v>
      </c>
      <c r="D1261" s="856" t="s">
        <v>6603</v>
      </c>
      <c r="E1261" s="856" t="s">
        <v>6509</v>
      </c>
      <c r="F1261" s="971" t="s">
        <v>1528</v>
      </c>
      <c r="G1261" s="856" t="s">
        <v>2156</v>
      </c>
      <c r="H1261" s="972">
        <v>28490</v>
      </c>
      <c r="I1261" s="971" t="s">
        <v>2161</v>
      </c>
      <c r="J1261" s="856" t="s">
        <v>1454</v>
      </c>
      <c r="K1261" s="973" t="s">
        <v>6870</v>
      </c>
      <c r="L1261" s="974">
        <v>105201.28</v>
      </c>
      <c r="M1261" s="997"/>
      <c r="N1261" s="974">
        <v>105201.28174999999</v>
      </c>
      <c r="O1261" s="975">
        <v>42985.5</v>
      </c>
      <c r="P1261" s="975">
        <v>43013.5</v>
      </c>
      <c r="Q1261" s="930" t="s">
        <v>108</v>
      </c>
      <c r="R1261" s="634" t="s">
        <v>112</v>
      </c>
      <c r="S1261" s="930" t="s">
        <v>1457</v>
      </c>
      <c r="T1261" s="847"/>
      <c r="U1261" s="930"/>
      <c r="V1261" s="930"/>
      <c r="W1261" s="930"/>
      <c r="X1261" s="970"/>
      <c r="Y1261" s="930"/>
      <c r="Z1261" s="932"/>
      <c r="AA1261" s="908" t="s">
        <v>1458</v>
      </c>
      <c r="AB1261" s="843" t="s">
        <v>263</v>
      </c>
      <c r="AC1261" s="936"/>
      <c r="AD1261" s="844" t="s">
        <v>113</v>
      </c>
      <c r="AE1261" s="937">
        <f t="shared" si="31"/>
        <v>9</v>
      </c>
    </row>
    <row r="1262" spans="1:31" s="969" customFormat="1" ht="105" hidden="1" x14ac:dyDescent="0.25">
      <c r="A1262" s="671" t="s">
        <v>6586</v>
      </c>
      <c r="B1262" s="971" t="s">
        <v>1663</v>
      </c>
      <c r="C1262" s="971" t="s">
        <v>1663</v>
      </c>
      <c r="D1262" s="856" t="s">
        <v>6604</v>
      </c>
      <c r="E1262" s="856" t="s">
        <v>6510</v>
      </c>
      <c r="F1262" s="971" t="s">
        <v>1528</v>
      </c>
      <c r="G1262" s="856" t="s">
        <v>2156</v>
      </c>
      <c r="H1262" s="972">
        <v>22000</v>
      </c>
      <c r="I1262" s="971" t="s">
        <v>2161</v>
      </c>
      <c r="J1262" s="856" t="s">
        <v>1454</v>
      </c>
      <c r="K1262" s="973" t="s">
        <v>1698</v>
      </c>
      <c r="L1262" s="974">
        <v>120000</v>
      </c>
      <c r="M1262" s="997"/>
      <c r="N1262" s="974">
        <v>120000</v>
      </c>
      <c r="O1262" s="975">
        <v>42985.5</v>
      </c>
      <c r="P1262" s="975">
        <v>43013.5</v>
      </c>
      <c r="Q1262" s="930" t="s">
        <v>108</v>
      </c>
      <c r="R1262" s="634" t="s">
        <v>112</v>
      </c>
      <c r="S1262" s="930" t="s">
        <v>1457</v>
      </c>
      <c r="T1262" s="847"/>
      <c r="U1262" s="930"/>
      <c r="V1262" s="930"/>
      <c r="W1262" s="930"/>
      <c r="X1262" s="970"/>
      <c r="Y1262" s="930"/>
      <c r="Z1262" s="932"/>
      <c r="AA1262" s="908" t="s">
        <v>1458</v>
      </c>
      <c r="AB1262" s="843" t="s">
        <v>263</v>
      </c>
      <c r="AC1262" s="936"/>
      <c r="AD1262" s="844" t="s">
        <v>113</v>
      </c>
      <c r="AE1262" s="937">
        <f t="shared" si="31"/>
        <v>9</v>
      </c>
    </row>
    <row r="1263" spans="1:31" s="969" customFormat="1" ht="105" hidden="1" x14ac:dyDescent="0.25">
      <c r="A1263" s="671" t="s">
        <v>6587</v>
      </c>
      <c r="B1263" s="971" t="s">
        <v>1531</v>
      </c>
      <c r="C1263" s="971" t="s">
        <v>1738</v>
      </c>
      <c r="D1263" s="856" t="s">
        <v>6605</v>
      </c>
      <c r="E1263" s="856" t="s">
        <v>6511</v>
      </c>
      <c r="F1263" s="971" t="s">
        <v>1528</v>
      </c>
      <c r="G1263" s="856" t="s">
        <v>2156</v>
      </c>
      <c r="H1263" s="972">
        <v>1183</v>
      </c>
      <c r="I1263" s="971" t="s">
        <v>2161</v>
      </c>
      <c r="J1263" s="856" t="s">
        <v>1454</v>
      </c>
      <c r="K1263" s="973" t="s">
        <v>1499</v>
      </c>
      <c r="L1263" s="974">
        <v>1500000</v>
      </c>
      <c r="M1263" s="997"/>
      <c r="N1263" s="974">
        <v>1500000</v>
      </c>
      <c r="O1263" s="975">
        <v>42979.5</v>
      </c>
      <c r="P1263" s="975">
        <v>43097.5</v>
      </c>
      <c r="Q1263" s="930" t="s">
        <v>108</v>
      </c>
      <c r="R1263" s="634" t="s">
        <v>112</v>
      </c>
      <c r="S1263" s="930" t="s">
        <v>1457</v>
      </c>
      <c r="T1263" s="847"/>
      <c r="U1263" s="930"/>
      <c r="V1263" s="930"/>
      <c r="W1263" s="930"/>
      <c r="X1263" s="970"/>
      <c r="Y1263" s="930"/>
      <c r="Z1263" s="932"/>
      <c r="AA1263" s="908" t="s">
        <v>1458</v>
      </c>
      <c r="AB1263" s="843" t="s">
        <v>263</v>
      </c>
      <c r="AC1263" s="936"/>
      <c r="AD1263" s="844" t="s">
        <v>113</v>
      </c>
      <c r="AE1263" s="937">
        <f t="shared" si="31"/>
        <v>9</v>
      </c>
    </row>
    <row r="1264" spans="1:31" s="969" customFormat="1" ht="105" hidden="1" x14ac:dyDescent="0.25">
      <c r="A1264" s="671" t="s">
        <v>6588</v>
      </c>
      <c r="B1264" s="971" t="s">
        <v>1851</v>
      </c>
      <c r="C1264" s="971" t="s">
        <v>2160</v>
      </c>
      <c r="D1264" s="856" t="s">
        <v>6642</v>
      </c>
      <c r="E1264" s="856" t="s">
        <v>3155</v>
      </c>
      <c r="F1264" s="971" t="s">
        <v>1528</v>
      </c>
      <c r="G1264" s="856" t="s">
        <v>2156</v>
      </c>
      <c r="H1264" s="972">
        <v>100</v>
      </c>
      <c r="I1264" s="971" t="s">
        <v>2161</v>
      </c>
      <c r="J1264" s="856" t="s">
        <v>1454</v>
      </c>
      <c r="K1264" s="973" t="s">
        <v>6542</v>
      </c>
      <c r="L1264" s="974">
        <v>1478835</v>
      </c>
      <c r="M1264" s="997"/>
      <c r="N1264" s="974">
        <v>1478835</v>
      </c>
      <c r="O1264" s="975">
        <v>42979.5</v>
      </c>
      <c r="P1264" s="975">
        <v>43097.5</v>
      </c>
      <c r="Q1264" s="930" t="s">
        <v>108</v>
      </c>
      <c r="R1264" s="634" t="s">
        <v>112</v>
      </c>
      <c r="S1264" s="930" t="s">
        <v>1457</v>
      </c>
      <c r="T1264" s="847"/>
      <c r="U1264" s="930"/>
      <c r="V1264" s="930"/>
      <c r="W1264" s="930"/>
      <c r="X1264" s="970"/>
      <c r="Y1264" s="930"/>
      <c r="Z1264" s="932"/>
      <c r="AA1264" s="908" t="s">
        <v>1458</v>
      </c>
      <c r="AB1264" s="843" t="s">
        <v>263</v>
      </c>
      <c r="AC1264" s="936"/>
      <c r="AD1264" s="844" t="s">
        <v>113</v>
      </c>
      <c r="AE1264" s="937">
        <f t="shared" si="31"/>
        <v>9</v>
      </c>
    </row>
    <row r="1265" spans="1:31" s="969" customFormat="1" ht="105" hidden="1" x14ac:dyDescent="0.25">
      <c r="A1265" s="671" t="s">
        <v>6589</v>
      </c>
      <c r="B1265" s="971" t="s">
        <v>6512</v>
      </c>
      <c r="C1265" s="971" t="s">
        <v>6512</v>
      </c>
      <c r="D1265" s="856" t="s">
        <v>6641</v>
      </c>
      <c r="E1265" s="856" t="s">
        <v>6513</v>
      </c>
      <c r="F1265" s="971" t="s">
        <v>1528</v>
      </c>
      <c r="G1265" s="856" t="s">
        <v>2156</v>
      </c>
      <c r="H1265" s="972">
        <v>3</v>
      </c>
      <c r="I1265" s="971" t="s">
        <v>2161</v>
      </c>
      <c r="J1265" s="856" t="s">
        <v>1454</v>
      </c>
      <c r="K1265" s="973" t="s">
        <v>6869</v>
      </c>
      <c r="L1265" s="974">
        <v>106192.58</v>
      </c>
      <c r="M1265" s="997"/>
      <c r="N1265" s="974">
        <v>106192.58</v>
      </c>
      <c r="O1265" s="975">
        <v>43009</v>
      </c>
      <c r="P1265" s="975">
        <v>43009</v>
      </c>
      <c r="Q1265" s="930" t="s">
        <v>108</v>
      </c>
      <c r="R1265" s="634" t="s">
        <v>112</v>
      </c>
      <c r="S1265" s="930" t="s">
        <v>1457</v>
      </c>
      <c r="T1265" s="847"/>
      <c r="U1265" s="930"/>
      <c r="V1265" s="930"/>
      <c r="W1265" s="930"/>
      <c r="X1265" s="970"/>
      <c r="Y1265" s="930"/>
      <c r="Z1265" s="932"/>
      <c r="AA1265" s="908" t="s">
        <v>1458</v>
      </c>
      <c r="AB1265" s="843" t="s">
        <v>263</v>
      </c>
      <c r="AC1265" s="936"/>
      <c r="AD1265" s="844" t="s">
        <v>113</v>
      </c>
      <c r="AE1265" s="937">
        <f t="shared" si="31"/>
        <v>10</v>
      </c>
    </row>
    <row r="1266" spans="1:31" s="969" customFormat="1" ht="105" hidden="1" x14ac:dyDescent="0.25">
      <c r="A1266" s="671" t="s">
        <v>6590</v>
      </c>
      <c r="B1266" s="971" t="s">
        <v>1526</v>
      </c>
      <c r="C1266" s="971" t="s">
        <v>5547</v>
      </c>
      <c r="D1266" s="856" t="s">
        <v>6640</v>
      </c>
      <c r="E1266" s="856" t="s">
        <v>6514</v>
      </c>
      <c r="F1266" s="971" t="s">
        <v>1528</v>
      </c>
      <c r="G1266" s="856" t="s">
        <v>2156</v>
      </c>
      <c r="H1266" s="972">
        <v>1</v>
      </c>
      <c r="I1266" s="971" t="s">
        <v>2161</v>
      </c>
      <c r="J1266" s="856" t="s">
        <v>1454</v>
      </c>
      <c r="K1266" s="973" t="s">
        <v>7375</v>
      </c>
      <c r="L1266" s="974">
        <v>69933.33</v>
      </c>
      <c r="M1266" s="997"/>
      <c r="N1266" s="974">
        <v>69933.33</v>
      </c>
      <c r="O1266" s="975">
        <v>43009</v>
      </c>
      <c r="P1266" s="975">
        <v>43040.5</v>
      </c>
      <c r="Q1266" s="930" t="s">
        <v>108</v>
      </c>
      <c r="R1266" s="634" t="s">
        <v>112</v>
      </c>
      <c r="S1266" s="930" t="s">
        <v>1457</v>
      </c>
      <c r="T1266" s="847"/>
      <c r="U1266" s="930"/>
      <c r="V1266" s="930"/>
      <c r="W1266" s="930"/>
      <c r="X1266" s="970"/>
      <c r="Y1266" s="930"/>
      <c r="Z1266" s="932"/>
      <c r="AA1266" s="908" t="s">
        <v>1458</v>
      </c>
      <c r="AB1266" s="843" t="s">
        <v>263</v>
      </c>
      <c r="AC1266" s="936"/>
      <c r="AD1266" s="844" t="s">
        <v>113</v>
      </c>
      <c r="AE1266" s="937">
        <f t="shared" si="31"/>
        <v>10</v>
      </c>
    </row>
    <row r="1267" spans="1:31" s="969" customFormat="1" ht="105" hidden="1" x14ac:dyDescent="0.25">
      <c r="A1267" s="671" t="s">
        <v>6591</v>
      </c>
      <c r="B1267" s="971" t="s">
        <v>1531</v>
      </c>
      <c r="C1267" s="971" t="s">
        <v>1532</v>
      </c>
      <c r="D1267" s="856" t="s">
        <v>6639</v>
      </c>
      <c r="E1267" s="856" t="s">
        <v>6159</v>
      </c>
      <c r="F1267" s="971" t="s">
        <v>1587</v>
      </c>
      <c r="G1267" s="856" t="s">
        <v>2256</v>
      </c>
      <c r="H1267" s="972">
        <v>1</v>
      </c>
      <c r="I1267" s="971" t="s">
        <v>2161</v>
      </c>
      <c r="J1267" s="856" t="s">
        <v>1454</v>
      </c>
      <c r="K1267" s="973" t="s">
        <v>6359</v>
      </c>
      <c r="L1267" s="974">
        <v>745423.23</v>
      </c>
      <c r="M1267" s="997"/>
      <c r="N1267" s="974">
        <v>745423.23</v>
      </c>
      <c r="O1267" s="975">
        <v>42979.5</v>
      </c>
      <c r="P1267" s="975">
        <v>43097.5</v>
      </c>
      <c r="Q1267" s="930" t="s">
        <v>108</v>
      </c>
      <c r="R1267" s="634" t="s">
        <v>112</v>
      </c>
      <c r="S1267" s="930" t="s">
        <v>1457</v>
      </c>
      <c r="T1267" s="847"/>
      <c r="U1267" s="930"/>
      <c r="V1267" s="930"/>
      <c r="W1267" s="930"/>
      <c r="X1267" s="970"/>
      <c r="Y1267" s="930"/>
      <c r="Z1267" s="932"/>
      <c r="AA1267" s="908" t="s">
        <v>1458</v>
      </c>
      <c r="AB1267" s="843" t="s">
        <v>263</v>
      </c>
      <c r="AC1267" s="936"/>
      <c r="AD1267" s="844" t="s">
        <v>113</v>
      </c>
      <c r="AE1267" s="937">
        <f t="shared" si="31"/>
        <v>9</v>
      </c>
    </row>
    <row r="1268" spans="1:31" s="969" customFormat="1" ht="105" hidden="1" x14ac:dyDescent="0.25">
      <c r="A1268" s="671" t="s">
        <v>6592</v>
      </c>
      <c r="B1268" s="971" t="s">
        <v>1540</v>
      </c>
      <c r="C1268" s="971" t="s">
        <v>1545</v>
      </c>
      <c r="D1268" s="856" t="s">
        <v>6638</v>
      </c>
      <c r="E1268" s="856" t="s">
        <v>6159</v>
      </c>
      <c r="F1268" s="971" t="s">
        <v>1528</v>
      </c>
      <c r="G1268" s="856" t="s">
        <v>2156</v>
      </c>
      <c r="H1268" s="972">
        <v>50</v>
      </c>
      <c r="I1268" s="971" t="s">
        <v>2161</v>
      </c>
      <c r="J1268" s="856" t="s">
        <v>1454</v>
      </c>
      <c r="K1268" s="973" t="s">
        <v>6543</v>
      </c>
      <c r="L1268" s="974">
        <v>768750</v>
      </c>
      <c r="M1268" s="997"/>
      <c r="N1268" s="974">
        <v>768750</v>
      </c>
      <c r="O1268" s="975">
        <v>42979.5</v>
      </c>
      <c r="P1268" s="975">
        <v>43070.5</v>
      </c>
      <c r="Q1268" s="930" t="s">
        <v>108</v>
      </c>
      <c r="R1268" s="634" t="s">
        <v>112</v>
      </c>
      <c r="S1268" s="930" t="s">
        <v>1457</v>
      </c>
      <c r="T1268" s="847"/>
      <c r="U1268" s="930"/>
      <c r="V1268" s="930"/>
      <c r="W1268" s="930"/>
      <c r="X1268" s="970"/>
      <c r="Y1268" s="930"/>
      <c r="Z1268" s="932"/>
      <c r="AA1268" s="908" t="s">
        <v>1458</v>
      </c>
      <c r="AB1268" s="843" t="s">
        <v>263</v>
      </c>
      <c r="AC1268" s="936"/>
      <c r="AD1268" s="844" t="s">
        <v>113</v>
      </c>
      <c r="AE1268" s="937">
        <f t="shared" si="31"/>
        <v>9</v>
      </c>
    </row>
    <row r="1269" spans="1:31" s="969" customFormat="1" ht="105" hidden="1" x14ac:dyDescent="0.25">
      <c r="A1269" s="671" t="s">
        <v>6593</v>
      </c>
      <c r="B1269" s="971" t="s">
        <v>2205</v>
      </c>
      <c r="C1269" s="971" t="s">
        <v>2434</v>
      </c>
      <c r="D1269" s="856" t="s">
        <v>6637</v>
      </c>
      <c r="E1269" s="856" t="s">
        <v>2463</v>
      </c>
      <c r="F1269" s="971" t="s">
        <v>1528</v>
      </c>
      <c r="G1269" s="856" t="s">
        <v>2156</v>
      </c>
      <c r="H1269" s="972">
        <v>310</v>
      </c>
      <c r="I1269" s="971" t="s">
        <v>2161</v>
      </c>
      <c r="J1269" s="856" t="s">
        <v>1454</v>
      </c>
      <c r="K1269" s="973" t="s">
        <v>6544</v>
      </c>
      <c r="L1269" s="974">
        <v>76452.2</v>
      </c>
      <c r="M1269" s="997"/>
      <c r="N1269" s="974">
        <v>76452.2</v>
      </c>
      <c r="O1269" s="975">
        <v>42979.5</v>
      </c>
      <c r="P1269" s="975">
        <v>43070.5</v>
      </c>
      <c r="Q1269" s="930" t="s">
        <v>110</v>
      </c>
      <c r="R1269" s="634" t="s">
        <v>113</v>
      </c>
      <c r="S1269" s="634" t="s">
        <v>1455</v>
      </c>
      <c r="T1269" s="847"/>
      <c r="U1269" s="930"/>
      <c r="V1269" s="930"/>
      <c r="W1269" s="930"/>
      <c r="X1269" s="970"/>
      <c r="Y1269" s="930"/>
      <c r="Z1269" s="932"/>
      <c r="AA1269" s="908" t="s">
        <v>1458</v>
      </c>
      <c r="AB1269" s="843" t="s">
        <v>263</v>
      </c>
      <c r="AC1269" s="936"/>
      <c r="AD1269" s="844" t="s">
        <v>113</v>
      </c>
      <c r="AE1269" s="937">
        <f t="shared" si="31"/>
        <v>9</v>
      </c>
    </row>
    <row r="1270" spans="1:31" s="969" customFormat="1" ht="105" hidden="1" x14ac:dyDescent="0.25">
      <c r="A1270" s="671" t="s">
        <v>6594</v>
      </c>
      <c r="B1270" s="971" t="s">
        <v>2205</v>
      </c>
      <c r="C1270" s="971" t="s">
        <v>2434</v>
      </c>
      <c r="D1270" s="856" t="s">
        <v>6636</v>
      </c>
      <c r="E1270" s="856" t="s">
        <v>2463</v>
      </c>
      <c r="F1270" s="971" t="s">
        <v>1528</v>
      </c>
      <c r="G1270" s="856" t="s">
        <v>2156</v>
      </c>
      <c r="H1270" s="972">
        <v>600</v>
      </c>
      <c r="I1270" s="971" t="s">
        <v>2161</v>
      </c>
      <c r="J1270" s="856" t="s">
        <v>1454</v>
      </c>
      <c r="K1270" s="973" t="s">
        <v>4924</v>
      </c>
      <c r="L1270" s="974">
        <v>775024</v>
      </c>
      <c r="M1270" s="997"/>
      <c r="N1270" s="974">
        <v>775024</v>
      </c>
      <c r="O1270" s="975">
        <v>42979.5</v>
      </c>
      <c r="P1270" s="975">
        <v>43070.5</v>
      </c>
      <c r="Q1270" s="930" t="s">
        <v>110</v>
      </c>
      <c r="R1270" s="634" t="s">
        <v>113</v>
      </c>
      <c r="S1270" s="634" t="s">
        <v>1455</v>
      </c>
      <c r="T1270" s="847"/>
      <c r="U1270" s="930"/>
      <c r="V1270" s="930"/>
      <c r="W1270" s="930" t="s">
        <v>73</v>
      </c>
      <c r="X1270" s="635" t="s">
        <v>2385</v>
      </c>
      <c r="Y1270" s="634" t="s">
        <v>2384</v>
      </c>
      <c r="Z1270" s="932">
        <v>775024</v>
      </c>
      <c r="AA1270" s="908" t="s">
        <v>1458</v>
      </c>
      <c r="AB1270" s="843" t="s">
        <v>263</v>
      </c>
      <c r="AC1270" s="936"/>
      <c r="AD1270" s="844" t="s">
        <v>113</v>
      </c>
      <c r="AE1270" s="937">
        <f t="shared" si="31"/>
        <v>9</v>
      </c>
    </row>
    <row r="1271" spans="1:31" s="969" customFormat="1" ht="105" hidden="1" x14ac:dyDescent="0.25">
      <c r="A1271" s="671" t="s">
        <v>6595</v>
      </c>
      <c r="B1271" s="971" t="s">
        <v>1531</v>
      </c>
      <c r="C1271" s="971" t="s">
        <v>1532</v>
      </c>
      <c r="D1271" s="856" t="s">
        <v>6635</v>
      </c>
      <c r="E1271" s="856" t="s">
        <v>6159</v>
      </c>
      <c r="F1271" s="971" t="s">
        <v>1587</v>
      </c>
      <c r="G1271" s="856" t="s">
        <v>2256</v>
      </c>
      <c r="H1271" s="972">
        <v>2</v>
      </c>
      <c r="I1271" s="971" t="s">
        <v>2161</v>
      </c>
      <c r="J1271" s="856" t="s">
        <v>1454</v>
      </c>
      <c r="K1271" s="973" t="s">
        <v>6545</v>
      </c>
      <c r="L1271" s="974">
        <v>126904.67</v>
      </c>
      <c r="M1271" s="997"/>
      <c r="N1271" s="974">
        <v>126904.67</v>
      </c>
      <c r="O1271" s="975">
        <v>42979.5</v>
      </c>
      <c r="P1271" s="975">
        <v>43070.5</v>
      </c>
      <c r="Q1271" s="930" t="s">
        <v>110</v>
      </c>
      <c r="R1271" s="634" t="s">
        <v>112</v>
      </c>
      <c r="S1271" s="930" t="s">
        <v>1457</v>
      </c>
      <c r="T1271" s="847"/>
      <c r="U1271" s="930"/>
      <c r="V1271" s="930"/>
      <c r="W1271" s="930"/>
      <c r="X1271" s="970"/>
      <c r="Y1271" s="930"/>
      <c r="Z1271" s="932"/>
      <c r="AA1271" s="908" t="s">
        <v>1458</v>
      </c>
      <c r="AB1271" s="843" t="s">
        <v>263</v>
      </c>
      <c r="AC1271" s="936"/>
      <c r="AD1271" s="844" t="s">
        <v>113</v>
      </c>
      <c r="AE1271" s="937">
        <f t="shared" si="31"/>
        <v>9</v>
      </c>
    </row>
    <row r="1272" spans="1:31" s="969" customFormat="1" ht="315" hidden="1" x14ac:dyDescent="0.25">
      <c r="A1272" s="671" t="s">
        <v>6596</v>
      </c>
      <c r="B1272" s="971" t="s">
        <v>1585</v>
      </c>
      <c r="C1272" s="971" t="s">
        <v>1585</v>
      </c>
      <c r="D1272" s="856" t="s">
        <v>6606</v>
      </c>
      <c r="E1272" s="856" t="s">
        <v>1586</v>
      </c>
      <c r="F1272" s="971" t="s">
        <v>1528</v>
      </c>
      <c r="G1272" s="856" t="str">
        <f>IFERROR(VLOOKUP(F1272,'[12]код океи'!$B$2:$C$448,2,1)," ")</f>
        <v>Штука</v>
      </c>
      <c r="H1272" s="972">
        <v>20</v>
      </c>
      <c r="I1272" s="971" t="s">
        <v>2161</v>
      </c>
      <c r="J1272" s="856" t="s">
        <v>1454</v>
      </c>
      <c r="K1272" s="973" t="s">
        <v>6877</v>
      </c>
      <c r="L1272" s="973">
        <v>272183.81</v>
      </c>
      <c r="M1272" s="997"/>
      <c r="N1272" s="973">
        <v>272183.81</v>
      </c>
      <c r="O1272" s="975">
        <v>42979.5</v>
      </c>
      <c r="P1272" s="975">
        <v>43040</v>
      </c>
      <c r="Q1272" s="930" t="s">
        <v>108</v>
      </c>
      <c r="R1272" s="634" t="s">
        <v>112</v>
      </c>
      <c r="S1272" s="634" t="s">
        <v>1457</v>
      </c>
      <c r="T1272" s="847"/>
      <c r="U1272" s="930"/>
      <c r="V1272" s="930"/>
      <c r="W1272" s="930"/>
      <c r="X1272" s="970"/>
      <c r="Y1272" s="930"/>
      <c r="Z1272" s="932"/>
      <c r="AA1272" s="908" t="s">
        <v>1458</v>
      </c>
      <c r="AB1272" s="843" t="s">
        <v>263</v>
      </c>
      <c r="AC1272" s="936"/>
      <c r="AD1272" s="844" t="s">
        <v>113</v>
      </c>
      <c r="AE1272" s="937">
        <f t="shared" si="31"/>
        <v>9</v>
      </c>
    </row>
    <row r="1273" spans="1:31" s="969" customFormat="1" ht="315" hidden="1" x14ac:dyDescent="0.25">
      <c r="A1273" s="671" t="s">
        <v>6597</v>
      </c>
      <c r="B1273" s="971" t="s">
        <v>1585</v>
      </c>
      <c r="C1273" s="971" t="s">
        <v>1585</v>
      </c>
      <c r="D1273" s="856" t="s">
        <v>6607</v>
      </c>
      <c r="E1273" s="856" t="s">
        <v>1586</v>
      </c>
      <c r="F1273" s="971" t="s">
        <v>1528</v>
      </c>
      <c r="G1273" s="856" t="str">
        <f>IFERROR(VLOOKUP(F1273,'[12]код океи'!$B$2:$C$448,2,1)," ")</f>
        <v>Штука</v>
      </c>
      <c r="H1273" s="972">
        <v>47</v>
      </c>
      <c r="I1273" s="971" t="s">
        <v>2161</v>
      </c>
      <c r="J1273" s="856" t="s">
        <v>1454</v>
      </c>
      <c r="K1273" s="973" t="s">
        <v>6874</v>
      </c>
      <c r="L1273" s="973">
        <v>233544</v>
      </c>
      <c r="M1273" s="997"/>
      <c r="N1273" s="973">
        <v>233544</v>
      </c>
      <c r="O1273" s="975">
        <v>42979.5</v>
      </c>
      <c r="P1273" s="975">
        <v>43040</v>
      </c>
      <c r="Q1273" s="930" t="s">
        <v>108</v>
      </c>
      <c r="R1273" s="634" t="s">
        <v>112</v>
      </c>
      <c r="S1273" s="930" t="s">
        <v>1457</v>
      </c>
      <c r="T1273" s="847"/>
      <c r="U1273" s="930"/>
      <c r="V1273" s="930"/>
      <c r="W1273" s="930"/>
      <c r="X1273" s="970"/>
      <c r="Y1273" s="930"/>
      <c r="Z1273" s="932"/>
      <c r="AA1273" s="908" t="s">
        <v>1458</v>
      </c>
      <c r="AB1273" s="843" t="s">
        <v>263</v>
      </c>
      <c r="AC1273" s="936"/>
      <c r="AD1273" s="844" t="s">
        <v>113</v>
      </c>
      <c r="AE1273" s="937">
        <f t="shared" si="31"/>
        <v>9</v>
      </c>
    </row>
    <row r="1274" spans="1:31" ht="105" hidden="1" x14ac:dyDescent="0.25">
      <c r="A1274" s="960" t="s">
        <v>7021</v>
      </c>
      <c r="B1274" s="922" t="s">
        <v>1450</v>
      </c>
      <c r="C1274" s="922" t="s">
        <v>6889</v>
      </c>
      <c r="D1274" s="670" t="s">
        <v>7473</v>
      </c>
      <c r="E1274" s="984" t="s">
        <v>1452</v>
      </c>
      <c r="F1274" s="926" t="s">
        <v>1528</v>
      </c>
      <c r="G1274" s="924" t="s">
        <v>2156</v>
      </c>
      <c r="H1274" s="931">
        <v>1</v>
      </c>
      <c r="I1274" s="985" t="s">
        <v>2161</v>
      </c>
      <c r="J1274" s="924" t="s">
        <v>1454</v>
      </c>
      <c r="K1274" s="989" t="s">
        <v>6942</v>
      </c>
      <c r="L1274" s="974">
        <v>2310000</v>
      </c>
      <c r="M1274" s="997"/>
      <c r="N1274" s="990">
        <v>2310000</v>
      </c>
      <c r="O1274" s="991">
        <v>42979.625</v>
      </c>
      <c r="P1274" s="991">
        <v>43070.625</v>
      </c>
      <c r="Q1274" s="930" t="s">
        <v>108</v>
      </c>
      <c r="R1274" s="634" t="s">
        <v>112</v>
      </c>
      <c r="S1274" s="930" t="s">
        <v>1457</v>
      </c>
      <c r="T1274" s="990"/>
      <c r="U1274" s="930"/>
      <c r="V1274" s="930"/>
      <c r="W1274" s="934"/>
      <c r="X1274" s="935"/>
      <c r="Y1274" s="934"/>
      <c r="Z1274" s="933"/>
      <c r="AA1274" s="908" t="s">
        <v>1458</v>
      </c>
      <c r="AB1274" s="843" t="s">
        <v>263</v>
      </c>
      <c r="AC1274" s="936"/>
      <c r="AD1274" s="844" t="s">
        <v>113</v>
      </c>
      <c r="AE1274" s="937">
        <f t="shared" ref="AE1274:AE1305" si="32">IF(O1274=0,,MONTH(O1274))</f>
        <v>9</v>
      </c>
    </row>
    <row r="1275" spans="1:31" ht="105" hidden="1" x14ac:dyDescent="0.25">
      <c r="A1275" s="960" t="s">
        <v>7022</v>
      </c>
      <c r="B1275" s="922" t="s">
        <v>2176</v>
      </c>
      <c r="C1275" s="922" t="s">
        <v>2037</v>
      </c>
      <c r="D1275" s="670" t="s">
        <v>7474</v>
      </c>
      <c r="E1275" s="984" t="s">
        <v>2027</v>
      </c>
      <c r="F1275" s="926" t="s">
        <v>1528</v>
      </c>
      <c r="G1275" s="924" t="s">
        <v>2156</v>
      </c>
      <c r="H1275" s="931">
        <v>990</v>
      </c>
      <c r="I1275" s="985" t="s">
        <v>2161</v>
      </c>
      <c r="J1275" s="924" t="s">
        <v>1454</v>
      </c>
      <c r="K1275" s="989" t="s">
        <v>6943</v>
      </c>
      <c r="L1275" s="974">
        <v>19737756.640000001</v>
      </c>
      <c r="M1275" s="997" t="s">
        <v>997</v>
      </c>
      <c r="N1275" s="990">
        <v>19737756.640000001</v>
      </c>
      <c r="O1275" s="991">
        <v>42979.625</v>
      </c>
      <c r="P1275" s="991">
        <v>43070.625</v>
      </c>
      <c r="Q1275" s="930" t="s">
        <v>110</v>
      </c>
      <c r="R1275" s="634" t="s">
        <v>113</v>
      </c>
      <c r="S1275" s="930"/>
      <c r="T1275" s="990"/>
      <c r="U1275" s="930"/>
      <c r="V1275" s="930"/>
      <c r="W1275" s="934" t="s">
        <v>73</v>
      </c>
      <c r="X1275" s="638" t="s">
        <v>3005</v>
      </c>
      <c r="Y1275" s="637" t="s">
        <v>3006</v>
      </c>
      <c r="Z1275" s="933">
        <v>19737756.640000001</v>
      </c>
      <c r="AA1275" s="908" t="s">
        <v>1458</v>
      </c>
      <c r="AB1275" s="843" t="s">
        <v>263</v>
      </c>
      <c r="AC1275" s="936"/>
      <c r="AD1275" s="844" t="s">
        <v>113</v>
      </c>
      <c r="AE1275" s="937">
        <f t="shared" si="32"/>
        <v>9</v>
      </c>
    </row>
    <row r="1276" spans="1:31" ht="105" hidden="1" x14ac:dyDescent="0.25">
      <c r="A1276" s="960" t="s">
        <v>7023</v>
      </c>
      <c r="B1276" s="922" t="s">
        <v>1693</v>
      </c>
      <c r="C1276" s="922" t="s">
        <v>1693</v>
      </c>
      <c r="D1276" s="670" t="s">
        <v>7475</v>
      </c>
      <c r="E1276" s="984" t="s">
        <v>2022</v>
      </c>
      <c r="F1276" s="926" t="s">
        <v>1528</v>
      </c>
      <c r="G1276" s="924" t="s">
        <v>2156</v>
      </c>
      <c r="H1276" s="931">
        <v>1</v>
      </c>
      <c r="I1276" s="985" t="s">
        <v>2161</v>
      </c>
      <c r="J1276" s="924" t="s">
        <v>1454</v>
      </c>
      <c r="K1276" s="989" t="s">
        <v>6944</v>
      </c>
      <c r="L1276" s="974">
        <v>306700</v>
      </c>
      <c r="M1276" s="997"/>
      <c r="N1276" s="990">
        <v>306700</v>
      </c>
      <c r="O1276" s="991">
        <v>42979.625</v>
      </c>
      <c r="P1276" s="991">
        <v>43070.625</v>
      </c>
      <c r="Q1276" s="930" t="s">
        <v>108</v>
      </c>
      <c r="R1276" s="634" t="s">
        <v>112</v>
      </c>
      <c r="S1276" s="930" t="s">
        <v>1457</v>
      </c>
      <c r="T1276" s="990"/>
      <c r="U1276" s="930"/>
      <c r="V1276" s="930"/>
      <c r="W1276" s="934"/>
      <c r="X1276" s="935"/>
      <c r="Y1276" s="934"/>
      <c r="Z1276" s="933"/>
      <c r="AA1276" s="908" t="s">
        <v>1458</v>
      </c>
      <c r="AB1276" s="843" t="s">
        <v>263</v>
      </c>
      <c r="AC1276" s="936"/>
      <c r="AD1276" s="844" t="s">
        <v>113</v>
      </c>
      <c r="AE1276" s="937">
        <f t="shared" si="32"/>
        <v>9</v>
      </c>
    </row>
    <row r="1277" spans="1:31" ht="105" hidden="1" x14ac:dyDescent="0.25">
      <c r="A1277" s="960" t="s">
        <v>7024</v>
      </c>
      <c r="B1277" s="922" t="s">
        <v>2023</v>
      </c>
      <c r="C1277" s="922" t="s">
        <v>2023</v>
      </c>
      <c r="D1277" s="670" t="s">
        <v>7476</v>
      </c>
      <c r="E1277" s="984" t="s">
        <v>2027</v>
      </c>
      <c r="F1277" s="926" t="s">
        <v>1528</v>
      </c>
      <c r="G1277" s="924" t="s">
        <v>2156</v>
      </c>
      <c r="H1277" s="931">
        <v>450</v>
      </c>
      <c r="I1277" s="985" t="s">
        <v>2161</v>
      </c>
      <c r="J1277" s="924" t="s">
        <v>1454</v>
      </c>
      <c r="K1277" s="989" t="s">
        <v>6945</v>
      </c>
      <c r="L1277" s="974">
        <v>381789</v>
      </c>
      <c r="M1277" s="997" t="s">
        <v>997</v>
      </c>
      <c r="N1277" s="990">
        <v>381789</v>
      </c>
      <c r="O1277" s="991">
        <v>43009.625</v>
      </c>
      <c r="P1277" s="991">
        <v>43070.625</v>
      </c>
      <c r="Q1277" s="930" t="s">
        <v>110</v>
      </c>
      <c r="R1277" s="634" t="s">
        <v>113</v>
      </c>
      <c r="S1277" s="930"/>
      <c r="T1277" s="990"/>
      <c r="U1277" s="930"/>
      <c r="V1277" s="930" t="s">
        <v>45</v>
      </c>
      <c r="W1277" s="934" t="s">
        <v>72</v>
      </c>
      <c r="X1277" s="638" t="s">
        <v>8265</v>
      </c>
      <c r="Y1277" s="637" t="s">
        <v>8264</v>
      </c>
      <c r="Z1277" s="933">
        <v>381789</v>
      </c>
      <c r="AA1277" s="908" t="s">
        <v>1458</v>
      </c>
      <c r="AB1277" s="843" t="s">
        <v>263</v>
      </c>
      <c r="AC1277" s="936"/>
      <c r="AD1277" s="844" t="s">
        <v>113</v>
      </c>
      <c r="AE1277" s="937">
        <f t="shared" si="32"/>
        <v>10</v>
      </c>
    </row>
    <row r="1278" spans="1:31" ht="105" hidden="1" x14ac:dyDescent="0.25">
      <c r="A1278" s="960" t="s">
        <v>7025</v>
      </c>
      <c r="B1278" s="922" t="s">
        <v>1787</v>
      </c>
      <c r="C1278" s="922" t="s">
        <v>3123</v>
      </c>
      <c r="D1278" s="670" t="s">
        <v>7477</v>
      </c>
      <c r="E1278" s="984" t="s">
        <v>2235</v>
      </c>
      <c r="F1278" s="926" t="s">
        <v>1528</v>
      </c>
      <c r="G1278" s="924" t="s">
        <v>2156</v>
      </c>
      <c r="H1278" s="931">
        <v>1</v>
      </c>
      <c r="I1278" s="985" t="s">
        <v>2161</v>
      </c>
      <c r="J1278" s="924" t="s">
        <v>1454</v>
      </c>
      <c r="K1278" s="989" t="s">
        <v>6946</v>
      </c>
      <c r="L1278" s="974">
        <v>300900</v>
      </c>
      <c r="M1278" s="997"/>
      <c r="N1278" s="990">
        <v>300900</v>
      </c>
      <c r="O1278" s="991">
        <v>42979.625</v>
      </c>
      <c r="P1278" s="991">
        <v>43040.625</v>
      </c>
      <c r="Q1278" s="930" t="s">
        <v>110</v>
      </c>
      <c r="R1278" s="634" t="s">
        <v>113</v>
      </c>
      <c r="S1278" s="930"/>
      <c r="T1278" s="990"/>
      <c r="U1278" s="930"/>
      <c r="V1278" s="930"/>
      <c r="W1278" s="934" t="s">
        <v>73</v>
      </c>
      <c r="X1278" s="638" t="s">
        <v>3043</v>
      </c>
      <c r="Y1278" s="637" t="s">
        <v>3044</v>
      </c>
      <c r="Z1278" s="933">
        <v>300900</v>
      </c>
      <c r="AA1278" s="908" t="s">
        <v>1458</v>
      </c>
      <c r="AB1278" s="843" t="s">
        <v>263</v>
      </c>
      <c r="AC1278" s="936"/>
      <c r="AD1278" s="844" t="s">
        <v>113</v>
      </c>
      <c r="AE1278" s="937">
        <f t="shared" si="32"/>
        <v>9</v>
      </c>
    </row>
    <row r="1279" spans="1:31" ht="105" hidden="1" x14ac:dyDescent="0.25">
      <c r="A1279" s="960" t="s">
        <v>7026</v>
      </c>
      <c r="B1279" s="922" t="s">
        <v>1787</v>
      </c>
      <c r="C1279" s="922" t="s">
        <v>3123</v>
      </c>
      <c r="D1279" s="670" t="s">
        <v>7478</v>
      </c>
      <c r="E1279" s="984" t="s">
        <v>2235</v>
      </c>
      <c r="F1279" s="926" t="s">
        <v>1528</v>
      </c>
      <c r="G1279" s="924" t="s">
        <v>2156</v>
      </c>
      <c r="H1279" s="931">
        <v>1</v>
      </c>
      <c r="I1279" s="985" t="s">
        <v>2161</v>
      </c>
      <c r="J1279" s="924" t="s">
        <v>1454</v>
      </c>
      <c r="K1279" s="989" t="s">
        <v>6947</v>
      </c>
      <c r="L1279" s="974">
        <v>137234</v>
      </c>
      <c r="M1279" s="997"/>
      <c r="N1279" s="990">
        <v>137234</v>
      </c>
      <c r="O1279" s="991">
        <v>42979.625</v>
      </c>
      <c r="P1279" s="991">
        <v>43040.625</v>
      </c>
      <c r="Q1279" s="930" t="s">
        <v>110</v>
      </c>
      <c r="R1279" s="634" t="s">
        <v>113</v>
      </c>
      <c r="S1279" s="930"/>
      <c r="T1279" s="990"/>
      <c r="U1279" s="930"/>
      <c r="V1279" s="930"/>
      <c r="W1279" s="934" t="s">
        <v>73</v>
      </c>
      <c r="X1279" s="638" t="s">
        <v>3043</v>
      </c>
      <c r="Y1279" s="637" t="s">
        <v>3044</v>
      </c>
      <c r="Z1279" s="933">
        <v>137234</v>
      </c>
      <c r="AA1279" s="908" t="s">
        <v>1458</v>
      </c>
      <c r="AB1279" s="843" t="s">
        <v>263</v>
      </c>
      <c r="AC1279" s="936"/>
      <c r="AD1279" s="844" t="s">
        <v>113</v>
      </c>
      <c r="AE1279" s="937">
        <f t="shared" si="32"/>
        <v>9</v>
      </c>
    </row>
    <row r="1280" spans="1:31" ht="105" hidden="1" x14ac:dyDescent="0.25">
      <c r="A1280" s="960" t="s">
        <v>7027</v>
      </c>
      <c r="B1280" s="922" t="s">
        <v>1815</v>
      </c>
      <c r="C1280" s="922" t="s">
        <v>1838</v>
      </c>
      <c r="D1280" s="670" t="s">
        <v>7479</v>
      </c>
      <c r="E1280" s="984" t="s">
        <v>2235</v>
      </c>
      <c r="F1280" s="926" t="s">
        <v>1528</v>
      </c>
      <c r="G1280" s="924" t="s">
        <v>2156</v>
      </c>
      <c r="H1280" s="931">
        <v>1</v>
      </c>
      <c r="I1280" s="985" t="s">
        <v>2161</v>
      </c>
      <c r="J1280" s="924" t="s">
        <v>1454</v>
      </c>
      <c r="K1280" s="989" t="s">
        <v>6948</v>
      </c>
      <c r="L1280" s="974">
        <v>97585</v>
      </c>
      <c r="M1280" s="997"/>
      <c r="N1280" s="990">
        <v>97585</v>
      </c>
      <c r="O1280" s="991">
        <v>42979.625</v>
      </c>
      <c r="P1280" s="991">
        <v>43040.625</v>
      </c>
      <c r="Q1280" s="930" t="s">
        <v>110</v>
      </c>
      <c r="R1280" s="634" t="s">
        <v>113</v>
      </c>
      <c r="S1280" s="930"/>
      <c r="T1280" s="990"/>
      <c r="U1280" s="930"/>
      <c r="V1280" s="930"/>
      <c r="W1280" s="934"/>
      <c r="X1280" s="935"/>
      <c r="Y1280" s="934"/>
      <c r="Z1280" s="933"/>
      <c r="AA1280" s="908" t="s">
        <v>1458</v>
      </c>
      <c r="AB1280" s="843" t="s">
        <v>263</v>
      </c>
      <c r="AC1280" s="936"/>
      <c r="AD1280" s="844" t="s">
        <v>113</v>
      </c>
      <c r="AE1280" s="937">
        <f t="shared" si="32"/>
        <v>9</v>
      </c>
    </row>
    <row r="1281" spans="1:31" ht="105" hidden="1" x14ac:dyDescent="0.25">
      <c r="A1281" s="960" t="s">
        <v>7028</v>
      </c>
      <c r="B1281" s="922" t="s">
        <v>6890</v>
      </c>
      <c r="C1281" s="922" t="s">
        <v>6891</v>
      </c>
      <c r="D1281" s="670" t="s">
        <v>7480</v>
      </c>
      <c r="E1281" s="984" t="s">
        <v>2235</v>
      </c>
      <c r="F1281" s="926" t="s">
        <v>1528</v>
      </c>
      <c r="G1281" s="924" t="s">
        <v>2156</v>
      </c>
      <c r="H1281" s="931">
        <v>1</v>
      </c>
      <c r="I1281" s="985" t="s">
        <v>2161</v>
      </c>
      <c r="J1281" s="924" t="s">
        <v>1454</v>
      </c>
      <c r="K1281" s="989" t="s">
        <v>6949</v>
      </c>
      <c r="L1281" s="974">
        <v>8000</v>
      </c>
      <c r="M1281" s="997"/>
      <c r="N1281" s="990">
        <v>8000</v>
      </c>
      <c r="O1281" s="991">
        <v>42979.625</v>
      </c>
      <c r="P1281" s="991">
        <v>43040.625</v>
      </c>
      <c r="Q1281" s="930" t="s">
        <v>108</v>
      </c>
      <c r="R1281" s="634" t="s">
        <v>112</v>
      </c>
      <c r="S1281" s="930" t="s">
        <v>1457</v>
      </c>
      <c r="T1281" s="990"/>
      <c r="U1281" s="930"/>
      <c r="V1281" s="930"/>
      <c r="W1281" s="934"/>
      <c r="X1281" s="935"/>
      <c r="Y1281" s="934"/>
      <c r="Z1281" s="933"/>
      <c r="AA1281" s="908" t="s">
        <v>1458</v>
      </c>
      <c r="AB1281" s="843" t="s">
        <v>263</v>
      </c>
      <c r="AC1281" s="936"/>
      <c r="AD1281" s="844" t="s">
        <v>113</v>
      </c>
      <c r="AE1281" s="937">
        <f t="shared" si="32"/>
        <v>9</v>
      </c>
    </row>
    <row r="1282" spans="1:31" ht="105" hidden="1" x14ac:dyDescent="0.25">
      <c r="A1282" s="960" t="s">
        <v>7029</v>
      </c>
      <c r="B1282" s="922" t="s">
        <v>1517</v>
      </c>
      <c r="C1282" s="922" t="s">
        <v>1517</v>
      </c>
      <c r="D1282" s="670" t="s">
        <v>7481</v>
      </c>
      <c r="E1282" s="984" t="s">
        <v>2235</v>
      </c>
      <c r="F1282" s="926" t="s">
        <v>6892</v>
      </c>
      <c r="G1282" s="924" t="s">
        <v>6893</v>
      </c>
      <c r="H1282" s="931">
        <v>263</v>
      </c>
      <c r="I1282" s="985" t="s">
        <v>2161</v>
      </c>
      <c r="J1282" s="924" t="s">
        <v>1454</v>
      </c>
      <c r="K1282" s="989" t="s">
        <v>8166</v>
      </c>
      <c r="L1282" s="974">
        <v>318430.03000000003</v>
      </c>
      <c r="M1282" s="997"/>
      <c r="N1282" s="990">
        <v>318430.03000000003</v>
      </c>
      <c r="O1282" s="991">
        <v>43009.625</v>
      </c>
      <c r="P1282" s="991">
        <v>43070.625</v>
      </c>
      <c r="Q1282" s="930" t="s">
        <v>108</v>
      </c>
      <c r="R1282" s="634" t="s">
        <v>112</v>
      </c>
      <c r="S1282" s="930" t="s">
        <v>1457</v>
      </c>
      <c r="T1282" s="990"/>
      <c r="U1282" s="930"/>
      <c r="V1282" s="930"/>
      <c r="W1282" s="934"/>
      <c r="X1282" s="935"/>
      <c r="Y1282" s="934"/>
      <c r="Z1282" s="933"/>
      <c r="AA1282" s="908" t="s">
        <v>1458</v>
      </c>
      <c r="AB1282" s="843" t="s">
        <v>263</v>
      </c>
      <c r="AC1282" s="936"/>
      <c r="AD1282" s="844" t="s">
        <v>113</v>
      </c>
      <c r="AE1282" s="937">
        <f t="shared" si="32"/>
        <v>10</v>
      </c>
    </row>
    <row r="1283" spans="1:31" ht="105" hidden="1" x14ac:dyDescent="0.25">
      <c r="A1283" s="960" t="s">
        <v>7030</v>
      </c>
      <c r="B1283" s="922" t="s">
        <v>1517</v>
      </c>
      <c r="C1283" s="922" t="s">
        <v>1517</v>
      </c>
      <c r="D1283" s="670" t="s">
        <v>7482</v>
      </c>
      <c r="E1283" s="984" t="s">
        <v>2235</v>
      </c>
      <c r="F1283" s="926" t="s">
        <v>1528</v>
      </c>
      <c r="G1283" s="924" t="s">
        <v>2156</v>
      </c>
      <c r="H1283" s="931">
        <v>117</v>
      </c>
      <c r="I1283" s="985" t="s">
        <v>2161</v>
      </c>
      <c r="J1283" s="924" t="s">
        <v>1454</v>
      </c>
      <c r="K1283" s="989" t="s">
        <v>8161</v>
      </c>
      <c r="L1283" s="974">
        <v>183428.91</v>
      </c>
      <c r="M1283" s="997"/>
      <c r="N1283" s="990">
        <v>183428.91</v>
      </c>
      <c r="O1283" s="991">
        <v>43040</v>
      </c>
      <c r="P1283" s="991">
        <v>43070.625</v>
      </c>
      <c r="Q1283" s="930" t="s">
        <v>108</v>
      </c>
      <c r="R1283" s="634" t="s">
        <v>112</v>
      </c>
      <c r="S1283" s="930" t="s">
        <v>1457</v>
      </c>
      <c r="T1283" s="990"/>
      <c r="U1283" s="930"/>
      <c r="V1283" s="930"/>
      <c r="W1283" s="934"/>
      <c r="X1283" s="935"/>
      <c r="Y1283" s="934"/>
      <c r="Z1283" s="933"/>
      <c r="AA1283" s="908" t="s">
        <v>1458</v>
      </c>
      <c r="AB1283" s="843" t="s">
        <v>263</v>
      </c>
      <c r="AC1283" s="936"/>
      <c r="AD1283" s="844" t="s">
        <v>113</v>
      </c>
      <c r="AE1283" s="937">
        <f t="shared" si="32"/>
        <v>11</v>
      </c>
    </row>
    <row r="1284" spans="1:31" ht="105" hidden="1" x14ac:dyDescent="0.25">
      <c r="A1284" s="960" t="s">
        <v>7031</v>
      </c>
      <c r="B1284" s="922" t="s">
        <v>1571</v>
      </c>
      <c r="C1284" s="922" t="s">
        <v>6894</v>
      </c>
      <c r="D1284" s="670" t="s">
        <v>7483</v>
      </c>
      <c r="E1284" s="984" t="s">
        <v>2235</v>
      </c>
      <c r="F1284" s="926" t="s">
        <v>1528</v>
      </c>
      <c r="G1284" s="924" t="s">
        <v>2156</v>
      </c>
      <c r="H1284" s="931">
        <v>12</v>
      </c>
      <c r="I1284" s="985" t="s">
        <v>2161</v>
      </c>
      <c r="J1284" s="924" t="s">
        <v>1454</v>
      </c>
      <c r="K1284" s="989" t="s">
        <v>8130</v>
      </c>
      <c r="L1284" s="974">
        <v>93747</v>
      </c>
      <c r="M1284" s="997"/>
      <c r="N1284" s="990">
        <v>93747</v>
      </c>
      <c r="O1284" s="991">
        <v>43040</v>
      </c>
      <c r="P1284" s="991">
        <v>43070.625</v>
      </c>
      <c r="Q1284" s="930" t="s">
        <v>108</v>
      </c>
      <c r="R1284" s="634" t="s">
        <v>112</v>
      </c>
      <c r="S1284" s="930" t="s">
        <v>1457</v>
      </c>
      <c r="T1284" s="990"/>
      <c r="U1284" s="930"/>
      <c r="V1284" s="930"/>
      <c r="W1284" s="934"/>
      <c r="X1284" s="935"/>
      <c r="Y1284" s="934"/>
      <c r="Z1284" s="933"/>
      <c r="AA1284" s="908" t="s">
        <v>1458</v>
      </c>
      <c r="AB1284" s="843" t="s">
        <v>263</v>
      </c>
      <c r="AC1284" s="936"/>
      <c r="AD1284" s="844" t="s">
        <v>113</v>
      </c>
      <c r="AE1284" s="937">
        <f t="shared" si="32"/>
        <v>11</v>
      </c>
    </row>
    <row r="1285" spans="1:31" ht="105" hidden="1" x14ac:dyDescent="0.25">
      <c r="A1285" s="960" t="s">
        <v>7032</v>
      </c>
      <c r="B1285" s="922" t="s">
        <v>1836</v>
      </c>
      <c r="C1285" s="922" t="s">
        <v>6895</v>
      </c>
      <c r="D1285" s="670" t="s">
        <v>7484</v>
      </c>
      <c r="E1285" s="984" t="s">
        <v>2235</v>
      </c>
      <c r="F1285" s="926" t="s">
        <v>1528</v>
      </c>
      <c r="G1285" s="924" t="s">
        <v>2156</v>
      </c>
      <c r="H1285" s="931">
        <v>2</v>
      </c>
      <c r="I1285" s="985" t="s">
        <v>2161</v>
      </c>
      <c r="J1285" s="924" t="s">
        <v>1454</v>
      </c>
      <c r="K1285" s="989" t="s">
        <v>6952</v>
      </c>
      <c r="L1285" s="974">
        <v>25000</v>
      </c>
      <c r="M1285" s="997"/>
      <c r="N1285" s="990">
        <v>25000</v>
      </c>
      <c r="O1285" s="991">
        <v>42979.625</v>
      </c>
      <c r="P1285" s="991">
        <v>43040.625</v>
      </c>
      <c r="Q1285" s="930" t="s">
        <v>108</v>
      </c>
      <c r="R1285" s="634" t="s">
        <v>112</v>
      </c>
      <c r="S1285" s="930" t="s">
        <v>1457</v>
      </c>
      <c r="T1285" s="990"/>
      <c r="U1285" s="930"/>
      <c r="V1285" s="930"/>
      <c r="W1285" s="934"/>
      <c r="X1285" s="935"/>
      <c r="Y1285" s="934"/>
      <c r="Z1285" s="933"/>
      <c r="AA1285" s="908" t="s">
        <v>1458</v>
      </c>
      <c r="AB1285" s="843" t="s">
        <v>263</v>
      </c>
      <c r="AC1285" s="936"/>
      <c r="AD1285" s="844" t="s">
        <v>113</v>
      </c>
      <c r="AE1285" s="937">
        <f t="shared" si="32"/>
        <v>9</v>
      </c>
    </row>
    <row r="1286" spans="1:31" ht="105" hidden="1" x14ac:dyDescent="0.25">
      <c r="A1286" s="960" t="s">
        <v>7033</v>
      </c>
      <c r="B1286" s="922" t="s">
        <v>1531</v>
      </c>
      <c r="C1286" s="922" t="s">
        <v>5511</v>
      </c>
      <c r="D1286" s="670" t="s">
        <v>7485</v>
      </c>
      <c r="E1286" s="984" t="s">
        <v>2235</v>
      </c>
      <c r="F1286" s="926" t="s">
        <v>1528</v>
      </c>
      <c r="G1286" s="924" t="s">
        <v>2156</v>
      </c>
      <c r="H1286" s="931">
        <v>29</v>
      </c>
      <c r="I1286" s="985" t="s">
        <v>2161</v>
      </c>
      <c r="J1286" s="924" t="s">
        <v>1454</v>
      </c>
      <c r="K1286" s="989" t="s">
        <v>1839</v>
      </c>
      <c r="L1286" s="974">
        <v>140000</v>
      </c>
      <c r="M1286" s="997"/>
      <c r="N1286" s="990">
        <v>140000</v>
      </c>
      <c r="O1286" s="991">
        <v>43009.625</v>
      </c>
      <c r="P1286" s="991">
        <v>43070.625</v>
      </c>
      <c r="Q1286" s="930" t="s">
        <v>108</v>
      </c>
      <c r="R1286" s="634" t="s">
        <v>112</v>
      </c>
      <c r="S1286" s="930" t="s">
        <v>1457</v>
      </c>
      <c r="T1286" s="990"/>
      <c r="U1286" s="930"/>
      <c r="V1286" s="930"/>
      <c r="W1286" s="934"/>
      <c r="X1286" s="935"/>
      <c r="Y1286" s="934"/>
      <c r="Z1286" s="933"/>
      <c r="AA1286" s="908" t="s">
        <v>1458</v>
      </c>
      <c r="AB1286" s="843" t="s">
        <v>263</v>
      </c>
      <c r="AC1286" s="936"/>
      <c r="AD1286" s="844" t="s">
        <v>113</v>
      </c>
      <c r="AE1286" s="937">
        <f t="shared" si="32"/>
        <v>10</v>
      </c>
    </row>
    <row r="1287" spans="1:31" ht="105" hidden="1" x14ac:dyDescent="0.25">
      <c r="A1287" s="960" t="s">
        <v>7034</v>
      </c>
      <c r="B1287" s="922" t="s">
        <v>1793</v>
      </c>
      <c r="C1287" s="922" t="s">
        <v>6896</v>
      </c>
      <c r="D1287" s="670" t="s">
        <v>7486</v>
      </c>
      <c r="E1287" s="984" t="s">
        <v>2235</v>
      </c>
      <c r="F1287" s="926" t="s">
        <v>1528</v>
      </c>
      <c r="G1287" s="924" t="s">
        <v>2156</v>
      </c>
      <c r="H1287" s="931">
        <v>2</v>
      </c>
      <c r="I1287" s="985" t="s">
        <v>2161</v>
      </c>
      <c r="J1287" s="924" t="s">
        <v>1454</v>
      </c>
      <c r="K1287" s="989" t="s">
        <v>6953</v>
      </c>
      <c r="L1287" s="974">
        <v>1400000</v>
      </c>
      <c r="M1287" s="997"/>
      <c r="N1287" s="990">
        <v>1400000</v>
      </c>
      <c r="O1287" s="991">
        <v>42979.625</v>
      </c>
      <c r="P1287" s="991">
        <v>43040.625</v>
      </c>
      <c r="Q1287" s="930" t="s">
        <v>108</v>
      </c>
      <c r="R1287" s="634" t="s">
        <v>112</v>
      </c>
      <c r="S1287" s="930" t="s">
        <v>1457</v>
      </c>
      <c r="T1287" s="990"/>
      <c r="U1287" s="930"/>
      <c r="V1287" s="930"/>
      <c r="W1287" s="934"/>
      <c r="X1287" s="935"/>
      <c r="Y1287" s="934"/>
      <c r="Z1287" s="933"/>
      <c r="AA1287" s="908" t="s">
        <v>1458</v>
      </c>
      <c r="AB1287" s="843" t="s">
        <v>263</v>
      </c>
      <c r="AC1287" s="936"/>
      <c r="AD1287" s="844" t="s">
        <v>113</v>
      </c>
      <c r="AE1287" s="937">
        <f t="shared" si="32"/>
        <v>9</v>
      </c>
    </row>
    <row r="1288" spans="1:31" ht="105" hidden="1" x14ac:dyDescent="0.25">
      <c r="A1288" s="960" t="s">
        <v>7035</v>
      </c>
      <c r="B1288" s="922" t="s">
        <v>2176</v>
      </c>
      <c r="C1288" s="922" t="s">
        <v>2176</v>
      </c>
      <c r="D1288" s="670" t="s">
        <v>7487</v>
      </c>
      <c r="E1288" s="984" t="s">
        <v>2235</v>
      </c>
      <c r="F1288" s="926" t="s">
        <v>1528</v>
      </c>
      <c r="G1288" s="924" t="s">
        <v>2156</v>
      </c>
      <c r="H1288" s="931">
        <v>3</v>
      </c>
      <c r="I1288" s="985" t="s">
        <v>2161</v>
      </c>
      <c r="J1288" s="924" t="s">
        <v>1454</v>
      </c>
      <c r="K1288" s="989" t="s">
        <v>1621</v>
      </c>
      <c r="L1288" s="974">
        <v>500000</v>
      </c>
      <c r="M1288" s="997"/>
      <c r="N1288" s="990">
        <v>500000</v>
      </c>
      <c r="O1288" s="991">
        <v>42979.625</v>
      </c>
      <c r="P1288" s="991">
        <v>43040.625</v>
      </c>
      <c r="Q1288" s="930" t="s">
        <v>108</v>
      </c>
      <c r="R1288" s="634" t="s">
        <v>112</v>
      </c>
      <c r="S1288" s="930" t="s">
        <v>1457</v>
      </c>
      <c r="T1288" s="990"/>
      <c r="U1288" s="930"/>
      <c r="V1288" s="930"/>
      <c r="W1288" s="934"/>
      <c r="X1288" s="935"/>
      <c r="Y1288" s="934"/>
      <c r="Z1288" s="933"/>
      <c r="AA1288" s="908" t="s">
        <v>1458</v>
      </c>
      <c r="AB1288" s="843" t="s">
        <v>263</v>
      </c>
      <c r="AC1288" s="936"/>
      <c r="AD1288" s="844" t="s">
        <v>113</v>
      </c>
      <c r="AE1288" s="937">
        <f t="shared" si="32"/>
        <v>9</v>
      </c>
    </row>
    <row r="1289" spans="1:31" ht="105" hidden="1" x14ac:dyDescent="0.25">
      <c r="A1289" s="960" t="s">
        <v>7036</v>
      </c>
      <c r="B1289" s="922" t="s">
        <v>2134</v>
      </c>
      <c r="C1289" s="922" t="s">
        <v>6897</v>
      </c>
      <c r="D1289" s="670" t="s">
        <v>7488</v>
      </c>
      <c r="E1289" s="984" t="s">
        <v>2235</v>
      </c>
      <c r="F1289" s="926" t="s">
        <v>1528</v>
      </c>
      <c r="G1289" s="924" t="s">
        <v>2156</v>
      </c>
      <c r="H1289" s="931">
        <v>1</v>
      </c>
      <c r="I1289" s="985" t="s">
        <v>2161</v>
      </c>
      <c r="J1289" s="924" t="s">
        <v>1454</v>
      </c>
      <c r="K1289" s="989" t="s">
        <v>8076</v>
      </c>
      <c r="L1289" s="974">
        <v>418562.5</v>
      </c>
      <c r="M1289" s="997"/>
      <c r="N1289" s="990">
        <v>418562.5</v>
      </c>
      <c r="O1289" s="991">
        <v>43070</v>
      </c>
      <c r="P1289" s="991">
        <v>43070</v>
      </c>
      <c r="Q1289" s="930" t="s">
        <v>108</v>
      </c>
      <c r="R1289" s="634" t="s">
        <v>112</v>
      </c>
      <c r="S1289" s="930" t="s">
        <v>1457</v>
      </c>
      <c r="T1289" s="990"/>
      <c r="U1289" s="930"/>
      <c r="V1289" s="930"/>
      <c r="W1289" s="934"/>
      <c r="X1289" s="935"/>
      <c r="Y1289" s="934"/>
      <c r="Z1289" s="933"/>
      <c r="AA1289" s="908" t="s">
        <v>1458</v>
      </c>
      <c r="AB1289" s="843" t="s">
        <v>263</v>
      </c>
      <c r="AC1289" s="936"/>
      <c r="AD1289" s="844" t="s">
        <v>113</v>
      </c>
      <c r="AE1289" s="937">
        <f t="shared" si="32"/>
        <v>12</v>
      </c>
    </row>
    <row r="1290" spans="1:31" ht="105" hidden="1" x14ac:dyDescent="0.25">
      <c r="A1290" s="960" t="s">
        <v>7037</v>
      </c>
      <c r="B1290" s="922" t="s">
        <v>2211</v>
      </c>
      <c r="C1290" s="922" t="s">
        <v>2211</v>
      </c>
      <c r="D1290" s="670" t="s">
        <v>7489</v>
      </c>
      <c r="E1290" s="984" t="s">
        <v>2235</v>
      </c>
      <c r="F1290" s="926" t="s">
        <v>1587</v>
      </c>
      <c r="G1290" s="924" t="s">
        <v>2256</v>
      </c>
      <c r="H1290" s="931">
        <v>1</v>
      </c>
      <c r="I1290" s="985" t="s">
        <v>2161</v>
      </c>
      <c r="J1290" s="924" t="s">
        <v>1454</v>
      </c>
      <c r="K1290" s="989" t="s">
        <v>8143</v>
      </c>
      <c r="L1290" s="974">
        <v>163631.9</v>
      </c>
      <c r="M1290" s="997"/>
      <c r="N1290" s="990">
        <v>163631.9</v>
      </c>
      <c r="O1290" s="991">
        <v>43040</v>
      </c>
      <c r="P1290" s="991">
        <v>43070.625</v>
      </c>
      <c r="Q1290" s="930" t="s">
        <v>108</v>
      </c>
      <c r="R1290" s="634" t="s">
        <v>112</v>
      </c>
      <c r="S1290" s="930" t="s">
        <v>1457</v>
      </c>
      <c r="T1290" s="990"/>
      <c r="U1290" s="930"/>
      <c r="V1290" s="930"/>
      <c r="W1290" s="934"/>
      <c r="X1290" s="935"/>
      <c r="Y1290" s="934"/>
      <c r="Z1290" s="933"/>
      <c r="AA1290" s="908" t="s">
        <v>1458</v>
      </c>
      <c r="AB1290" s="843" t="s">
        <v>263</v>
      </c>
      <c r="AC1290" s="936"/>
      <c r="AD1290" s="844" t="s">
        <v>113</v>
      </c>
      <c r="AE1290" s="937">
        <f t="shared" si="32"/>
        <v>11</v>
      </c>
    </row>
    <row r="1291" spans="1:31" ht="105" hidden="1" x14ac:dyDescent="0.25">
      <c r="A1291" s="960" t="s">
        <v>7038</v>
      </c>
      <c r="B1291" s="922" t="s">
        <v>1517</v>
      </c>
      <c r="C1291" s="922" t="s">
        <v>1517</v>
      </c>
      <c r="D1291" s="670" t="s">
        <v>7490</v>
      </c>
      <c r="E1291" s="984" t="s">
        <v>2235</v>
      </c>
      <c r="F1291" s="926" t="s">
        <v>1528</v>
      </c>
      <c r="G1291" s="924" t="s">
        <v>2156</v>
      </c>
      <c r="H1291" s="931">
        <v>58</v>
      </c>
      <c r="I1291" s="985" t="s">
        <v>2161</v>
      </c>
      <c r="J1291" s="924" t="s">
        <v>1454</v>
      </c>
      <c r="K1291" s="989" t="s">
        <v>7702</v>
      </c>
      <c r="L1291" s="983">
        <v>91403.199999999997</v>
      </c>
      <c r="M1291" s="997"/>
      <c r="N1291" s="1021">
        <v>91403.199999999997</v>
      </c>
      <c r="O1291" s="991">
        <v>42979.625</v>
      </c>
      <c r="P1291" s="991">
        <v>43040.625</v>
      </c>
      <c r="Q1291" s="930" t="s">
        <v>108</v>
      </c>
      <c r="R1291" s="634" t="s">
        <v>112</v>
      </c>
      <c r="S1291" s="930" t="s">
        <v>1457</v>
      </c>
      <c r="T1291" s="990"/>
      <c r="U1291" s="930"/>
      <c r="V1291" s="930"/>
      <c r="W1291" s="934"/>
      <c r="X1291" s="935"/>
      <c r="Y1291" s="934"/>
      <c r="Z1291" s="933"/>
      <c r="AA1291" s="908" t="s">
        <v>1458</v>
      </c>
      <c r="AB1291" s="843" t="s">
        <v>263</v>
      </c>
      <c r="AC1291" s="936"/>
      <c r="AD1291" s="844" t="s">
        <v>113</v>
      </c>
      <c r="AE1291" s="937">
        <f t="shared" si="32"/>
        <v>9</v>
      </c>
    </row>
    <row r="1292" spans="1:31" ht="105" hidden="1" x14ac:dyDescent="0.25">
      <c r="A1292" s="960" t="s">
        <v>7039</v>
      </c>
      <c r="B1292" s="922" t="s">
        <v>6898</v>
      </c>
      <c r="C1292" s="922" t="s">
        <v>6899</v>
      </c>
      <c r="D1292" s="670" t="s">
        <v>7491</v>
      </c>
      <c r="E1292" s="984" t="s">
        <v>2235</v>
      </c>
      <c r="F1292" s="926" t="s">
        <v>1528</v>
      </c>
      <c r="G1292" s="924" t="s">
        <v>2156</v>
      </c>
      <c r="H1292" s="931">
        <v>2</v>
      </c>
      <c r="I1292" s="985" t="s">
        <v>2161</v>
      </c>
      <c r="J1292" s="924" t="s">
        <v>1454</v>
      </c>
      <c r="K1292" s="989" t="s">
        <v>1605</v>
      </c>
      <c r="L1292" s="974">
        <v>100000</v>
      </c>
      <c r="M1292" s="997"/>
      <c r="N1292" s="990">
        <v>100000</v>
      </c>
      <c r="O1292" s="991">
        <v>42979.625</v>
      </c>
      <c r="P1292" s="991">
        <v>43040.625</v>
      </c>
      <c r="Q1292" s="930" t="s">
        <v>108</v>
      </c>
      <c r="R1292" s="634" t="s">
        <v>112</v>
      </c>
      <c r="S1292" s="930" t="s">
        <v>1457</v>
      </c>
      <c r="T1292" s="990"/>
      <c r="U1292" s="930"/>
      <c r="V1292" s="930"/>
      <c r="W1292" s="934"/>
      <c r="X1292" s="935"/>
      <c r="Y1292" s="934"/>
      <c r="Z1292" s="933"/>
      <c r="AA1292" s="908" t="s">
        <v>1458</v>
      </c>
      <c r="AB1292" s="843" t="s">
        <v>263</v>
      </c>
      <c r="AC1292" s="936"/>
      <c r="AD1292" s="844" t="s">
        <v>113</v>
      </c>
      <c r="AE1292" s="937">
        <f t="shared" si="32"/>
        <v>9</v>
      </c>
    </row>
    <row r="1293" spans="1:31" ht="105" hidden="1" x14ac:dyDescent="0.25">
      <c r="A1293" s="960" t="s">
        <v>7040</v>
      </c>
      <c r="B1293" s="922" t="s">
        <v>1854</v>
      </c>
      <c r="C1293" s="922" t="s">
        <v>6146</v>
      </c>
      <c r="D1293" s="670" t="s">
        <v>7492</v>
      </c>
      <c r="E1293" s="984" t="s">
        <v>2235</v>
      </c>
      <c r="F1293" s="926" t="s">
        <v>1528</v>
      </c>
      <c r="G1293" s="924" t="s">
        <v>2156</v>
      </c>
      <c r="H1293" s="931">
        <v>500</v>
      </c>
      <c r="I1293" s="985" t="s">
        <v>2161</v>
      </c>
      <c r="J1293" s="924" t="s">
        <v>1454</v>
      </c>
      <c r="K1293" s="989" t="s">
        <v>1684</v>
      </c>
      <c r="L1293" s="974">
        <v>260000</v>
      </c>
      <c r="M1293" s="997"/>
      <c r="N1293" s="990">
        <v>260000</v>
      </c>
      <c r="O1293" s="991">
        <v>43009.625</v>
      </c>
      <c r="P1293" s="991">
        <v>43070.625</v>
      </c>
      <c r="Q1293" s="930" t="s">
        <v>108</v>
      </c>
      <c r="R1293" s="634" t="s">
        <v>112</v>
      </c>
      <c r="S1293" s="930" t="s">
        <v>1457</v>
      </c>
      <c r="T1293" s="990"/>
      <c r="U1293" s="930"/>
      <c r="V1293" s="930"/>
      <c r="W1293" s="934"/>
      <c r="X1293" s="935"/>
      <c r="Y1293" s="934"/>
      <c r="Z1293" s="933"/>
      <c r="AA1293" s="908" t="s">
        <v>1458</v>
      </c>
      <c r="AB1293" s="843" t="s">
        <v>263</v>
      </c>
      <c r="AC1293" s="936"/>
      <c r="AD1293" s="844" t="s">
        <v>113</v>
      </c>
      <c r="AE1293" s="937">
        <f t="shared" si="32"/>
        <v>10</v>
      </c>
    </row>
    <row r="1294" spans="1:31" ht="105" hidden="1" x14ac:dyDescent="0.25">
      <c r="A1294" s="960" t="s">
        <v>7041</v>
      </c>
      <c r="B1294" s="922" t="s">
        <v>1815</v>
      </c>
      <c r="C1294" s="922" t="s">
        <v>6144</v>
      </c>
      <c r="D1294" s="670" t="s">
        <v>7493</v>
      </c>
      <c r="E1294" s="984" t="s">
        <v>2235</v>
      </c>
      <c r="F1294" s="926" t="s">
        <v>1528</v>
      </c>
      <c r="G1294" s="924" t="s">
        <v>2156</v>
      </c>
      <c r="H1294" s="931">
        <v>1</v>
      </c>
      <c r="I1294" s="985" t="s">
        <v>2161</v>
      </c>
      <c r="J1294" s="924" t="s">
        <v>1454</v>
      </c>
      <c r="K1294" s="989" t="s">
        <v>8193</v>
      </c>
      <c r="L1294" s="974">
        <v>79980.259999999995</v>
      </c>
      <c r="M1294" s="997"/>
      <c r="N1294" s="990">
        <v>79980.259999999995</v>
      </c>
      <c r="O1294" s="991">
        <v>42979.625</v>
      </c>
      <c r="P1294" s="991">
        <v>43040.625</v>
      </c>
      <c r="Q1294" s="930" t="s">
        <v>108</v>
      </c>
      <c r="R1294" s="634" t="s">
        <v>112</v>
      </c>
      <c r="S1294" s="930" t="s">
        <v>1457</v>
      </c>
      <c r="T1294" s="990"/>
      <c r="U1294" s="930"/>
      <c r="V1294" s="930"/>
      <c r="W1294" s="934"/>
      <c r="X1294" s="935"/>
      <c r="Y1294" s="934"/>
      <c r="Z1294" s="933"/>
      <c r="AA1294" s="908" t="s">
        <v>1458</v>
      </c>
      <c r="AB1294" s="843" t="s">
        <v>263</v>
      </c>
      <c r="AC1294" s="936"/>
      <c r="AD1294" s="844" t="s">
        <v>113</v>
      </c>
      <c r="AE1294" s="937">
        <f t="shared" si="32"/>
        <v>9</v>
      </c>
    </row>
    <row r="1295" spans="1:31" ht="105" hidden="1" x14ac:dyDescent="0.25">
      <c r="A1295" s="960" t="s">
        <v>7042</v>
      </c>
      <c r="B1295" s="922" t="s">
        <v>1517</v>
      </c>
      <c r="C1295" s="922" t="s">
        <v>1517</v>
      </c>
      <c r="D1295" s="670" t="s">
        <v>7494</v>
      </c>
      <c r="E1295" s="984" t="s">
        <v>2235</v>
      </c>
      <c r="F1295" s="926" t="s">
        <v>1528</v>
      </c>
      <c r="G1295" s="924" t="s">
        <v>2156</v>
      </c>
      <c r="H1295" s="931">
        <v>19</v>
      </c>
      <c r="I1295" s="985" t="s">
        <v>2161</v>
      </c>
      <c r="J1295" s="924" t="s">
        <v>1454</v>
      </c>
      <c r="K1295" s="989" t="s">
        <v>8175</v>
      </c>
      <c r="L1295" s="974">
        <v>65745.820000000007</v>
      </c>
      <c r="M1295" s="997"/>
      <c r="N1295" s="990">
        <v>65745.820000000007</v>
      </c>
      <c r="O1295" s="991">
        <v>43009.625</v>
      </c>
      <c r="P1295" s="991">
        <v>43070.625</v>
      </c>
      <c r="Q1295" s="930" t="s">
        <v>108</v>
      </c>
      <c r="R1295" s="634" t="s">
        <v>112</v>
      </c>
      <c r="S1295" s="930" t="s">
        <v>1457</v>
      </c>
      <c r="T1295" s="990"/>
      <c r="U1295" s="930"/>
      <c r="V1295" s="930"/>
      <c r="W1295" s="934"/>
      <c r="X1295" s="935"/>
      <c r="Y1295" s="934"/>
      <c r="Z1295" s="933"/>
      <c r="AA1295" s="908" t="s">
        <v>1458</v>
      </c>
      <c r="AB1295" s="843" t="s">
        <v>263</v>
      </c>
      <c r="AC1295" s="936"/>
      <c r="AD1295" s="844" t="s">
        <v>113</v>
      </c>
      <c r="AE1295" s="937">
        <f t="shared" si="32"/>
        <v>10</v>
      </c>
    </row>
    <row r="1296" spans="1:31" ht="105" hidden="1" x14ac:dyDescent="0.25">
      <c r="A1296" s="960" t="s">
        <v>7043</v>
      </c>
      <c r="B1296" s="922" t="s">
        <v>1787</v>
      </c>
      <c r="C1296" s="922" t="s">
        <v>1808</v>
      </c>
      <c r="D1296" s="670" t="s">
        <v>7495</v>
      </c>
      <c r="E1296" s="984" t="s">
        <v>2235</v>
      </c>
      <c r="F1296" s="926" t="s">
        <v>1528</v>
      </c>
      <c r="G1296" s="924" t="s">
        <v>2156</v>
      </c>
      <c r="H1296" s="931">
        <v>290</v>
      </c>
      <c r="I1296" s="985" t="s">
        <v>2161</v>
      </c>
      <c r="J1296" s="924" t="s">
        <v>1454</v>
      </c>
      <c r="K1296" s="989" t="s">
        <v>6335</v>
      </c>
      <c r="L1296" s="974">
        <v>384301.25</v>
      </c>
      <c r="M1296" s="997"/>
      <c r="N1296" s="990">
        <v>384301.25</v>
      </c>
      <c r="O1296" s="991">
        <v>42979.625</v>
      </c>
      <c r="P1296" s="991">
        <v>43040.625</v>
      </c>
      <c r="Q1296" s="930" t="s">
        <v>108</v>
      </c>
      <c r="R1296" s="634" t="s">
        <v>112</v>
      </c>
      <c r="S1296" s="930" t="s">
        <v>1457</v>
      </c>
      <c r="T1296" s="990"/>
      <c r="U1296" s="930"/>
      <c r="V1296" s="930"/>
      <c r="W1296" s="934"/>
      <c r="X1296" s="935"/>
      <c r="Y1296" s="934"/>
      <c r="Z1296" s="933"/>
      <c r="AA1296" s="908" t="s">
        <v>1458</v>
      </c>
      <c r="AB1296" s="843" t="s">
        <v>263</v>
      </c>
      <c r="AC1296" s="936"/>
      <c r="AD1296" s="844" t="s">
        <v>113</v>
      </c>
      <c r="AE1296" s="937">
        <f t="shared" si="32"/>
        <v>9</v>
      </c>
    </row>
    <row r="1297" spans="1:31" ht="105" hidden="1" x14ac:dyDescent="0.25">
      <c r="A1297" s="960" t="s">
        <v>7044</v>
      </c>
      <c r="B1297" s="922" t="s">
        <v>1793</v>
      </c>
      <c r="C1297" s="922" t="s">
        <v>4977</v>
      </c>
      <c r="D1297" s="670" t="s">
        <v>7496</v>
      </c>
      <c r="E1297" s="984" t="s">
        <v>2235</v>
      </c>
      <c r="F1297" s="926" t="s">
        <v>1528</v>
      </c>
      <c r="G1297" s="924" t="s">
        <v>2156</v>
      </c>
      <c r="H1297" s="931">
        <v>1</v>
      </c>
      <c r="I1297" s="985" t="s">
        <v>2161</v>
      </c>
      <c r="J1297" s="924" t="s">
        <v>1454</v>
      </c>
      <c r="K1297" s="989" t="s">
        <v>6955</v>
      </c>
      <c r="L1297" s="974">
        <v>77566</v>
      </c>
      <c r="M1297" s="997"/>
      <c r="N1297" s="990">
        <v>77566</v>
      </c>
      <c r="O1297" s="991">
        <v>43009</v>
      </c>
      <c r="P1297" s="991">
        <v>43040.625</v>
      </c>
      <c r="Q1297" s="930" t="s">
        <v>108</v>
      </c>
      <c r="R1297" s="634" t="s">
        <v>112</v>
      </c>
      <c r="S1297" s="930" t="s">
        <v>1457</v>
      </c>
      <c r="T1297" s="990"/>
      <c r="U1297" s="930"/>
      <c r="V1297" s="930"/>
      <c r="W1297" s="934"/>
      <c r="X1297" s="935"/>
      <c r="Y1297" s="934"/>
      <c r="Z1297" s="933"/>
      <c r="AA1297" s="908" t="s">
        <v>1458</v>
      </c>
      <c r="AB1297" s="843" t="s">
        <v>263</v>
      </c>
      <c r="AC1297" s="936"/>
      <c r="AD1297" s="844" t="s">
        <v>113</v>
      </c>
      <c r="AE1297" s="937">
        <f t="shared" si="32"/>
        <v>10</v>
      </c>
    </row>
    <row r="1298" spans="1:31" ht="105" hidden="1" x14ac:dyDescent="0.25">
      <c r="A1298" s="960" t="s">
        <v>7045</v>
      </c>
      <c r="B1298" s="922" t="s">
        <v>1793</v>
      </c>
      <c r="C1298" s="922" t="s">
        <v>4977</v>
      </c>
      <c r="D1298" s="670" t="s">
        <v>7497</v>
      </c>
      <c r="E1298" s="984" t="s">
        <v>2235</v>
      </c>
      <c r="F1298" s="926" t="s">
        <v>1587</v>
      </c>
      <c r="G1298" s="924" t="s">
        <v>2256</v>
      </c>
      <c r="H1298" s="931">
        <v>1</v>
      </c>
      <c r="I1298" s="985" t="s">
        <v>2161</v>
      </c>
      <c r="J1298" s="924" t="s">
        <v>1454</v>
      </c>
      <c r="K1298" s="989" t="s">
        <v>2919</v>
      </c>
      <c r="L1298" s="974">
        <v>485000</v>
      </c>
      <c r="M1298" s="997"/>
      <c r="N1298" s="990">
        <v>485000</v>
      </c>
      <c r="O1298" s="991">
        <v>42979.625</v>
      </c>
      <c r="P1298" s="991">
        <v>43040.625</v>
      </c>
      <c r="Q1298" s="930" t="s">
        <v>108</v>
      </c>
      <c r="R1298" s="634" t="s">
        <v>112</v>
      </c>
      <c r="S1298" s="930" t="s">
        <v>1457</v>
      </c>
      <c r="T1298" s="990"/>
      <c r="U1298" s="930"/>
      <c r="V1298" s="930"/>
      <c r="W1298" s="934"/>
      <c r="X1298" s="935"/>
      <c r="Y1298" s="934"/>
      <c r="Z1298" s="933"/>
      <c r="AA1298" s="908" t="s">
        <v>1458</v>
      </c>
      <c r="AB1298" s="843" t="s">
        <v>263</v>
      </c>
      <c r="AC1298" s="936"/>
      <c r="AD1298" s="844" t="s">
        <v>113</v>
      </c>
      <c r="AE1298" s="937">
        <f t="shared" si="32"/>
        <v>9</v>
      </c>
    </row>
    <row r="1299" spans="1:31" ht="105" hidden="1" x14ac:dyDescent="0.25">
      <c r="A1299" s="960" t="s">
        <v>7046</v>
      </c>
      <c r="B1299" s="922" t="s">
        <v>1517</v>
      </c>
      <c r="C1299" s="922" t="s">
        <v>1810</v>
      </c>
      <c r="D1299" s="670" t="s">
        <v>7498</v>
      </c>
      <c r="E1299" s="984" t="s">
        <v>2235</v>
      </c>
      <c r="F1299" s="926" t="s">
        <v>1528</v>
      </c>
      <c r="G1299" s="924" t="s">
        <v>2156</v>
      </c>
      <c r="H1299" s="931">
        <v>110</v>
      </c>
      <c r="I1299" s="985" t="s">
        <v>2161</v>
      </c>
      <c r="J1299" s="924" t="s">
        <v>1454</v>
      </c>
      <c r="K1299" s="989" t="s">
        <v>2005</v>
      </c>
      <c r="L1299" s="974">
        <v>110000</v>
      </c>
      <c r="M1299" s="997"/>
      <c r="N1299" s="990">
        <v>110000</v>
      </c>
      <c r="O1299" s="991">
        <v>42979.625</v>
      </c>
      <c r="P1299" s="991">
        <v>43040.625</v>
      </c>
      <c r="Q1299" s="930" t="s">
        <v>108</v>
      </c>
      <c r="R1299" s="634" t="s">
        <v>112</v>
      </c>
      <c r="S1299" s="930" t="s">
        <v>1457</v>
      </c>
      <c r="T1299" s="990"/>
      <c r="U1299" s="930"/>
      <c r="V1299" s="930"/>
      <c r="W1299" s="934"/>
      <c r="X1299" s="935"/>
      <c r="Y1299" s="934"/>
      <c r="Z1299" s="933"/>
      <c r="AA1299" s="908" t="s">
        <v>1458</v>
      </c>
      <c r="AB1299" s="843" t="s">
        <v>263</v>
      </c>
      <c r="AC1299" s="936"/>
      <c r="AD1299" s="844" t="s">
        <v>113</v>
      </c>
      <c r="AE1299" s="937">
        <f t="shared" si="32"/>
        <v>9</v>
      </c>
    </row>
    <row r="1300" spans="1:31" ht="105" hidden="1" x14ac:dyDescent="0.25">
      <c r="A1300" s="960" t="s">
        <v>7047</v>
      </c>
      <c r="B1300" s="922" t="s">
        <v>2122</v>
      </c>
      <c r="C1300" s="922" t="s">
        <v>6900</v>
      </c>
      <c r="D1300" s="670" t="s">
        <v>7499</v>
      </c>
      <c r="E1300" s="984" t="s">
        <v>6901</v>
      </c>
      <c r="F1300" s="926" t="s">
        <v>1528</v>
      </c>
      <c r="G1300" s="924" t="s">
        <v>2156</v>
      </c>
      <c r="H1300" s="931">
        <v>1</v>
      </c>
      <c r="I1300" s="985" t="s">
        <v>2161</v>
      </c>
      <c r="J1300" s="924" t="s">
        <v>1454</v>
      </c>
      <c r="K1300" s="989" t="s">
        <v>6956</v>
      </c>
      <c r="L1300" s="974">
        <v>3312561.14</v>
      </c>
      <c r="M1300" s="997"/>
      <c r="N1300" s="990">
        <v>3312561.14</v>
      </c>
      <c r="O1300" s="991">
        <v>43040</v>
      </c>
      <c r="P1300" s="991">
        <v>43040</v>
      </c>
      <c r="Q1300" s="930" t="s">
        <v>108</v>
      </c>
      <c r="R1300" s="634" t="s">
        <v>112</v>
      </c>
      <c r="S1300" s="930" t="s">
        <v>1457</v>
      </c>
      <c r="T1300" s="990"/>
      <c r="U1300" s="930"/>
      <c r="V1300" s="930"/>
      <c r="W1300" s="934"/>
      <c r="X1300" s="935"/>
      <c r="Y1300" s="934"/>
      <c r="Z1300" s="933"/>
      <c r="AA1300" s="908" t="s">
        <v>1458</v>
      </c>
      <c r="AB1300" s="843" t="s">
        <v>263</v>
      </c>
      <c r="AC1300" s="936"/>
      <c r="AD1300" s="844" t="s">
        <v>113</v>
      </c>
      <c r="AE1300" s="937">
        <f t="shared" si="32"/>
        <v>11</v>
      </c>
    </row>
    <row r="1301" spans="1:31" ht="105" hidden="1" x14ac:dyDescent="0.25">
      <c r="A1301" s="960" t="s">
        <v>7048</v>
      </c>
      <c r="B1301" s="922" t="s">
        <v>2418</v>
      </c>
      <c r="C1301" s="922" t="s">
        <v>2419</v>
      </c>
      <c r="D1301" s="670" t="s">
        <v>7500</v>
      </c>
      <c r="E1301" s="984" t="s">
        <v>6901</v>
      </c>
      <c r="F1301" s="926" t="s">
        <v>1528</v>
      </c>
      <c r="G1301" s="924" t="s">
        <v>2156</v>
      </c>
      <c r="H1301" s="931">
        <v>1</v>
      </c>
      <c r="I1301" s="985" t="s">
        <v>2161</v>
      </c>
      <c r="J1301" s="924" t="s">
        <v>1454</v>
      </c>
      <c r="K1301" s="989" t="s">
        <v>6957</v>
      </c>
      <c r="L1301" s="974">
        <v>2762053.53</v>
      </c>
      <c r="M1301" s="997"/>
      <c r="N1301" s="990">
        <v>2762053.53</v>
      </c>
      <c r="O1301" s="991">
        <v>42979.625</v>
      </c>
      <c r="P1301" s="991">
        <v>43009.625</v>
      </c>
      <c r="Q1301" s="930" t="s">
        <v>108</v>
      </c>
      <c r="R1301" s="634" t="s">
        <v>112</v>
      </c>
      <c r="S1301" s="930" t="s">
        <v>1457</v>
      </c>
      <c r="T1301" s="990"/>
      <c r="U1301" s="930"/>
      <c r="V1301" s="930"/>
      <c r="W1301" s="934"/>
      <c r="X1301" s="935"/>
      <c r="Y1301" s="934"/>
      <c r="Z1301" s="933"/>
      <c r="AA1301" s="908" t="s">
        <v>1458</v>
      </c>
      <c r="AB1301" s="843" t="s">
        <v>263</v>
      </c>
      <c r="AC1301" s="936"/>
      <c r="AD1301" s="844" t="s">
        <v>113</v>
      </c>
      <c r="AE1301" s="937">
        <f t="shared" si="32"/>
        <v>9</v>
      </c>
    </row>
    <row r="1302" spans="1:31" ht="105" hidden="1" x14ac:dyDescent="0.25">
      <c r="A1302" s="960" t="s">
        <v>7049</v>
      </c>
      <c r="B1302" s="922" t="s">
        <v>1672</v>
      </c>
      <c r="C1302" s="922" t="s">
        <v>6902</v>
      </c>
      <c r="D1302" s="670" t="s">
        <v>7501</v>
      </c>
      <c r="E1302" s="984" t="s">
        <v>6492</v>
      </c>
      <c r="F1302" s="926" t="s">
        <v>1587</v>
      </c>
      <c r="G1302" s="924" t="s">
        <v>2256</v>
      </c>
      <c r="H1302" s="931">
        <v>1</v>
      </c>
      <c r="I1302" s="985" t="s">
        <v>2161</v>
      </c>
      <c r="J1302" s="924" t="s">
        <v>1454</v>
      </c>
      <c r="K1302" s="989" t="s">
        <v>6958</v>
      </c>
      <c r="L1302" s="974">
        <v>203905.99</v>
      </c>
      <c r="M1302" s="997"/>
      <c r="N1302" s="990">
        <v>203905.99</v>
      </c>
      <c r="O1302" s="991">
        <v>42979.625</v>
      </c>
      <c r="P1302" s="991">
        <v>43040.625</v>
      </c>
      <c r="Q1302" s="930" t="s">
        <v>108</v>
      </c>
      <c r="R1302" s="634" t="s">
        <v>112</v>
      </c>
      <c r="S1302" s="930" t="s">
        <v>1457</v>
      </c>
      <c r="T1302" s="990"/>
      <c r="U1302" s="930"/>
      <c r="V1302" s="930"/>
      <c r="W1302" s="934"/>
      <c r="X1302" s="935"/>
      <c r="Y1302" s="934"/>
      <c r="Z1302" s="933"/>
      <c r="AA1302" s="908" t="s">
        <v>1458</v>
      </c>
      <c r="AB1302" s="843" t="s">
        <v>263</v>
      </c>
      <c r="AC1302" s="936"/>
      <c r="AD1302" s="844" t="s">
        <v>113</v>
      </c>
      <c r="AE1302" s="937">
        <f t="shared" si="32"/>
        <v>9</v>
      </c>
    </row>
    <row r="1303" spans="1:31" ht="105" hidden="1" x14ac:dyDescent="0.25">
      <c r="A1303" s="960" t="s">
        <v>7050</v>
      </c>
      <c r="B1303" s="922" t="s">
        <v>1924</v>
      </c>
      <c r="C1303" s="922" t="s">
        <v>6903</v>
      </c>
      <c r="D1303" s="670" t="s">
        <v>7502</v>
      </c>
      <c r="E1303" s="984" t="s">
        <v>4944</v>
      </c>
      <c r="F1303" s="926" t="s">
        <v>1587</v>
      </c>
      <c r="G1303" s="924" t="s">
        <v>2256</v>
      </c>
      <c r="H1303" s="931">
        <v>1</v>
      </c>
      <c r="I1303" s="985" t="s">
        <v>2161</v>
      </c>
      <c r="J1303" s="924" t="s">
        <v>1454</v>
      </c>
      <c r="K1303" s="989" t="s">
        <v>6959</v>
      </c>
      <c r="L1303" s="974">
        <v>166821.70000000001</v>
      </c>
      <c r="M1303" s="997"/>
      <c r="N1303" s="990">
        <v>166821.70000000001</v>
      </c>
      <c r="O1303" s="991">
        <v>42979.625</v>
      </c>
      <c r="P1303" s="991">
        <v>43040.625</v>
      </c>
      <c r="Q1303" s="930" t="s">
        <v>108</v>
      </c>
      <c r="R1303" s="634" t="s">
        <v>112</v>
      </c>
      <c r="S1303" s="930" t="s">
        <v>1457</v>
      </c>
      <c r="T1303" s="990"/>
      <c r="U1303" s="930"/>
      <c r="V1303" s="930"/>
      <c r="W1303" s="934"/>
      <c r="X1303" s="935"/>
      <c r="Y1303" s="934"/>
      <c r="Z1303" s="933"/>
      <c r="AA1303" s="908" t="s">
        <v>1458</v>
      </c>
      <c r="AB1303" s="843" t="s">
        <v>263</v>
      </c>
      <c r="AC1303" s="936"/>
      <c r="AD1303" s="844" t="s">
        <v>113</v>
      </c>
      <c r="AE1303" s="937">
        <f t="shared" si="32"/>
        <v>9</v>
      </c>
    </row>
    <row r="1304" spans="1:31" ht="105" hidden="1" x14ac:dyDescent="0.25">
      <c r="A1304" s="960" t="s">
        <v>7051</v>
      </c>
      <c r="B1304" s="922" t="s">
        <v>1687</v>
      </c>
      <c r="C1304" s="922" t="s">
        <v>3132</v>
      </c>
      <c r="D1304" s="670" t="s">
        <v>7503</v>
      </c>
      <c r="E1304" s="984" t="s">
        <v>6492</v>
      </c>
      <c r="F1304" s="926" t="s">
        <v>1645</v>
      </c>
      <c r="G1304" s="924" t="s">
        <v>2259</v>
      </c>
      <c r="H1304" s="931">
        <v>1017.4</v>
      </c>
      <c r="I1304" s="985" t="s">
        <v>2161</v>
      </c>
      <c r="J1304" s="924" t="s">
        <v>1454</v>
      </c>
      <c r="K1304" s="989" t="s">
        <v>6960</v>
      </c>
      <c r="L1304" s="974">
        <v>567967.53</v>
      </c>
      <c r="M1304" s="997"/>
      <c r="N1304" s="990">
        <v>567967.53</v>
      </c>
      <c r="O1304" s="991">
        <v>42979.625</v>
      </c>
      <c r="P1304" s="991">
        <v>43040.625</v>
      </c>
      <c r="Q1304" s="930" t="s">
        <v>108</v>
      </c>
      <c r="R1304" s="634" t="s">
        <v>112</v>
      </c>
      <c r="S1304" s="930" t="s">
        <v>1457</v>
      </c>
      <c r="T1304" s="990"/>
      <c r="U1304" s="930"/>
      <c r="V1304" s="930"/>
      <c r="W1304" s="934"/>
      <c r="X1304" s="935"/>
      <c r="Y1304" s="934"/>
      <c r="Z1304" s="933"/>
      <c r="AA1304" s="908" t="s">
        <v>1458</v>
      </c>
      <c r="AB1304" s="843" t="s">
        <v>263</v>
      </c>
      <c r="AC1304" s="936"/>
      <c r="AD1304" s="844" t="s">
        <v>113</v>
      </c>
      <c r="AE1304" s="937">
        <f t="shared" si="32"/>
        <v>9</v>
      </c>
    </row>
    <row r="1305" spans="1:31" ht="105" hidden="1" x14ac:dyDescent="0.25">
      <c r="A1305" s="960" t="s">
        <v>7052</v>
      </c>
      <c r="B1305" s="922" t="s">
        <v>1687</v>
      </c>
      <c r="C1305" s="922" t="s">
        <v>3132</v>
      </c>
      <c r="D1305" s="670" t="s">
        <v>7504</v>
      </c>
      <c r="E1305" s="984" t="s">
        <v>6492</v>
      </c>
      <c r="F1305" s="926" t="s">
        <v>1587</v>
      </c>
      <c r="G1305" s="924" t="s">
        <v>2256</v>
      </c>
      <c r="H1305" s="931">
        <v>591</v>
      </c>
      <c r="I1305" s="985" t="s">
        <v>2161</v>
      </c>
      <c r="J1305" s="924" t="s">
        <v>1454</v>
      </c>
      <c r="K1305" s="989" t="s">
        <v>6961</v>
      </c>
      <c r="L1305" s="974">
        <v>239567.82</v>
      </c>
      <c r="M1305" s="997" t="s">
        <v>997</v>
      </c>
      <c r="N1305" s="990">
        <v>239567.82</v>
      </c>
      <c r="O1305" s="991">
        <v>42979.625</v>
      </c>
      <c r="P1305" s="991">
        <v>43040.625</v>
      </c>
      <c r="Q1305" s="930" t="s">
        <v>110</v>
      </c>
      <c r="R1305" s="634" t="s">
        <v>113</v>
      </c>
      <c r="S1305" s="930"/>
      <c r="T1305" s="990"/>
      <c r="U1305" s="930"/>
      <c r="V1305" s="930" t="s">
        <v>45</v>
      </c>
      <c r="W1305" s="934" t="s">
        <v>268</v>
      </c>
      <c r="X1305" s="638" t="s">
        <v>6023</v>
      </c>
      <c r="Y1305" s="637" t="s">
        <v>6024</v>
      </c>
      <c r="Z1305" s="933">
        <v>239567.82</v>
      </c>
      <c r="AA1305" s="908" t="s">
        <v>1458</v>
      </c>
      <c r="AB1305" s="843" t="s">
        <v>263</v>
      </c>
      <c r="AC1305" s="936"/>
      <c r="AD1305" s="844" t="s">
        <v>113</v>
      </c>
      <c r="AE1305" s="937">
        <f t="shared" si="32"/>
        <v>9</v>
      </c>
    </row>
    <row r="1306" spans="1:31" ht="105" hidden="1" x14ac:dyDescent="0.25">
      <c r="A1306" s="960" t="s">
        <v>7053</v>
      </c>
      <c r="B1306" s="922" t="s">
        <v>1842</v>
      </c>
      <c r="C1306" s="922" t="s">
        <v>1930</v>
      </c>
      <c r="D1306" s="670" t="s">
        <v>7505</v>
      </c>
      <c r="E1306" s="984" t="s">
        <v>6492</v>
      </c>
      <c r="F1306" s="926" t="s">
        <v>1528</v>
      </c>
      <c r="G1306" s="924" t="s">
        <v>2156</v>
      </c>
      <c r="H1306" s="931">
        <v>1</v>
      </c>
      <c r="I1306" s="985" t="s">
        <v>2161</v>
      </c>
      <c r="J1306" s="924" t="s">
        <v>1454</v>
      </c>
      <c r="K1306" s="989" t="s">
        <v>6962</v>
      </c>
      <c r="L1306" s="974">
        <v>321614.83</v>
      </c>
      <c r="M1306" s="997"/>
      <c r="N1306" s="990">
        <v>321614.83</v>
      </c>
      <c r="O1306" s="991">
        <v>42979.625</v>
      </c>
      <c r="P1306" s="991">
        <v>43040.625</v>
      </c>
      <c r="Q1306" s="930" t="s">
        <v>108</v>
      </c>
      <c r="R1306" s="634" t="s">
        <v>112</v>
      </c>
      <c r="S1306" s="930" t="s">
        <v>1457</v>
      </c>
      <c r="T1306" s="990"/>
      <c r="U1306" s="930"/>
      <c r="V1306" s="930"/>
      <c r="W1306" s="934"/>
      <c r="X1306" s="935"/>
      <c r="Y1306" s="934"/>
      <c r="Z1306" s="933"/>
      <c r="AA1306" s="908" t="s">
        <v>1458</v>
      </c>
      <c r="AB1306" s="843" t="s">
        <v>263</v>
      </c>
      <c r="AC1306" s="936"/>
      <c r="AD1306" s="844" t="s">
        <v>113</v>
      </c>
      <c r="AE1306" s="937">
        <f t="shared" ref="AE1306:AE1337" si="33">IF(O1306=0,,MONTH(O1306))</f>
        <v>9</v>
      </c>
    </row>
    <row r="1307" spans="1:31" ht="105" hidden="1" x14ac:dyDescent="0.25">
      <c r="A1307" s="960" t="s">
        <v>7054</v>
      </c>
      <c r="B1307" s="922" t="s">
        <v>1842</v>
      </c>
      <c r="C1307" s="922" t="s">
        <v>1930</v>
      </c>
      <c r="D1307" s="670" t="s">
        <v>7506</v>
      </c>
      <c r="E1307" s="984" t="s">
        <v>6492</v>
      </c>
      <c r="F1307" s="926" t="s">
        <v>1587</v>
      </c>
      <c r="G1307" s="924" t="s">
        <v>2256</v>
      </c>
      <c r="H1307" s="931">
        <v>1</v>
      </c>
      <c r="I1307" s="985" t="s">
        <v>2161</v>
      </c>
      <c r="J1307" s="924" t="s">
        <v>1454</v>
      </c>
      <c r="K1307" s="989" t="s">
        <v>6963</v>
      </c>
      <c r="L1307" s="974">
        <v>273480.53000000003</v>
      </c>
      <c r="M1307" s="997"/>
      <c r="N1307" s="990">
        <v>273480.53000000003</v>
      </c>
      <c r="O1307" s="991">
        <v>42979.625</v>
      </c>
      <c r="P1307" s="991">
        <v>43040.625</v>
      </c>
      <c r="Q1307" s="930" t="s">
        <v>108</v>
      </c>
      <c r="R1307" s="634" t="s">
        <v>112</v>
      </c>
      <c r="S1307" s="930" t="s">
        <v>1457</v>
      </c>
      <c r="T1307" s="990"/>
      <c r="U1307" s="930"/>
      <c r="V1307" s="930"/>
      <c r="W1307" s="934"/>
      <c r="X1307" s="935"/>
      <c r="Y1307" s="934"/>
      <c r="Z1307" s="933"/>
      <c r="AA1307" s="908" t="s">
        <v>1458</v>
      </c>
      <c r="AB1307" s="843" t="s">
        <v>263</v>
      </c>
      <c r="AC1307" s="936"/>
      <c r="AD1307" s="844" t="s">
        <v>113</v>
      </c>
      <c r="AE1307" s="937">
        <f t="shared" si="33"/>
        <v>9</v>
      </c>
    </row>
    <row r="1308" spans="1:31" ht="105" hidden="1" x14ac:dyDescent="0.25">
      <c r="A1308" s="960" t="s">
        <v>7055</v>
      </c>
      <c r="B1308" s="922" t="s">
        <v>6904</v>
      </c>
      <c r="C1308" s="922" t="s">
        <v>6905</v>
      </c>
      <c r="D1308" s="670" t="s">
        <v>7144</v>
      </c>
      <c r="E1308" s="984" t="s">
        <v>4852</v>
      </c>
      <c r="F1308" s="926" t="s">
        <v>1528</v>
      </c>
      <c r="G1308" s="924" t="s">
        <v>2156</v>
      </c>
      <c r="H1308" s="931">
        <v>1</v>
      </c>
      <c r="I1308" s="985" t="s">
        <v>2161</v>
      </c>
      <c r="J1308" s="924" t="s">
        <v>1454</v>
      </c>
      <c r="K1308" s="989" t="s">
        <v>1616</v>
      </c>
      <c r="L1308" s="974">
        <v>200000</v>
      </c>
      <c r="M1308" s="997"/>
      <c r="N1308" s="990">
        <v>200000</v>
      </c>
      <c r="O1308" s="991">
        <v>42979.625</v>
      </c>
      <c r="P1308" s="991">
        <v>42979.625</v>
      </c>
      <c r="Q1308" s="930" t="s">
        <v>108</v>
      </c>
      <c r="R1308" s="634" t="s">
        <v>112</v>
      </c>
      <c r="S1308" s="930" t="s">
        <v>1457</v>
      </c>
      <c r="T1308" s="990"/>
      <c r="U1308" s="930"/>
      <c r="V1308" s="930"/>
      <c r="W1308" s="934"/>
      <c r="X1308" s="935"/>
      <c r="Y1308" s="934"/>
      <c r="Z1308" s="933"/>
      <c r="AA1308" s="908" t="s">
        <v>1458</v>
      </c>
      <c r="AB1308" s="843" t="s">
        <v>263</v>
      </c>
      <c r="AC1308" s="936"/>
      <c r="AD1308" s="844" t="s">
        <v>113</v>
      </c>
      <c r="AE1308" s="937">
        <f t="shared" si="33"/>
        <v>9</v>
      </c>
    </row>
    <row r="1309" spans="1:31" ht="105" hidden="1" x14ac:dyDescent="0.25">
      <c r="A1309" s="960" t="s">
        <v>7056</v>
      </c>
      <c r="B1309" s="922" t="s">
        <v>1480</v>
      </c>
      <c r="C1309" s="922" t="s">
        <v>6493</v>
      </c>
      <c r="D1309" s="670" t="s">
        <v>7145</v>
      </c>
      <c r="E1309" s="984" t="s">
        <v>2235</v>
      </c>
      <c r="F1309" s="926" t="s">
        <v>1528</v>
      </c>
      <c r="G1309" s="924" t="s">
        <v>2156</v>
      </c>
      <c r="H1309" s="931">
        <v>1</v>
      </c>
      <c r="I1309" s="985" t="s">
        <v>2161</v>
      </c>
      <c r="J1309" s="924" t="s">
        <v>1454</v>
      </c>
      <c r="K1309" s="989" t="s">
        <v>6525</v>
      </c>
      <c r="L1309" s="974">
        <v>396035</v>
      </c>
      <c r="M1309" s="997"/>
      <c r="N1309" s="990">
        <v>396035</v>
      </c>
      <c r="O1309" s="991">
        <v>42979.625</v>
      </c>
      <c r="P1309" s="991">
        <v>42979.625</v>
      </c>
      <c r="Q1309" s="930" t="s">
        <v>108</v>
      </c>
      <c r="R1309" s="634" t="s">
        <v>112</v>
      </c>
      <c r="S1309" s="930" t="s">
        <v>1457</v>
      </c>
      <c r="T1309" s="990"/>
      <c r="U1309" s="930"/>
      <c r="V1309" s="930"/>
      <c r="W1309" s="934"/>
      <c r="X1309" s="935"/>
      <c r="Y1309" s="934"/>
      <c r="Z1309" s="933"/>
      <c r="AA1309" s="908" t="s">
        <v>1458</v>
      </c>
      <c r="AB1309" s="843" t="s">
        <v>263</v>
      </c>
      <c r="AC1309" s="936"/>
      <c r="AD1309" s="844" t="s">
        <v>113</v>
      </c>
      <c r="AE1309" s="937">
        <f t="shared" si="33"/>
        <v>9</v>
      </c>
    </row>
    <row r="1310" spans="1:31" ht="105" hidden="1" x14ac:dyDescent="0.25">
      <c r="A1310" s="960" t="s">
        <v>7057</v>
      </c>
      <c r="B1310" s="922" t="s">
        <v>1944</v>
      </c>
      <c r="C1310" s="922" t="s">
        <v>2203</v>
      </c>
      <c r="D1310" s="670" t="s">
        <v>7146</v>
      </c>
      <c r="E1310" s="984" t="s">
        <v>2235</v>
      </c>
      <c r="F1310" s="926" t="s">
        <v>1528</v>
      </c>
      <c r="G1310" s="924" t="s">
        <v>2156</v>
      </c>
      <c r="H1310" s="931">
        <v>100</v>
      </c>
      <c r="I1310" s="985" t="s">
        <v>2161</v>
      </c>
      <c r="J1310" s="924" t="s">
        <v>1454</v>
      </c>
      <c r="K1310" s="989" t="s">
        <v>6964</v>
      </c>
      <c r="L1310" s="974">
        <v>1420000</v>
      </c>
      <c r="M1310" s="997"/>
      <c r="N1310" s="990">
        <v>1420000</v>
      </c>
      <c r="O1310" s="991">
        <v>42979.625</v>
      </c>
      <c r="P1310" s="991">
        <v>42979.625</v>
      </c>
      <c r="Q1310" s="930" t="s">
        <v>108</v>
      </c>
      <c r="R1310" s="634" t="s">
        <v>112</v>
      </c>
      <c r="S1310" s="930" t="s">
        <v>1457</v>
      </c>
      <c r="T1310" s="990"/>
      <c r="U1310" s="930"/>
      <c r="V1310" s="930"/>
      <c r="W1310" s="934"/>
      <c r="X1310" s="935"/>
      <c r="Y1310" s="934"/>
      <c r="Z1310" s="933"/>
      <c r="AA1310" s="908" t="s">
        <v>1458</v>
      </c>
      <c r="AB1310" s="843" t="s">
        <v>263</v>
      </c>
      <c r="AC1310" s="936"/>
      <c r="AD1310" s="844" t="s">
        <v>113</v>
      </c>
      <c r="AE1310" s="937">
        <f t="shared" si="33"/>
        <v>9</v>
      </c>
    </row>
    <row r="1311" spans="1:31" ht="105" hidden="1" x14ac:dyDescent="0.25">
      <c r="A1311" s="960" t="s">
        <v>7058</v>
      </c>
      <c r="B1311" s="922" t="s">
        <v>1944</v>
      </c>
      <c r="C1311" s="922" t="s">
        <v>2203</v>
      </c>
      <c r="D1311" s="670" t="s">
        <v>7147</v>
      </c>
      <c r="E1311" s="984" t="s">
        <v>2235</v>
      </c>
      <c r="F1311" s="926" t="s">
        <v>1528</v>
      </c>
      <c r="G1311" s="924" t="s">
        <v>2156</v>
      </c>
      <c r="H1311" s="931">
        <v>60</v>
      </c>
      <c r="I1311" s="985" t="s">
        <v>2161</v>
      </c>
      <c r="J1311" s="924" t="s">
        <v>1454</v>
      </c>
      <c r="K1311" s="989" t="s">
        <v>6965</v>
      </c>
      <c r="L1311" s="974">
        <v>948000</v>
      </c>
      <c r="M1311" s="997"/>
      <c r="N1311" s="990">
        <v>948000</v>
      </c>
      <c r="O1311" s="991">
        <v>42979.625</v>
      </c>
      <c r="P1311" s="991">
        <v>42979.625</v>
      </c>
      <c r="Q1311" s="930" t="s">
        <v>110</v>
      </c>
      <c r="R1311" s="634" t="s">
        <v>113</v>
      </c>
      <c r="S1311" s="930"/>
      <c r="T1311" s="990"/>
      <c r="U1311" s="930"/>
      <c r="V1311" s="930" t="s">
        <v>45</v>
      </c>
      <c r="W1311" s="934" t="s">
        <v>268</v>
      </c>
      <c r="X1311" s="638" t="s">
        <v>3370</v>
      </c>
      <c r="Y1311" s="637" t="s">
        <v>3371</v>
      </c>
      <c r="Z1311" s="933">
        <v>948000</v>
      </c>
      <c r="AA1311" s="908" t="s">
        <v>1458</v>
      </c>
      <c r="AB1311" s="843" t="s">
        <v>263</v>
      </c>
      <c r="AC1311" s="936"/>
      <c r="AD1311" s="844" t="s">
        <v>113</v>
      </c>
      <c r="AE1311" s="937">
        <f t="shared" si="33"/>
        <v>9</v>
      </c>
    </row>
    <row r="1312" spans="1:31" ht="105" hidden="1" x14ac:dyDescent="0.25">
      <c r="A1312" s="960" t="s">
        <v>7059</v>
      </c>
      <c r="B1312" s="922" t="s">
        <v>1944</v>
      </c>
      <c r="C1312" s="922" t="s">
        <v>2203</v>
      </c>
      <c r="D1312" s="670" t="s">
        <v>7148</v>
      </c>
      <c r="E1312" s="984" t="s">
        <v>2235</v>
      </c>
      <c r="F1312" s="926" t="s">
        <v>1528</v>
      </c>
      <c r="G1312" s="924" t="s">
        <v>2156</v>
      </c>
      <c r="H1312" s="931">
        <v>50</v>
      </c>
      <c r="I1312" s="985" t="s">
        <v>2161</v>
      </c>
      <c r="J1312" s="924" t="s">
        <v>1454</v>
      </c>
      <c r="K1312" s="989" t="s">
        <v>6966</v>
      </c>
      <c r="L1312" s="974">
        <v>415000</v>
      </c>
      <c r="M1312" s="997"/>
      <c r="N1312" s="990">
        <v>415000</v>
      </c>
      <c r="O1312" s="991">
        <v>42979.625</v>
      </c>
      <c r="P1312" s="991">
        <v>42979.625</v>
      </c>
      <c r="Q1312" s="930" t="s">
        <v>110</v>
      </c>
      <c r="R1312" s="634" t="s">
        <v>113</v>
      </c>
      <c r="S1312" s="930"/>
      <c r="T1312" s="990"/>
      <c r="U1312" s="930"/>
      <c r="V1312" s="930" t="s">
        <v>45</v>
      </c>
      <c r="W1312" s="934" t="s">
        <v>268</v>
      </c>
      <c r="X1312" s="638" t="s">
        <v>3370</v>
      </c>
      <c r="Y1312" s="637" t="s">
        <v>3371</v>
      </c>
      <c r="Z1312" s="933">
        <v>415000</v>
      </c>
      <c r="AA1312" s="908" t="s">
        <v>1458</v>
      </c>
      <c r="AB1312" s="843" t="s">
        <v>263</v>
      </c>
      <c r="AC1312" s="936"/>
      <c r="AD1312" s="844" t="s">
        <v>113</v>
      </c>
      <c r="AE1312" s="937">
        <f t="shared" si="33"/>
        <v>9</v>
      </c>
    </row>
    <row r="1313" spans="1:31" ht="105" hidden="1" x14ac:dyDescent="0.25">
      <c r="A1313" s="960" t="s">
        <v>7060</v>
      </c>
      <c r="B1313" s="922" t="s">
        <v>1944</v>
      </c>
      <c r="C1313" s="922" t="s">
        <v>2203</v>
      </c>
      <c r="D1313" s="670" t="s">
        <v>7149</v>
      </c>
      <c r="E1313" s="984" t="s">
        <v>2235</v>
      </c>
      <c r="F1313" s="926" t="s">
        <v>1528</v>
      </c>
      <c r="G1313" s="924" t="s">
        <v>2156</v>
      </c>
      <c r="H1313" s="931">
        <v>200</v>
      </c>
      <c r="I1313" s="985" t="s">
        <v>2161</v>
      </c>
      <c r="J1313" s="924" t="s">
        <v>1454</v>
      </c>
      <c r="K1313" s="989" t="s">
        <v>8188</v>
      </c>
      <c r="L1313" s="982">
        <v>1074100</v>
      </c>
      <c r="M1313" s="997"/>
      <c r="N1313" s="1018">
        <v>1074100</v>
      </c>
      <c r="O1313" s="991">
        <v>43009</v>
      </c>
      <c r="P1313" s="991">
        <v>43009</v>
      </c>
      <c r="Q1313" s="930" t="s">
        <v>108</v>
      </c>
      <c r="R1313" s="634" t="s">
        <v>112</v>
      </c>
      <c r="S1313" s="930" t="s">
        <v>1457</v>
      </c>
      <c r="T1313" s="990"/>
      <c r="U1313" s="930"/>
      <c r="V1313" s="930"/>
      <c r="W1313" s="934"/>
      <c r="X1313" s="935"/>
      <c r="Y1313" s="934"/>
      <c r="Z1313" s="933"/>
      <c r="AA1313" s="908" t="s">
        <v>1458</v>
      </c>
      <c r="AB1313" s="843" t="s">
        <v>263</v>
      </c>
      <c r="AC1313" s="936"/>
      <c r="AD1313" s="844" t="s">
        <v>113</v>
      </c>
      <c r="AE1313" s="937">
        <f t="shared" si="33"/>
        <v>10</v>
      </c>
    </row>
    <row r="1314" spans="1:31" ht="105" hidden="1" x14ac:dyDescent="0.25">
      <c r="A1314" s="960" t="s">
        <v>7061</v>
      </c>
      <c r="B1314" s="922" t="s">
        <v>2023</v>
      </c>
      <c r="C1314" s="922" t="s">
        <v>2023</v>
      </c>
      <c r="D1314" s="670" t="s">
        <v>7507</v>
      </c>
      <c r="E1314" s="984" t="s">
        <v>2027</v>
      </c>
      <c r="F1314" s="926" t="s">
        <v>1528</v>
      </c>
      <c r="G1314" s="924" t="s">
        <v>2156</v>
      </c>
      <c r="H1314" s="931">
        <v>6300</v>
      </c>
      <c r="I1314" s="985" t="s">
        <v>2161</v>
      </c>
      <c r="J1314" s="924" t="s">
        <v>1454</v>
      </c>
      <c r="K1314" s="989" t="s">
        <v>6967</v>
      </c>
      <c r="L1314" s="974">
        <v>129054.24</v>
      </c>
      <c r="M1314" s="997"/>
      <c r="N1314" s="990">
        <v>129054.24</v>
      </c>
      <c r="O1314" s="991">
        <v>43009.625</v>
      </c>
      <c r="P1314" s="991">
        <v>43070.625</v>
      </c>
      <c r="Q1314" s="930" t="s">
        <v>110</v>
      </c>
      <c r="R1314" s="634" t="s">
        <v>113</v>
      </c>
      <c r="S1314" s="930"/>
      <c r="T1314" s="990"/>
      <c r="U1314" s="930"/>
      <c r="V1314" s="930"/>
      <c r="W1314" s="934"/>
      <c r="X1314" s="935"/>
      <c r="Y1314" s="934"/>
      <c r="Z1314" s="933"/>
      <c r="AA1314" s="908" t="s">
        <v>1458</v>
      </c>
      <c r="AB1314" s="843" t="s">
        <v>263</v>
      </c>
      <c r="AC1314" s="936"/>
      <c r="AD1314" s="844" t="s">
        <v>113</v>
      </c>
      <c r="AE1314" s="937">
        <f t="shared" si="33"/>
        <v>10</v>
      </c>
    </row>
    <row r="1315" spans="1:31" ht="153" hidden="1" x14ac:dyDescent="0.25">
      <c r="A1315" s="960" t="s">
        <v>7062</v>
      </c>
      <c r="B1315" s="922" t="s">
        <v>2193</v>
      </c>
      <c r="C1315" s="922" t="s">
        <v>2194</v>
      </c>
      <c r="D1315" s="670" t="s">
        <v>7150</v>
      </c>
      <c r="E1315" s="984" t="s">
        <v>1582</v>
      </c>
      <c r="F1315" s="926" t="s">
        <v>1528</v>
      </c>
      <c r="G1315" s="924" t="s">
        <v>2156</v>
      </c>
      <c r="H1315" s="931">
        <v>1</v>
      </c>
      <c r="I1315" s="985" t="s">
        <v>2161</v>
      </c>
      <c r="J1315" s="924" t="s">
        <v>1454</v>
      </c>
      <c r="K1315" s="989" t="s">
        <v>6968</v>
      </c>
      <c r="L1315" s="974">
        <v>3448708.94</v>
      </c>
      <c r="M1315" s="997"/>
      <c r="N1315" s="990">
        <v>3448708.94</v>
      </c>
      <c r="O1315" s="991">
        <v>42979.625</v>
      </c>
      <c r="P1315" s="991">
        <v>43313.625</v>
      </c>
      <c r="Q1315" s="930" t="s">
        <v>110</v>
      </c>
      <c r="R1315" s="634" t="s">
        <v>113</v>
      </c>
      <c r="S1315" s="930"/>
      <c r="T1315" s="990"/>
      <c r="U1315" s="930"/>
      <c r="V1315" s="930" t="s">
        <v>45</v>
      </c>
      <c r="W1315" s="934" t="s">
        <v>79</v>
      </c>
      <c r="X1315" s="638" t="s">
        <v>7209</v>
      </c>
      <c r="Y1315" s="637" t="s">
        <v>7210</v>
      </c>
      <c r="Z1315" s="933"/>
      <c r="AA1315" s="908" t="s">
        <v>1458</v>
      </c>
      <c r="AB1315" s="843" t="s">
        <v>263</v>
      </c>
      <c r="AC1315" s="936"/>
      <c r="AD1315" s="844" t="s">
        <v>113</v>
      </c>
      <c r="AE1315" s="937">
        <f t="shared" si="33"/>
        <v>9</v>
      </c>
    </row>
    <row r="1316" spans="1:31" ht="105" hidden="1" x14ac:dyDescent="0.25">
      <c r="A1316" s="960" t="s">
        <v>7063</v>
      </c>
      <c r="B1316" s="922" t="s">
        <v>1580</v>
      </c>
      <c r="C1316" s="922" t="s">
        <v>1581</v>
      </c>
      <c r="D1316" s="670" t="s">
        <v>7151</v>
      </c>
      <c r="E1316" s="984" t="s">
        <v>1582</v>
      </c>
      <c r="F1316" s="926" t="s">
        <v>1528</v>
      </c>
      <c r="G1316" s="924" t="s">
        <v>2156</v>
      </c>
      <c r="H1316" s="931">
        <v>1</v>
      </c>
      <c r="I1316" s="985" t="s">
        <v>2161</v>
      </c>
      <c r="J1316" s="924" t="s">
        <v>1454</v>
      </c>
      <c r="K1316" s="989" t="s">
        <v>1848</v>
      </c>
      <c r="L1316" s="974">
        <v>1650000</v>
      </c>
      <c r="M1316" s="997"/>
      <c r="N1316" s="990">
        <v>1650000</v>
      </c>
      <c r="O1316" s="991">
        <v>42979.625</v>
      </c>
      <c r="P1316" s="991">
        <v>43040.625</v>
      </c>
      <c r="Q1316" s="930" t="s">
        <v>100</v>
      </c>
      <c r="R1316" s="634" t="s">
        <v>112</v>
      </c>
      <c r="S1316" s="930" t="s">
        <v>1457</v>
      </c>
      <c r="T1316" s="990"/>
      <c r="U1316" s="930"/>
      <c r="V1316" s="930"/>
      <c r="W1316" s="934"/>
      <c r="X1316" s="935"/>
      <c r="Y1316" s="934"/>
      <c r="Z1316" s="933"/>
      <c r="AA1316" s="908" t="s">
        <v>1458</v>
      </c>
      <c r="AB1316" s="843" t="s">
        <v>263</v>
      </c>
      <c r="AC1316" s="936"/>
      <c r="AD1316" s="844" t="s">
        <v>113</v>
      </c>
      <c r="AE1316" s="937">
        <f t="shared" si="33"/>
        <v>9</v>
      </c>
    </row>
    <row r="1317" spans="1:31" ht="105" hidden="1" x14ac:dyDescent="0.25">
      <c r="A1317" s="960" t="s">
        <v>7064</v>
      </c>
      <c r="B1317" s="922" t="s">
        <v>1851</v>
      </c>
      <c r="C1317" s="922" t="s">
        <v>6906</v>
      </c>
      <c r="D1317" s="670" t="s">
        <v>7508</v>
      </c>
      <c r="E1317" s="984" t="s">
        <v>6907</v>
      </c>
      <c r="F1317" s="926" t="s">
        <v>1528</v>
      </c>
      <c r="G1317" s="924" t="s">
        <v>2156</v>
      </c>
      <c r="H1317" s="931">
        <v>2</v>
      </c>
      <c r="I1317" s="985" t="s">
        <v>2161</v>
      </c>
      <c r="J1317" s="924" t="s">
        <v>1454</v>
      </c>
      <c r="K1317" s="989" t="s">
        <v>6969</v>
      </c>
      <c r="L1317" s="974">
        <v>80270</v>
      </c>
      <c r="M1317" s="997"/>
      <c r="N1317" s="990">
        <v>80270</v>
      </c>
      <c r="O1317" s="991">
        <v>43009.625</v>
      </c>
      <c r="P1317" s="991">
        <v>43070.625</v>
      </c>
      <c r="Q1317" s="930" t="s">
        <v>108</v>
      </c>
      <c r="R1317" s="634" t="s">
        <v>112</v>
      </c>
      <c r="S1317" s="930" t="s">
        <v>1457</v>
      </c>
      <c r="T1317" s="990"/>
      <c r="U1317" s="930"/>
      <c r="V1317" s="930"/>
      <c r="W1317" s="934"/>
      <c r="X1317" s="935"/>
      <c r="Y1317" s="934"/>
      <c r="Z1317" s="933"/>
      <c r="AA1317" s="908" t="s">
        <v>1458</v>
      </c>
      <c r="AB1317" s="843" t="s">
        <v>263</v>
      </c>
      <c r="AC1317" s="936"/>
      <c r="AD1317" s="844" t="s">
        <v>113</v>
      </c>
      <c r="AE1317" s="937">
        <f t="shared" si="33"/>
        <v>10</v>
      </c>
    </row>
    <row r="1318" spans="1:31" ht="105" hidden="1" x14ac:dyDescent="0.25">
      <c r="A1318" s="960" t="s">
        <v>7065</v>
      </c>
      <c r="B1318" s="922" t="s">
        <v>1951</v>
      </c>
      <c r="C1318" s="922" t="s">
        <v>1951</v>
      </c>
      <c r="D1318" s="670" t="s">
        <v>7509</v>
      </c>
      <c r="E1318" s="984" t="s">
        <v>1948</v>
      </c>
      <c r="F1318" s="926" t="s">
        <v>1587</v>
      </c>
      <c r="G1318" s="924" t="s">
        <v>2256</v>
      </c>
      <c r="H1318" s="931">
        <v>15</v>
      </c>
      <c r="I1318" s="985" t="s">
        <v>2161</v>
      </c>
      <c r="J1318" s="924" t="s">
        <v>1454</v>
      </c>
      <c r="K1318" s="989" t="s">
        <v>6970</v>
      </c>
      <c r="L1318" s="974">
        <v>222283.86</v>
      </c>
      <c r="M1318" s="997" t="s">
        <v>997</v>
      </c>
      <c r="N1318" s="990">
        <v>222283.86</v>
      </c>
      <c r="O1318" s="991">
        <v>42979.625</v>
      </c>
      <c r="P1318" s="991">
        <v>43070.625</v>
      </c>
      <c r="Q1318" s="930" t="s">
        <v>110</v>
      </c>
      <c r="R1318" s="634" t="s">
        <v>113</v>
      </c>
      <c r="S1318" s="930"/>
      <c r="T1318" s="990"/>
      <c r="U1318" s="930"/>
      <c r="V1318" s="930" t="s">
        <v>45</v>
      </c>
      <c r="W1318" s="934" t="s">
        <v>73</v>
      </c>
      <c r="X1318" s="638" t="s">
        <v>2381</v>
      </c>
      <c r="Y1318" s="637" t="s">
        <v>5767</v>
      </c>
      <c r="Z1318" s="933">
        <v>222283.86</v>
      </c>
      <c r="AA1318" s="908" t="s">
        <v>1458</v>
      </c>
      <c r="AB1318" s="843" t="s">
        <v>263</v>
      </c>
      <c r="AC1318" s="936"/>
      <c r="AD1318" s="844" t="s">
        <v>113</v>
      </c>
      <c r="AE1318" s="937">
        <f t="shared" si="33"/>
        <v>9</v>
      </c>
    </row>
    <row r="1319" spans="1:31" ht="105" hidden="1" x14ac:dyDescent="0.25">
      <c r="A1319" s="960" t="s">
        <v>7066</v>
      </c>
      <c r="B1319" s="922" t="s">
        <v>6180</v>
      </c>
      <c r="C1319" s="922" t="s">
        <v>6181</v>
      </c>
      <c r="D1319" s="670" t="s">
        <v>7152</v>
      </c>
      <c r="E1319" s="984" t="s">
        <v>6182</v>
      </c>
      <c r="F1319" s="926" t="s">
        <v>1528</v>
      </c>
      <c r="G1319" s="924" t="s">
        <v>2156</v>
      </c>
      <c r="H1319" s="931">
        <v>1</v>
      </c>
      <c r="I1319" s="985" t="s">
        <v>2161</v>
      </c>
      <c r="J1319" s="924" t="s">
        <v>1454</v>
      </c>
      <c r="K1319" s="989" t="s">
        <v>6971</v>
      </c>
      <c r="L1319" s="974">
        <v>382853</v>
      </c>
      <c r="M1319" s="997"/>
      <c r="N1319" s="990">
        <v>382853</v>
      </c>
      <c r="O1319" s="991">
        <v>42979.625</v>
      </c>
      <c r="P1319" s="991">
        <v>43009.625</v>
      </c>
      <c r="Q1319" s="930" t="s">
        <v>108</v>
      </c>
      <c r="R1319" s="634" t="s">
        <v>112</v>
      </c>
      <c r="S1319" s="930" t="s">
        <v>1457</v>
      </c>
      <c r="T1319" s="990"/>
      <c r="U1319" s="930"/>
      <c r="V1319" s="930" t="s">
        <v>54</v>
      </c>
      <c r="W1319" s="934"/>
      <c r="X1319" s="935"/>
      <c r="Y1319" s="934"/>
      <c r="Z1319" s="933"/>
      <c r="AA1319" s="908" t="s">
        <v>1458</v>
      </c>
      <c r="AB1319" s="843" t="s">
        <v>617</v>
      </c>
      <c r="AC1319" s="936"/>
      <c r="AD1319" s="844" t="s">
        <v>113</v>
      </c>
      <c r="AE1319" s="937">
        <f t="shared" si="33"/>
        <v>9</v>
      </c>
    </row>
    <row r="1320" spans="1:31" ht="105" hidden="1" x14ac:dyDescent="0.25">
      <c r="A1320" s="960" t="s">
        <v>7067</v>
      </c>
      <c r="B1320" s="922" t="s">
        <v>1576</v>
      </c>
      <c r="C1320" s="922" t="s">
        <v>6908</v>
      </c>
      <c r="D1320" s="670" t="s">
        <v>7510</v>
      </c>
      <c r="E1320" s="984" t="s">
        <v>3139</v>
      </c>
      <c r="F1320" s="926" t="s">
        <v>1528</v>
      </c>
      <c r="G1320" s="924" t="s">
        <v>2156</v>
      </c>
      <c r="H1320" s="931">
        <v>700</v>
      </c>
      <c r="I1320" s="985" t="s">
        <v>2161</v>
      </c>
      <c r="J1320" s="924" t="s">
        <v>1454</v>
      </c>
      <c r="K1320" s="989" t="s">
        <v>6972</v>
      </c>
      <c r="L1320" s="974">
        <v>928400</v>
      </c>
      <c r="M1320" s="997" t="s">
        <v>997</v>
      </c>
      <c r="N1320" s="990">
        <v>928400</v>
      </c>
      <c r="O1320" s="991">
        <v>42979.625</v>
      </c>
      <c r="P1320" s="991">
        <v>43009.625</v>
      </c>
      <c r="Q1320" s="930" t="s">
        <v>110</v>
      </c>
      <c r="R1320" s="634" t="s">
        <v>113</v>
      </c>
      <c r="S1320" s="930"/>
      <c r="T1320" s="990"/>
      <c r="U1320" s="930"/>
      <c r="V1320" s="930" t="s">
        <v>45</v>
      </c>
      <c r="W1320" s="934" t="s">
        <v>73</v>
      </c>
      <c r="X1320" s="638" t="s">
        <v>3304</v>
      </c>
      <c r="Y1320" s="637" t="s">
        <v>3305</v>
      </c>
      <c r="Z1320" s="933">
        <v>928400</v>
      </c>
      <c r="AA1320" s="908" t="s">
        <v>1458</v>
      </c>
      <c r="AB1320" s="843" t="s">
        <v>263</v>
      </c>
      <c r="AC1320" s="936"/>
      <c r="AD1320" s="844" t="s">
        <v>113</v>
      </c>
      <c r="AE1320" s="937">
        <f t="shared" si="33"/>
        <v>9</v>
      </c>
    </row>
    <row r="1321" spans="1:31" ht="105" hidden="1" x14ac:dyDescent="0.25">
      <c r="A1321" s="960" t="s">
        <v>7068</v>
      </c>
      <c r="B1321" s="922" t="s">
        <v>6909</v>
      </c>
      <c r="C1321" s="922" t="s">
        <v>2063</v>
      </c>
      <c r="D1321" s="670" t="s">
        <v>7511</v>
      </c>
      <c r="E1321" s="984" t="s">
        <v>6910</v>
      </c>
      <c r="F1321" s="926" t="s">
        <v>1528</v>
      </c>
      <c r="G1321" s="924" t="s">
        <v>2156</v>
      </c>
      <c r="H1321" s="931">
        <v>1</v>
      </c>
      <c r="I1321" s="985" t="s">
        <v>2161</v>
      </c>
      <c r="J1321" s="924" t="s">
        <v>1454</v>
      </c>
      <c r="K1321" s="989" t="s">
        <v>1806</v>
      </c>
      <c r="L1321" s="974">
        <v>150000</v>
      </c>
      <c r="M1321" s="997"/>
      <c r="N1321" s="990">
        <v>150000</v>
      </c>
      <c r="O1321" s="991">
        <v>43009.625</v>
      </c>
      <c r="P1321" s="991">
        <v>43009.625</v>
      </c>
      <c r="Q1321" s="930" t="s">
        <v>110</v>
      </c>
      <c r="R1321" s="634" t="s">
        <v>113</v>
      </c>
      <c r="S1321" s="930"/>
      <c r="T1321" s="990"/>
      <c r="U1321" s="930"/>
      <c r="V1321" s="930"/>
      <c r="W1321" s="934" t="s">
        <v>68</v>
      </c>
      <c r="X1321" s="935" t="s">
        <v>7234</v>
      </c>
      <c r="Y1321" s="934" t="s">
        <v>7235</v>
      </c>
      <c r="Z1321" s="933">
        <v>150000</v>
      </c>
      <c r="AA1321" s="908" t="s">
        <v>1458</v>
      </c>
      <c r="AB1321" s="843" t="s">
        <v>263</v>
      </c>
      <c r="AC1321" s="936"/>
      <c r="AD1321" s="844" t="s">
        <v>113</v>
      </c>
      <c r="AE1321" s="937">
        <f t="shared" si="33"/>
        <v>10</v>
      </c>
    </row>
    <row r="1322" spans="1:31" ht="105" hidden="1" x14ac:dyDescent="0.25">
      <c r="A1322" s="960" t="s">
        <v>7069</v>
      </c>
      <c r="B1322" s="922" t="s">
        <v>2211</v>
      </c>
      <c r="C1322" s="922" t="s">
        <v>2211</v>
      </c>
      <c r="D1322" s="670" t="s">
        <v>7153</v>
      </c>
      <c r="E1322" s="984" t="s">
        <v>2225</v>
      </c>
      <c r="F1322" s="926" t="s">
        <v>1587</v>
      </c>
      <c r="G1322" s="924" t="s">
        <v>2256</v>
      </c>
      <c r="H1322" s="931">
        <v>4</v>
      </c>
      <c r="I1322" s="985" t="s">
        <v>2161</v>
      </c>
      <c r="J1322" s="924" t="s">
        <v>1454</v>
      </c>
      <c r="K1322" s="989" t="s">
        <v>8163</v>
      </c>
      <c r="L1322" s="974">
        <v>265820.43</v>
      </c>
      <c r="M1322" s="997"/>
      <c r="N1322" s="990">
        <v>265820.43</v>
      </c>
      <c r="O1322" s="991">
        <v>43009.625</v>
      </c>
      <c r="P1322" s="991">
        <v>43070.625</v>
      </c>
      <c r="Q1322" s="930" t="s">
        <v>108</v>
      </c>
      <c r="R1322" s="634" t="s">
        <v>112</v>
      </c>
      <c r="S1322" s="930" t="s">
        <v>1457</v>
      </c>
      <c r="T1322" s="990"/>
      <c r="U1322" s="930"/>
      <c r="V1322" s="930"/>
      <c r="W1322" s="934"/>
      <c r="X1322" s="935"/>
      <c r="Y1322" s="934"/>
      <c r="Z1322" s="933"/>
      <c r="AA1322" s="908" t="s">
        <v>1458</v>
      </c>
      <c r="AB1322" s="843" t="s">
        <v>263</v>
      </c>
      <c r="AC1322" s="936"/>
      <c r="AD1322" s="844" t="s">
        <v>113</v>
      </c>
      <c r="AE1322" s="937">
        <f t="shared" si="33"/>
        <v>10</v>
      </c>
    </row>
    <row r="1323" spans="1:31" ht="105" hidden="1" x14ac:dyDescent="0.25">
      <c r="A1323" s="960" t="s">
        <v>7070</v>
      </c>
      <c r="B1323" s="922" t="s">
        <v>1976</v>
      </c>
      <c r="C1323" s="922" t="s">
        <v>6183</v>
      </c>
      <c r="D1323" s="670" t="s">
        <v>7154</v>
      </c>
      <c r="E1323" s="984" t="s">
        <v>1978</v>
      </c>
      <c r="F1323" s="926" t="s">
        <v>2113</v>
      </c>
      <c r="G1323" s="924" t="s">
        <v>2559</v>
      </c>
      <c r="H1323" s="931">
        <v>18670</v>
      </c>
      <c r="I1323" s="985" t="s">
        <v>2161</v>
      </c>
      <c r="J1323" s="924" t="s">
        <v>1454</v>
      </c>
      <c r="K1323" s="989" t="s">
        <v>1979</v>
      </c>
      <c r="L1323" s="974">
        <v>20000000</v>
      </c>
      <c r="M1323" s="997"/>
      <c r="N1323" s="990">
        <v>20000000</v>
      </c>
      <c r="O1323" s="991">
        <v>42979.625</v>
      </c>
      <c r="P1323" s="991">
        <v>43435.625</v>
      </c>
      <c r="Q1323" s="930" t="s">
        <v>110</v>
      </c>
      <c r="R1323" s="634" t="s">
        <v>113</v>
      </c>
      <c r="S1323" s="930"/>
      <c r="T1323" s="990"/>
      <c r="U1323" s="930"/>
      <c r="V1323" s="930"/>
      <c r="W1323" s="934" t="s">
        <v>65</v>
      </c>
      <c r="X1323" s="638" t="s">
        <v>6407</v>
      </c>
      <c r="Y1323" s="637" t="s">
        <v>6408</v>
      </c>
      <c r="Z1323" s="933">
        <v>20000000</v>
      </c>
      <c r="AA1323" s="908" t="s">
        <v>1458</v>
      </c>
      <c r="AB1323" s="843" t="s">
        <v>263</v>
      </c>
      <c r="AC1323" s="936"/>
      <c r="AD1323" s="844" t="s">
        <v>113</v>
      </c>
      <c r="AE1323" s="937">
        <f t="shared" si="33"/>
        <v>9</v>
      </c>
    </row>
    <row r="1324" spans="1:31" ht="105" hidden="1" x14ac:dyDescent="0.25">
      <c r="A1324" s="960" t="s">
        <v>7071</v>
      </c>
      <c r="B1324" s="922" t="s">
        <v>1976</v>
      </c>
      <c r="C1324" s="922" t="s">
        <v>6183</v>
      </c>
      <c r="D1324" s="670" t="s">
        <v>7155</v>
      </c>
      <c r="E1324" s="984" t="s">
        <v>1978</v>
      </c>
      <c r="F1324" s="926" t="s">
        <v>2113</v>
      </c>
      <c r="G1324" s="924" t="s">
        <v>2559</v>
      </c>
      <c r="H1324" s="931">
        <v>17308</v>
      </c>
      <c r="I1324" s="985" t="s">
        <v>2161</v>
      </c>
      <c r="J1324" s="924" t="s">
        <v>1454</v>
      </c>
      <c r="K1324" s="989" t="s">
        <v>6973</v>
      </c>
      <c r="L1324" s="974">
        <v>17760000</v>
      </c>
      <c r="M1324" s="997"/>
      <c r="N1324" s="990">
        <v>17760000</v>
      </c>
      <c r="O1324" s="991">
        <v>42979.625</v>
      </c>
      <c r="P1324" s="991">
        <v>43435.625</v>
      </c>
      <c r="Q1324" s="930" t="s">
        <v>110</v>
      </c>
      <c r="R1324" s="634" t="s">
        <v>113</v>
      </c>
      <c r="S1324" s="930"/>
      <c r="T1324" s="990"/>
      <c r="U1324" s="930"/>
      <c r="V1324" s="930"/>
      <c r="W1324" s="934" t="s">
        <v>65</v>
      </c>
      <c r="X1324" s="638" t="s">
        <v>6407</v>
      </c>
      <c r="Y1324" s="637" t="s">
        <v>6408</v>
      </c>
      <c r="Z1324" s="933">
        <v>17760000</v>
      </c>
      <c r="AA1324" s="908" t="s">
        <v>1458</v>
      </c>
      <c r="AB1324" s="843" t="s">
        <v>263</v>
      </c>
      <c r="AC1324" s="936"/>
      <c r="AD1324" s="844" t="s">
        <v>113</v>
      </c>
      <c r="AE1324" s="937">
        <f t="shared" si="33"/>
        <v>9</v>
      </c>
    </row>
    <row r="1325" spans="1:31" ht="105" hidden="1" x14ac:dyDescent="0.25">
      <c r="A1325" s="960" t="s">
        <v>7072</v>
      </c>
      <c r="B1325" s="922" t="s">
        <v>4988</v>
      </c>
      <c r="C1325" s="922" t="s">
        <v>1793</v>
      </c>
      <c r="D1325" s="670" t="s">
        <v>7156</v>
      </c>
      <c r="E1325" s="984" t="s">
        <v>1569</v>
      </c>
      <c r="F1325" s="926" t="s">
        <v>1528</v>
      </c>
      <c r="G1325" s="924" t="s">
        <v>2156</v>
      </c>
      <c r="H1325" s="931">
        <v>1</v>
      </c>
      <c r="I1325" s="985" t="s">
        <v>2161</v>
      </c>
      <c r="J1325" s="924" t="s">
        <v>1454</v>
      </c>
      <c r="K1325" s="989" t="s">
        <v>2893</v>
      </c>
      <c r="L1325" s="974">
        <v>230000</v>
      </c>
      <c r="M1325" s="997"/>
      <c r="N1325" s="990">
        <v>230000</v>
      </c>
      <c r="O1325" s="991">
        <v>43009.625</v>
      </c>
      <c r="P1325" s="991">
        <v>43070.625</v>
      </c>
      <c r="Q1325" s="930" t="s">
        <v>108</v>
      </c>
      <c r="R1325" s="634" t="s">
        <v>112</v>
      </c>
      <c r="S1325" s="930" t="s">
        <v>1457</v>
      </c>
      <c r="T1325" s="990"/>
      <c r="U1325" s="930"/>
      <c r="V1325" s="930"/>
      <c r="W1325" s="934"/>
      <c r="X1325" s="935"/>
      <c r="Y1325" s="934"/>
      <c r="Z1325" s="933"/>
      <c r="AA1325" s="908" t="s">
        <v>1458</v>
      </c>
      <c r="AB1325" s="843" t="s">
        <v>263</v>
      </c>
      <c r="AC1325" s="936"/>
      <c r="AD1325" s="844" t="s">
        <v>113</v>
      </c>
      <c r="AE1325" s="937">
        <f t="shared" si="33"/>
        <v>10</v>
      </c>
    </row>
    <row r="1326" spans="1:31" ht="105" hidden="1" x14ac:dyDescent="0.25">
      <c r="A1326" s="960" t="s">
        <v>7073</v>
      </c>
      <c r="B1326" s="922" t="s">
        <v>1465</v>
      </c>
      <c r="C1326" s="922" t="s">
        <v>6911</v>
      </c>
      <c r="D1326" s="670" t="s">
        <v>7157</v>
      </c>
      <c r="E1326" s="984" t="s">
        <v>4852</v>
      </c>
      <c r="F1326" s="926" t="s">
        <v>1528</v>
      </c>
      <c r="G1326" s="924" t="s">
        <v>2156</v>
      </c>
      <c r="H1326" s="931">
        <v>1</v>
      </c>
      <c r="I1326" s="985" t="s">
        <v>2161</v>
      </c>
      <c r="J1326" s="924" t="s">
        <v>1454</v>
      </c>
      <c r="K1326" s="989" t="s">
        <v>1696</v>
      </c>
      <c r="L1326" s="974">
        <v>5000000</v>
      </c>
      <c r="M1326" s="997"/>
      <c r="N1326" s="990">
        <v>5000000</v>
      </c>
      <c r="O1326" s="991">
        <v>42979.625</v>
      </c>
      <c r="P1326" s="991">
        <v>43709.625</v>
      </c>
      <c r="Q1326" s="930" t="s">
        <v>110</v>
      </c>
      <c r="R1326" s="634" t="s">
        <v>113</v>
      </c>
      <c r="S1326" s="930"/>
      <c r="T1326" s="990"/>
      <c r="U1326" s="930"/>
      <c r="V1326" s="930"/>
      <c r="W1326" s="934"/>
      <c r="X1326" s="935"/>
      <c r="Y1326" s="934"/>
      <c r="Z1326" s="933"/>
      <c r="AA1326" s="908" t="s">
        <v>1458</v>
      </c>
      <c r="AB1326" s="843" t="s">
        <v>263</v>
      </c>
      <c r="AC1326" s="936"/>
      <c r="AD1326" s="844" t="s">
        <v>113</v>
      </c>
      <c r="AE1326" s="937">
        <f t="shared" si="33"/>
        <v>9</v>
      </c>
    </row>
    <row r="1327" spans="1:31" ht="105" hidden="1" x14ac:dyDescent="0.25">
      <c r="A1327" s="960" t="s">
        <v>7074</v>
      </c>
      <c r="B1327" s="922" t="s">
        <v>1465</v>
      </c>
      <c r="C1327" s="922" t="s">
        <v>6911</v>
      </c>
      <c r="D1327" s="670" t="s">
        <v>7158</v>
      </c>
      <c r="E1327" s="984" t="s">
        <v>4852</v>
      </c>
      <c r="F1327" s="926" t="s">
        <v>1528</v>
      </c>
      <c r="G1327" s="924" t="s">
        <v>2156</v>
      </c>
      <c r="H1327" s="931">
        <v>1</v>
      </c>
      <c r="I1327" s="985" t="s">
        <v>2161</v>
      </c>
      <c r="J1327" s="924" t="s">
        <v>1454</v>
      </c>
      <c r="K1327" s="989" t="s">
        <v>1696</v>
      </c>
      <c r="L1327" s="974">
        <v>5000000</v>
      </c>
      <c r="M1327" s="997"/>
      <c r="N1327" s="990">
        <v>5000000</v>
      </c>
      <c r="O1327" s="991">
        <v>42979.625</v>
      </c>
      <c r="P1327" s="991">
        <v>43709.625</v>
      </c>
      <c r="Q1327" s="930" t="s">
        <v>110</v>
      </c>
      <c r="R1327" s="634" t="s">
        <v>113</v>
      </c>
      <c r="S1327" s="930"/>
      <c r="T1327" s="990"/>
      <c r="U1327" s="930"/>
      <c r="V1327" s="930"/>
      <c r="W1327" s="934"/>
      <c r="X1327" s="935"/>
      <c r="Y1327" s="934"/>
      <c r="Z1327" s="933"/>
      <c r="AA1327" s="908" t="s">
        <v>1458</v>
      </c>
      <c r="AB1327" s="843" t="s">
        <v>263</v>
      </c>
      <c r="AC1327" s="936"/>
      <c r="AD1327" s="844" t="s">
        <v>113</v>
      </c>
      <c r="AE1327" s="937">
        <f t="shared" si="33"/>
        <v>9</v>
      </c>
    </row>
    <row r="1328" spans="1:31" ht="105" hidden="1" x14ac:dyDescent="0.25">
      <c r="A1328" s="960" t="s">
        <v>7075</v>
      </c>
      <c r="B1328" s="922" t="s">
        <v>2176</v>
      </c>
      <c r="C1328" s="922" t="s">
        <v>2037</v>
      </c>
      <c r="D1328" s="670" t="s">
        <v>7512</v>
      </c>
      <c r="E1328" s="984" t="s">
        <v>2027</v>
      </c>
      <c r="F1328" s="926" t="s">
        <v>1528</v>
      </c>
      <c r="G1328" s="924" t="s">
        <v>2156</v>
      </c>
      <c r="H1328" s="931">
        <v>280</v>
      </c>
      <c r="I1328" s="985" t="s">
        <v>2161</v>
      </c>
      <c r="J1328" s="924" t="s">
        <v>1454</v>
      </c>
      <c r="K1328" s="989" t="s">
        <v>7213</v>
      </c>
      <c r="L1328" s="974">
        <v>2847614.12</v>
      </c>
      <c r="M1328" s="997" t="s">
        <v>997</v>
      </c>
      <c r="N1328" s="990">
        <v>2847614.12</v>
      </c>
      <c r="O1328" s="991">
        <v>43009.625</v>
      </c>
      <c r="P1328" s="991">
        <v>43070.625</v>
      </c>
      <c r="Q1328" s="930" t="s">
        <v>110</v>
      </c>
      <c r="R1328" s="634" t="s">
        <v>113</v>
      </c>
      <c r="S1328" s="930"/>
      <c r="T1328" s="990"/>
      <c r="U1328" s="930"/>
      <c r="V1328" s="930"/>
      <c r="W1328" s="934" t="s">
        <v>73</v>
      </c>
      <c r="X1328" s="935" t="s">
        <v>2400</v>
      </c>
      <c r="Y1328" s="934" t="s">
        <v>2401</v>
      </c>
      <c r="Z1328" s="933">
        <v>2847614.12</v>
      </c>
      <c r="AA1328" s="908" t="s">
        <v>1458</v>
      </c>
      <c r="AB1328" s="843" t="s">
        <v>263</v>
      </c>
      <c r="AC1328" s="936"/>
      <c r="AD1328" s="844" t="s">
        <v>113</v>
      </c>
      <c r="AE1328" s="937">
        <f t="shared" si="33"/>
        <v>10</v>
      </c>
    </row>
    <row r="1329" spans="1:31" ht="105" hidden="1" x14ac:dyDescent="0.25">
      <c r="A1329" s="960" t="s">
        <v>7076</v>
      </c>
      <c r="B1329" s="922" t="s">
        <v>2176</v>
      </c>
      <c r="C1329" s="922" t="s">
        <v>2037</v>
      </c>
      <c r="D1329" s="670" t="s">
        <v>7513</v>
      </c>
      <c r="E1329" s="984" t="s">
        <v>2027</v>
      </c>
      <c r="F1329" s="926" t="s">
        <v>1528</v>
      </c>
      <c r="G1329" s="924" t="s">
        <v>2156</v>
      </c>
      <c r="H1329" s="931">
        <v>150</v>
      </c>
      <c r="I1329" s="985" t="s">
        <v>2161</v>
      </c>
      <c r="J1329" s="924" t="s">
        <v>1454</v>
      </c>
      <c r="K1329" s="989" t="s">
        <v>6974</v>
      </c>
      <c r="L1329" s="974">
        <v>1923582</v>
      </c>
      <c r="M1329" s="997"/>
      <c r="N1329" s="990">
        <v>1923582</v>
      </c>
      <c r="O1329" s="991">
        <v>43009.625</v>
      </c>
      <c r="P1329" s="991">
        <v>43160.625</v>
      </c>
      <c r="Q1329" s="930" t="s">
        <v>110</v>
      </c>
      <c r="R1329" s="634" t="s">
        <v>113</v>
      </c>
      <c r="S1329" s="930"/>
      <c r="T1329" s="990"/>
      <c r="U1329" s="930"/>
      <c r="V1329" s="930"/>
      <c r="W1329" s="934" t="s">
        <v>73</v>
      </c>
      <c r="X1329" s="935" t="s">
        <v>6026</v>
      </c>
      <c r="Y1329" s="934" t="s">
        <v>7218</v>
      </c>
      <c r="Z1329" s="933">
        <v>1923582</v>
      </c>
      <c r="AA1329" s="908" t="s">
        <v>1458</v>
      </c>
      <c r="AB1329" s="843" t="s">
        <v>263</v>
      </c>
      <c r="AC1329" s="936"/>
      <c r="AD1329" s="844" t="s">
        <v>113</v>
      </c>
      <c r="AE1329" s="937">
        <f t="shared" si="33"/>
        <v>10</v>
      </c>
    </row>
    <row r="1330" spans="1:31" ht="105" hidden="1" x14ac:dyDescent="0.25">
      <c r="A1330" s="960" t="s">
        <v>7077</v>
      </c>
      <c r="B1330" s="922" t="s">
        <v>6912</v>
      </c>
      <c r="C1330" s="922" t="s">
        <v>6913</v>
      </c>
      <c r="D1330" s="670" t="s">
        <v>7159</v>
      </c>
      <c r="E1330" s="984" t="s">
        <v>2027</v>
      </c>
      <c r="F1330" s="926" t="s">
        <v>1528</v>
      </c>
      <c r="G1330" s="924" t="s">
        <v>2156</v>
      </c>
      <c r="H1330" s="931">
        <v>1</v>
      </c>
      <c r="I1330" s="985" t="s">
        <v>2161</v>
      </c>
      <c r="J1330" s="924" t="s">
        <v>1454</v>
      </c>
      <c r="K1330" s="989" t="s">
        <v>8172</v>
      </c>
      <c r="L1330" s="974">
        <v>396166.67</v>
      </c>
      <c r="M1330" s="997"/>
      <c r="N1330" s="990">
        <v>396166.67</v>
      </c>
      <c r="O1330" s="991">
        <v>43009.625</v>
      </c>
      <c r="P1330" s="991">
        <v>43101.625</v>
      </c>
      <c r="Q1330" s="930" t="s">
        <v>108</v>
      </c>
      <c r="R1330" s="634" t="s">
        <v>112</v>
      </c>
      <c r="S1330" s="930" t="s">
        <v>1457</v>
      </c>
      <c r="T1330" s="990"/>
      <c r="U1330" s="930"/>
      <c r="V1330" s="930"/>
      <c r="W1330" s="934"/>
      <c r="X1330" s="935"/>
      <c r="Y1330" s="934"/>
      <c r="Z1330" s="933"/>
      <c r="AA1330" s="908" t="s">
        <v>1458</v>
      </c>
      <c r="AB1330" s="843" t="s">
        <v>263</v>
      </c>
      <c r="AC1330" s="936"/>
      <c r="AD1330" s="844" t="s">
        <v>113</v>
      </c>
      <c r="AE1330" s="937">
        <f t="shared" si="33"/>
        <v>10</v>
      </c>
    </row>
    <row r="1331" spans="1:31" ht="105" hidden="1" x14ac:dyDescent="0.25">
      <c r="A1331" s="960" t="s">
        <v>7078</v>
      </c>
      <c r="B1331" s="922" t="s">
        <v>1723</v>
      </c>
      <c r="C1331" s="922" t="s">
        <v>1723</v>
      </c>
      <c r="D1331" s="670" t="s">
        <v>7514</v>
      </c>
      <c r="E1331" s="984" t="s">
        <v>6914</v>
      </c>
      <c r="F1331" s="926" t="s">
        <v>1528</v>
      </c>
      <c r="G1331" s="924" t="s">
        <v>2156</v>
      </c>
      <c r="H1331" s="931">
        <v>1</v>
      </c>
      <c r="I1331" s="985" t="s">
        <v>2161</v>
      </c>
      <c r="J1331" s="924" t="s">
        <v>1454</v>
      </c>
      <c r="K1331" s="989" t="s">
        <v>6975</v>
      </c>
      <c r="L1331" s="974">
        <v>348213</v>
      </c>
      <c r="M1331" s="997" t="s">
        <v>997</v>
      </c>
      <c r="N1331" s="990">
        <v>348213</v>
      </c>
      <c r="O1331" s="991">
        <v>42979.625</v>
      </c>
      <c r="P1331" s="991">
        <v>43009.625</v>
      </c>
      <c r="Q1331" s="930" t="s">
        <v>110</v>
      </c>
      <c r="R1331" s="634" t="s">
        <v>113</v>
      </c>
      <c r="S1331" s="930"/>
      <c r="T1331" s="990"/>
      <c r="U1331" s="930"/>
      <c r="V1331" s="930"/>
      <c r="W1331" s="934" t="s">
        <v>97</v>
      </c>
      <c r="X1331" s="638" t="s">
        <v>7240</v>
      </c>
      <c r="Y1331" s="637" t="s">
        <v>7241</v>
      </c>
      <c r="Z1331" s="933">
        <v>348213</v>
      </c>
      <c r="AA1331" s="908" t="s">
        <v>1458</v>
      </c>
      <c r="AB1331" s="843" t="s">
        <v>263</v>
      </c>
      <c r="AC1331" s="936"/>
      <c r="AD1331" s="844" t="s">
        <v>113</v>
      </c>
      <c r="AE1331" s="937">
        <f t="shared" si="33"/>
        <v>9</v>
      </c>
    </row>
    <row r="1332" spans="1:31" ht="105" hidden="1" x14ac:dyDescent="0.25">
      <c r="A1332" s="960" t="s">
        <v>7079</v>
      </c>
      <c r="B1332" s="922" t="s">
        <v>1655</v>
      </c>
      <c r="C1332" s="922" t="s">
        <v>1655</v>
      </c>
      <c r="D1332" s="670" t="s">
        <v>7160</v>
      </c>
      <c r="E1332" s="984" t="s">
        <v>5015</v>
      </c>
      <c r="F1332" s="926" t="s">
        <v>6892</v>
      </c>
      <c r="G1332" s="924" t="s">
        <v>6893</v>
      </c>
      <c r="H1332" s="931">
        <v>24</v>
      </c>
      <c r="I1332" s="985" t="s">
        <v>2161</v>
      </c>
      <c r="J1332" s="924" t="s">
        <v>1454</v>
      </c>
      <c r="K1332" s="989" t="s">
        <v>6976</v>
      </c>
      <c r="L1332" s="974">
        <v>395000</v>
      </c>
      <c r="M1332" s="997"/>
      <c r="N1332" s="990">
        <v>395000</v>
      </c>
      <c r="O1332" s="991">
        <v>43009.625</v>
      </c>
      <c r="P1332" s="991">
        <v>43070.625</v>
      </c>
      <c r="Q1332" s="930" t="s">
        <v>100</v>
      </c>
      <c r="R1332" s="634" t="s">
        <v>112</v>
      </c>
      <c r="S1332" s="930" t="s">
        <v>1457</v>
      </c>
      <c r="T1332" s="990"/>
      <c r="U1332" s="930"/>
      <c r="V1332" s="930"/>
      <c r="W1332" s="934"/>
      <c r="X1332" s="935"/>
      <c r="Y1332" s="934"/>
      <c r="Z1332" s="933"/>
      <c r="AA1332" s="908" t="s">
        <v>1458</v>
      </c>
      <c r="AB1332" s="843" t="s">
        <v>263</v>
      </c>
      <c r="AC1332" s="936"/>
      <c r="AD1332" s="844" t="s">
        <v>113</v>
      </c>
      <c r="AE1332" s="937">
        <f t="shared" si="33"/>
        <v>10</v>
      </c>
    </row>
    <row r="1333" spans="1:31" ht="105" hidden="1" x14ac:dyDescent="0.25">
      <c r="A1333" s="960" t="s">
        <v>7080</v>
      </c>
      <c r="B1333" s="922" t="s">
        <v>1655</v>
      </c>
      <c r="C1333" s="922" t="s">
        <v>1655</v>
      </c>
      <c r="D1333" s="670" t="s">
        <v>7161</v>
      </c>
      <c r="E1333" s="984" t="s">
        <v>5015</v>
      </c>
      <c r="F1333" s="926" t="s">
        <v>6892</v>
      </c>
      <c r="G1333" s="924" t="s">
        <v>6893</v>
      </c>
      <c r="H1333" s="931">
        <v>39</v>
      </c>
      <c r="I1333" s="985" t="s">
        <v>2161</v>
      </c>
      <c r="J1333" s="924" t="s">
        <v>1454</v>
      </c>
      <c r="K1333" s="989" t="s">
        <v>1750</v>
      </c>
      <c r="L1333" s="974">
        <v>325000</v>
      </c>
      <c r="M1333" s="997"/>
      <c r="N1333" s="990">
        <v>325000</v>
      </c>
      <c r="O1333" s="991">
        <v>43009.625</v>
      </c>
      <c r="P1333" s="991">
        <v>43070.625</v>
      </c>
      <c r="Q1333" s="930" t="s">
        <v>100</v>
      </c>
      <c r="R1333" s="634" t="s">
        <v>112</v>
      </c>
      <c r="S1333" s="930" t="s">
        <v>1457</v>
      </c>
      <c r="T1333" s="990"/>
      <c r="U1333" s="930"/>
      <c r="V1333" s="930"/>
      <c r="W1333" s="934"/>
      <c r="X1333" s="935"/>
      <c r="Y1333" s="934"/>
      <c r="Z1333" s="933"/>
      <c r="AA1333" s="908" t="s">
        <v>1458</v>
      </c>
      <c r="AB1333" s="843" t="s">
        <v>263</v>
      </c>
      <c r="AC1333" s="936"/>
      <c r="AD1333" s="844" t="s">
        <v>113</v>
      </c>
      <c r="AE1333" s="937">
        <f t="shared" si="33"/>
        <v>10</v>
      </c>
    </row>
    <row r="1334" spans="1:31" ht="105" hidden="1" x14ac:dyDescent="0.25">
      <c r="A1334" s="960" t="s">
        <v>7081</v>
      </c>
      <c r="B1334" s="922" t="s">
        <v>6915</v>
      </c>
      <c r="C1334" s="922" t="s">
        <v>6916</v>
      </c>
      <c r="D1334" s="670" t="s">
        <v>7162</v>
      </c>
      <c r="E1334" s="984" t="s">
        <v>2566</v>
      </c>
      <c r="F1334" s="926" t="s">
        <v>1528</v>
      </c>
      <c r="G1334" s="924" t="s">
        <v>2156</v>
      </c>
      <c r="H1334" s="931">
        <v>7087</v>
      </c>
      <c r="I1334" s="985" t="s">
        <v>2161</v>
      </c>
      <c r="J1334" s="924" t="s">
        <v>1454</v>
      </c>
      <c r="K1334" s="989" t="s">
        <v>6977</v>
      </c>
      <c r="L1334" s="974">
        <v>1023923.64</v>
      </c>
      <c r="M1334" s="997"/>
      <c r="N1334" s="990">
        <v>1023923.64</v>
      </c>
      <c r="O1334" s="991">
        <v>43009.625</v>
      </c>
      <c r="P1334" s="991">
        <v>43009.625</v>
      </c>
      <c r="Q1334" s="930" t="s">
        <v>108</v>
      </c>
      <c r="R1334" s="634" t="s">
        <v>112</v>
      </c>
      <c r="S1334" s="930" t="s">
        <v>1457</v>
      </c>
      <c r="T1334" s="990"/>
      <c r="U1334" s="930"/>
      <c r="V1334" s="930"/>
      <c r="W1334" s="934"/>
      <c r="X1334" s="935"/>
      <c r="Y1334" s="934"/>
      <c r="Z1334" s="933"/>
      <c r="AA1334" s="908" t="s">
        <v>1458</v>
      </c>
      <c r="AB1334" s="843" t="s">
        <v>263</v>
      </c>
      <c r="AC1334" s="936"/>
      <c r="AD1334" s="844" t="s">
        <v>113</v>
      </c>
      <c r="AE1334" s="937">
        <f t="shared" si="33"/>
        <v>10</v>
      </c>
    </row>
    <row r="1335" spans="1:31" ht="105" hidden="1" x14ac:dyDescent="0.25">
      <c r="A1335" s="960" t="s">
        <v>7082</v>
      </c>
      <c r="B1335" s="922" t="s">
        <v>1831</v>
      </c>
      <c r="C1335" s="922" t="s">
        <v>6917</v>
      </c>
      <c r="D1335" s="670" t="s">
        <v>7515</v>
      </c>
      <c r="E1335" s="984" t="s">
        <v>1464</v>
      </c>
      <c r="F1335" s="926" t="s">
        <v>1528</v>
      </c>
      <c r="G1335" s="924" t="s">
        <v>2156</v>
      </c>
      <c r="H1335" s="931">
        <v>1</v>
      </c>
      <c r="I1335" s="985" t="s">
        <v>2161</v>
      </c>
      <c r="J1335" s="924" t="s">
        <v>1454</v>
      </c>
      <c r="K1335" s="989" t="s">
        <v>6978</v>
      </c>
      <c r="L1335" s="974">
        <v>93100</v>
      </c>
      <c r="M1335" s="997"/>
      <c r="N1335" s="990">
        <v>93100</v>
      </c>
      <c r="O1335" s="991">
        <v>43009.625</v>
      </c>
      <c r="P1335" s="991">
        <v>43070.625</v>
      </c>
      <c r="Q1335" s="930" t="s">
        <v>108</v>
      </c>
      <c r="R1335" s="634" t="s">
        <v>112</v>
      </c>
      <c r="S1335" s="634" t="s">
        <v>1457</v>
      </c>
      <c r="T1335" s="990"/>
      <c r="U1335" s="930"/>
      <c r="V1335" s="930"/>
      <c r="W1335" s="934"/>
      <c r="X1335" s="935"/>
      <c r="Y1335" s="934"/>
      <c r="Z1335" s="933"/>
      <c r="AA1335" s="908" t="s">
        <v>1458</v>
      </c>
      <c r="AB1335" s="843" t="s">
        <v>263</v>
      </c>
      <c r="AC1335" s="936"/>
      <c r="AD1335" s="844" t="s">
        <v>113</v>
      </c>
      <c r="AE1335" s="937">
        <f t="shared" si="33"/>
        <v>10</v>
      </c>
    </row>
    <row r="1336" spans="1:31" ht="105" hidden="1" x14ac:dyDescent="0.25">
      <c r="A1336" s="960" t="s">
        <v>7083</v>
      </c>
      <c r="B1336" s="922" t="s">
        <v>1951</v>
      </c>
      <c r="C1336" s="922" t="s">
        <v>2192</v>
      </c>
      <c r="D1336" s="670" t="s">
        <v>7516</v>
      </c>
      <c r="E1336" s="984" t="s">
        <v>2178</v>
      </c>
      <c r="F1336" s="926" t="s">
        <v>1528</v>
      </c>
      <c r="G1336" s="924" t="s">
        <v>2156</v>
      </c>
      <c r="H1336" s="931">
        <v>2250</v>
      </c>
      <c r="I1336" s="985" t="s">
        <v>2161</v>
      </c>
      <c r="J1336" s="924" t="s">
        <v>1454</v>
      </c>
      <c r="K1336" s="989" t="s">
        <v>8035</v>
      </c>
      <c r="L1336" s="974">
        <v>929250</v>
      </c>
      <c r="M1336" s="997" t="s">
        <v>997</v>
      </c>
      <c r="N1336" s="990">
        <v>929250</v>
      </c>
      <c r="O1336" s="991">
        <v>43040.625</v>
      </c>
      <c r="P1336" s="991">
        <v>43070.625</v>
      </c>
      <c r="Q1336" s="930" t="s">
        <v>110</v>
      </c>
      <c r="R1336" s="634" t="s">
        <v>113</v>
      </c>
      <c r="S1336" s="930"/>
      <c r="T1336" s="990"/>
      <c r="U1336" s="930"/>
      <c r="V1336" s="930" t="s">
        <v>45</v>
      </c>
      <c r="W1336" s="934" t="s">
        <v>73</v>
      </c>
      <c r="X1336" s="935" t="s">
        <v>8036</v>
      </c>
      <c r="Y1336" s="934" t="s">
        <v>8037</v>
      </c>
      <c r="Z1336" s="933">
        <v>929250</v>
      </c>
      <c r="AA1336" s="908" t="s">
        <v>1458</v>
      </c>
      <c r="AB1336" s="843" t="s">
        <v>263</v>
      </c>
      <c r="AC1336" s="936"/>
      <c r="AD1336" s="844" t="s">
        <v>113</v>
      </c>
      <c r="AE1336" s="937">
        <f t="shared" si="33"/>
        <v>11</v>
      </c>
    </row>
    <row r="1337" spans="1:31" ht="105" hidden="1" x14ac:dyDescent="0.25">
      <c r="A1337" s="960" t="s">
        <v>7084</v>
      </c>
      <c r="B1337" s="922" t="s">
        <v>1951</v>
      </c>
      <c r="C1337" s="922" t="s">
        <v>2192</v>
      </c>
      <c r="D1337" s="670" t="s">
        <v>7517</v>
      </c>
      <c r="E1337" s="984" t="s">
        <v>2178</v>
      </c>
      <c r="F1337" s="926" t="s">
        <v>1528</v>
      </c>
      <c r="G1337" s="924" t="s">
        <v>2156</v>
      </c>
      <c r="H1337" s="931">
        <v>320</v>
      </c>
      <c r="I1337" s="985" t="s">
        <v>2161</v>
      </c>
      <c r="J1337" s="924" t="s">
        <v>1454</v>
      </c>
      <c r="K1337" s="989" t="s">
        <v>6979</v>
      </c>
      <c r="L1337" s="974">
        <v>387417.59999999998</v>
      </c>
      <c r="M1337" s="997"/>
      <c r="N1337" s="990">
        <v>387417.59999999998</v>
      </c>
      <c r="O1337" s="991">
        <v>43009.625</v>
      </c>
      <c r="P1337" s="991">
        <v>43070.625</v>
      </c>
      <c r="Q1337" s="930" t="s">
        <v>110</v>
      </c>
      <c r="R1337" s="634" t="s">
        <v>113</v>
      </c>
      <c r="S1337" s="930"/>
      <c r="T1337" s="990"/>
      <c r="U1337" s="930"/>
      <c r="V1337" s="930"/>
      <c r="W1337" s="934"/>
      <c r="X1337" s="935"/>
      <c r="Y1337" s="934"/>
      <c r="Z1337" s="933"/>
      <c r="AA1337" s="908" t="s">
        <v>1458</v>
      </c>
      <c r="AB1337" s="843" t="s">
        <v>263</v>
      </c>
      <c r="AC1337" s="936"/>
      <c r="AD1337" s="844" t="s">
        <v>113</v>
      </c>
      <c r="AE1337" s="937">
        <f t="shared" si="33"/>
        <v>10</v>
      </c>
    </row>
    <row r="1338" spans="1:31" ht="105" hidden="1" x14ac:dyDescent="0.25">
      <c r="A1338" s="960" t="s">
        <v>7085</v>
      </c>
      <c r="B1338" s="922" t="s">
        <v>1951</v>
      </c>
      <c r="C1338" s="922" t="s">
        <v>2192</v>
      </c>
      <c r="D1338" s="670" t="s">
        <v>7519</v>
      </c>
      <c r="E1338" s="984" t="s">
        <v>2178</v>
      </c>
      <c r="F1338" s="926" t="s">
        <v>1528</v>
      </c>
      <c r="G1338" s="924" t="s">
        <v>2156</v>
      </c>
      <c r="H1338" s="931">
        <v>250</v>
      </c>
      <c r="I1338" s="985" t="s">
        <v>2161</v>
      </c>
      <c r="J1338" s="924" t="s">
        <v>1454</v>
      </c>
      <c r="K1338" s="989" t="s">
        <v>6980</v>
      </c>
      <c r="L1338" s="974">
        <v>302670</v>
      </c>
      <c r="M1338" s="997"/>
      <c r="N1338" s="990">
        <v>302670</v>
      </c>
      <c r="O1338" s="991">
        <v>43009.625</v>
      </c>
      <c r="P1338" s="991">
        <v>43070.625</v>
      </c>
      <c r="Q1338" s="930" t="s">
        <v>110</v>
      </c>
      <c r="R1338" s="634" t="s">
        <v>113</v>
      </c>
      <c r="S1338" s="930"/>
      <c r="T1338" s="990"/>
      <c r="U1338" s="930"/>
      <c r="V1338" s="930"/>
      <c r="W1338" s="934"/>
      <c r="X1338" s="935"/>
      <c r="Y1338" s="934"/>
      <c r="Z1338" s="933"/>
      <c r="AA1338" s="908" t="s">
        <v>1458</v>
      </c>
      <c r="AB1338" s="843" t="s">
        <v>263</v>
      </c>
      <c r="AC1338" s="936"/>
      <c r="AD1338" s="844" t="s">
        <v>113</v>
      </c>
      <c r="AE1338" s="937">
        <f t="shared" ref="AE1338:AE1369" si="34">IF(O1338=0,,MONTH(O1338))</f>
        <v>10</v>
      </c>
    </row>
    <row r="1339" spans="1:31" ht="105" hidden="1" x14ac:dyDescent="0.25">
      <c r="A1339" s="960" t="s">
        <v>7086</v>
      </c>
      <c r="B1339" s="922" t="s">
        <v>1951</v>
      </c>
      <c r="C1339" s="922" t="s">
        <v>2192</v>
      </c>
      <c r="D1339" s="670" t="s">
        <v>7518</v>
      </c>
      <c r="E1339" s="984" t="s">
        <v>2178</v>
      </c>
      <c r="F1339" s="926" t="s">
        <v>1528</v>
      </c>
      <c r="G1339" s="924" t="s">
        <v>2156</v>
      </c>
      <c r="H1339" s="931">
        <v>130</v>
      </c>
      <c r="I1339" s="985" t="s">
        <v>2161</v>
      </c>
      <c r="J1339" s="924" t="s">
        <v>1454</v>
      </c>
      <c r="K1339" s="989" t="s">
        <v>6981</v>
      </c>
      <c r="L1339" s="974">
        <v>157388.4</v>
      </c>
      <c r="M1339" s="997"/>
      <c r="N1339" s="990">
        <v>157388.4</v>
      </c>
      <c r="O1339" s="991">
        <v>43009.625</v>
      </c>
      <c r="P1339" s="991">
        <v>43070.625</v>
      </c>
      <c r="Q1339" s="930" t="s">
        <v>110</v>
      </c>
      <c r="R1339" s="634" t="s">
        <v>113</v>
      </c>
      <c r="S1339" s="930"/>
      <c r="T1339" s="990"/>
      <c r="U1339" s="930"/>
      <c r="V1339" s="930"/>
      <c r="W1339" s="934"/>
      <c r="X1339" s="935"/>
      <c r="Y1339" s="934"/>
      <c r="Z1339" s="933"/>
      <c r="AA1339" s="908" t="s">
        <v>1458</v>
      </c>
      <c r="AB1339" s="843" t="s">
        <v>263</v>
      </c>
      <c r="AC1339" s="936"/>
      <c r="AD1339" s="844" t="s">
        <v>113</v>
      </c>
      <c r="AE1339" s="937">
        <f t="shared" si="34"/>
        <v>10</v>
      </c>
    </row>
    <row r="1340" spans="1:31" ht="105" hidden="1" x14ac:dyDescent="0.25">
      <c r="A1340" s="960" t="s">
        <v>7087</v>
      </c>
      <c r="B1340" s="922" t="s">
        <v>1951</v>
      </c>
      <c r="C1340" s="922" t="s">
        <v>2192</v>
      </c>
      <c r="D1340" s="670" t="s">
        <v>7520</v>
      </c>
      <c r="E1340" s="984" t="s">
        <v>2178</v>
      </c>
      <c r="F1340" s="926" t="s">
        <v>1528</v>
      </c>
      <c r="G1340" s="924" t="s">
        <v>2156</v>
      </c>
      <c r="H1340" s="931">
        <v>95</v>
      </c>
      <c r="I1340" s="985" t="s">
        <v>2161</v>
      </c>
      <c r="J1340" s="924" t="s">
        <v>1454</v>
      </c>
      <c r="K1340" s="989" t="s">
        <v>6982</v>
      </c>
      <c r="L1340" s="974">
        <v>115014.6</v>
      </c>
      <c r="M1340" s="997"/>
      <c r="N1340" s="990">
        <v>115014.6</v>
      </c>
      <c r="O1340" s="991">
        <v>43009.625</v>
      </c>
      <c r="P1340" s="991">
        <v>43070.625</v>
      </c>
      <c r="Q1340" s="930" t="s">
        <v>110</v>
      </c>
      <c r="R1340" s="634" t="s">
        <v>113</v>
      </c>
      <c r="S1340" s="930"/>
      <c r="T1340" s="990"/>
      <c r="U1340" s="930"/>
      <c r="V1340" s="930"/>
      <c r="W1340" s="934"/>
      <c r="X1340" s="935"/>
      <c r="Y1340" s="934"/>
      <c r="Z1340" s="933"/>
      <c r="AA1340" s="908" t="s">
        <v>1458</v>
      </c>
      <c r="AB1340" s="843" t="s">
        <v>263</v>
      </c>
      <c r="AC1340" s="936"/>
      <c r="AD1340" s="844" t="s">
        <v>113</v>
      </c>
      <c r="AE1340" s="937">
        <f t="shared" si="34"/>
        <v>10</v>
      </c>
    </row>
    <row r="1341" spans="1:31" ht="105" hidden="1" x14ac:dyDescent="0.25">
      <c r="A1341" s="960" t="s">
        <v>7088</v>
      </c>
      <c r="B1341" s="922" t="s">
        <v>1540</v>
      </c>
      <c r="C1341" s="922" t="s">
        <v>6918</v>
      </c>
      <c r="D1341" s="670" t="s">
        <v>7521</v>
      </c>
      <c r="E1341" s="984" t="s">
        <v>2178</v>
      </c>
      <c r="F1341" s="926" t="s">
        <v>1528</v>
      </c>
      <c r="G1341" s="924" t="s">
        <v>2156</v>
      </c>
      <c r="H1341" s="931">
        <v>1800</v>
      </c>
      <c r="I1341" s="985" t="s">
        <v>2161</v>
      </c>
      <c r="J1341" s="924" t="s">
        <v>1454</v>
      </c>
      <c r="K1341" s="989" t="s">
        <v>6983</v>
      </c>
      <c r="L1341" s="974">
        <v>2612520</v>
      </c>
      <c r="M1341" s="997"/>
      <c r="N1341" s="990">
        <v>2612520</v>
      </c>
      <c r="O1341" s="991">
        <v>43009.625</v>
      </c>
      <c r="P1341" s="991">
        <v>43070.625</v>
      </c>
      <c r="Q1341" s="930" t="s">
        <v>110</v>
      </c>
      <c r="R1341" s="634" t="s">
        <v>113</v>
      </c>
      <c r="S1341" s="930"/>
      <c r="T1341" s="990"/>
      <c r="U1341" s="930"/>
      <c r="V1341" s="930"/>
      <c r="W1341" s="934"/>
      <c r="X1341" s="935"/>
      <c r="Y1341" s="934"/>
      <c r="Z1341" s="933"/>
      <c r="AA1341" s="908" t="s">
        <v>1458</v>
      </c>
      <c r="AB1341" s="843" t="s">
        <v>263</v>
      </c>
      <c r="AC1341" s="936"/>
      <c r="AD1341" s="844" t="s">
        <v>113</v>
      </c>
      <c r="AE1341" s="937">
        <f t="shared" si="34"/>
        <v>10</v>
      </c>
    </row>
    <row r="1342" spans="1:31" ht="105" hidden="1" x14ac:dyDescent="0.25">
      <c r="A1342" s="960" t="s">
        <v>7089</v>
      </c>
      <c r="B1342" s="922" t="s">
        <v>1540</v>
      </c>
      <c r="C1342" s="922" t="s">
        <v>6918</v>
      </c>
      <c r="D1342" s="670" t="s">
        <v>7522</v>
      </c>
      <c r="E1342" s="984" t="s">
        <v>2178</v>
      </c>
      <c r="F1342" s="926" t="s">
        <v>1528</v>
      </c>
      <c r="G1342" s="924" t="s">
        <v>2156</v>
      </c>
      <c r="H1342" s="931">
        <v>470</v>
      </c>
      <c r="I1342" s="985" t="s">
        <v>2161</v>
      </c>
      <c r="J1342" s="924" t="s">
        <v>1454</v>
      </c>
      <c r="K1342" s="989" t="s">
        <v>6984</v>
      </c>
      <c r="L1342" s="974">
        <v>682158</v>
      </c>
      <c r="M1342" s="997"/>
      <c r="N1342" s="990">
        <v>682158</v>
      </c>
      <c r="O1342" s="991">
        <v>43009.625</v>
      </c>
      <c r="P1342" s="991">
        <v>43070.625</v>
      </c>
      <c r="Q1342" s="930" t="s">
        <v>110</v>
      </c>
      <c r="R1342" s="634" t="s">
        <v>113</v>
      </c>
      <c r="S1342" s="930"/>
      <c r="T1342" s="990"/>
      <c r="U1342" s="930"/>
      <c r="V1342" s="930"/>
      <c r="W1342" s="934" t="s">
        <v>73</v>
      </c>
      <c r="X1342" s="935" t="s">
        <v>5083</v>
      </c>
      <c r="Y1342" s="934" t="s">
        <v>5084</v>
      </c>
      <c r="Z1342" s="933">
        <v>682158</v>
      </c>
      <c r="AA1342" s="908" t="s">
        <v>1458</v>
      </c>
      <c r="AB1342" s="843" t="s">
        <v>263</v>
      </c>
      <c r="AC1342" s="936"/>
      <c r="AD1342" s="844" t="s">
        <v>113</v>
      </c>
      <c r="AE1342" s="937">
        <f t="shared" si="34"/>
        <v>10</v>
      </c>
    </row>
    <row r="1343" spans="1:31" ht="105" hidden="1" x14ac:dyDescent="0.25">
      <c r="A1343" s="960" t="s">
        <v>7090</v>
      </c>
      <c r="B1343" s="922" t="s">
        <v>1540</v>
      </c>
      <c r="C1343" s="922" t="s">
        <v>6918</v>
      </c>
      <c r="D1343" s="670" t="s">
        <v>7523</v>
      </c>
      <c r="E1343" s="984" t="s">
        <v>2178</v>
      </c>
      <c r="F1343" s="926" t="s">
        <v>1528</v>
      </c>
      <c r="G1343" s="924" t="s">
        <v>2156</v>
      </c>
      <c r="H1343" s="931">
        <v>101</v>
      </c>
      <c r="I1343" s="985" t="s">
        <v>2161</v>
      </c>
      <c r="J1343" s="924" t="s">
        <v>1454</v>
      </c>
      <c r="K1343" s="989" t="s">
        <v>6985</v>
      </c>
      <c r="L1343" s="974">
        <v>146591.4</v>
      </c>
      <c r="M1343" s="997"/>
      <c r="N1343" s="990">
        <v>146591.4</v>
      </c>
      <c r="O1343" s="991">
        <v>43009.625</v>
      </c>
      <c r="P1343" s="991">
        <v>43070.625</v>
      </c>
      <c r="Q1343" s="930" t="s">
        <v>110</v>
      </c>
      <c r="R1343" s="634" t="s">
        <v>113</v>
      </c>
      <c r="S1343" s="930"/>
      <c r="T1343" s="990"/>
      <c r="U1343" s="930"/>
      <c r="V1343" s="930"/>
      <c r="W1343" s="934"/>
      <c r="X1343" s="935"/>
      <c r="Y1343" s="934"/>
      <c r="Z1343" s="933"/>
      <c r="AA1343" s="908" t="s">
        <v>1458</v>
      </c>
      <c r="AB1343" s="843" t="s">
        <v>263</v>
      </c>
      <c r="AC1343" s="936"/>
      <c r="AD1343" s="844" t="s">
        <v>113</v>
      </c>
      <c r="AE1343" s="937">
        <f t="shared" si="34"/>
        <v>10</v>
      </c>
    </row>
    <row r="1344" spans="1:31" ht="105" hidden="1" x14ac:dyDescent="0.25">
      <c r="A1344" s="960" t="s">
        <v>7091</v>
      </c>
      <c r="B1344" s="922" t="s">
        <v>1540</v>
      </c>
      <c r="C1344" s="922" t="s">
        <v>6918</v>
      </c>
      <c r="D1344" s="670" t="s">
        <v>7524</v>
      </c>
      <c r="E1344" s="984" t="s">
        <v>2178</v>
      </c>
      <c r="F1344" s="926" t="s">
        <v>1528</v>
      </c>
      <c r="G1344" s="924" t="s">
        <v>2156</v>
      </c>
      <c r="H1344" s="931">
        <v>202</v>
      </c>
      <c r="I1344" s="985" t="s">
        <v>2161</v>
      </c>
      <c r="J1344" s="924" t="s">
        <v>1454</v>
      </c>
      <c r="K1344" s="989" t="s">
        <v>6986</v>
      </c>
      <c r="L1344" s="974">
        <v>293182.8</v>
      </c>
      <c r="M1344" s="930"/>
      <c r="N1344" s="990">
        <v>293182.8</v>
      </c>
      <c r="O1344" s="991">
        <v>43009.625</v>
      </c>
      <c r="P1344" s="991">
        <v>43070.625</v>
      </c>
      <c r="Q1344" s="930" t="s">
        <v>110</v>
      </c>
      <c r="R1344" s="634" t="s">
        <v>113</v>
      </c>
      <c r="S1344" s="930"/>
      <c r="T1344" s="990"/>
      <c r="U1344" s="930"/>
      <c r="V1344" s="930"/>
      <c r="W1344" s="934"/>
      <c r="X1344" s="935"/>
      <c r="Y1344" s="934"/>
      <c r="Z1344" s="933"/>
      <c r="AA1344" s="908" t="s">
        <v>1458</v>
      </c>
      <c r="AB1344" s="843" t="s">
        <v>263</v>
      </c>
      <c r="AC1344" s="936"/>
      <c r="AD1344" s="844" t="s">
        <v>113</v>
      </c>
      <c r="AE1344" s="937">
        <f t="shared" si="34"/>
        <v>10</v>
      </c>
    </row>
    <row r="1345" spans="1:31" ht="105" hidden="1" x14ac:dyDescent="0.25">
      <c r="A1345" s="960" t="s">
        <v>7092</v>
      </c>
      <c r="B1345" s="922" t="s">
        <v>1540</v>
      </c>
      <c r="C1345" s="922" t="s">
        <v>6918</v>
      </c>
      <c r="D1345" s="670" t="s">
        <v>7525</v>
      </c>
      <c r="E1345" s="984" t="s">
        <v>2178</v>
      </c>
      <c r="F1345" s="926" t="s">
        <v>1528</v>
      </c>
      <c r="G1345" s="924" t="s">
        <v>2156</v>
      </c>
      <c r="H1345" s="931">
        <v>76</v>
      </c>
      <c r="I1345" s="985" t="s">
        <v>2161</v>
      </c>
      <c r="J1345" s="924" t="s">
        <v>1454</v>
      </c>
      <c r="K1345" s="989" t="s">
        <v>6987</v>
      </c>
      <c r="L1345" s="974">
        <v>110306.4</v>
      </c>
      <c r="M1345" s="930" t="s">
        <v>997</v>
      </c>
      <c r="N1345" s="990">
        <v>110306.4</v>
      </c>
      <c r="O1345" s="991">
        <v>43009.625</v>
      </c>
      <c r="P1345" s="991">
        <v>43070.625</v>
      </c>
      <c r="Q1345" s="930" t="s">
        <v>110</v>
      </c>
      <c r="R1345" s="634" t="s">
        <v>113</v>
      </c>
      <c r="S1345" s="930"/>
      <c r="T1345" s="990"/>
      <c r="U1345" s="930"/>
      <c r="V1345" s="930" t="s">
        <v>45</v>
      </c>
      <c r="W1345" s="934" t="s">
        <v>73</v>
      </c>
      <c r="X1345" s="935" t="s">
        <v>5083</v>
      </c>
      <c r="Y1345" s="934" t="s">
        <v>5084</v>
      </c>
      <c r="Z1345" s="933">
        <v>110306.4</v>
      </c>
      <c r="AA1345" s="908" t="s">
        <v>1458</v>
      </c>
      <c r="AB1345" s="843" t="s">
        <v>263</v>
      </c>
      <c r="AC1345" s="936"/>
      <c r="AD1345" s="844" t="s">
        <v>113</v>
      </c>
      <c r="AE1345" s="937">
        <f t="shared" si="34"/>
        <v>10</v>
      </c>
    </row>
    <row r="1346" spans="1:31" ht="105" hidden="1" x14ac:dyDescent="0.25">
      <c r="A1346" s="960" t="s">
        <v>7093</v>
      </c>
      <c r="B1346" s="922" t="s">
        <v>2205</v>
      </c>
      <c r="C1346" s="922" t="s">
        <v>2434</v>
      </c>
      <c r="D1346" s="670" t="s">
        <v>7526</v>
      </c>
      <c r="E1346" s="984" t="s">
        <v>2178</v>
      </c>
      <c r="F1346" s="926" t="s">
        <v>1528</v>
      </c>
      <c r="G1346" s="924" t="s">
        <v>2156</v>
      </c>
      <c r="H1346" s="931">
        <v>1650</v>
      </c>
      <c r="I1346" s="985" t="s">
        <v>2161</v>
      </c>
      <c r="J1346" s="924" t="s">
        <v>1454</v>
      </c>
      <c r="K1346" s="989" t="s">
        <v>6988</v>
      </c>
      <c r="L1346" s="974">
        <v>406923</v>
      </c>
      <c r="M1346" s="930"/>
      <c r="N1346" s="990">
        <v>406923</v>
      </c>
      <c r="O1346" s="991">
        <v>43009.625</v>
      </c>
      <c r="P1346" s="991">
        <v>43070.625</v>
      </c>
      <c r="Q1346" s="930" t="s">
        <v>110</v>
      </c>
      <c r="R1346" s="634" t="s">
        <v>113</v>
      </c>
      <c r="S1346" s="930"/>
      <c r="T1346" s="990"/>
      <c r="U1346" s="930"/>
      <c r="V1346" s="930" t="s">
        <v>45</v>
      </c>
      <c r="W1346" s="934" t="s">
        <v>73</v>
      </c>
      <c r="X1346" s="638" t="s">
        <v>2385</v>
      </c>
      <c r="Y1346" s="637" t="s">
        <v>2384</v>
      </c>
      <c r="Z1346" s="933">
        <v>406923</v>
      </c>
      <c r="AA1346" s="908" t="s">
        <v>1458</v>
      </c>
      <c r="AB1346" s="843" t="s">
        <v>263</v>
      </c>
      <c r="AC1346" s="936"/>
      <c r="AD1346" s="844" t="s">
        <v>113</v>
      </c>
      <c r="AE1346" s="937">
        <f t="shared" si="34"/>
        <v>10</v>
      </c>
    </row>
    <row r="1347" spans="1:31" ht="105" hidden="1" x14ac:dyDescent="0.25">
      <c r="A1347" s="960" t="s">
        <v>7094</v>
      </c>
      <c r="B1347" s="922" t="s">
        <v>2205</v>
      </c>
      <c r="C1347" s="922" t="s">
        <v>2434</v>
      </c>
      <c r="D1347" s="670" t="s">
        <v>7527</v>
      </c>
      <c r="E1347" s="984" t="s">
        <v>2178</v>
      </c>
      <c r="F1347" s="926" t="s">
        <v>1528</v>
      </c>
      <c r="G1347" s="924" t="s">
        <v>2156</v>
      </c>
      <c r="H1347" s="931">
        <v>450</v>
      </c>
      <c r="I1347" s="985" t="s">
        <v>2161</v>
      </c>
      <c r="J1347" s="924" t="s">
        <v>1454</v>
      </c>
      <c r="K1347" s="989" t="s">
        <v>7677</v>
      </c>
      <c r="L1347" s="982">
        <v>295000</v>
      </c>
      <c r="M1347" s="930"/>
      <c r="N1347" s="1018">
        <v>295000</v>
      </c>
      <c r="O1347" s="991">
        <v>43009.625</v>
      </c>
      <c r="P1347" s="991">
        <v>43070.625</v>
      </c>
      <c r="Q1347" s="930" t="s">
        <v>110</v>
      </c>
      <c r="R1347" s="634" t="s">
        <v>113</v>
      </c>
      <c r="S1347" s="930"/>
      <c r="T1347" s="990"/>
      <c r="U1347" s="930"/>
      <c r="V1347" s="930"/>
      <c r="W1347" s="934" t="s">
        <v>268</v>
      </c>
      <c r="X1347" s="638" t="s">
        <v>5093</v>
      </c>
      <c r="Y1347" s="637" t="s">
        <v>5094</v>
      </c>
      <c r="Z1347" s="933">
        <v>295000</v>
      </c>
      <c r="AA1347" s="908" t="s">
        <v>1458</v>
      </c>
      <c r="AB1347" s="843" t="s">
        <v>263</v>
      </c>
      <c r="AC1347" s="936"/>
      <c r="AD1347" s="844" t="s">
        <v>113</v>
      </c>
      <c r="AE1347" s="937">
        <f t="shared" si="34"/>
        <v>10</v>
      </c>
    </row>
    <row r="1348" spans="1:31" ht="105" hidden="1" x14ac:dyDescent="0.25">
      <c r="A1348" s="960" t="s">
        <v>7095</v>
      </c>
      <c r="B1348" s="922" t="s">
        <v>1672</v>
      </c>
      <c r="C1348" s="922" t="s">
        <v>2219</v>
      </c>
      <c r="D1348" s="670" t="s">
        <v>7528</v>
      </c>
      <c r="E1348" s="984" t="s">
        <v>6919</v>
      </c>
      <c r="F1348" s="926" t="s">
        <v>1528</v>
      </c>
      <c r="G1348" s="924" t="s">
        <v>2156</v>
      </c>
      <c r="H1348" s="931">
        <v>531</v>
      </c>
      <c r="I1348" s="985" t="s">
        <v>2161</v>
      </c>
      <c r="J1348" s="924" t="s">
        <v>1454</v>
      </c>
      <c r="K1348" s="989" t="s">
        <v>7248</v>
      </c>
      <c r="L1348" s="974">
        <v>317862.36</v>
      </c>
      <c r="M1348" s="930" t="s">
        <v>997</v>
      </c>
      <c r="N1348" s="990">
        <v>317862.36</v>
      </c>
      <c r="O1348" s="991">
        <v>43009.625</v>
      </c>
      <c r="P1348" s="991">
        <v>43070.625</v>
      </c>
      <c r="Q1348" s="930" t="s">
        <v>110</v>
      </c>
      <c r="R1348" s="634" t="s">
        <v>113</v>
      </c>
      <c r="S1348" s="930"/>
      <c r="T1348" s="990"/>
      <c r="U1348" s="930"/>
      <c r="V1348" s="930" t="s">
        <v>45</v>
      </c>
      <c r="W1348" s="934" t="s">
        <v>72</v>
      </c>
      <c r="X1348" s="935" t="s">
        <v>6410</v>
      </c>
      <c r="Y1348" s="934" t="s">
        <v>3299</v>
      </c>
      <c r="Z1348" s="933">
        <v>317862.36</v>
      </c>
      <c r="AA1348" s="908" t="s">
        <v>1458</v>
      </c>
      <c r="AB1348" s="843" t="s">
        <v>263</v>
      </c>
      <c r="AC1348" s="936"/>
      <c r="AD1348" s="844" t="s">
        <v>113</v>
      </c>
      <c r="AE1348" s="937">
        <f t="shared" si="34"/>
        <v>10</v>
      </c>
    </row>
    <row r="1349" spans="1:31" ht="105" hidden="1" x14ac:dyDescent="0.25">
      <c r="A1349" s="960" t="s">
        <v>7096</v>
      </c>
      <c r="B1349" s="922" t="s">
        <v>1475</v>
      </c>
      <c r="C1349" s="922" t="s">
        <v>1475</v>
      </c>
      <c r="D1349" s="670" t="s">
        <v>7163</v>
      </c>
      <c r="E1349" s="984" t="s">
        <v>6920</v>
      </c>
      <c r="F1349" s="926" t="s">
        <v>6892</v>
      </c>
      <c r="G1349" s="924" t="s">
        <v>6893</v>
      </c>
      <c r="H1349" s="931">
        <v>50</v>
      </c>
      <c r="I1349" s="985" t="s">
        <v>2161</v>
      </c>
      <c r="J1349" s="924" t="s">
        <v>1454</v>
      </c>
      <c r="K1349" s="989" t="s">
        <v>6989</v>
      </c>
      <c r="L1349" s="974">
        <v>410100</v>
      </c>
      <c r="M1349" s="930"/>
      <c r="N1349" s="990">
        <v>410100</v>
      </c>
      <c r="O1349" s="991">
        <v>43009.625</v>
      </c>
      <c r="P1349" s="991">
        <v>43070.625</v>
      </c>
      <c r="Q1349" s="930" t="s">
        <v>108</v>
      </c>
      <c r="R1349" s="634" t="s">
        <v>112</v>
      </c>
      <c r="S1349" s="930" t="s">
        <v>1457</v>
      </c>
      <c r="T1349" s="990"/>
      <c r="U1349" s="930"/>
      <c r="V1349" s="930"/>
      <c r="W1349" s="934"/>
      <c r="X1349" s="935"/>
      <c r="Y1349" s="934"/>
      <c r="Z1349" s="933"/>
      <c r="AA1349" s="908" t="s">
        <v>1458</v>
      </c>
      <c r="AB1349" s="843" t="s">
        <v>263</v>
      </c>
      <c r="AC1349" s="936"/>
      <c r="AD1349" s="844" t="s">
        <v>113</v>
      </c>
      <c r="AE1349" s="937">
        <f t="shared" si="34"/>
        <v>10</v>
      </c>
    </row>
    <row r="1350" spans="1:31" ht="105" hidden="1" x14ac:dyDescent="0.25">
      <c r="A1350" s="960" t="s">
        <v>7097</v>
      </c>
      <c r="B1350" s="922" t="s">
        <v>1786</v>
      </c>
      <c r="C1350" s="922" t="s">
        <v>6921</v>
      </c>
      <c r="D1350" s="670" t="s">
        <v>7164</v>
      </c>
      <c r="E1350" s="984" t="s">
        <v>6922</v>
      </c>
      <c r="F1350" s="926" t="s">
        <v>973</v>
      </c>
      <c r="G1350" s="924" t="s">
        <v>6179</v>
      </c>
      <c r="H1350" s="931">
        <v>100</v>
      </c>
      <c r="I1350" s="985" t="s">
        <v>2161</v>
      </c>
      <c r="J1350" s="924" t="s">
        <v>1454</v>
      </c>
      <c r="K1350" s="989" t="s">
        <v>8171</v>
      </c>
      <c r="L1350" s="974">
        <v>64000.9</v>
      </c>
      <c r="M1350" s="930"/>
      <c r="N1350" s="990">
        <v>64000.9</v>
      </c>
      <c r="O1350" s="991">
        <v>43009.625</v>
      </c>
      <c r="P1350" s="991">
        <v>43070.625</v>
      </c>
      <c r="Q1350" s="930" t="s">
        <v>108</v>
      </c>
      <c r="R1350" s="634" t="s">
        <v>112</v>
      </c>
      <c r="S1350" s="930" t="s">
        <v>1457</v>
      </c>
      <c r="T1350" s="990"/>
      <c r="U1350" s="930"/>
      <c r="V1350" s="930"/>
      <c r="W1350" s="934"/>
      <c r="X1350" s="935"/>
      <c r="Y1350" s="934"/>
      <c r="Z1350" s="933"/>
      <c r="AA1350" s="908" t="s">
        <v>1458</v>
      </c>
      <c r="AB1350" s="843" t="s">
        <v>263</v>
      </c>
      <c r="AC1350" s="936"/>
      <c r="AD1350" s="844" t="s">
        <v>113</v>
      </c>
      <c r="AE1350" s="937">
        <f t="shared" si="34"/>
        <v>10</v>
      </c>
    </row>
    <row r="1351" spans="1:31" ht="105" hidden="1" x14ac:dyDescent="0.25">
      <c r="A1351" s="960" t="s">
        <v>7098</v>
      </c>
      <c r="B1351" s="922" t="s">
        <v>1540</v>
      </c>
      <c r="C1351" s="922" t="s">
        <v>6923</v>
      </c>
      <c r="D1351" s="670" t="s">
        <v>7529</v>
      </c>
      <c r="E1351" s="984" t="s">
        <v>6924</v>
      </c>
      <c r="F1351" s="926" t="s">
        <v>1528</v>
      </c>
      <c r="G1351" s="924" t="s">
        <v>2156</v>
      </c>
      <c r="H1351" s="931">
        <v>63</v>
      </c>
      <c r="I1351" s="985" t="s">
        <v>2161</v>
      </c>
      <c r="J1351" s="924" t="s">
        <v>1454</v>
      </c>
      <c r="K1351" s="989" t="s">
        <v>8051</v>
      </c>
      <c r="L1351" s="974">
        <v>316270.68</v>
      </c>
      <c r="M1351" s="930" t="s">
        <v>997</v>
      </c>
      <c r="N1351" s="990">
        <v>316270.68</v>
      </c>
      <c r="O1351" s="991">
        <v>43009.625</v>
      </c>
      <c r="P1351" s="991">
        <v>43070.625</v>
      </c>
      <c r="Q1351" s="930" t="s">
        <v>110</v>
      </c>
      <c r="R1351" s="634" t="s">
        <v>113</v>
      </c>
      <c r="S1351" s="930"/>
      <c r="T1351" s="990"/>
      <c r="U1351" s="930"/>
      <c r="V1351" s="930" t="s">
        <v>45</v>
      </c>
      <c r="W1351" s="934" t="s">
        <v>73</v>
      </c>
      <c r="X1351" s="638" t="s">
        <v>5939</v>
      </c>
      <c r="Y1351" s="637" t="s">
        <v>5940</v>
      </c>
      <c r="Z1351" s="933">
        <v>316270.68</v>
      </c>
      <c r="AA1351" s="908" t="s">
        <v>1458</v>
      </c>
      <c r="AB1351" s="843" t="s">
        <v>263</v>
      </c>
      <c r="AC1351" s="936"/>
      <c r="AD1351" s="844" t="s">
        <v>113</v>
      </c>
      <c r="AE1351" s="937">
        <f t="shared" si="34"/>
        <v>10</v>
      </c>
    </row>
    <row r="1352" spans="1:31" ht="105" hidden="1" x14ac:dyDescent="0.25">
      <c r="A1352" s="960" t="s">
        <v>7099</v>
      </c>
      <c r="B1352" s="922" t="s">
        <v>232</v>
      </c>
      <c r="C1352" s="922" t="s">
        <v>1733</v>
      </c>
      <c r="D1352" s="670" t="s">
        <v>7530</v>
      </c>
      <c r="E1352" s="984" t="s">
        <v>6925</v>
      </c>
      <c r="F1352" s="926" t="s">
        <v>1528</v>
      </c>
      <c r="G1352" s="924" t="s">
        <v>2156</v>
      </c>
      <c r="H1352" s="931">
        <v>62</v>
      </c>
      <c r="I1352" s="985" t="s">
        <v>2161</v>
      </c>
      <c r="J1352" s="924" t="s">
        <v>1454</v>
      </c>
      <c r="K1352" s="989" t="s">
        <v>6990</v>
      </c>
      <c r="L1352" s="974">
        <v>670440.72</v>
      </c>
      <c r="M1352" s="930"/>
      <c r="N1352" s="990">
        <v>670440.72</v>
      </c>
      <c r="O1352" s="991">
        <v>43009.625</v>
      </c>
      <c r="P1352" s="991">
        <v>43070.625</v>
      </c>
      <c r="Q1352" s="930" t="s">
        <v>110</v>
      </c>
      <c r="R1352" s="634" t="s">
        <v>113</v>
      </c>
      <c r="S1352" s="930"/>
      <c r="T1352" s="990"/>
      <c r="U1352" s="930"/>
      <c r="V1352" s="930"/>
      <c r="W1352" s="934"/>
      <c r="X1352" s="935"/>
      <c r="Y1352" s="934"/>
      <c r="Z1352" s="933"/>
      <c r="AA1352" s="908" t="s">
        <v>1458</v>
      </c>
      <c r="AB1352" s="843" t="s">
        <v>263</v>
      </c>
      <c r="AC1352" s="936"/>
      <c r="AD1352" s="844" t="s">
        <v>113</v>
      </c>
      <c r="AE1352" s="937">
        <f t="shared" si="34"/>
        <v>10</v>
      </c>
    </row>
    <row r="1353" spans="1:31" ht="105" hidden="1" x14ac:dyDescent="0.25">
      <c r="A1353" s="960" t="s">
        <v>7100</v>
      </c>
      <c r="B1353" s="922" t="s">
        <v>1540</v>
      </c>
      <c r="C1353" s="922" t="s">
        <v>1745</v>
      </c>
      <c r="D1353" s="670" t="s">
        <v>7658</v>
      </c>
      <c r="E1353" s="984" t="s">
        <v>6926</v>
      </c>
      <c r="F1353" s="926" t="s">
        <v>1528</v>
      </c>
      <c r="G1353" s="924" t="s">
        <v>2156</v>
      </c>
      <c r="H1353" s="931">
        <v>62</v>
      </c>
      <c r="I1353" s="985" t="s">
        <v>2161</v>
      </c>
      <c r="J1353" s="924" t="s">
        <v>1454</v>
      </c>
      <c r="K1353" s="989" t="s">
        <v>7657</v>
      </c>
      <c r="L1353" s="974">
        <v>226467.96</v>
      </c>
      <c r="M1353" s="930" t="s">
        <v>997</v>
      </c>
      <c r="N1353" s="990">
        <v>226467.96</v>
      </c>
      <c r="O1353" s="991">
        <v>43040.625</v>
      </c>
      <c r="P1353" s="991">
        <v>43070.625</v>
      </c>
      <c r="Q1353" s="930" t="s">
        <v>110</v>
      </c>
      <c r="R1353" s="634" t="s">
        <v>113</v>
      </c>
      <c r="S1353" s="930"/>
      <c r="T1353" s="990"/>
      <c r="U1353" s="930"/>
      <c r="V1353" s="930" t="s">
        <v>45</v>
      </c>
      <c r="W1353" s="934" t="s">
        <v>72</v>
      </c>
      <c r="X1353" s="935" t="s">
        <v>7660</v>
      </c>
      <c r="Y1353" s="934" t="s">
        <v>7659</v>
      </c>
      <c r="Z1353" s="933">
        <v>226467.96</v>
      </c>
      <c r="AA1353" s="908" t="s">
        <v>1458</v>
      </c>
      <c r="AB1353" s="843" t="s">
        <v>263</v>
      </c>
      <c r="AC1353" s="936"/>
      <c r="AD1353" s="844" t="s">
        <v>113</v>
      </c>
      <c r="AE1353" s="937">
        <f t="shared" si="34"/>
        <v>11</v>
      </c>
    </row>
    <row r="1354" spans="1:31" ht="105" hidden="1" x14ac:dyDescent="0.25">
      <c r="A1354" s="960" t="s">
        <v>7101</v>
      </c>
      <c r="B1354" s="922" t="s">
        <v>1576</v>
      </c>
      <c r="C1354" s="922" t="s">
        <v>1540</v>
      </c>
      <c r="D1354" s="670" t="s">
        <v>7531</v>
      </c>
      <c r="E1354" s="984" t="s">
        <v>6927</v>
      </c>
      <c r="F1354" s="926" t="s">
        <v>1528</v>
      </c>
      <c r="G1354" s="924" t="s">
        <v>2156</v>
      </c>
      <c r="H1354" s="931">
        <v>62</v>
      </c>
      <c r="I1354" s="985" t="s">
        <v>2161</v>
      </c>
      <c r="J1354" s="924" t="s">
        <v>1454</v>
      </c>
      <c r="K1354" s="989" t="s">
        <v>6991</v>
      </c>
      <c r="L1354" s="974">
        <v>189038.12</v>
      </c>
      <c r="M1354" s="930" t="s">
        <v>997</v>
      </c>
      <c r="N1354" s="990">
        <v>189038.12</v>
      </c>
      <c r="O1354" s="991">
        <v>43040</v>
      </c>
      <c r="P1354" s="991">
        <v>43070.625</v>
      </c>
      <c r="Q1354" s="930" t="s">
        <v>110</v>
      </c>
      <c r="R1354" s="634" t="s">
        <v>113</v>
      </c>
      <c r="S1354" s="930"/>
      <c r="T1354" s="990"/>
      <c r="U1354" s="930"/>
      <c r="V1354" s="930" t="s">
        <v>45</v>
      </c>
      <c r="W1354" s="934" t="s">
        <v>72</v>
      </c>
      <c r="X1354" s="935" t="s">
        <v>7661</v>
      </c>
      <c r="Y1354" s="934" t="s">
        <v>7662</v>
      </c>
      <c r="Z1354" s="933">
        <v>189038.12</v>
      </c>
      <c r="AA1354" s="908" t="s">
        <v>1458</v>
      </c>
      <c r="AB1354" s="843" t="s">
        <v>263</v>
      </c>
      <c r="AC1354" s="936"/>
      <c r="AD1354" s="844" t="s">
        <v>113</v>
      </c>
      <c r="AE1354" s="937">
        <f t="shared" si="34"/>
        <v>11</v>
      </c>
    </row>
    <row r="1355" spans="1:31" ht="105" hidden="1" x14ac:dyDescent="0.25">
      <c r="A1355" s="960" t="s">
        <v>7102</v>
      </c>
      <c r="B1355" s="922" t="s">
        <v>1576</v>
      </c>
      <c r="C1355" s="922" t="s">
        <v>1540</v>
      </c>
      <c r="D1355" s="670" t="s">
        <v>7532</v>
      </c>
      <c r="E1355" s="984" t="s">
        <v>6928</v>
      </c>
      <c r="F1355" s="926" t="s">
        <v>1528</v>
      </c>
      <c r="G1355" s="924" t="s">
        <v>2156</v>
      </c>
      <c r="H1355" s="931">
        <v>62</v>
      </c>
      <c r="I1355" s="985" t="s">
        <v>2161</v>
      </c>
      <c r="J1355" s="924" t="s">
        <v>1454</v>
      </c>
      <c r="K1355" s="989" t="s">
        <v>7266</v>
      </c>
      <c r="L1355" s="974">
        <v>148777.44</v>
      </c>
      <c r="M1355" s="930" t="s">
        <v>997</v>
      </c>
      <c r="N1355" s="990">
        <v>148777.44</v>
      </c>
      <c r="O1355" s="991">
        <v>43009.625</v>
      </c>
      <c r="P1355" s="991">
        <v>43070.625</v>
      </c>
      <c r="Q1355" s="930" t="s">
        <v>110</v>
      </c>
      <c r="R1355" s="634" t="s">
        <v>113</v>
      </c>
      <c r="S1355" s="930"/>
      <c r="T1355" s="990"/>
      <c r="U1355" s="930"/>
      <c r="V1355" s="930" t="s">
        <v>45</v>
      </c>
      <c r="W1355" s="934" t="s">
        <v>72</v>
      </c>
      <c r="X1355" s="638" t="s">
        <v>7267</v>
      </c>
      <c r="Y1355" s="637" t="s">
        <v>7268</v>
      </c>
      <c r="Z1355" s="933">
        <v>148777.44</v>
      </c>
      <c r="AA1355" s="908" t="s">
        <v>1458</v>
      </c>
      <c r="AB1355" s="843" t="s">
        <v>263</v>
      </c>
      <c r="AC1355" s="936"/>
      <c r="AD1355" s="844" t="s">
        <v>113</v>
      </c>
      <c r="AE1355" s="937">
        <f t="shared" si="34"/>
        <v>10</v>
      </c>
    </row>
    <row r="1356" spans="1:31" ht="105" hidden="1" x14ac:dyDescent="0.25">
      <c r="A1356" s="960" t="s">
        <v>7103</v>
      </c>
      <c r="B1356" s="922" t="s">
        <v>1576</v>
      </c>
      <c r="C1356" s="922" t="s">
        <v>1576</v>
      </c>
      <c r="D1356" s="670" t="s">
        <v>7533</v>
      </c>
      <c r="E1356" s="984" t="s">
        <v>6929</v>
      </c>
      <c r="F1356" s="926" t="s">
        <v>1528</v>
      </c>
      <c r="G1356" s="924" t="s">
        <v>2156</v>
      </c>
      <c r="H1356" s="931">
        <v>124</v>
      </c>
      <c r="I1356" s="985" t="s">
        <v>2161</v>
      </c>
      <c r="J1356" s="924" t="s">
        <v>1454</v>
      </c>
      <c r="K1356" s="989" t="s">
        <v>6992</v>
      </c>
      <c r="L1356" s="974">
        <v>104762.93</v>
      </c>
      <c r="M1356" s="930"/>
      <c r="N1356" s="990">
        <v>104762.93</v>
      </c>
      <c r="O1356" s="991">
        <v>43009.625</v>
      </c>
      <c r="P1356" s="991">
        <v>43070.625</v>
      </c>
      <c r="Q1356" s="930" t="s">
        <v>110</v>
      </c>
      <c r="R1356" s="634" t="s">
        <v>113</v>
      </c>
      <c r="S1356" s="930"/>
      <c r="T1356" s="990"/>
      <c r="U1356" s="930"/>
      <c r="V1356" s="930"/>
      <c r="W1356" s="934"/>
      <c r="X1356" s="935"/>
      <c r="Y1356" s="934"/>
      <c r="Z1356" s="933"/>
      <c r="AA1356" s="908" t="s">
        <v>1458</v>
      </c>
      <c r="AB1356" s="843" t="s">
        <v>263</v>
      </c>
      <c r="AC1356" s="936"/>
      <c r="AD1356" s="844" t="s">
        <v>113</v>
      </c>
      <c r="AE1356" s="937">
        <f t="shared" si="34"/>
        <v>10</v>
      </c>
    </row>
    <row r="1357" spans="1:31" ht="105" hidden="1" x14ac:dyDescent="0.25">
      <c r="A1357" s="960" t="s">
        <v>7104</v>
      </c>
      <c r="B1357" s="922" t="s">
        <v>1576</v>
      </c>
      <c r="C1357" s="922" t="s">
        <v>1576</v>
      </c>
      <c r="D1357" s="670" t="s">
        <v>7534</v>
      </c>
      <c r="E1357" s="984" t="s">
        <v>6930</v>
      </c>
      <c r="F1357" s="926" t="s">
        <v>1528</v>
      </c>
      <c r="G1357" s="924" t="s">
        <v>2156</v>
      </c>
      <c r="H1357" s="931">
        <v>124</v>
      </c>
      <c r="I1357" s="985" t="s">
        <v>2161</v>
      </c>
      <c r="J1357" s="924" t="s">
        <v>1454</v>
      </c>
      <c r="K1357" s="989" t="s">
        <v>6993</v>
      </c>
      <c r="L1357" s="974">
        <v>296298</v>
      </c>
      <c r="M1357" s="930" t="s">
        <v>997</v>
      </c>
      <c r="N1357" s="990">
        <v>296298</v>
      </c>
      <c r="O1357" s="991">
        <v>43009.625</v>
      </c>
      <c r="P1357" s="991">
        <v>43070.625</v>
      </c>
      <c r="Q1357" s="930" t="s">
        <v>110</v>
      </c>
      <c r="R1357" s="634" t="s">
        <v>113</v>
      </c>
      <c r="S1357" s="930"/>
      <c r="T1357" s="990"/>
      <c r="U1357" s="930"/>
      <c r="V1357" s="930" t="s">
        <v>45</v>
      </c>
      <c r="W1357" s="934" t="s">
        <v>72</v>
      </c>
      <c r="X1357" s="935" t="s">
        <v>6415</v>
      </c>
      <c r="Y1357" s="934" t="s">
        <v>6416</v>
      </c>
      <c r="Z1357" s="933">
        <v>296298</v>
      </c>
      <c r="AA1357" s="908" t="s">
        <v>1458</v>
      </c>
      <c r="AB1357" s="843" t="s">
        <v>263</v>
      </c>
      <c r="AC1357" s="936"/>
      <c r="AD1357" s="844" t="s">
        <v>113</v>
      </c>
      <c r="AE1357" s="937">
        <f t="shared" si="34"/>
        <v>10</v>
      </c>
    </row>
    <row r="1358" spans="1:31" ht="105" hidden="1" x14ac:dyDescent="0.25">
      <c r="A1358" s="960" t="s">
        <v>7105</v>
      </c>
      <c r="B1358" s="922" t="s">
        <v>1540</v>
      </c>
      <c r="C1358" s="922" t="s">
        <v>1540</v>
      </c>
      <c r="D1358" s="670" t="s">
        <v>7535</v>
      </c>
      <c r="E1358" s="984" t="s">
        <v>6184</v>
      </c>
      <c r="F1358" s="926" t="s">
        <v>1528</v>
      </c>
      <c r="G1358" s="924" t="s">
        <v>2156</v>
      </c>
      <c r="H1358" s="931">
        <v>255</v>
      </c>
      <c r="I1358" s="985" t="s">
        <v>2161</v>
      </c>
      <c r="J1358" s="924" t="s">
        <v>1454</v>
      </c>
      <c r="K1358" s="989" t="s">
        <v>6537</v>
      </c>
      <c r="L1358" s="974">
        <v>809236.16</v>
      </c>
      <c r="M1358" s="930"/>
      <c r="N1358" s="990">
        <v>809236.16</v>
      </c>
      <c r="O1358" s="991">
        <v>43009.625</v>
      </c>
      <c r="P1358" s="991">
        <v>43070.625</v>
      </c>
      <c r="Q1358" s="930" t="s">
        <v>110</v>
      </c>
      <c r="R1358" s="634" t="s">
        <v>113</v>
      </c>
      <c r="S1358" s="930"/>
      <c r="T1358" s="990"/>
      <c r="U1358" s="930"/>
      <c r="V1358" s="930"/>
      <c r="W1358" s="934"/>
      <c r="X1358" s="935"/>
      <c r="Y1358" s="934"/>
      <c r="Z1358" s="933"/>
      <c r="AA1358" s="908" t="s">
        <v>1458</v>
      </c>
      <c r="AB1358" s="843" t="s">
        <v>263</v>
      </c>
      <c r="AC1358" s="936"/>
      <c r="AD1358" s="844" t="s">
        <v>113</v>
      </c>
      <c r="AE1358" s="937">
        <f t="shared" si="34"/>
        <v>10</v>
      </c>
    </row>
    <row r="1359" spans="1:31" ht="105" hidden="1" x14ac:dyDescent="0.25">
      <c r="A1359" s="960" t="s">
        <v>7106</v>
      </c>
      <c r="B1359" s="922" t="s">
        <v>1759</v>
      </c>
      <c r="C1359" s="922" t="s">
        <v>5024</v>
      </c>
      <c r="D1359" s="670" t="s">
        <v>7165</v>
      </c>
      <c r="E1359" s="984" t="s">
        <v>3142</v>
      </c>
      <c r="F1359" s="926" t="s">
        <v>1645</v>
      </c>
      <c r="G1359" s="924" t="s">
        <v>2259</v>
      </c>
      <c r="H1359" s="931">
        <v>1.06</v>
      </c>
      <c r="I1359" s="985" t="s">
        <v>2161</v>
      </c>
      <c r="J1359" s="924" t="s">
        <v>1454</v>
      </c>
      <c r="K1359" s="989" t="s">
        <v>6994</v>
      </c>
      <c r="L1359" s="974">
        <v>619000</v>
      </c>
      <c r="M1359" s="930"/>
      <c r="N1359" s="990">
        <v>619000</v>
      </c>
      <c r="O1359" s="991">
        <v>43009.625</v>
      </c>
      <c r="P1359" s="991">
        <v>43009.625</v>
      </c>
      <c r="Q1359" s="930" t="s">
        <v>110</v>
      </c>
      <c r="R1359" s="634" t="s">
        <v>113</v>
      </c>
      <c r="S1359" s="930"/>
      <c r="T1359" s="990"/>
      <c r="U1359" s="930"/>
      <c r="V1359" s="930"/>
      <c r="W1359" s="934" t="s">
        <v>268</v>
      </c>
      <c r="X1359" s="935" t="s">
        <v>3359</v>
      </c>
      <c r="Y1359" s="934" t="s">
        <v>3360</v>
      </c>
      <c r="Z1359" s="933">
        <v>619000</v>
      </c>
      <c r="AA1359" s="908" t="s">
        <v>1458</v>
      </c>
      <c r="AB1359" s="843" t="s">
        <v>263</v>
      </c>
      <c r="AC1359" s="936"/>
      <c r="AD1359" s="844" t="s">
        <v>113</v>
      </c>
      <c r="AE1359" s="937">
        <f t="shared" si="34"/>
        <v>10</v>
      </c>
    </row>
    <row r="1360" spans="1:31" ht="105" hidden="1" x14ac:dyDescent="0.25">
      <c r="A1360" s="960" t="s">
        <v>7107</v>
      </c>
      <c r="B1360" s="922" t="s">
        <v>1759</v>
      </c>
      <c r="C1360" s="922" t="s">
        <v>1759</v>
      </c>
      <c r="D1360" s="670" t="s">
        <v>7166</v>
      </c>
      <c r="E1360" s="984" t="s">
        <v>3142</v>
      </c>
      <c r="F1360" s="926" t="s">
        <v>1645</v>
      </c>
      <c r="G1360" s="924" t="s">
        <v>2259</v>
      </c>
      <c r="H1360" s="931">
        <v>22</v>
      </c>
      <c r="I1360" s="985" t="s">
        <v>2161</v>
      </c>
      <c r="J1360" s="924" t="s">
        <v>1454</v>
      </c>
      <c r="K1360" s="989" t="s">
        <v>6995</v>
      </c>
      <c r="L1360" s="974">
        <v>1492700</v>
      </c>
      <c r="M1360" s="930"/>
      <c r="N1360" s="990">
        <v>1492700</v>
      </c>
      <c r="O1360" s="991">
        <v>43009.625</v>
      </c>
      <c r="P1360" s="991">
        <v>43009.625</v>
      </c>
      <c r="Q1360" s="930" t="s">
        <v>110</v>
      </c>
      <c r="R1360" s="634" t="s">
        <v>113</v>
      </c>
      <c r="S1360" s="930"/>
      <c r="T1360" s="990"/>
      <c r="U1360" s="930"/>
      <c r="V1360" s="930"/>
      <c r="W1360" s="934" t="s">
        <v>268</v>
      </c>
      <c r="X1360" s="935" t="s">
        <v>3364</v>
      </c>
      <c r="Y1360" s="934" t="s">
        <v>7215</v>
      </c>
      <c r="Z1360" s="933">
        <v>1492700</v>
      </c>
      <c r="AA1360" s="908" t="s">
        <v>1458</v>
      </c>
      <c r="AB1360" s="843" t="s">
        <v>263</v>
      </c>
      <c r="AC1360" s="936"/>
      <c r="AD1360" s="844" t="s">
        <v>113</v>
      </c>
      <c r="AE1360" s="937">
        <f t="shared" si="34"/>
        <v>10</v>
      </c>
    </row>
    <row r="1361" spans="1:31" ht="105" hidden="1" x14ac:dyDescent="0.25">
      <c r="A1361" s="960" t="s">
        <v>7108</v>
      </c>
      <c r="B1361" s="922" t="s">
        <v>1793</v>
      </c>
      <c r="C1361" s="922" t="s">
        <v>6156</v>
      </c>
      <c r="D1361" s="670" t="s">
        <v>7167</v>
      </c>
      <c r="E1361" s="984" t="s">
        <v>4852</v>
      </c>
      <c r="F1361" s="926" t="s">
        <v>1528</v>
      </c>
      <c r="G1361" s="924" t="s">
        <v>2156</v>
      </c>
      <c r="H1361" s="931">
        <v>12</v>
      </c>
      <c r="I1361" s="985" t="s">
        <v>2161</v>
      </c>
      <c r="J1361" s="924" t="s">
        <v>1454</v>
      </c>
      <c r="K1361" s="989" t="s">
        <v>6996</v>
      </c>
      <c r="L1361" s="974">
        <v>101727.43</v>
      </c>
      <c r="M1361" s="930"/>
      <c r="N1361" s="990">
        <v>101727.43</v>
      </c>
      <c r="O1361" s="991">
        <v>42979.625</v>
      </c>
      <c r="P1361" s="991">
        <v>43009.625</v>
      </c>
      <c r="Q1361" s="930" t="s">
        <v>110</v>
      </c>
      <c r="R1361" s="634" t="s">
        <v>113</v>
      </c>
      <c r="S1361" s="930"/>
      <c r="T1361" s="990"/>
      <c r="U1361" s="930"/>
      <c r="V1361" s="930"/>
      <c r="W1361" s="934" t="s">
        <v>268</v>
      </c>
      <c r="X1361" s="935" t="s">
        <v>7231</v>
      </c>
      <c r="Y1361" s="934" t="s">
        <v>7232</v>
      </c>
      <c r="Z1361" s="933">
        <v>101727.43</v>
      </c>
      <c r="AA1361" s="908" t="s">
        <v>1458</v>
      </c>
      <c r="AB1361" s="843" t="s">
        <v>263</v>
      </c>
      <c r="AC1361" s="936"/>
      <c r="AD1361" s="844" t="s">
        <v>113</v>
      </c>
      <c r="AE1361" s="937">
        <f t="shared" si="34"/>
        <v>9</v>
      </c>
    </row>
    <row r="1362" spans="1:31" ht="105" hidden="1" x14ac:dyDescent="0.25">
      <c r="A1362" s="960" t="s">
        <v>7109</v>
      </c>
      <c r="B1362" s="922" t="s">
        <v>3132</v>
      </c>
      <c r="C1362" s="922" t="s">
        <v>1687</v>
      </c>
      <c r="D1362" s="670" t="s">
        <v>7536</v>
      </c>
      <c r="E1362" s="984" t="s">
        <v>2235</v>
      </c>
      <c r="F1362" s="926" t="s">
        <v>1528</v>
      </c>
      <c r="G1362" s="924" t="s">
        <v>2156</v>
      </c>
      <c r="H1362" s="931">
        <v>1316.3</v>
      </c>
      <c r="I1362" s="985" t="s">
        <v>2161</v>
      </c>
      <c r="J1362" s="924" t="s">
        <v>1454</v>
      </c>
      <c r="K1362" s="989" t="s">
        <v>6997</v>
      </c>
      <c r="L1362" s="974">
        <v>988207</v>
      </c>
      <c r="M1362" s="930" t="s">
        <v>997</v>
      </c>
      <c r="N1362" s="990">
        <v>988207</v>
      </c>
      <c r="O1362" s="991">
        <v>43009.625</v>
      </c>
      <c r="P1362" s="991">
        <v>43009.625</v>
      </c>
      <c r="Q1362" s="930" t="s">
        <v>110</v>
      </c>
      <c r="R1362" s="634" t="s">
        <v>113</v>
      </c>
      <c r="S1362" s="930"/>
      <c r="T1362" s="990"/>
      <c r="U1362" s="930"/>
      <c r="V1362" s="930" t="s">
        <v>45</v>
      </c>
      <c r="W1362" s="934" t="s">
        <v>268</v>
      </c>
      <c r="X1362" s="935" t="s">
        <v>3337</v>
      </c>
      <c r="Y1362" s="934" t="s">
        <v>3338</v>
      </c>
      <c r="Z1362" s="933">
        <v>988207</v>
      </c>
      <c r="AA1362" s="908" t="s">
        <v>1458</v>
      </c>
      <c r="AB1362" s="843" t="s">
        <v>263</v>
      </c>
      <c r="AC1362" s="936"/>
      <c r="AD1362" s="844" t="s">
        <v>113</v>
      </c>
      <c r="AE1362" s="937">
        <f t="shared" si="34"/>
        <v>10</v>
      </c>
    </row>
    <row r="1363" spans="1:31" ht="105" hidden="1" x14ac:dyDescent="0.25">
      <c r="A1363" s="960" t="s">
        <v>7110</v>
      </c>
      <c r="B1363" s="922" t="s">
        <v>1842</v>
      </c>
      <c r="C1363" s="922" t="s">
        <v>1930</v>
      </c>
      <c r="D1363" s="670" t="s">
        <v>7537</v>
      </c>
      <c r="E1363" s="984" t="s">
        <v>6492</v>
      </c>
      <c r="F1363" s="926" t="s">
        <v>1587</v>
      </c>
      <c r="G1363" s="924" t="s">
        <v>2256</v>
      </c>
      <c r="H1363" s="931">
        <v>1</v>
      </c>
      <c r="I1363" s="985" t="s">
        <v>2161</v>
      </c>
      <c r="J1363" s="924" t="s">
        <v>1454</v>
      </c>
      <c r="K1363" s="989" t="s">
        <v>6963</v>
      </c>
      <c r="L1363" s="974">
        <v>273480.53000000003</v>
      </c>
      <c r="M1363" s="930"/>
      <c r="N1363" s="990">
        <v>273480.53000000003</v>
      </c>
      <c r="O1363" s="991">
        <v>43009.625</v>
      </c>
      <c r="P1363" s="991">
        <v>43040.625</v>
      </c>
      <c r="Q1363" s="930" t="s">
        <v>108</v>
      </c>
      <c r="R1363" s="634" t="s">
        <v>112</v>
      </c>
      <c r="S1363" s="930" t="s">
        <v>1457</v>
      </c>
      <c r="T1363" s="990"/>
      <c r="U1363" s="930"/>
      <c r="V1363" s="930"/>
      <c r="W1363" s="934"/>
      <c r="X1363" s="935"/>
      <c r="Y1363" s="934"/>
      <c r="Z1363" s="933"/>
      <c r="AA1363" s="908" t="s">
        <v>1458</v>
      </c>
      <c r="AB1363" s="843" t="s">
        <v>263</v>
      </c>
      <c r="AC1363" s="936"/>
      <c r="AD1363" s="844" t="s">
        <v>113</v>
      </c>
      <c r="AE1363" s="937">
        <f t="shared" si="34"/>
        <v>10</v>
      </c>
    </row>
    <row r="1364" spans="1:31" ht="105" hidden="1" x14ac:dyDescent="0.25">
      <c r="A1364" s="960" t="s">
        <v>7111</v>
      </c>
      <c r="B1364" s="922" t="s">
        <v>1951</v>
      </c>
      <c r="C1364" s="922" t="s">
        <v>1951</v>
      </c>
      <c r="D1364" s="670" t="s">
        <v>7538</v>
      </c>
      <c r="E1364" s="984" t="s">
        <v>1948</v>
      </c>
      <c r="F1364" s="926" t="s">
        <v>1587</v>
      </c>
      <c r="G1364" s="924" t="s">
        <v>2256</v>
      </c>
      <c r="H1364" s="931">
        <v>23</v>
      </c>
      <c r="I1364" s="985" t="s">
        <v>2161</v>
      </c>
      <c r="J1364" s="924" t="s">
        <v>1454</v>
      </c>
      <c r="K1364" s="989" t="s">
        <v>6998</v>
      </c>
      <c r="L1364" s="974">
        <v>325369.52</v>
      </c>
      <c r="M1364" s="930"/>
      <c r="N1364" s="990">
        <v>325369.52</v>
      </c>
      <c r="O1364" s="991">
        <v>43009.625</v>
      </c>
      <c r="P1364" s="991">
        <v>43070.625</v>
      </c>
      <c r="Q1364" s="930" t="s">
        <v>110</v>
      </c>
      <c r="R1364" s="634" t="s">
        <v>113</v>
      </c>
      <c r="S1364" s="930"/>
      <c r="T1364" s="990"/>
      <c r="U1364" s="930"/>
      <c r="V1364" s="930" t="s">
        <v>45</v>
      </c>
      <c r="W1364" s="934" t="s">
        <v>73</v>
      </c>
      <c r="X1364" s="638" t="s">
        <v>2381</v>
      </c>
      <c r="Y1364" s="637" t="s">
        <v>5767</v>
      </c>
      <c r="Z1364" s="933">
        <v>325369.52</v>
      </c>
      <c r="AA1364" s="908" t="s">
        <v>1458</v>
      </c>
      <c r="AB1364" s="843" t="s">
        <v>263</v>
      </c>
      <c r="AC1364" s="936"/>
      <c r="AD1364" s="844" t="s">
        <v>113</v>
      </c>
      <c r="AE1364" s="937">
        <f t="shared" si="34"/>
        <v>10</v>
      </c>
    </row>
    <row r="1365" spans="1:31" ht="105" hidden="1" x14ac:dyDescent="0.25">
      <c r="A1365" s="960" t="s">
        <v>7112</v>
      </c>
      <c r="B1365" s="922" t="s">
        <v>1851</v>
      </c>
      <c r="C1365" s="922" t="s">
        <v>1851</v>
      </c>
      <c r="D1365" s="670" t="s">
        <v>7539</v>
      </c>
      <c r="E1365" s="984" t="s">
        <v>1948</v>
      </c>
      <c r="F1365" s="926" t="s">
        <v>1528</v>
      </c>
      <c r="G1365" s="924" t="s">
        <v>2156</v>
      </c>
      <c r="H1365" s="931">
        <v>12</v>
      </c>
      <c r="I1365" s="985" t="s">
        <v>2161</v>
      </c>
      <c r="J1365" s="924" t="s">
        <v>1454</v>
      </c>
      <c r="K1365" s="989" t="s">
        <v>6999</v>
      </c>
      <c r="L1365" s="974">
        <v>110448</v>
      </c>
      <c r="M1365" s="930" t="s">
        <v>997</v>
      </c>
      <c r="N1365" s="990">
        <v>110448</v>
      </c>
      <c r="O1365" s="991">
        <v>43009.625</v>
      </c>
      <c r="P1365" s="991">
        <v>43070.625</v>
      </c>
      <c r="Q1365" s="930" t="s">
        <v>110</v>
      </c>
      <c r="R1365" s="634" t="s">
        <v>113</v>
      </c>
      <c r="S1365" s="930"/>
      <c r="T1365" s="990"/>
      <c r="U1365" s="930"/>
      <c r="V1365" s="930" t="s">
        <v>45</v>
      </c>
      <c r="W1365" s="934" t="s">
        <v>73</v>
      </c>
      <c r="X1365" s="935" t="s">
        <v>2369</v>
      </c>
      <c r="Y1365" s="934" t="s">
        <v>2370</v>
      </c>
      <c r="Z1365" s="933">
        <v>110448</v>
      </c>
      <c r="AA1365" s="908" t="s">
        <v>1458</v>
      </c>
      <c r="AB1365" s="843" t="s">
        <v>263</v>
      </c>
      <c r="AC1365" s="936"/>
      <c r="AD1365" s="844" t="s">
        <v>113</v>
      </c>
      <c r="AE1365" s="937">
        <f t="shared" si="34"/>
        <v>10</v>
      </c>
    </row>
    <row r="1366" spans="1:31" ht="105" hidden="1" x14ac:dyDescent="0.25">
      <c r="A1366" s="960" t="s">
        <v>7113</v>
      </c>
      <c r="B1366" s="922" t="s">
        <v>1787</v>
      </c>
      <c r="C1366" s="922" t="s">
        <v>3123</v>
      </c>
      <c r="D1366" s="670" t="s">
        <v>7540</v>
      </c>
      <c r="E1366" s="984" t="s">
        <v>2235</v>
      </c>
      <c r="F1366" s="926" t="s">
        <v>1528</v>
      </c>
      <c r="G1366" s="924" t="s">
        <v>2156</v>
      </c>
      <c r="H1366" s="931">
        <v>1</v>
      </c>
      <c r="I1366" s="985" t="s">
        <v>2161</v>
      </c>
      <c r="J1366" s="924" t="s">
        <v>1454</v>
      </c>
      <c r="K1366" s="989" t="s">
        <v>7000</v>
      </c>
      <c r="L1366" s="974">
        <v>1803040</v>
      </c>
      <c r="M1366" s="930"/>
      <c r="N1366" s="990">
        <v>1803040</v>
      </c>
      <c r="O1366" s="991">
        <v>43009.625</v>
      </c>
      <c r="P1366" s="991">
        <v>43070.625</v>
      </c>
      <c r="Q1366" s="930" t="s">
        <v>110</v>
      </c>
      <c r="R1366" s="634" t="s">
        <v>113</v>
      </c>
      <c r="S1366" s="930"/>
      <c r="T1366" s="990"/>
      <c r="U1366" s="930"/>
      <c r="V1366" s="930"/>
      <c r="W1366" s="934"/>
      <c r="X1366" s="935"/>
      <c r="Y1366" s="934"/>
      <c r="Z1366" s="933"/>
      <c r="AA1366" s="908" t="s">
        <v>1458</v>
      </c>
      <c r="AB1366" s="843" t="s">
        <v>263</v>
      </c>
      <c r="AC1366" s="936"/>
      <c r="AD1366" s="844" t="s">
        <v>113</v>
      </c>
      <c r="AE1366" s="937">
        <f t="shared" si="34"/>
        <v>10</v>
      </c>
    </row>
    <row r="1367" spans="1:31" ht="105" hidden="1" x14ac:dyDescent="0.25">
      <c r="A1367" s="960" t="s">
        <v>7114</v>
      </c>
      <c r="B1367" s="922" t="s">
        <v>1642</v>
      </c>
      <c r="C1367" s="922" t="s">
        <v>1643</v>
      </c>
      <c r="D1367" s="670" t="s">
        <v>7541</v>
      </c>
      <c r="E1367" s="984" t="s">
        <v>6153</v>
      </c>
      <c r="F1367" s="926" t="s">
        <v>1528</v>
      </c>
      <c r="G1367" s="924" t="s">
        <v>2156</v>
      </c>
      <c r="H1367" s="931">
        <v>4</v>
      </c>
      <c r="I1367" s="985" t="s">
        <v>2161</v>
      </c>
      <c r="J1367" s="924" t="s">
        <v>1454</v>
      </c>
      <c r="K1367" s="989" t="s">
        <v>7001</v>
      </c>
      <c r="L1367" s="974">
        <v>415155.02</v>
      </c>
      <c r="M1367" s="930"/>
      <c r="N1367" s="990">
        <v>415155.02</v>
      </c>
      <c r="O1367" s="991">
        <v>43009.625</v>
      </c>
      <c r="P1367" s="991">
        <v>43070.625</v>
      </c>
      <c r="Q1367" s="930" t="s">
        <v>108</v>
      </c>
      <c r="R1367" s="634" t="s">
        <v>112</v>
      </c>
      <c r="S1367" s="930" t="s">
        <v>1457</v>
      </c>
      <c r="T1367" s="990"/>
      <c r="U1367" s="930"/>
      <c r="V1367" s="930"/>
      <c r="W1367" s="934"/>
      <c r="X1367" s="935"/>
      <c r="Y1367" s="934"/>
      <c r="Z1367" s="933"/>
      <c r="AA1367" s="908" t="s">
        <v>1458</v>
      </c>
      <c r="AB1367" s="843" t="s">
        <v>263</v>
      </c>
      <c r="AC1367" s="936"/>
      <c r="AD1367" s="844" t="s">
        <v>113</v>
      </c>
      <c r="AE1367" s="937">
        <f t="shared" si="34"/>
        <v>10</v>
      </c>
    </row>
    <row r="1368" spans="1:31" ht="105" hidden="1" x14ac:dyDescent="0.25">
      <c r="A1368" s="960" t="s">
        <v>7115</v>
      </c>
      <c r="B1368" s="922" t="s">
        <v>6931</v>
      </c>
      <c r="C1368" s="922" t="s">
        <v>6932</v>
      </c>
      <c r="D1368" s="670" t="s">
        <v>7168</v>
      </c>
      <c r="E1368" s="984" t="s">
        <v>6933</v>
      </c>
      <c r="F1368" s="926" t="s">
        <v>1528</v>
      </c>
      <c r="G1368" s="924" t="s">
        <v>2156</v>
      </c>
      <c r="H1368" s="931">
        <v>54</v>
      </c>
      <c r="I1368" s="985" t="s">
        <v>2161</v>
      </c>
      <c r="J1368" s="924" t="s">
        <v>1454</v>
      </c>
      <c r="K1368" s="989" t="s">
        <v>7002</v>
      </c>
      <c r="L1368" s="974">
        <v>458776</v>
      </c>
      <c r="M1368" s="930" t="s">
        <v>997</v>
      </c>
      <c r="N1368" s="990">
        <v>458776</v>
      </c>
      <c r="O1368" s="991">
        <v>43009.625</v>
      </c>
      <c r="P1368" s="991">
        <v>43040.625</v>
      </c>
      <c r="Q1368" s="930" t="s">
        <v>110</v>
      </c>
      <c r="R1368" s="634" t="s">
        <v>113</v>
      </c>
      <c r="S1368" s="930"/>
      <c r="T1368" s="990"/>
      <c r="U1368" s="930"/>
      <c r="V1368" s="930"/>
      <c r="W1368" s="934" t="s">
        <v>268</v>
      </c>
      <c r="X1368" s="935" t="s">
        <v>7252</v>
      </c>
      <c r="Y1368" s="934" t="s">
        <v>7253</v>
      </c>
      <c r="Z1368" s="933">
        <v>458776</v>
      </c>
      <c r="AA1368" s="908" t="s">
        <v>1458</v>
      </c>
      <c r="AB1368" s="843" t="s">
        <v>263</v>
      </c>
      <c r="AC1368" s="936"/>
      <c r="AD1368" s="844" t="s">
        <v>113</v>
      </c>
      <c r="AE1368" s="937">
        <f t="shared" si="34"/>
        <v>10</v>
      </c>
    </row>
    <row r="1369" spans="1:31" ht="105" hidden="1" x14ac:dyDescent="0.25">
      <c r="A1369" s="960" t="s">
        <v>7116</v>
      </c>
      <c r="B1369" s="922" t="s">
        <v>2211</v>
      </c>
      <c r="C1369" s="922" t="s">
        <v>2211</v>
      </c>
      <c r="D1369" s="670" t="s">
        <v>7169</v>
      </c>
      <c r="E1369" s="984" t="s">
        <v>1569</v>
      </c>
      <c r="F1369" s="926" t="s">
        <v>1587</v>
      </c>
      <c r="G1369" s="924" t="s">
        <v>2256</v>
      </c>
      <c r="H1369" s="931">
        <v>1</v>
      </c>
      <c r="I1369" s="985" t="s">
        <v>2161</v>
      </c>
      <c r="J1369" s="924" t="s">
        <v>1454</v>
      </c>
      <c r="K1369" s="989" t="s">
        <v>7003</v>
      </c>
      <c r="L1369" s="974">
        <v>278998.93</v>
      </c>
      <c r="M1369" s="930"/>
      <c r="N1369" s="990">
        <v>278998.93</v>
      </c>
      <c r="O1369" s="991">
        <v>43009.625</v>
      </c>
      <c r="P1369" s="991">
        <v>43070.625</v>
      </c>
      <c r="Q1369" s="930" t="s">
        <v>108</v>
      </c>
      <c r="R1369" s="634" t="s">
        <v>112</v>
      </c>
      <c r="S1369" s="930" t="s">
        <v>1457</v>
      </c>
      <c r="T1369" s="990"/>
      <c r="U1369" s="930"/>
      <c r="V1369" s="930"/>
      <c r="W1369" s="934"/>
      <c r="X1369" s="935"/>
      <c r="Y1369" s="934"/>
      <c r="Z1369" s="933"/>
      <c r="AA1369" s="908" t="s">
        <v>1458</v>
      </c>
      <c r="AB1369" s="843" t="s">
        <v>263</v>
      </c>
      <c r="AC1369" s="936"/>
      <c r="AD1369" s="844" t="s">
        <v>113</v>
      </c>
      <c r="AE1369" s="937">
        <f t="shared" si="34"/>
        <v>10</v>
      </c>
    </row>
    <row r="1370" spans="1:31" ht="105" hidden="1" x14ac:dyDescent="0.25">
      <c r="A1370" s="960" t="s">
        <v>7117</v>
      </c>
      <c r="B1370" s="922" t="s">
        <v>2211</v>
      </c>
      <c r="C1370" s="922" t="s">
        <v>2211</v>
      </c>
      <c r="D1370" s="670" t="s">
        <v>7170</v>
      </c>
      <c r="E1370" s="984" t="s">
        <v>6934</v>
      </c>
      <c r="F1370" s="926" t="s">
        <v>1528</v>
      </c>
      <c r="G1370" s="924" t="s">
        <v>2156</v>
      </c>
      <c r="H1370" s="931">
        <v>26</v>
      </c>
      <c r="I1370" s="985" t="s">
        <v>2161</v>
      </c>
      <c r="J1370" s="924" t="s">
        <v>1454</v>
      </c>
      <c r="K1370" s="989" t="s">
        <v>7004</v>
      </c>
      <c r="L1370" s="974">
        <v>2599608.7799999998</v>
      </c>
      <c r="M1370" s="930" t="s">
        <v>997</v>
      </c>
      <c r="N1370" s="990">
        <v>2599608.7799999998</v>
      </c>
      <c r="O1370" s="991">
        <v>43009.625</v>
      </c>
      <c r="P1370" s="991">
        <v>43040.625</v>
      </c>
      <c r="Q1370" s="930" t="s">
        <v>110</v>
      </c>
      <c r="R1370" s="634" t="s">
        <v>113</v>
      </c>
      <c r="S1370" s="930"/>
      <c r="T1370" s="990"/>
      <c r="U1370" s="930"/>
      <c r="V1370" s="930"/>
      <c r="W1370" s="934" t="s">
        <v>268</v>
      </c>
      <c r="X1370" s="638" t="s">
        <v>7255</v>
      </c>
      <c r="Y1370" s="637" t="s">
        <v>7256</v>
      </c>
      <c r="Z1370" s="933">
        <v>2599608.7799999998</v>
      </c>
      <c r="AA1370" s="908" t="s">
        <v>1458</v>
      </c>
      <c r="AB1370" s="843" t="s">
        <v>263</v>
      </c>
      <c r="AC1370" s="936"/>
      <c r="AD1370" s="844" t="s">
        <v>113</v>
      </c>
      <c r="AE1370" s="937">
        <f t="shared" ref="AE1370:AE1396" si="35">IF(O1370=0,,MONTH(O1370))</f>
        <v>10</v>
      </c>
    </row>
    <row r="1371" spans="1:31" ht="105" hidden="1" x14ac:dyDescent="0.25">
      <c r="A1371" s="960" t="s">
        <v>7118</v>
      </c>
      <c r="B1371" s="922" t="s">
        <v>2211</v>
      </c>
      <c r="C1371" s="922" t="s">
        <v>2211</v>
      </c>
      <c r="D1371" s="670" t="s">
        <v>7171</v>
      </c>
      <c r="E1371" s="984" t="s">
        <v>1569</v>
      </c>
      <c r="F1371" s="926" t="s">
        <v>1587</v>
      </c>
      <c r="G1371" s="924" t="s">
        <v>2256</v>
      </c>
      <c r="H1371" s="931">
        <v>1</v>
      </c>
      <c r="I1371" s="985" t="s">
        <v>2161</v>
      </c>
      <c r="J1371" s="924" t="s">
        <v>1454</v>
      </c>
      <c r="K1371" s="989" t="s">
        <v>8177</v>
      </c>
      <c r="L1371" s="974">
        <v>1196410.72</v>
      </c>
      <c r="M1371" s="930"/>
      <c r="N1371" s="990">
        <v>1196410.72</v>
      </c>
      <c r="O1371" s="991">
        <v>43009.625</v>
      </c>
      <c r="P1371" s="991">
        <v>43070.625</v>
      </c>
      <c r="Q1371" s="930" t="s">
        <v>108</v>
      </c>
      <c r="R1371" s="634" t="s">
        <v>112</v>
      </c>
      <c r="S1371" s="930" t="s">
        <v>1457</v>
      </c>
      <c r="T1371" s="990"/>
      <c r="U1371" s="930"/>
      <c r="V1371" s="930"/>
      <c r="W1371" s="934"/>
      <c r="X1371" s="935"/>
      <c r="Y1371" s="934"/>
      <c r="Z1371" s="933"/>
      <c r="AA1371" s="908" t="s">
        <v>1458</v>
      </c>
      <c r="AB1371" s="843" t="s">
        <v>263</v>
      </c>
      <c r="AC1371" s="936"/>
      <c r="AD1371" s="844" t="s">
        <v>113</v>
      </c>
      <c r="AE1371" s="937">
        <f t="shared" si="35"/>
        <v>10</v>
      </c>
    </row>
    <row r="1372" spans="1:31" ht="105" hidden="1" x14ac:dyDescent="0.25">
      <c r="A1372" s="960" t="s">
        <v>7119</v>
      </c>
      <c r="B1372" s="922" t="s">
        <v>1635</v>
      </c>
      <c r="C1372" s="922" t="s">
        <v>1635</v>
      </c>
      <c r="D1372" s="670" t="s">
        <v>7542</v>
      </c>
      <c r="E1372" s="984" t="s">
        <v>6153</v>
      </c>
      <c r="F1372" s="926" t="s">
        <v>1528</v>
      </c>
      <c r="G1372" s="924" t="s">
        <v>2156</v>
      </c>
      <c r="H1372" s="931">
        <v>47</v>
      </c>
      <c r="I1372" s="985" t="s">
        <v>2161</v>
      </c>
      <c r="J1372" s="924" t="s">
        <v>1454</v>
      </c>
      <c r="K1372" s="989" t="s">
        <v>7005</v>
      </c>
      <c r="L1372" s="974">
        <v>198221.07</v>
      </c>
      <c r="M1372" s="930" t="s">
        <v>997</v>
      </c>
      <c r="N1372" s="990">
        <v>198221.07</v>
      </c>
      <c r="O1372" s="991">
        <v>43009.625</v>
      </c>
      <c r="P1372" s="991">
        <v>43070.625</v>
      </c>
      <c r="Q1372" s="930" t="s">
        <v>108</v>
      </c>
      <c r="R1372" s="634" t="s">
        <v>112</v>
      </c>
      <c r="S1372" s="930" t="s">
        <v>1457</v>
      </c>
      <c r="T1372" s="990"/>
      <c r="U1372" s="930"/>
      <c r="V1372" s="930" t="s">
        <v>45</v>
      </c>
      <c r="W1372" s="934" t="s">
        <v>268</v>
      </c>
      <c r="X1372" s="935" t="s">
        <v>5939</v>
      </c>
      <c r="Y1372" s="934" t="s">
        <v>5940</v>
      </c>
      <c r="Z1372" s="933">
        <v>198221.07</v>
      </c>
      <c r="AA1372" s="908" t="s">
        <v>1458</v>
      </c>
      <c r="AB1372" s="843" t="s">
        <v>263</v>
      </c>
      <c r="AC1372" s="936"/>
      <c r="AD1372" s="844" t="s">
        <v>113</v>
      </c>
      <c r="AE1372" s="937">
        <f t="shared" si="35"/>
        <v>10</v>
      </c>
    </row>
    <row r="1373" spans="1:31" ht="105" hidden="1" x14ac:dyDescent="0.25">
      <c r="A1373" s="960" t="s">
        <v>7120</v>
      </c>
      <c r="B1373" s="922" t="s">
        <v>1580</v>
      </c>
      <c r="C1373" s="922" t="s">
        <v>1581</v>
      </c>
      <c r="D1373" s="670" t="s">
        <v>7172</v>
      </c>
      <c r="E1373" s="984" t="s">
        <v>1582</v>
      </c>
      <c r="F1373" s="926" t="s">
        <v>1528</v>
      </c>
      <c r="G1373" s="924" t="s">
        <v>2156</v>
      </c>
      <c r="H1373" s="931">
        <v>1</v>
      </c>
      <c r="I1373" s="985" t="s">
        <v>2161</v>
      </c>
      <c r="J1373" s="924" t="s">
        <v>1454</v>
      </c>
      <c r="K1373" s="989" t="s">
        <v>7006</v>
      </c>
      <c r="L1373" s="974">
        <v>3100000</v>
      </c>
      <c r="M1373" s="930"/>
      <c r="N1373" s="990">
        <v>3100000</v>
      </c>
      <c r="O1373" s="991">
        <v>43009.625</v>
      </c>
      <c r="P1373" s="991">
        <v>43070.625</v>
      </c>
      <c r="Q1373" s="930" t="s">
        <v>100</v>
      </c>
      <c r="R1373" s="634" t="s">
        <v>112</v>
      </c>
      <c r="S1373" s="930" t="s">
        <v>1457</v>
      </c>
      <c r="T1373" s="990"/>
      <c r="U1373" s="930"/>
      <c r="V1373" s="930"/>
      <c r="W1373" s="934"/>
      <c r="X1373" s="935"/>
      <c r="Y1373" s="934"/>
      <c r="Z1373" s="933"/>
      <c r="AA1373" s="908" t="s">
        <v>1458</v>
      </c>
      <c r="AB1373" s="843" t="s">
        <v>263</v>
      </c>
      <c r="AC1373" s="936"/>
      <c r="AD1373" s="844" t="s">
        <v>113</v>
      </c>
      <c r="AE1373" s="937">
        <f t="shared" si="35"/>
        <v>10</v>
      </c>
    </row>
    <row r="1374" spans="1:31" ht="105" hidden="1" x14ac:dyDescent="0.25">
      <c r="A1374" s="960" t="s">
        <v>7121</v>
      </c>
      <c r="B1374" s="922" t="s">
        <v>1836</v>
      </c>
      <c r="C1374" s="922" t="s">
        <v>6895</v>
      </c>
      <c r="D1374" s="670" t="s">
        <v>7543</v>
      </c>
      <c r="E1374" s="984" t="s">
        <v>2235</v>
      </c>
      <c r="F1374" s="926" t="s">
        <v>1528</v>
      </c>
      <c r="G1374" s="924" t="s">
        <v>2156</v>
      </c>
      <c r="H1374" s="931">
        <v>2</v>
      </c>
      <c r="I1374" s="985" t="s">
        <v>2161</v>
      </c>
      <c r="J1374" s="924" t="s">
        <v>1454</v>
      </c>
      <c r="K1374" s="989" t="s">
        <v>8158</v>
      </c>
      <c r="L1374" s="974">
        <v>23825.67</v>
      </c>
      <c r="M1374" s="930"/>
      <c r="N1374" s="990">
        <v>23825.67</v>
      </c>
      <c r="O1374" s="991">
        <v>43009.625</v>
      </c>
      <c r="P1374" s="991">
        <v>43070.625</v>
      </c>
      <c r="Q1374" s="930" t="s">
        <v>108</v>
      </c>
      <c r="R1374" s="634" t="s">
        <v>112</v>
      </c>
      <c r="S1374" s="930" t="s">
        <v>1457</v>
      </c>
      <c r="T1374" s="990"/>
      <c r="U1374" s="930"/>
      <c r="V1374" s="930"/>
      <c r="W1374" s="934"/>
      <c r="X1374" s="935"/>
      <c r="Y1374" s="934"/>
      <c r="Z1374" s="933"/>
      <c r="AA1374" s="908" t="s">
        <v>1458</v>
      </c>
      <c r="AB1374" s="843" t="s">
        <v>263</v>
      </c>
      <c r="AC1374" s="936"/>
      <c r="AD1374" s="844" t="s">
        <v>113</v>
      </c>
      <c r="AE1374" s="937">
        <f t="shared" si="35"/>
        <v>10</v>
      </c>
    </row>
    <row r="1375" spans="1:31" ht="105" hidden="1" x14ac:dyDescent="0.25">
      <c r="A1375" s="960" t="s">
        <v>7122</v>
      </c>
      <c r="B1375" s="922" t="s">
        <v>1793</v>
      </c>
      <c r="C1375" s="922" t="s">
        <v>6935</v>
      </c>
      <c r="D1375" s="670" t="s">
        <v>7173</v>
      </c>
      <c r="E1375" s="984" t="s">
        <v>6936</v>
      </c>
      <c r="F1375" s="926" t="s">
        <v>1528</v>
      </c>
      <c r="G1375" s="924" t="s">
        <v>2156</v>
      </c>
      <c r="H1375" s="931">
        <v>25</v>
      </c>
      <c r="I1375" s="985" t="s">
        <v>2161</v>
      </c>
      <c r="J1375" s="924" t="s">
        <v>1454</v>
      </c>
      <c r="K1375" s="989" t="s">
        <v>7007</v>
      </c>
      <c r="L1375" s="974">
        <v>136713</v>
      </c>
      <c r="M1375" s="930" t="s">
        <v>997</v>
      </c>
      <c r="N1375" s="990">
        <v>136713</v>
      </c>
      <c r="O1375" s="991">
        <v>43009.625</v>
      </c>
      <c r="P1375" s="991">
        <v>43040.625</v>
      </c>
      <c r="Q1375" s="930" t="s">
        <v>110</v>
      </c>
      <c r="R1375" s="634" t="s">
        <v>113</v>
      </c>
      <c r="S1375" s="930"/>
      <c r="T1375" s="990"/>
      <c r="U1375" s="930"/>
      <c r="V1375" s="930"/>
      <c r="W1375" s="934" t="s">
        <v>268</v>
      </c>
      <c r="X1375" s="638" t="s">
        <v>7261</v>
      </c>
      <c r="Y1375" s="637" t="s">
        <v>7262</v>
      </c>
      <c r="Z1375" s="933">
        <v>136713</v>
      </c>
      <c r="AA1375" s="908" t="s">
        <v>1458</v>
      </c>
      <c r="AB1375" s="843" t="s">
        <v>263</v>
      </c>
      <c r="AC1375" s="936"/>
      <c r="AD1375" s="844" t="s">
        <v>113</v>
      </c>
      <c r="AE1375" s="937">
        <f t="shared" si="35"/>
        <v>10</v>
      </c>
    </row>
    <row r="1376" spans="1:31" ht="105" hidden="1" x14ac:dyDescent="0.25">
      <c r="A1376" s="960" t="s">
        <v>7123</v>
      </c>
      <c r="B1376" s="922" t="s">
        <v>1793</v>
      </c>
      <c r="C1376" s="922" t="s">
        <v>2127</v>
      </c>
      <c r="D1376" s="670" t="s">
        <v>7544</v>
      </c>
      <c r="E1376" s="984" t="s">
        <v>3140</v>
      </c>
      <c r="F1376" s="926" t="s">
        <v>1528</v>
      </c>
      <c r="G1376" s="924" t="s">
        <v>2156</v>
      </c>
      <c r="H1376" s="931">
        <v>5</v>
      </c>
      <c r="I1376" s="985" t="s">
        <v>2161</v>
      </c>
      <c r="J1376" s="924" t="s">
        <v>1454</v>
      </c>
      <c r="K1376" s="989" t="s">
        <v>7008</v>
      </c>
      <c r="L1376" s="974">
        <v>5441785.5300000003</v>
      </c>
      <c r="M1376" s="930"/>
      <c r="N1376" s="990">
        <v>5441785.5300000003</v>
      </c>
      <c r="O1376" s="991">
        <v>43009.625</v>
      </c>
      <c r="P1376" s="991">
        <v>43070.625</v>
      </c>
      <c r="Q1376" s="930" t="s">
        <v>100</v>
      </c>
      <c r="R1376" s="634" t="s">
        <v>112</v>
      </c>
      <c r="S1376" s="930" t="s">
        <v>1457</v>
      </c>
      <c r="T1376" s="990"/>
      <c r="U1376" s="930"/>
      <c r="V1376" s="930"/>
      <c r="W1376" s="934"/>
      <c r="X1376" s="935"/>
      <c r="Y1376" s="934"/>
      <c r="Z1376" s="933"/>
      <c r="AA1376" s="908" t="s">
        <v>1458</v>
      </c>
      <c r="AB1376" s="843" t="s">
        <v>263</v>
      </c>
      <c r="AC1376" s="936"/>
      <c r="AD1376" s="844" t="s">
        <v>113</v>
      </c>
      <c r="AE1376" s="937">
        <f t="shared" si="35"/>
        <v>10</v>
      </c>
    </row>
    <row r="1377" spans="1:31" ht="105" hidden="1" x14ac:dyDescent="0.25">
      <c r="A1377" s="960" t="s">
        <v>7124</v>
      </c>
      <c r="B1377" s="922" t="s">
        <v>1944</v>
      </c>
      <c r="C1377" s="922" t="s">
        <v>2203</v>
      </c>
      <c r="D1377" s="670" t="s">
        <v>7174</v>
      </c>
      <c r="E1377" s="984" t="s">
        <v>2235</v>
      </c>
      <c r="F1377" s="926" t="s">
        <v>1528</v>
      </c>
      <c r="G1377" s="924" t="s">
        <v>2156</v>
      </c>
      <c r="H1377" s="931">
        <v>30</v>
      </c>
      <c r="I1377" s="985" t="s">
        <v>2161</v>
      </c>
      <c r="J1377" s="924" t="s">
        <v>1454</v>
      </c>
      <c r="K1377" s="989" t="s">
        <v>7009</v>
      </c>
      <c r="L1377" s="974">
        <v>480024</v>
      </c>
      <c r="M1377" s="930"/>
      <c r="N1377" s="990">
        <v>480024</v>
      </c>
      <c r="O1377" s="991">
        <v>43009.625</v>
      </c>
      <c r="P1377" s="991">
        <v>43009.625</v>
      </c>
      <c r="Q1377" s="930" t="s">
        <v>110</v>
      </c>
      <c r="R1377" s="634" t="s">
        <v>113</v>
      </c>
      <c r="S1377" s="930"/>
      <c r="T1377" s="990"/>
      <c r="U1377" s="930"/>
      <c r="V1377" s="930"/>
      <c r="W1377" s="934" t="s">
        <v>268</v>
      </c>
      <c r="X1377" s="638" t="s">
        <v>6034</v>
      </c>
      <c r="Y1377" s="637" t="s">
        <v>3346</v>
      </c>
      <c r="Z1377" s="933">
        <v>480024</v>
      </c>
      <c r="AA1377" s="908" t="s">
        <v>1458</v>
      </c>
      <c r="AB1377" s="843" t="s">
        <v>263</v>
      </c>
      <c r="AC1377" s="936"/>
      <c r="AD1377" s="844" t="s">
        <v>113</v>
      </c>
      <c r="AE1377" s="937">
        <f t="shared" si="35"/>
        <v>10</v>
      </c>
    </row>
    <row r="1378" spans="1:31" ht="105" hidden="1" x14ac:dyDescent="0.25">
      <c r="A1378" s="960" t="s">
        <v>7125</v>
      </c>
      <c r="B1378" s="922" t="s">
        <v>1576</v>
      </c>
      <c r="C1378" s="922" t="s">
        <v>1576</v>
      </c>
      <c r="D1378" s="670" t="s">
        <v>7545</v>
      </c>
      <c r="E1378" s="984" t="s">
        <v>1948</v>
      </c>
      <c r="F1378" s="926" t="s">
        <v>1528</v>
      </c>
      <c r="G1378" s="924" t="s">
        <v>2156</v>
      </c>
      <c r="H1378" s="931">
        <v>50</v>
      </c>
      <c r="I1378" s="985" t="s">
        <v>2161</v>
      </c>
      <c r="J1378" s="924" t="s">
        <v>1454</v>
      </c>
      <c r="K1378" s="989" t="s">
        <v>7010</v>
      </c>
      <c r="L1378" s="974">
        <v>300000.25</v>
      </c>
      <c r="M1378" s="930"/>
      <c r="N1378" s="990">
        <v>300000.25</v>
      </c>
      <c r="O1378" s="991">
        <v>43009.625</v>
      </c>
      <c r="P1378" s="991">
        <v>43070.625</v>
      </c>
      <c r="Q1378" s="930" t="s">
        <v>110</v>
      </c>
      <c r="R1378" s="634" t="s">
        <v>113</v>
      </c>
      <c r="S1378" s="930"/>
      <c r="T1378" s="990"/>
      <c r="U1378" s="930"/>
      <c r="V1378" s="930"/>
      <c r="W1378" s="934"/>
      <c r="X1378" s="935"/>
      <c r="Y1378" s="934"/>
      <c r="Z1378" s="933"/>
      <c r="AA1378" s="908" t="s">
        <v>1458</v>
      </c>
      <c r="AB1378" s="843" t="s">
        <v>263</v>
      </c>
      <c r="AC1378" s="936"/>
      <c r="AD1378" s="844" t="s">
        <v>113</v>
      </c>
      <c r="AE1378" s="937">
        <f t="shared" si="35"/>
        <v>10</v>
      </c>
    </row>
    <row r="1379" spans="1:31" ht="105" hidden="1" x14ac:dyDescent="0.25">
      <c r="A1379" s="960" t="s">
        <v>7126</v>
      </c>
      <c r="B1379" s="922" t="s">
        <v>1941</v>
      </c>
      <c r="C1379" s="922" t="s">
        <v>1941</v>
      </c>
      <c r="D1379" s="670" t="s">
        <v>7546</v>
      </c>
      <c r="E1379" s="984" t="s">
        <v>1948</v>
      </c>
      <c r="F1379" s="926" t="s">
        <v>1587</v>
      </c>
      <c r="G1379" s="924" t="s">
        <v>2256</v>
      </c>
      <c r="H1379" s="931">
        <v>1</v>
      </c>
      <c r="I1379" s="985" t="s">
        <v>2161</v>
      </c>
      <c r="J1379" s="924" t="s">
        <v>1454</v>
      </c>
      <c r="K1379" s="989" t="s">
        <v>7011</v>
      </c>
      <c r="L1379" s="974">
        <v>363100</v>
      </c>
      <c r="M1379" s="930"/>
      <c r="N1379" s="990">
        <v>363100</v>
      </c>
      <c r="O1379" s="991">
        <v>43009.625</v>
      </c>
      <c r="P1379" s="991">
        <v>43070.625</v>
      </c>
      <c r="Q1379" s="930" t="s">
        <v>110</v>
      </c>
      <c r="R1379" s="634" t="s">
        <v>113</v>
      </c>
      <c r="S1379" s="930"/>
      <c r="T1379" s="990"/>
      <c r="U1379" s="930"/>
      <c r="V1379" s="930"/>
      <c r="W1379" s="934"/>
      <c r="X1379" s="935"/>
      <c r="Y1379" s="934"/>
      <c r="Z1379" s="933"/>
      <c r="AA1379" s="908" t="s">
        <v>1458</v>
      </c>
      <c r="AB1379" s="843" t="s">
        <v>263</v>
      </c>
      <c r="AC1379" s="936"/>
      <c r="AD1379" s="844" t="s">
        <v>113</v>
      </c>
      <c r="AE1379" s="937">
        <f t="shared" si="35"/>
        <v>10</v>
      </c>
    </row>
    <row r="1380" spans="1:31" ht="105" hidden="1" x14ac:dyDescent="0.25">
      <c r="A1380" s="960" t="s">
        <v>7127</v>
      </c>
      <c r="B1380" s="922" t="s">
        <v>6937</v>
      </c>
      <c r="C1380" s="922" t="s">
        <v>6938</v>
      </c>
      <c r="D1380" s="670" t="s">
        <v>7547</v>
      </c>
      <c r="E1380" s="984" t="s">
        <v>1569</v>
      </c>
      <c r="F1380" s="926" t="s">
        <v>1528</v>
      </c>
      <c r="G1380" s="924" t="s">
        <v>2156</v>
      </c>
      <c r="H1380" s="931">
        <v>2</v>
      </c>
      <c r="I1380" s="985" t="s">
        <v>2161</v>
      </c>
      <c r="J1380" s="924" t="s">
        <v>1454</v>
      </c>
      <c r="K1380" s="989" t="s">
        <v>7012</v>
      </c>
      <c r="L1380" s="974">
        <v>396000</v>
      </c>
      <c r="M1380" s="930" t="s">
        <v>997</v>
      </c>
      <c r="N1380" s="990">
        <v>396000</v>
      </c>
      <c r="O1380" s="991">
        <v>43009.625</v>
      </c>
      <c r="P1380" s="991">
        <v>43040.625</v>
      </c>
      <c r="Q1380" s="930" t="s">
        <v>110</v>
      </c>
      <c r="R1380" s="634" t="s">
        <v>113</v>
      </c>
      <c r="S1380" s="930"/>
      <c r="T1380" s="990"/>
      <c r="U1380" s="930"/>
      <c r="V1380" s="930"/>
      <c r="W1380" s="934" t="s">
        <v>268</v>
      </c>
      <c r="X1380" s="638" t="s">
        <v>7258</v>
      </c>
      <c r="Y1380" s="637" t="s">
        <v>7259</v>
      </c>
      <c r="Z1380" s="933">
        <v>396000</v>
      </c>
      <c r="AA1380" s="908" t="s">
        <v>1458</v>
      </c>
      <c r="AB1380" s="843" t="s">
        <v>263</v>
      </c>
      <c r="AC1380" s="936"/>
      <c r="AD1380" s="844" t="s">
        <v>113</v>
      </c>
      <c r="AE1380" s="937">
        <f t="shared" si="35"/>
        <v>10</v>
      </c>
    </row>
    <row r="1381" spans="1:31" ht="105" hidden="1" x14ac:dyDescent="0.25">
      <c r="A1381" s="960" t="s">
        <v>7128</v>
      </c>
      <c r="B1381" s="922" t="s">
        <v>1787</v>
      </c>
      <c r="C1381" s="922" t="s">
        <v>3123</v>
      </c>
      <c r="D1381" s="670" t="s">
        <v>7548</v>
      </c>
      <c r="E1381" s="984" t="s">
        <v>2235</v>
      </c>
      <c r="F1381" s="926" t="s">
        <v>1528</v>
      </c>
      <c r="G1381" s="924" t="s">
        <v>2156</v>
      </c>
      <c r="H1381" s="931">
        <v>1</v>
      </c>
      <c r="I1381" s="985" t="s">
        <v>2161</v>
      </c>
      <c r="J1381" s="924" t="s">
        <v>1454</v>
      </c>
      <c r="K1381" s="989" t="s">
        <v>7013</v>
      </c>
      <c r="L1381" s="974">
        <v>1288560</v>
      </c>
      <c r="M1381" s="930"/>
      <c r="N1381" s="990">
        <v>1288560</v>
      </c>
      <c r="O1381" s="991">
        <v>43009.625</v>
      </c>
      <c r="P1381" s="991">
        <v>43070.625</v>
      </c>
      <c r="Q1381" s="930" t="s">
        <v>110</v>
      </c>
      <c r="R1381" s="634" t="s">
        <v>113</v>
      </c>
      <c r="S1381" s="930"/>
      <c r="T1381" s="990"/>
      <c r="U1381" s="930"/>
      <c r="V1381" s="930"/>
      <c r="W1381" s="934" t="s">
        <v>73</v>
      </c>
      <c r="X1381" s="935" t="s">
        <v>3043</v>
      </c>
      <c r="Y1381" s="934" t="s">
        <v>3044</v>
      </c>
      <c r="Z1381" s="933">
        <v>1288560</v>
      </c>
      <c r="AA1381" s="908" t="s">
        <v>1458</v>
      </c>
      <c r="AB1381" s="843" t="s">
        <v>263</v>
      </c>
      <c r="AC1381" s="936"/>
      <c r="AD1381" s="844" t="s">
        <v>113</v>
      </c>
      <c r="AE1381" s="937">
        <f t="shared" si="35"/>
        <v>10</v>
      </c>
    </row>
    <row r="1382" spans="1:31" ht="105" hidden="1" x14ac:dyDescent="0.25">
      <c r="A1382" s="960" t="s">
        <v>7129</v>
      </c>
      <c r="B1382" s="922" t="s">
        <v>1787</v>
      </c>
      <c r="C1382" s="922" t="s">
        <v>3123</v>
      </c>
      <c r="D1382" s="670" t="s">
        <v>7549</v>
      </c>
      <c r="E1382" s="984" t="s">
        <v>2235</v>
      </c>
      <c r="F1382" s="926" t="s">
        <v>1528</v>
      </c>
      <c r="G1382" s="924" t="s">
        <v>2156</v>
      </c>
      <c r="H1382" s="931">
        <v>1</v>
      </c>
      <c r="I1382" s="985" t="s">
        <v>2161</v>
      </c>
      <c r="J1382" s="924" t="s">
        <v>1454</v>
      </c>
      <c r="K1382" s="989" t="s">
        <v>7014</v>
      </c>
      <c r="L1382" s="974">
        <v>127204</v>
      </c>
      <c r="M1382" s="930"/>
      <c r="N1382" s="990">
        <v>127204</v>
      </c>
      <c r="O1382" s="991">
        <v>43009.625</v>
      </c>
      <c r="P1382" s="991">
        <v>43070.625</v>
      </c>
      <c r="Q1382" s="930" t="s">
        <v>110</v>
      </c>
      <c r="R1382" s="634" t="s">
        <v>113</v>
      </c>
      <c r="S1382" s="930"/>
      <c r="T1382" s="990"/>
      <c r="U1382" s="930"/>
      <c r="V1382" s="930"/>
      <c r="W1382" s="934" t="s">
        <v>73</v>
      </c>
      <c r="X1382" s="935" t="s">
        <v>3043</v>
      </c>
      <c r="Y1382" s="934" t="s">
        <v>3044</v>
      </c>
      <c r="Z1382" s="933">
        <v>127204</v>
      </c>
      <c r="AA1382" s="908" t="s">
        <v>1458</v>
      </c>
      <c r="AB1382" s="843" t="s">
        <v>263</v>
      </c>
      <c r="AC1382" s="936"/>
      <c r="AD1382" s="844" t="s">
        <v>113</v>
      </c>
      <c r="AE1382" s="937">
        <f t="shared" si="35"/>
        <v>10</v>
      </c>
    </row>
    <row r="1383" spans="1:31" ht="105" hidden="1" x14ac:dyDescent="0.25">
      <c r="A1383" s="960" t="s">
        <v>7130</v>
      </c>
      <c r="B1383" s="922" t="s">
        <v>1531</v>
      </c>
      <c r="C1383" s="922" t="s">
        <v>1532</v>
      </c>
      <c r="D1383" s="670" t="s">
        <v>7550</v>
      </c>
      <c r="E1383" s="984" t="s">
        <v>1464</v>
      </c>
      <c r="F1383" s="926" t="s">
        <v>1587</v>
      </c>
      <c r="G1383" s="924" t="s">
        <v>2256</v>
      </c>
      <c r="H1383" s="931">
        <v>1</v>
      </c>
      <c r="I1383" s="985" t="s">
        <v>2161</v>
      </c>
      <c r="J1383" s="924" t="s">
        <v>1454</v>
      </c>
      <c r="K1383" s="989" t="s">
        <v>7015</v>
      </c>
      <c r="L1383" s="974">
        <v>694069.26</v>
      </c>
      <c r="M1383" s="930"/>
      <c r="N1383" s="990">
        <v>694069.26</v>
      </c>
      <c r="O1383" s="991">
        <v>43009.625</v>
      </c>
      <c r="P1383" s="991">
        <v>43070.625</v>
      </c>
      <c r="Q1383" s="930" t="s">
        <v>110</v>
      </c>
      <c r="R1383" s="634" t="s">
        <v>113</v>
      </c>
      <c r="S1383" s="930"/>
      <c r="T1383" s="990"/>
      <c r="U1383" s="930"/>
      <c r="V1383" s="930"/>
      <c r="W1383" s="934" t="s">
        <v>92</v>
      </c>
      <c r="X1383" s="935" t="s">
        <v>5068</v>
      </c>
      <c r="Y1383" s="934" t="s">
        <v>5120</v>
      </c>
      <c r="Z1383" s="933">
        <v>694069.26</v>
      </c>
      <c r="AA1383" s="908" t="s">
        <v>1458</v>
      </c>
      <c r="AB1383" s="843" t="s">
        <v>263</v>
      </c>
      <c r="AC1383" s="936"/>
      <c r="AD1383" s="844" t="s">
        <v>113</v>
      </c>
      <c r="AE1383" s="937">
        <f t="shared" si="35"/>
        <v>10</v>
      </c>
    </row>
    <row r="1384" spans="1:31" ht="105" hidden="1" x14ac:dyDescent="0.25">
      <c r="A1384" s="960" t="s">
        <v>7131</v>
      </c>
      <c r="B1384" s="922" t="s">
        <v>1517</v>
      </c>
      <c r="C1384" s="922" t="s">
        <v>1517</v>
      </c>
      <c r="D1384" s="670" t="s">
        <v>7551</v>
      </c>
      <c r="E1384" s="984" t="s">
        <v>2235</v>
      </c>
      <c r="F1384" s="926" t="s">
        <v>1528</v>
      </c>
      <c r="G1384" s="924" t="s">
        <v>2156</v>
      </c>
      <c r="H1384" s="931">
        <v>91</v>
      </c>
      <c r="I1384" s="985" t="s">
        <v>2161</v>
      </c>
      <c r="J1384" s="924" t="s">
        <v>1454</v>
      </c>
      <c r="K1384" s="989" t="s">
        <v>6950</v>
      </c>
      <c r="L1384" s="974">
        <v>330000</v>
      </c>
      <c r="M1384" s="930"/>
      <c r="N1384" s="990">
        <v>330000</v>
      </c>
      <c r="O1384" s="991">
        <v>43009.625</v>
      </c>
      <c r="P1384" s="991">
        <v>43070.625</v>
      </c>
      <c r="Q1384" s="930" t="s">
        <v>108</v>
      </c>
      <c r="R1384" s="634" t="s">
        <v>112</v>
      </c>
      <c r="S1384" s="930" t="s">
        <v>1457</v>
      </c>
      <c r="T1384" s="990"/>
      <c r="U1384" s="930"/>
      <c r="V1384" s="930"/>
      <c r="W1384" s="934"/>
      <c r="X1384" s="935"/>
      <c r="Y1384" s="934"/>
      <c r="Z1384" s="933"/>
      <c r="AA1384" s="908" t="s">
        <v>1458</v>
      </c>
      <c r="AB1384" s="843" t="s">
        <v>263</v>
      </c>
      <c r="AC1384" s="936"/>
      <c r="AD1384" s="844" t="s">
        <v>113</v>
      </c>
      <c r="AE1384" s="937">
        <f t="shared" si="35"/>
        <v>10</v>
      </c>
    </row>
    <row r="1385" spans="1:31" ht="105" hidden="1" x14ac:dyDescent="0.25">
      <c r="A1385" s="960" t="s">
        <v>7132</v>
      </c>
      <c r="B1385" s="922" t="s">
        <v>1793</v>
      </c>
      <c r="C1385" s="922" t="s">
        <v>6939</v>
      </c>
      <c r="D1385" s="670" t="s">
        <v>7552</v>
      </c>
      <c r="E1385" s="984" t="s">
        <v>2235</v>
      </c>
      <c r="F1385" s="926" t="s">
        <v>1528</v>
      </c>
      <c r="G1385" s="924" t="s">
        <v>2156</v>
      </c>
      <c r="H1385" s="931">
        <v>2</v>
      </c>
      <c r="I1385" s="985" t="s">
        <v>2161</v>
      </c>
      <c r="J1385" s="924" t="s">
        <v>1454</v>
      </c>
      <c r="K1385" s="989" t="s">
        <v>7016</v>
      </c>
      <c r="L1385" s="974">
        <v>58175</v>
      </c>
      <c r="M1385" s="930"/>
      <c r="N1385" s="990">
        <v>58175</v>
      </c>
      <c r="O1385" s="991">
        <v>43009.625</v>
      </c>
      <c r="P1385" s="991">
        <v>43070.625</v>
      </c>
      <c r="Q1385" s="930" t="s">
        <v>108</v>
      </c>
      <c r="R1385" s="634" t="s">
        <v>112</v>
      </c>
      <c r="S1385" s="930" t="s">
        <v>1457</v>
      </c>
      <c r="T1385" s="990"/>
      <c r="U1385" s="930"/>
      <c r="V1385" s="930"/>
      <c r="W1385" s="934"/>
      <c r="X1385" s="935"/>
      <c r="Y1385" s="934"/>
      <c r="Z1385" s="933"/>
      <c r="AA1385" s="908" t="s">
        <v>1458</v>
      </c>
      <c r="AB1385" s="843" t="s">
        <v>263</v>
      </c>
      <c r="AC1385" s="936"/>
      <c r="AD1385" s="844" t="s">
        <v>113</v>
      </c>
      <c r="AE1385" s="937">
        <f t="shared" si="35"/>
        <v>10</v>
      </c>
    </row>
    <row r="1386" spans="1:31" ht="105" hidden="1" x14ac:dyDescent="0.25">
      <c r="A1386" s="960" t="s">
        <v>7133</v>
      </c>
      <c r="B1386" s="922" t="s">
        <v>1793</v>
      </c>
      <c r="C1386" s="922" t="s">
        <v>6896</v>
      </c>
      <c r="D1386" s="670" t="s">
        <v>7553</v>
      </c>
      <c r="E1386" s="984" t="s">
        <v>2235</v>
      </c>
      <c r="F1386" s="926" t="s">
        <v>1528</v>
      </c>
      <c r="G1386" s="924" t="s">
        <v>2156</v>
      </c>
      <c r="H1386" s="931">
        <v>2</v>
      </c>
      <c r="I1386" s="985" t="s">
        <v>2161</v>
      </c>
      <c r="J1386" s="924" t="s">
        <v>1454</v>
      </c>
      <c r="K1386" s="989" t="s">
        <v>7017</v>
      </c>
      <c r="L1386" s="974">
        <v>28005</v>
      </c>
      <c r="M1386" s="930"/>
      <c r="N1386" s="990">
        <v>28005</v>
      </c>
      <c r="O1386" s="991">
        <v>43009.625</v>
      </c>
      <c r="P1386" s="991">
        <v>43070.625</v>
      </c>
      <c r="Q1386" s="930" t="s">
        <v>108</v>
      </c>
      <c r="R1386" s="634" t="s">
        <v>112</v>
      </c>
      <c r="S1386" s="930" t="s">
        <v>1457</v>
      </c>
      <c r="T1386" s="990"/>
      <c r="U1386" s="930"/>
      <c r="V1386" s="930"/>
      <c r="W1386" s="934"/>
      <c r="X1386" s="935"/>
      <c r="Y1386" s="934"/>
      <c r="Z1386" s="933"/>
      <c r="AA1386" s="908" t="s">
        <v>1458</v>
      </c>
      <c r="AB1386" s="843" t="s">
        <v>263</v>
      </c>
      <c r="AC1386" s="936"/>
      <c r="AD1386" s="844" t="s">
        <v>113</v>
      </c>
      <c r="AE1386" s="937">
        <f t="shared" si="35"/>
        <v>10</v>
      </c>
    </row>
    <row r="1387" spans="1:31" ht="105" hidden="1" x14ac:dyDescent="0.25">
      <c r="A1387" s="960" t="s">
        <v>7134</v>
      </c>
      <c r="B1387" s="922" t="s">
        <v>1793</v>
      </c>
      <c r="C1387" s="922" t="s">
        <v>4977</v>
      </c>
      <c r="D1387" s="670" t="s">
        <v>7554</v>
      </c>
      <c r="E1387" s="984" t="s">
        <v>2235</v>
      </c>
      <c r="F1387" s="926" t="s">
        <v>1528</v>
      </c>
      <c r="G1387" s="924" t="s">
        <v>2156</v>
      </c>
      <c r="H1387" s="931">
        <v>1</v>
      </c>
      <c r="I1387" s="985" t="s">
        <v>2161</v>
      </c>
      <c r="J1387" s="924" t="s">
        <v>1454</v>
      </c>
      <c r="K1387" s="989" t="s">
        <v>6955</v>
      </c>
      <c r="L1387" s="974">
        <v>77566</v>
      </c>
      <c r="M1387" s="930"/>
      <c r="N1387" s="990">
        <v>77566</v>
      </c>
      <c r="O1387" s="991">
        <v>43009.625</v>
      </c>
      <c r="P1387" s="991">
        <v>43070.625</v>
      </c>
      <c r="Q1387" s="930" t="s">
        <v>108</v>
      </c>
      <c r="R1387" s="634" t="s">
        <v>112</v>
      </c>
      <c r="S1387" s="930" t="s">
        <v>1457</v>
      </c>
      <c r="T1387" s="990"/>
      <c r="U1387" s="930"/>
      <c r="V1387" s="930"/>
      <c r="W1387" s="934"/>
      <c r="X1387" s="935"/>
      <c r="Y1387" s="934"/>
      <c r="Z1387" s="933"/>
      <c r="AA1387" s="908" t="s">
        <v>1458</v>
      </c>
      <c r="AB1387" s="843" t="s">
        <v>263</v>
      </c>
      <c r="AC1387" s="936"/>
      <c r="AD1387" s="844" t="s">
        <v>113</v>
      </c>
      <c r="AE1387" s="937">
        <f t="shared" si="35"/>
        <v>10</v>
      </c>
    </row>
    <row r="1388" spans="1:31" ht="105" hidden="1" x14ac:dyDescent="0.25">
      <c r="A1388" s="960" t="s">
        <v>7135</v>
      </c>
      <c r="B1388" s="922" t="s">
        <v>1793</v>
      </c>
      <c r="C1388" s="922" t="s">
        <v>4977</v>
      </c>
      <c r="D1388" s="670" t="s">
        <v>7555</v>
      </c>
      <c r="E1388" s="984" t="s">
        <v>2235</v>
      </c>
      <c r="F1388" s="926" t="s">
        <v>1528</v>
      </c>
      <c r="G1388" s="924" t="s">
        <v>2156</v>
      </c>
      <c r="H1388" s="931">
        <v>1</v>
      </c>
      <c r="I1388" s="985" t="s">
        <v>2161</v>
      </c>
      <c r="J1388" s="924" t="s">
        <v>1454</v>
      </c>
      <c r="K1388" s="989" t="s">
        <v>7018</v>
      </c>
      <c r="L1388" s="974">
        <v>532937</v>
      </c>
      <c r="M1388" s="930"/>
      <c r="N1388" s="990">
        <v>532937</v>
      </c>
      <c r="O1388" s="991">
        <v>43040</v>
      </c>
      <c r="P1388" s="991">
        <v>43070.625</v>
      </c>
      <c r="Q1388" s="930" t="s">
        <v>108</v>
      </c>
      <c r="R1388" s="634" t="s">
        <v>112</v>
      </c>
      <c r="S1388" s="930" t="s">
        <v>1457</v>
      </c>
      <c r="T1388" s="990"/>
      <c r="U1388" s="930"/>
      <c r="V1388" s="930"/>
      <c r="W1388" s="934"/>
      <c r="X1388" s="935"/>
      <c r="Y1388" s="934"/>
      <c r="Z1388" s="933"/>
      <c r="AA1388" s="908" t="s">
        <v>1458</v>
      </c>
      <c r="AB1388" s="843" t="s">
        <v>263</v>
      </c>
      <c r="AC1388" s="936"/>
      <c r="AD1388" s="844" t="s">
        <v>113</v>
      </c>
      <c r="AE1388" s="937">
        <f t="shared" si="35"/>
        <v>11</v>
      </c>
    </row>
    <row r="1389" spans="1:31" ht="105" hidden="1" x14ac:dyDescent="0.25">
      <c r="A1389" s="960" t="s">
        <v>7136</v>
      </c>
      <c r="B1389" s="922" t="s">
        <v>1531</v>
      </c>
      <c r="C1389" s="922" t="s">
        <v>5511</v>
      </c>
      <c r="D1389" s="670" t="s">
        <v>7556</v>
      </c>
      <c r="E1389" s="984" t="s">
        <v>2235</v>
      </c>
      <c r="F1389" s="926" t="s">
        <v>1528</v>
      </c>
      <c r="G1389" s="924" t="s">
        <v>2156</v>
      </c>
      <c r="H1389" s="931">
        <v>1</v>
      </c>
      <c r="I1389" s="985" t="s">
        <v>2161</v>
      </c>
      <c r="J1389" s="924" t="s">
        <v>1454</v>
      </c>
      <c r="K1389" s="989" t="s">
        <v>8087</v>
      </c>
      <c r="L1389" s="974">
        <v>38001.57</v>
      </c>
      <c r="M1389" s="930"/>
      <c r="N1389" s="990">
        <v>38001.57</v>
      </c>
      <c r="O1389" s="991">
        <v>43040</v>
      </c>
      <c r="P1389" s="991">
        <v>43070.625</v>
      </c>
      <c r="Q1389" s="930" t="s">
        <v>108</v>
      </c>
      <c r="R1389" s="634" t="s">
        <v>112</v>
      </c>
      <c r="S1389" s="930" t="s">
        <v>1457</v>
      </c>
      <c r="T1389" s="990"/>
      <c r="U1389" s="930"/>
      <c r="V1389" s="930"/>
      <c r="W1389" s="934"/>
      <c r="X1389" s="935"/>
      <c r="Y1389" s="934"/>
      <c r="Z1389" s="933"/>
      <c r="AA1389" s="908" t="s">
        <v>1458</v>
      </c>
      <c r="AB1389" s="843" t="s">
        <v>263</v>
      </c>
      <c r="AC1389" s="936"/>
      <c r="AD1389" s="844" t="s">
        <v>113</v>
      </c>
      <c r="AE1389" s="937">
        <f t="shared" si="35"/>
        <v>11</v>
      </c>
    </row>
    <row r="1390" spans="1:31" ht="105" hidden="1" x14ac:dyDescent="0.25">
      <c r="A1390" s="960" t="s">
        <v>7137</v>
      </c>
      <c r="B1390" s="922" t="s">
        <v>1793</v>
      </c>
      <c r="C1390" s="922" t="s">
        <v>4977</v>
      </c>
      <c r="D1390" s="670" t="s">
        <v>7557</v>
      </c>
      <c r="E1390" s="984" t="s">
        <v>2235</v>
      </c>
      <c r="F1390" s="926" t="s">
        <v>1587</v>
      </c>
      <c r="G1390" s="924" t="s">
        <v>2256</v>
      </c>
      <c r="H1390" s="931">
        <v>1</v>
      </c>
      <c r="I1390" s="985" t="s">
        <v>2161</v>
      </c>
      <c r="J1390" s="924" t="s">
        <v>1454</v>
      </c>
      <c r="K1390" s="989" t="s">
        <v>7020</v>
      </c>
      <c r="L1390" s="974">
        <v>2847845.83</v>
      </c>
      <c r="M1390" s="930"/>
      <c r="N1390" s="990">
        <v>2847845.83</v>
      </c>
      <c r="O1390" s="991">
        <v>43009.625</v>
      </c>
      <c r="P1390" s="991">
        <v>43070.625</v>
      </c>
      <c r="Q1390" s="930" t="s">
        <v>108</v>
      </c>
      <c r="R1390" s="634" t="s">
        <v>112</v>
      </c>
      <c r="S1390" s="930" t="s">
        <v>1457</v>
      </c>
      <c r="T1390" s="990"/>
      <c r="U1390" s="930"/>
      <c r="V1390" s="930"/>
      <c r="W1390" s="934"/>
      <c r="X1390" s="935"/>
      <c r="Y1390" s="934"/>
      <c r="Z1390" s="933"/>
      <c r="AA1390" s="908" t="s">
        <v>1458</v>
      </c>
      <c r="AB1390" s="843" t="s">
        <v>263</v>
      </c>
      <c r="AC1390" s="936"/>
      <c r="AD1390" s="844" t="s">
        <v>113</v>
      </c>
      <c r="AE1390" s="937">
        <f t="shared" si="35"/>
        <v>10</v>
      </c>
    </row>
    <row r="1391" spans="1:31" ht="105" hidden="1" x14ac:dyDescent="0.25">
      <c r="A1391" s="960" t="s">
        <v>7138</v>
      </c>
      <c r="B1391" s="922" t="s">
        <v>1793</v>
      </c>
      <c r="C1391" s="922" t="s">
        <v>6145</v>
      </c>
      <c r="D1391" s="670" t="s">
        <v>7558</v>
      </c>
      <c r="E1391" s="984" t="s">
        <v>2235</v>
      </c>
      <c r="F1391" s="926" t="s">
        <v>1587</v>
      </c>
      <c r="G1391" s="924" t="s">
        <v>2256</v>
      </c>
      <c r="H1391" s="931">
        <v>1</v>
      </c>
      <c r="I1391" s="985" t="s">
        <v>2161</v>
      </c>
      <c r="J1391" s="924" t="s">
        <v>1454</v>
      </c>
      <c r="K1391" s="989" t="s">
        <v>6954</v>
      </c>
      <c r="L1391" s="974">
        <v>92000</v>
      </c>
      <c r="M1391" s="930"/>
      <c r="N1391" s="990">
        <v>92000</v>
      </c>
      <c r="O1391" s="991">
        <v>43009.625</v>
      </c>
      <c r="P1391" s="991">
        <v>43070.625</v>
      </c>
      <c r="Q1391" s="930" t="s">
        <v>108</v>
      </c>
      <c r="R1391" s="634" t="s">
        <v>112</v>
      </c>
      <c r="S1391" s="930" t="s">
        <v>1457</v>
      </c>
      <c r="T1391" s="990"/>
      <c r="U1391" s="930"/>
      <c r="V1391" s="930"/>
      <c r="W1391" s="934"/>
      <c r="X1391" s="935"/>
      <c r="Y1391" s="934"/>
      <c r="Z1391" s="933"/>
      <c r="AA1391" s="908" t="s">
        <v>1458</v>
      </c>
      <c r="AB1391" s="843" t="s">
        <v>263</v>
      </c>
      <c r="AC1391" s="936"/>
      <c r="AD1391" s="844" t="s">
        <v>113</v>
      </c>
      <c r="AE1391" s="937">
        <f t="shared" si="35"/>
        <v>10</v>
      </c>
    </row>
    <row r="1392" spans="1:31" ht="105" hidden="1" x14ac:dyDescent="0.25">
      <c r="A1392" s="960" t="s">
        <v>7139</v>
      </c>
      <c r="B1392" s="922" t="s">
        <v>1852</v>
      </c>
      <c r="C1392" s="922" t="s">
        <v>2142</v>
      </c>
      <c r="D1392" s="670" t="s">
        <v>7559</v>
      </c>
      <c r="E1392" s="984" t="s">
        <v>2225</v>
      </c>
      <c r="F1392" s="926" t="s">
        <v>1587</v>
      </c>
      <c r="G1392" s="924" t="s">
        <v>2256</v>
      </c>
      <c r="H1392" s="931">
        <v>5</v>
      </c>
      <c r="I1392" s="985" t="s">
        <v>2161</v>
      </c>
      <c r="J1392" s="924" t="s">
        <v>1454</v>
      </c>
      <c r="K1392" s="989" t="s">
        <v>7006</v>
      </c>
      <c r="L1392" s="974">
        <v>3100000</v>
      </c>
      <c r="M1392" s="930"/>
      <c r="N1392" s="990">
        <v>3100000</v>
      </c>
      <c r="O1392" s="991">
        <v>43009.625</v>
      </c>
      <c r="P1392" s="991">
        <v>43070.625</v>
      </c>
      <c r="Q1392" s="930" t="s">
        <v>108</v>
      </c>
      <c r="R1392" s="634" t="s">
        <v>112</v>
      </c>
      <c r="S1392" s="930" t="s">
        <v>1457</v>
      </c>
      <c r="T1392" s="990"/>
      <c r="U1392" s="930"/>
      <c r="V1392" s="930"/>
      <c r="W1392" s="934"/>
      <c r="X1392" s="935"/>
      <c r="Y1392" s="934"/>
      <c r="Z1392" s="933"/>
      <c r="AA1392" s="908" t="s">
        <v>1458</v>
      </c>
      <c r="AB1392" s="843" t="s">
        <v>263</v>
      </c>
      <c r="AC1392" s="936"/>
      <c r="AD1392" s="844" t="s">
        <v>113</v>
      </c>
      <c r="AE1392" s="937">
        <f t="shared" si="35"/>
        <v>10</v>
      </c>
    </row>
    <row r="1393" spans="1:31" ht="105" hidden="1" x14ac:dyDescent="0.25">
      <c r="A1393" s="960" t="s">
        <v>7140</v>
      </c>
      <c r="B1393" s="922" t="s">
        <v>1585</v>
      </c>
      <c r="C1393" s="922" t="s">
        <v>1585</v>
      </c>
      <c r="D1393" s="670" t="s">
        <v>7175</v>
      </c>
      <c r="E1393" s="984" t="s">
        <v>1586</v>
      </c>
      <c r="F1393" s="926" t="s">
        <v>1528</v>
      </c>
      <c r="G1393" s="924" t="s">
        <v>2156</v>
      </c>
      <c r="H1393" s="931">
        <v>500</v>
      </c>
      <c r="I1393" s="985" t="s">
        <v>2161</v>
      </c>
      <c r="J1393" s="924" t="s">
        <v>1454</v>
      </c>
      <c r="K1393" s="989" t="s">
        <v>8183</v>
      </c>
      <c r="L1393" s="974">
        <v>3368066.92</v>
      </c>
      <c r="M1393" s="930"/>
      <c r="N1393" s="990">
        <v>3368066.92</v>
      </c>
      <c r="O1393" s="991">
        <v>43009.625</v>
      </c>
      <c r="P1393" s="991">
        <v>43040.625</v>
      </c>
      <c r="Q1393" s="930" t="s">
        <v>108</v>
      </c>
      <c r="R1393" s="634" t="s">
        <v>112</v>
      </c>
      <c r="S1393" s="930" t="s">
        <v>1457</v>
      </c>
      <c r="T1393" s="990"/>
      <c r="U1393" s="930"/>
      <c r="V1393" s="930"/>
      <c r="W1393" s="934"/>
      <c r="X1393" s="935"/>
      <c r="Y1393" s="934"/>
      <c r="Z1393" s="933"/>
      <c r="AA1393" s="908" t="s">
        <v>1458</v>
      </c>
      <c r="AB1393" s="843" t="s">
        <v>263</v>
      </c>
      <c r="AC1393" s="936"/>
      <c r="AD1393" s="844" t="s">
        <v>113</v>
      </c>
      <c r="AE1393" s="937">
        <f t="shared" si="35"/>
        <v>10</v>
      </c>
    </row>
    <row r="1394" spans="1:31" ht="105" hidden="1" x14ac:dyDescent="0.25">
      <c r="A1394" s="960" t="s">
        <v>7141</v>
      </c>
      <c r="B1394" s="922" t="s">
        <v>1836</v>
      </c>
      <c r="C1394" s="922" t="s">
        <v>6895</v>
      </c>
      <c r="D1394" s="670" t="s">
        <v>7560</v>
      </c>
      <c r="E1394" s="984" t="s">
        <v>2235</v>
      </c>
      <c r="F1394" s="926" t="s">
        <v>1528</v>
      </c>
      <c r="G1394" s="924" t="s">
        <v>2156</v>
      </c>
      <c r="H1394" s="931">
        <v>2</v>
      </c>
      <c r="I1394" s="985" t="s">
        <v>2161</v>
      </c>
      <c r="J1394" s="924" t="s">
        <v>1454</v>
      </c>
      <c r="K1394" s="989" t="s">
        <v>6952</v>
      </c>
      <c r="L1394" s="974">
        <v>25000</v>
      </c>
      <c r="M1394" s="930"/>
      <c r="N1394" s="990">
        <v>25000</v>
      </c>
      <c r="O1394" s="991">
        <v>43009.625</v>
      </c>
      <c r="P1394" s="991">
        <v>43070.625</v>
      </c>
      <c r="Q1394" s="930" t="s">
        <v>110</v>
      </c>
      <c r="R1394" s="634" t="s">
        <v>113</v>
      </c>
      <c r="S1394" s="930"/>
      <c r="T1394" s="990"/>
      <c r="U1394" s="930"/>
      <c r="V1394" s="930"/>
      <c r="W1394" s="934"/>
      <c r="X1394" s="935"/>
      <c r="Y1394" s="934"/>
      <c r="Z1394" s="933"/>
      <c r="AA1394" s="908" t="s">
        <v>1458</v>
      </c>
      <c r="AB1394" s="843" t="s">
        <v>263</v>
      </c>
      <c r="AC1394" s="936"/>
      <c r="AD1394" s="844" t="s">
        <v>113</v>
      </c>
      <c r="AE1394" s="937">
        <f t="shared" si="35"/>
        <v>10</v>
      </c>
    </row>
    <row r="1395" spans="1:31" ht="105" hidden="1" x14ac:dyDescent="0.25">
      <c r="A1395" s="960" t="s">
        <v>7142</v>
      </c>
      <c r="B1395" s="922" t="s">
        <v>6890</v>
      </c>
      <c r="C1395" s="922" t="s">
        <v>6891</v>
      </c>
      <c r="D1395" s="670" t="s">
        <v>7561</v>
      </c>
      <c r="E1395" s="984" t="s">
        <v>2235</v>
      </c>
      <c r="F1395" s="926" t="s">
        <v>1528</v>
      </c>
      <c r="G1395" s="924" t="s">
        <v>2156</v>
      </c>
      <c r="H1395" s="931">
        <v>1</v>
      </c>
      <c r="I1395" s="985" t="s">
        <v>2161</v>
      </c>
      <c r="J1395" s="924" t="s">
        <v>1454</v>
      </c>
      <c r="K1395" s="989" t="s">
        <v>8156</v>
      </c>
      <c r="L1395" s="974">
        <v>7830</v>
      </c>
      <c r="M1395" s="930"/>
      <c r="N1395" s="990">
        <v>7830</v>
      </c>
      <c r="O1395" s="991">
        <v>43009.625</v>
      </c>
      <c r="P1395" s="991">
        <v>43070.625</v>
      </c>
      <c r="Q1395" s="930" t="s">
        <v>108</v>
      </c>
      <c r="R1395" s="634" t="s">
        <v>112</v>
      </c>
      <c r="S1395" s="930" t="s">
        <v>1457</v>
      </c>
      <c r="T1395" s="990"/>
      <c r="U1395" s="930"/>
      <c r="V1395" s="930"/>
      <c r="W1395" s="934"/>
      <c r="X1395" s="935"/>
      <c r="Y1395" s="934"/>
      <c r="Z1395" s="933"/>
      <c r="AA1395" s="908" t="s">
        <v>1458</v>
      </c>
      <c r="AB1395" s="843" t="s">
        <v>263</v>
      </c>
      <c r="AC1395" s="936"/>
      <c r="AD1395" s="844" t="s">
        <v>113</v>
      </c>
      <c r="AE1395" s="937">
        <f t="shared" si="35"/>
        <v>10</v>
      </c>
    </row>
    <row r="1396" spans="1:31" ht="105" hidden="1" x14ac:dyDescent="0.25">
      <c r="A1396" s="976" t="s">
        <v>7143</v>
      </c>
      <c r="B1396" s="938" t="s">
        <v>2421</v>
      </c>
      <c r="C1396" s="938" t="s">
        <v>6940</v>
      </c>
      <c r="D1396" s="988" t="s">
        <v>7562</v>
      </c>
      <c r="E1396" s="986" t="s">
        <v>6941</v>
      </c>
      <c r="F1396" s="941" t="s">
        <v>1528</v>
      </c>
      <c r="G1396" s="939" t="s">
        <v>2156</v>
      </c>
      <c r="H1396" s="943">
        <v>15</v>
      </c>
      <c r="I1396" s="987" t="s">
        <v>2161</v>
      </c>
      <c r="J1396" s="939" t="s">
        <v>1454</v>
      </c>
      <c r="K1396" s="989" t="s">
        <v>7019</v>
      </c>
      <c r="L1396" s="974">
        <v>286740</v>
      </c>
      <c r="M1396" s="930"/>
      <c r="N1396" s="990">
        <v>286740</v>
      </c>
      <c r="O1396" s="991">
        <v>43009.625</v>
      </c>
      <c r="P1396" s="991">
        <v>43040.625</v>
      </c>
      <c r="Q1396" s="945" t="s">
        <v>110</v>
      </c>
      <c r="R1396" s="963" t="s">
        <v>113</v>
      </c>
      <c r="S1396" s="945"/>
      <c r="T1396" s="990"/>
      <c r="U1396" s="945"/>
      <c r="V1396" s="945"/>
      <c r="W1396" s="946" t="s">
        <v>268</v>
      </c>
      <c r="X1396" s="947" t="s">
        <v>7245</v>
      </c>
      <c r="Y1396" s="946" t="s">
        <v>7246</v>
      </c>
      <c r="Z1396" s="944">
        <v>286740</v>
      </c>
      <c r="AA1396" s="908" t="s">
        <v>1458</v>
      </c>
      <c r="AB1396" s="843" t="s">
        <v>263</v>
      </c>
      <c r="AC1396" s="948"/>
      <c r="AD1396" s="844" t="s">
        <v>113</v>
      </c>
      <c r="AE1396" s="949">
        <f t="shared" si="35"/>
        <v>10</v>
      </c>
    </row>
    <row r="1397" spans="1:31" s="969" customFormat="1" ht="105" hidden="1" x14ac:dyDescent="0.25">
      <c r="A1397" s="960" t="s">
        <v>7386</v>
      </c>
      <c r="B1397" s="985" t="s">
        <v>7282</v>
      </c>
      <c r="C1397" s="985" t="s">
        <v>7282</v>
      </c>
      <c r="D1397" s="670" t="s">
        <v>7563</v>
      </c>
      <c r="E1397" s="924" t="s">
        <v>7283</v>
      </c>
      <c r="F1397" s="926" t="s">
        <v>1528</v>
      </c>
      <c r="G1397" s="924" t="s">
        <v>2156</v>
      </c>
      <c r="H1397" s="931">
        <v>2</v>
      </c>
      <c r="I1397" s="985" t="s">
        <v>2161</v>
      </c>
      <c r="J1397" s="924" t="s">
        <v>1454</v>
      </c>
      <c r="K1397" s="989" t="s">
        <v>7327</v>
      </c>
      <c r="L1397" s="990">
        <v>862422.4</v>
      </c>
      <c r="M1397" s="930"/>
      <c r="N1397" s="990">
        <v>862422.4</v>
      </c>
      <c r="O1397" s="991">
        <v>43009.625</v>
      </c>
      <c r="P1397" s="991">
        <v>43405.625</v>
      </c>
      <c r="Q1397" s="634" t="s">
        <v>110</v>
      </c>
      <c r="R1397" s="634" t="s">
        <v>113</v>
      </c>
      <c r="S1397" s="930"/>
      <c r="T1397" s="990"/>
      <c r="U1397" s="930"/>
      <c r="V1397" s="930"/>
      <c r="W1397" s="930" t="s">
        <v>91</v>
      </c>
      <c r="X1397" s="635" t="s">
        <v>7687</v>
      </c>
      <c r="Y1397" s="634" t="s">
        <v>7688</v>
      </c>
      <c r="Z1397" s="932">
        <v>862422.4</v>
      </c>
      <c r="AA1397" s="908" t="s">
        <v>1458</v>
      </c>
      <c r="AB1397" s="843" t="s">
        <v>263</v>
      </c>
      <c r="AC1397" s="936"/>
      <c r="AD1397" s="844" t="s">
        <v>113</v>
      </c>
      <c r="AE1397" s="937">
        <f t="shared" ref="AE1397:AE1428" si="36">IF(O1397=0,,MONTH(O1397))</f>
        <v>10</v>
      </c>
    </row>
    <row r="1398" spans="1:31" s="969" customFormat="1" ht="293.25" hidden="1" x14ac:dyDescent="0.25">
      <c r="A1398" s="960" t="s">
        <v>7387</v>
      </c>
      <c r="B1398" s="985" t="s">
        <v>1851</v>
      </c>
      <c r="C1398" s="985" t="s">
        <v>7284</v>
      </c>
      <c r="D1398" s="670" t="s">
        <v>7564</v>
      </c>
      <c r="E1398" s="924" t="s">
        <v>1992</v>
      </c>
      <c r="F1398" s="926" t="s">
        <v>1528</v>
      </c>
      <c r="G1398" s="924" t="s">
        <v>2156</v>
      </c>
      <c r="H1398" s="931">
        <v>90</v>
      </c>
      <c r="I1398" s="985" t="s">
        <v>2161</v>
      </c>
      <c r="J1398" s="924" t="s">
        <v>1454</v>
      </c>
      <c r="K1398" s="989" t="s">
        <v>7667</v>
      </c>
      <c r="L1398" s="990">
        <v>1267075.3899999999</v>
      </c>
      <c r="M1398" s="930" t="s">
        <v>997</v>
      </c>
      <c r="N1398" s="990">
        <v>1267075.3899999999</v>
      </c>
      <c r="O1398" s="991">
        <v>43009.625</v>
      </c>
      <c r="P1398" s="991">
        <v>43070.625</v>
      </c>
      <c r="Q1398" s="634" t="s">
        <v>110</v>
      </c>
      <c r="R1398" s="634" t="s">
        <v>113</v>
      </c>
      <c r="S1398" s="930"/>
      <c r="T1398" s="990"/>
      <c r="U1398" s="930"/>
      <c r="V1398" s="930"/>
      <c r="W1398" s="930" t="s">
        <v>73</v>
      </c>
      <c r="X1398" s="635" t="s">
        <v>7668</v>
      </c>
      <c r="Y1398" s="634" t="s">
        <v>7669</v>
      </c>
      <c r="Z1398" s="932">
        <v>1267075.3899999999</v>
      </c>
      <c r="AA1398" s="908" t="s">
        <v>1458</v>
      </c>
      <c r="AB1398" s="843" t="s">
        <v>263</v>
      </c>
      <c r="AC1398" s="936"/>
      <c r="AD1398" s="844" t="s">
        <v>113</v>
      </c>
      <c r="AE1398" s="937">
        <f t="shared" si="36"/>
        <v>10</v>
      </c>
    </row>
    <row r="1399" spans="1:31" s="969" customFormat="1" ht="105" hidden="1" x14ac:dyDescent="0.25">
      <c r="A1399" s="960" t="s">
        <v>7388</v>
      </c>
      <c r="B1399" s="985" t="s">
        <v>7285</v>
      </c>
      <c r="C1399" s="985" t="s">
        <v>7286</v>
      </c>
      <c r="D1399" s="670" t="s">
        <v>7565</v>
      </c>
      <c r="E1399" s="924" t="s">
        <v>6492</v>
      </c>
      <c r="F1399" s="926" t="s">
        <v>1587</v>
      </c>
      <c r="G1399" s="924" t="s">
        <v>2256</v>
      </c>
      <c r="H1399" s="931">
        <v>1</v>
      </c>
      <c r="I1399" s="985" t="s">
        <v>2161</v>
      </c>
      <c r="J1399" s="924" t="s">
        <v>1454</v>
      </c>
      <c r="K1399" s="989" t="s">
        <v>7328</v>
      </c>
      <c r="L1399" s="990">
        <v>122846.98</v>
      </c>
      <c r="M1399" s="930"/>
      <c r="N1399" s="990">
        <v>122846.98</v>
      </c>
      <c r="O1399" s="991">
        <v>43009.625</v>
      </c>
      <c r="P1399" s="991">
        <v>43040.625</v>
      </c>
      <c r="Q1399" s="930" t="s">
        <v>108</v>
      </c>
      <c r="R1399" s="634" t="s">
        <v>112</v>
      </c>
      <c r="S1399" s="930" t="s">
        <v>1457</v>
      </c>
      <c r="T1399" s="990"/>
      <c r="U1399" s="930"/>
      <c r="V1399" s="930"/>
      <c r="W1399" s="930"/>
      <c r="X1399" s="970"/>
      <c r="Y1399" s="930"/>
      <c r="Z1399" s="932"/>
      <c r="AA1399" s="908" t="s">
        <v>1458</v>
      </c>
      <c r="AB1399" s="843" t="s">
        <v>263</v>
      </c>
      <c r="AC1399" s="936"/>
      <c r="AD1399" s="844" t="s">
        <v>113</v>
      </c>
      <c r="AE1399" s="937">
        <f t="shared" si="36"/>
        <v>10</v>
      </c>
    </row>
    <row r="1400" spans="1:31" s="969" customFormat="1" ht="105" hidden="1" x14ac:dyDescent="0.25">
      <c r="A1400" s="960" t="s">
        <v>8061</v>
      </c>
      <c r="B1400" s="985" t="s">
        <v>1687</v>
      </c>
      <c r="C1400" s="985" t="s">
        <v>3132</v>
      </c>
      <c r="D1400" s="670" t="s">
        <v>7566</v>
      </c>
      <c r="E1400" s="924" t="s">
        <v>4944</v>
      </c>
      <c r="F1400" s="926" t="s">
        <v>1645</v>
      </c>
      <c r="G1400" s="924" t="s">
        <v>2259</v>
      </c>
      <c r="H1400" s="931">
        <v>1017.4</v>
      </c>
      <c r="I1400" s="985" t="s">
        <v>2161</v>
      </c>
      <c r="J1400" s="924" t="s">
        <v>1454</v>
      </c>
      <c r="K1400" s="989" t="s">
        <v>8062</v>
      </c>
      <c r="L1400" s="990">
        <v>568669.16</v>
      </c>
      <c r="M1400" s="930"/>
      <c r="N1400" s="990">
        <v>568669.16</v>
      </c>
      <c r="O1400" s="991">
        <v>43009.625</v>
      </c>
      <c r="P1400" s="991">
        <v>43040.625</v>
      </c>
      <c r="Q1400" s="634" t="s">
        <v>110</v>
      </c>
      <c r="R1400" s="634" t="s">
        <v>113</v>
      </c>
      <c r="S1400" s="930"/>
      <c r="T1400" s="990"/>
      <c r="U1400" s="930"/>
      <c r="V1400" s="930" t="s">
        <v>45</v>
      </c>
      <c r="W1400" s="930" t="s">
        <v>268</v>
      </c>
      <c r="X1400" s="635" t="s">
        <v>5967</v>
      </c>
      <c r="Y1400" s="634" t="s">
        <v>5968</v>
      </c>
      <c r="Z1400" s="932">
        <v>568669.16</v>
      </c>
      <c r="AA1400" s="908" t="s">
        <v>1458</v>
      </c>
      <c r="AB1400" s="843" t="s">
        <v>263</v>
      </c>
      <c r="AC1400" s="936"/>
      <c r="AD1400" s="844" t="s">
        <v>113</v>
      </c>
      <c r="AE1400" s="937">
        <f t="shared" si="36"/>
        <v>10</v>
      </c>
    </row>
    <row r="1401" spans="1:31" s="969" customFormat="1" ht="127.5" hidden="1" x14ac:dyDescent="0.25">
      <c r="A1401" s="960" t="s">
        <v>7389</v>
      </c>
      <c r="B1401" s="985" t="s">
        <v>1672</v>
      </c>
      <c r="C1401" s="985" t="s">
        <v>1673</v>
      </c>
      <c r="D1401" s="670" t="s">
        <v>7567</v>
      </c>
      <c r="E1401" s="924" t="s">
        <v>6177</v>
      </c>
      <c r="F1401" s="926" t="s">
        <v>1587</v>
      </c>
      <c r="G1401" s="924" t="s">
        <v>2256</v>
      </c>
      <c r="H1401" s="931">
        <v>1</v>
      </c>
      <c r="I1401" s="985" t="s">
        <v>2161</v>
      </c>
      <c r="J1401" s="924" t="s">
        <v>1454</v>
      </c>
      <c r="K1401" s="989" t="s">
        <v>7329</v>
      </c>
      <c r="L1401" s="990">
        <v>210007.29</v>
      </c>
      <c r="M1401" s="930"/>
      <c r="N1401" s="990">
        <v>210007.29</v>
      </c>
      <c r="O1401" s="991">
        <v>43009.625</v>
      </c>
      <c r="P1401" s="991">
        <v>43040.625</v>
      </c>
      <c r="Q1401" s="930" t="s">
        <v>108</v>
      </c>
      <c r="R1401" s="634" t="s">
        <v>112</v>
      </c>
      <c r="S1401" s="930" t="s">
        <v>1457</v>
      </c>
      <c r="T1401" s="990"/>
      <c r="U1401" s="930"/>
      <c r="V1401" s="930"/>
      <c r="W1401" s="930"/>
      <c r="X1401" s="970"/>
      <c r="Y1401" s="930"/>
      <c r="Z1401" s="932"/>
      <c r="AA1401" s="908" t="s">
        <v>1458</v>
      </c>
      <c r="AB1401" s="843" t="s">
        <v>263</v>
      </c>
      <c r="AC1401" s="936"/>
      <c r="AD1401" s="844" t="s">
        <v>113</v>
      </c>
      <c r="AE1401" s="937">
        <f t="shared" si="36"/>
        <v>10</v>
      </c>
    </row>
    <row r="1402" spans="1:31" s="969" customFormat="1" ht="204" hidden="1" x14ac:dyDescent="0.25">
      <c r="A1402" s="960" t="s">
        <v>7390</v>
      </c>
      <c r="B1402" s="985" t="s">
        <v>2198</v>
      </c>
      <c r="C1402" s="985" t="s">
        <v>2198</v>
      </c>
      <c r="D1402" s="670" t="s">
        <v>7568</v>
      </c>
      <c r="E1402" s="924" t="s">
        <v>5015</v>
      </c>
      <c r="F1402" s="926" t="s">
        <v>1528</v>
      </c>
      <c r="G1402" s="924" t="s">
        <v>2156</v>
      </c>
      <c r="H1402" s="931">
        <v>1</v>
      </c>
      <c r="I1402" s="985" t="s">
        <v>2161</v>
      </c>
      <c r="J1402" s="924" t="s">
        <v>1454</v>
      </c>
      <c r="K1402" s="989" t="s">
        <v>7330</v>
      </c>
      <c r="L1402" s="990">
        <v>9700000</v>
      </c>
      <c r="M1402" s="930"/>
      <c r="N1402" s="990">
        <v>9700000</v>
      </c>
      <c r="O1402" s="991">
        <v>43009.625</v>
      </c>
      <c r="P1402" s="991">
        <v>43070.625</v>
      </c>
      <c r="Q1402" s="930" t="s">
        <v>106</v>
      </c>
      <c r="R1402" s="634" t="s">
        <v>112</v>
      </c>
      <c r="S1402" s="930" t="s">
        <v>1457</v>
      </c>
      <c r="T1402" s="990"/>
      <c r="U1402" s="930"/>
      <c r="V1402" s="930"/>
      <c r="W1402" s="930"/>
      <c r="X1402" s="970"/>
      <c r="Y1402" s="930"/>
      <c r="Z1402" s="932"/>
      <c r="AA1402" s="908" t="s">
        <v>1458</v>
      </c>
      <c r="AB1402" s="843" t="s">
        <v>263</v>
      </c>
      <c r="AC1402" s="936"/>
      <c r="AD1402" s="844" t="s">
        <v>113</v>
      </c>
      <c r="AE1402" s="937">
        <f t="shared" si="36"/>
        <v>10</v>
      </c>
    </row>
    <row r="1403" spans="1:31" s="969" customFormat="1" ht="105" hidden="1" x14ac:dyDescent="0.25">
      <c r="A1403" s="960" t="s">
        <v>7391</v>
      </c>
      <c r="B1403" s="985" t="s">
        <v>1672</v>
      </c>
      <c r="C1403" s="985" t="s">
        <v>2219</v>
      </c>
      <c r="D1403" s="670" t="s">
        <v>7569</v>
      </c>
      <c r="E1403" s="924" t="s">
        <v>2247</v>
      </c>
      <c r="F1403" s="926" t="s">
        <v>1528</v>
      </c>
      <c r="G1403" s="924" t="s">
        <v>2156</v>
      </c>
      <c r="H1403" s="931">
        <v>241</v>
      </c>
      <c r="I1403" s="985" t="s">
        <v>2161</v>
      </c>
      <c r="J1403" s="924" t="s">
        <v>1454</v>
      </c>
      <c r="K1403" s="989" t="s">
        <v>7331</v>
      </c>
      <c r="L1403" s="990">
        <v>143691.79</v>
      </c>
      <c r="M1403" s="930" t="s">
        <v>997</v>
      </c>
      <c r="N1403" s="990">
        <v>143691.79</v>
      </c>
      <c r="O1403" s="991">
        <v>43009.625</v>
      </c>
      <c r="P1403" s="991">
        <v>43070.625</v>
      </c>
      <c r="Q1403" s="634" t="s">
        <v>110</v>
      </c>
      <c r="R1403" s="634" t="s">
        <v>113</v>
      </c>
      <c r="S1403" s="930"/>
      <c r="T1403" s="990"/>
      <c r="U1403" s="930"/>
      <c r="V1403" s="930" t="s">
        <v>45</v>
      </c>
      <c r="W1403" s="930" t="s">
        <v>72</v>
      </c>
      <c r="X1403" s="635" t="s">
        <v>3311</v>
      </c>
      <c r="Y1403" s="634" t="s">
        <v>3312</v>
      </c>
      <c r="Z1403" s="932">
        <v>143691.79</v>
      </c>
      <c r="AA1403" s="908" t="s">
        <v>1458</v>
      </c>
      <c r="AB1403" s="843" t="s">
        <v>263</v>
      </c>
      <c r="AC1403" s="936"/>
      <c r="AD1403" s="844" t="s">
        <v>113</v>
      </c>
      <c r="AE1403" s="937">
        <f t="shared" si="36"/>
        <v>10</v>
      </c>
    </row>
    <row r="1404" spans="1:31" s="969" customFormat="1" ht="105" hidden="1" x14ac:dyDescent="0.25">
      <c r="A1404" s="960" t="s">
        <v>7392</v>
      </c>
      <c r="B1404" s="985" t="s">
        <v>1576</v>
      </c>
      <c r="C1404" s="985" t="s">
        <v>1738</v>
      </c>
      <c r="D1404" s="670" t="s">
        <v>7570</v>
      </c>
      <c r="E1404" s="924" t="s">
        <v>2467</v>
      </c>
      <c r="F1404" s="926" t="s">
        <v>1528</v>
      </c>
      <c r="G1404" s="924" t="s">
        <v>2156</v>
      </c>
      <c r="H1404" s="931">
        <v>258</v>
      </c>
      <c r="I1404" s="985" t="s">
        <v>2161</v>
      </c>
      <c r="J1404" s="924" t="s">
        <v>1454</v>
      </c>
      <c r="K1404" s="989" t="s">
        <v>7332</v>
      </c>
      <c r="L1404" s="990">
        <v>265368.69</v>
      </c>
      <c r="M1404" s="930" t="s">
        <v>997</v>
      </c>
      <c r="N1404" s="990">
        <v>265368.69</v>
      </c>
      <c r="O1404" s="991">
        <v>43009.625</v>
      </c>
      <c r="P1404" s="991">
        <v>43070.625</v>
      </c>
      <c r="Q1404" s="634" t="s">
        <v>110</v>
      </c>
      <c r="R1404" s="634" t="s">
        <v>113</v>
      </c>
      <c r="S1404" s="930"/>
      <c r="T1404" s="990"/>
      <c r="U1404" s="930"/>
      <c r="V1404" s="930" t="s">
        <v>45</v>
      </c>
      <c r="W1404" s="930" t="s">
        <v>72</v>
      </c>
      <c r="X1404" s="635" t="s">
        <v>3103</v>
      </c>
      <c r="Y1404" s="634" t="s">
        <v>3104</v>
      </c>
      <c r="Z1404" s="932">
        <v>265368.69</v>
      </c>
      <c r="AA1404" s="908" t="s">
        <v>1458</v>
      </c>
      <c r="AB1404" s="843" t="s">
        <v>263</v>
      </c>
      <c r="AC1404" s="936"/>
      <c r="AD1404" s="844" t="s">
        <v>113</v>
      </c>
      <c r="AE1404" s="937">
        <f t="shared" si="36"/>
        <v>10</v>
      </c>
    </row>
    <row r="1405" spans="1:31" s="969" customFormat="1" ht="105" hidden="1" x14ac:dyDescent="0.25">
      <c r="A1405" s="960" t="s">
        <v>7393</v>
      </c>
      <c r="B1405" s="985" t="s">
        <v>1576</v>
      </c>
      <c r="C1405" s="985" t="s">
        <v>1738</v>
      </c>
      <c r="D1405" s="670" t="s">
        <v>7571</v>
      </c>
      <c r="E1405" s="924" t="s">
        <v>7287</v>
      </c>
      <c r="F1405" s="926" t="s">
        <v>1528</v>
      </c>
      <c r="G1405" s="924" t="s">
        <v>2156</v>
      </c>
      <c r="H1405" s="931">
        <v>124</v>
      </c>
      <c r="I1405" s="985" t="s">
        <v>2161</v>
      </c>
      <c r="J1405" s="924" t="s">
        <v>1454</v>
      </c>
      <c r="K1405" s="989" t="s">
        <v>7333</v>
      </c>
      <c r="L1405" s="990">
        <v>278115.55</v>
      </c>
      <c r="M1405" s="930" t="s">
        <v>997</v>
      </c>
      <c r="N1405" s="990">
        <v>278115.55</v>
      </c>
      <c r="O1405" s="991">
        <v>43040.625</v>
      </c>
      <c r="P1405" s="991">
        <v>43070.625</v>
      </c>
      <c r="Q1405" s="634" t="s">
        <v>110</v>
      </c>
      <c r="R1405" s="634" t="s">
        <v>113</v>
      </c>
      <c r="S1405" s="930"/>
      <c r="T1405" s="990"/>
      <c r="U1405" s="930"/>
      <c r="V1405" s="930" t="s">
        <v>45</v>
      </c>
      <c r="W1405" s="930" t="s">
        <v>72</v>
      </c>
      <c r="X1405" s="970" t="s">
        <v>3077</v>
      </c>
      <c r="Y1405" s="930"/>
      <c r="Z1405" s="932"/>
      <c r="AA1405" s="908" t="s">
        <v>1458</v>
      </c>
      <c r="AB1405" s="843" t="s">
        <v>263</v>
      </c>
      <c r="AC1405" s="936"/>
      <c r="AD1405" s="844" t="s">
        <v>113</v>
      </c>
      <c r="AE1405" s="937">
        <f t="shared" si="36"/>
        <v>11</v>
      </c>
    </row>
    <row r="1406" spans="1:31" s="969" customFormat="1" ht="105" hidden="1" x14ac:dyDescent="0.25">
      <c r="A1406" s="960" t="s">
        <v>7394</v>
      </c>
      <c r="B1406" s="985" t="s">
        <v>1576</v>
      </c>
      <c r="C1406" s="985" t="s">
        <v>1738</v>
      </c>
      <c r="D1406" s="670" t="s">
        <v>7572</v>
      </c>
      <c r="E1406" s="924" t="s">
        <v>7288</v>
      </c>
      <c r="F1406" s="926" t="s">
        <v>1528</v>
      </c>
      <c r="G1406" s="924" t="s">
        <v>2156</v>
      </c>
      <c r="H1406" s="931">
        <v>774</v>
      </c>
      <c r="I1406" s="985" t="s">
        <v>2161</v>
      </c>
      <c r="J1406" s="924" t="s">
        <v>1454</v>
      </c>
      <c r="K1406" s="989" t="s">
        <v>7334</v>
      </c>
      <c r="L1406" s="990">
        <v>601541.98</v>
      </c>
      <c r="M1406" s="930" t="s">
        <v>997</v>
      </c>
      <c r="N1406" s="990">
        <v>601541.98</v>
      </c>
      <c r="O1406" s="991">
        <v>43040.625</v>
      </c>
      <c r="P1406" s="991">
        <v>43070.625</v>
      </c>
      <c r="Q1406" s="634" t="s">
        <v>110</v>
      </c>
      <c r="R1406" s="634" t="s">
        <v>113</v>
      </c>
      <c r="S1406" s="930"/>
      <c r="T1406" s="990"/>
      <c r="U1406" s="930"/>
      <c r="V1406" s="930" t="s">
        <v>45</v>
      </c>
      <c r="W1406" s="930" t="s">
        <v>72</v>
      </c>
      <c r="X1406" s="970" t="s">
        <v>3077</v>
      </c>
      <c r="Y1406" s="930" t="s">
        <v>3078</v>
      </c>
      <c r="Z1406" s="932">
        <v>601541.98</v>
      </c>
      <c r="AA1406" s="908" t="s">
        <v>1458</v>
      </c>
      <c r="AB1406" s="843" t="s">
        <v>263</v>
      </c>
      <c r="AC1406" s="936"/>
      <c r="AD1406" s="844" t="s">
        <v>113</v>
      </c>
      <c r="AE1406" s="937">
        <f t="shared" si="36"/>
        <v>11</v>
      </c>
    </row>
    <row r="1407" spans="1:31" s="969" customFormat="1" ht="105" hidden="1" x14ac:dyDescent="0.25">
      <c r="A1407" s="960" t="s">
        <v>7395</v>
      </c>
      <c r="B1407" s="985" t="s">
        <v>1666</v>
      </c>
      <c r="C1407" s="985" t="s">
        <v>1666</v>
      </c>
      <c r="D1407" s="670" t="s">
        <v>7573</v>
      </c>
      <c r="E1407" s="924" t="s">
        <v>7289</v>
      </c>
      <c r="F1407" s="926" t="s">
        <v>1640</v>
      </c>
      <c r="G1407" s="924" t="s">
        <v>2260</v>
      </c>
      <c r="H1407" s="931">
        <v>180</v>
      </c>
      <c r="I1407" s="985" t="s">
        <v>2161</v>
      </c>
      <c r="J1407" s="924" t="s">
        <v>1454</v>
      </c>
      <c r="K1407" s="989" t="s">
        <v>7335</v>
      </c>
      <c r="L1407" s="990">
        <v>179028.65</v>
      </c>
      <c r="M1407" s="930"/>
      <c r="N1407" s="990">
        <v>179028.65</v>
      </c>
      <c r="O1407" s="991">
        <v>43040.625</v>
      </c>
      <c r="P1407" s="991">
        <v>43070.625</v>
      </c>
      <c r="Q1407" s="930" t="s">
        <v>108</v>
      </c>
      <c r="R1407" s="634" t="s">
        <v>112</v>
      </c>
      <c r="S1407" s="930" t="s">
        <v>1457</v>
      </c>
      <c r="T1407" s="990"/>
      <c r="U1407" s="930"/>
      <c r="V1407" s="930"/>
      <c r="W1407" s="930"/>
      <c r="X1407" s="970"/>
      <c r="Y1407" s="930"/>
      <c r="Z1407" s="932"/>
      <c r="AA1407" s="908" t="s">
        <v>1458</v>
      </c>
      <c r="AB1407" s="843" t="s">
        <v>263</v>
      </c>
      <c r="AC1407" s="936"/>
      <c r="AD1407" s="844" t="s">
        <v>113</v>
      </c>
      <c r="AE1407" s="937">
        <f t="shared" si="36"/>
        <v>11</v>
      </c>
    </row>
    <row r="1408" spans="1:31" s="969" customFormat="1" ht="105" hidden="1" x14ac:dyDescent="0.25">
      <c r="A1408" s="960" t="s">
        <v>7396</v>
      </c>
      <c r="B1408" s="985" t="s">
        <v>1919</v>
      </c>
      <c r="C1408" s="985" t="s">
        <v>7290</v>
      </c>
      <c r="D1408" s="670" t="s">
        <v>7574</v>
      </c>
      <c r="E1408" s="924" t="s">
        <v>7291</v>
      </c>
      <c r="F1408" s="926" t="s">
        <v>1528</v>
      </c>
      <c r="G1408" s="924" t="s">
        <v>2156</v>
      </c>
      <c r="H1408" s="931">
        <v>7</v>
      </c>
      <c r="I1408" s="985" t="s">
        <v>2161</v>
      </c>
      <c r="J1408" s="924" t="s">
        <v>1454</v>
      </c>
      <c r="K1408" s="989" t="s">
        <v>7336</v>
      </c>
      <c r="L1408" s="990">
        <v>55774.31</v>
      </c>
      <c r="M1408" s="930"/>
      <c r="N1408" s="990">
        <v>55774.31</v>
      </c>
      <c r="O1408" s="991">
        <v>43009.625</v>
      </c>
      <c r="P1408" s="991">
        <v>43070.625</v>
      </c>
      <c r="Q1408" s="930" t="s">
        <v>108</v>
      </c>
      <c r="R1408" s="634" t="s">
        <v>112</v>
      </c>
      <c r="S1408" s="930" t="s">
        <v>1457</v>
      </c>
      <c r="T1408" s="990"/>
      <c r="U1408" s="930"/>
      <c r="V1408" s="930"/>
      <c r="W1408" s="930"/>
      <c r="X1408" s="970"/>
      <c r="Y1408" s="930"/>
      <c r="Z1408" s="932"/>
      <c r="AA1408" s="908" t="s">
        <v>1458</v>
      </c>
      <c r="AB1408" s="843" t="s">
        <v>263</v>
      </c>
      <c r="AC1408" s="936"/>
      <c r="AD1408" s="844" t="s">
        <v>113</v>
      </c>
      <c r="AE1408" s="937">
        <f t="shared" si="36"/>
        <v>10</v>
      </c>
    </row>
    <row r="1409" spans="1:31" s="969" customFormat="1" ht="105" hidden="1" x14ac:dyDescent="0.25">
      <c r="A1409" s="960" t="s">
        <v>7397</v>
      </c>
      <c r="B1409" s="985" t="s">
        <v>2021</v>
      </c>
      <c r="C1409" s="985" t="s">
        <v>7292</v>
      </c>
      <c r="D1409" s="670" t="s">
        <v>7575</v>
      </c>
      <c r="E1409" s="924" t="s">
        <v>7293</v>
      </c>
      <c r="F1409" s="926" t="s">
        <v>1528</v>
      </c>
      <c r="G1409" s="924" t="s">
        <v>2156</v>
      </c>
      <c r="H1409" s="931">
        <v>11000</v>
      </c>
      <c r="I1409" s="985" t="s">
        <v>2161</v>
      </c>
      <c r="J1409" s="924" t="s">
        <v>1454</v>
      </c>
      <c r="K1409" s="989" t="s">
        <v>7337</v>
      </c>
      <c r="L1409" s="990">
        <v>133836.67000000001</v>
      </c>
      <c r="M1409" s="930"/>
      <c r="N1409" s="990">
        <v>133836.67000000001</v>
      </c>
      <c r="O1409" s="991">
        <v>43009.625</v>
      </c>
      <c r="P1409" s="991">
        <v>43070.625</v>
      </c>
      <c r="Q1409" s="930" t="s">
        <v>108</v>
      </c>
      <c r="R1409" s="634" t="s">
        <v>112</v>
      </c>
      <c r="S1409" s="930" t="s">
        <v>1457</v>
      </c>
      <c r="T1409" s="990"/>
      <c r="U1409" s="930"/>
      <c r="V1409" s="930"/>
      <c r="W1409" s="930"/>
      <c r="X1409" s="970"/>
      <c r="Y1409" s="930"/>
      <c r="Z1409" s="932"/>
      <c r="AA1409" s="908" t="s">
        <v>1458</v>
      </c>
      <c r="AB1409" s="843" t="s">
        <v>263</v>
      </c>
      <c r="AC1409" s="936"/>
      <c r="AD1409" s="844" t="s">
        <v>113</v>
      </c>
      <c r="AE1409" s="937">
        <f t="shared" si="36"/>
        <v>10</v>
      </c>
    </row>
    <row r="1410" spans="1:31" s="969" customFormat="1" ht="105" hidden="1" x14ac:dyDescent="0.25">
      <c r="A1410" s="960" t="s">
        <v>7398</v>
      </c>
      <c r="B1410" s="985" t="s">
        <v>1851</v>
      </c>
      <c r="C1410" s="985" t="s">
        <v>6498</v>
      </c>
      <c r="D1410" s="670" t="s">
        <v>7576</v>
      </c>
      <c r="E1410" s="924" t="s">
        <v>7294</v>
      </c>
      <c r="F1410" s="926" t="s">
        <v>1528</v>
      </c>
      <c r="G1410" s="924" t="s">
        <v>2156</v>
      </c>
      <c r="H1410" s="931">
        <v>1</v>
      </c>
      <c r="I1410" s="985" t="s">
        <v>2161</v>
      </c>
      <c r="J1410" s="924" t="s">
        <v>1454</v>
      </c>
      <c r="K1410" s="989" t="s">
        <v>7338</v>
      </c>
      <c r="L1410" s="990">
        <v>551684</v>
      </c>
      <c r="M1410" s="930"/>
      <c r="N1410" s="990">
        <v>551684</v>
      </c>
      <c r="O1410" s="991">
        <v>43009.625</v>
      </c>
      <c r="P1410" s="991">
        <v>43009.625</v>
      </c>
      <c r="Q1410" s="634" t="s">
        <v>110</v>
      </c>
      <c r="R1410" s="634" t="s">
        <v>113</v>
      </c>
      <c r="S1410" s="930"/>
      <c r="T1410" s="990"/>
      <c r="U1410" s="930"/>
      <c r="V1410" s="930"/>
      <c r="W1410" s="930" t="s">
        <v>73</v>
      </c>
      <c r="X1410" s="635" t="s">
        <v>7683</v>
      </c>
      <c r="Y1410" s="634" t="s">
        <v>7684</v>
      </c>
      <c r="Z1410" s="932">
        <v>551684</v>
      </c>
      <c r="AA1410" s="908" t="s">
        <v>1458</v>
      </c>
      <c r="AB1410" s="843" t="s">
        <v>263</v>
      </c>
      <c r="AC1410" s="936"/>
      <c r="AD1410" s="844" t="s">
        <v>113</v>
      </c>
      <c r="AE1410" s="937">
        <f t="shared" si="36"/>
        <v>10</v>
      </c>
    </row>
    <row r="1411" spans="1:31" s="969" customFormat="1" ht="105" hidden="1" x14ac:dyDescent="0.25">
      <c r="A1411" s="960" t="s">
        <v>7399</v>
      </c>
      <c r="B1411" s="985" t="s">
        <v>1919</v>
      </c>
      <c r="C1411" s="985" t="s">
        <v>7295</v>
      </c>
      <c r="D1411" s="670" t="s">
        <v>7577</v>
      </c>
      <c r="E1411" s="924" t="s">
        <v>7296</v>
      </c>
      <c r="F1411" s="926" t="s">
        <v>1528</v>
      </c>
      <c r="G1411" s="924" t="s">
        <v>2156</v>
      </c>
      <c r="H1411" s="931">
        <v>10</v>
      </c>
      <c r="I1411" s="985" t="s">
        <v>2161</v>
      </c>
      <c r="J1411" s="924" t="s">
        <v>1454</v>
      </c>
      <c r="K1411" s="989" t="s">
        <v>7339</v>
      </c>
      <c r="L1411" s="990">
        <v>244190.84</v>
      </c>
      <c r="M1411" s="930"/>
      <c r="N1411" s="990">
        <v>244190.84</v>
      </c>
      <c r="O1411" s="991">
        <v>43009.625</v>
      </c>
      <c r="P1411" s="991">
        <v>43070.625</v>
      </c>
      <c r="Q1411" s="930" t="s">
        <v>108</v>
      </c>
      <c r="R1411" s="634" t="s">
        <v>112</v>
      </c>
      <c r="S1411" s="930" t="s">
        <v>1457</v>
      </c>
      <c r="T1411" s="990"/>
      <c r="U1411" s="930"/>
      <c r="V1411" s="930"/>
      <c r="W1411" s="930"/>
      <c r="X1411" s="970"/>
      <c r="Y1411" s="930"/>
      <c r="Z1411" s="932"/>
      <c r="AA1411" s="908" t="s">
        <v>1458</v>
      </c>
      <c r="AB1411" s="843" t="s">
        <v>263</v>
      </c>
      <c r="AC1411" s="936"/>
      <c r="AD1411" s="844" t="s">
        <v>113</v>
      </c>
      <c r="AE1411" s="937">
        <f t="shared" si="36"/>
        <v>10</v>
      </c>
    </row>
    <row r="1412" spans="1:31" s="969" customFormat="1" ht="105" hidden="1" x14ac:dyDescent="0.25">
      <c r="A1412" s="960" t="s">
        <v>7400</v>
      </c>
      <c r="B1412" s="985" t="s">
        <v>1941</v>
      </c>
      <c r="C1412" s="985" t="s">
        <v>1942</v>
      </c>
      <c r="D1412" s="670" t="s">
        <v>7578</v>
      </c>
      <c r="E1412" s="924" t="s">
        <v>6150</v>
      </c>
      <c r="F1412" s="926" t="s">
        <v>1528</v>
      </c>
      <c r="G1412" s="924" t="s">
        <v>2156</v>
      </c>
      <c r="H1412" s="931">
        <v>10300</v>
      </c>
      <c r="I1412" s="985" t="s">
        <v>2161</v>
      </c>
      <c r="J1412" s="924" t="s">
        <v>1454</v>
      </c>
      <c r="K1412" s="989" t="s">
        <v>7718</v>
      </c>
      <c r="L1412" s="990">
        <v>3786300</v>
      </c>
      <c r="M1412" s="930"/>
      <c r="N1412" s="990">
        <v>3786300</v>
      </c>
      <c r="O1412" s="991">
        <v>43040.625</v>
      </c>
      <c r="P1412" s="991">
        <v>43313.625</v>
      </c>
      <c r="Q1412" s="634" t="s">
        <v>110</v>
      </c>
      <c r="R1412" s="634" t="s">
        <v>113</v>
      </c>
      <c r="S1412" s="930"/>
      <c r="T1412" s="990"/>
      <c r="U1412" s="930"/>
      <c r="V1412" s="930" t="s">
        <v>45</v>
      </c>
      <c r="W1412" s="930" t="s">
        <v>73</v>
      </c>
      <c r="X1412" s="970" t="s">
        <v>3304</v>
      </c>
      <c r="Y1412" s="930" t="s">
        <v>5132</v>
      </c>
      <c r="Z1412" s="932">
        <v>3786300</v>
      </c>
      <c r="AA1412" s="908" t="s">
        <v>1458</v>
      </c>
      <c r="AB1412" s="843" t="s">
        <v>263</v>
      </c>
      <c r="AC1412" s="936"/>
      <c r="AD1412" s="844" t="s">
        <v>113</v>
      </c>
      <c r="AE1412" s="937">
        <f t="shared" si="36"/>
        <v>11</v>
      </c>
    </row>
    <row r="1413" spans="1:31" s="969" customFormat="1" ht="105" hidden="1" x14ac:dyDescent="0.25">
      <c r="A1413" s="960" t="s">
        <v>7401</v>
      </c>
      <c r="B1413" s="985" t="s">
        <v>1941</v>
      </c>
      <c r="C1413" s="985" t="s">
        <v>1942</v>
      </c>
      <c r="D1413" s="670" t="s">
        <v>7579</v>
      </c>
      <c r="E1413" s="924" t="s">
        <v>6150</v>
      </c>
      <c r="F1413" s="926" t="s">
        <v>1528</v>
      </c>
      <c r="G1413" s="924" t="s">
        <v>2156</v>
      </c>
      <c r="H1413" s="931">
        <v>7150</v>
      </c>
      <c r="I1413" s="985" t="s">
        <v>2161</v>
      </c>
      <c r="J1413" s="924" t="s">
        <v>1454</v>
      </c>
      <c r="K1413" s="989" t="s">
        <v>7720</v>
      </c>
      <c r="L1413" s="990">
        <v>1199257.6000000001</v>
      </c>
      <c r="M1413" s="930" t="s">
        <v>997</v>
      </c>
      <c r="N1413" s="990">
        <v>1199257.6000000001</v>
      </c>
      <c r="O1413" s="991">
        <v>43040.625</v>
      </c>
      <c r="P1413" s="991">
        <v>43313.625</v>
      </c>
      <c r="Q1413" s="634" t="s">
        <v>110</v>
      </c>
      <c r="R1413" s="634" t="s">
        <v>113</v>
      </c>
      <c r="S1413" s="930"/>
      <c r="T1413" s="990"/>
      <c r="U1413" s="930"/>
      <c r="V1413" s="930" t="s">
        <v>45</v>
      </c>
      <c r="W1413" s="930" t="s">
        <v>73</v>
      </c>
      <c r="X1413" s="970" t="s">
        <v>5083</v>
      </c>
      <c r="Y1413" s="930" t="s">
        <v>5084</v>
      </c>
      <c r="Z1413" s="932">
        <v>1199257.6000000001</v>
      </c>
      <c r="AA1413" s="908" t="s">
        <v>1458</v>
      </c>
      <c r="AB1413" s="843" t="s">
        <v>263</v>
      </c>
      <c r="AC1413" s="936"/>
      <c r="AD1413" s="844" t="s">
        <v>113</v>
      </c>
      <c r="AE1413" s="937">
        <f t="shared" si="36"/>
        <v>11</v>
      </c>
    </row>
    <row r="1414" spans="1:31" s="969" customFormat="1" ht="105" hidden="1" x14ac:dyDescent="0.25">
      <c r="A1414" s="960" t="s">
        <v>7402</v>
      </c>
      <c r="B1414" s="985" t="s">
        <v>1793</v>
      </c>
      <c r="C1414" s="985" t="s">
        <v>6145</v>
      </c>
      <c r="D1414" s="670" t="s">
        <v>7580</v>
      </c>
      <c r="E1414" s="924" t="s">
        <v>7297</v>
      </c>
      <c r="F1414" s="926" t="s">
        <v>1528</v>
      </c>
      <c r="G1414" s="924" t="s">
        <v>2156</v>
      </c>
      <c r="H1414" s="931">
        <v>2</v>
      </c>
      <c r="I1414" s="985" t="s">
        <v>2161</v>
      </c>
      <c r="J1414" s="924" t="s">
        <v>1454</v>
      </c>
      <c r="K1414" s="989" t="s">
        <v>8110</v>
      </c>
      <c r="L1414" s="990">
        <v>3808333.33</v>
      </c>
      <c r="M1414" s="930"/>
      <c r="N1414" s="990">
        <v>3808333.33</v>
      </c>
      <c r="O1414" s="991">
        <v>43040.625</v>
      </c>
      <c r="P1414" s="991">
        <v>43374.625</v>
      </c>
      <c r="Q1414" s="930" t="s">
        <v>108</v>
      </c>
      <c r="R1414" s="634" t="s">
        <v>112</v>
      </c>
      <c r="S1414" s="930" t="s">
        <v>1457</v>
      </c>
      <c r="T1414" s="990"/>
      <c r="U1414" s="930"/>
      <c r="V1414" s="930"/>
      <c r="W1414" s="930"/>
      <c r="X1414" s="970"/>
      <c r="Y1414" s="930"/>
      <c r="Z1414" s="932"/>
      <c r="AA1414" s="908" t="s">
        <v>1458</v>
      </c>
      <c r="AB1414" s="843" t="s">
        <v>263</v>
      </c>
      <c r="AC1414" s="936"/>
      <c r="AD1414" s="844" t="s">
        <v>113</v>
      </c>
      <c r="AE1414" s="937">
        <f t="shared" si="36"/>
        <v>11</v>
      </c>
    </row>
    <row r="1415" spans="1:31" s="969" customFormat="1" ht="105" hidden="1" x14ac:dyDescent="0.25">
      <c r="A1415" s="960" t="s">
        <v>7403</v>
      </c>
      <c r="B1415" s="985" t="s">
        <v>1851</v>
      </c>
      <c r="C1415" s="985" t="s">
        <v>1851</v>
      </c>
      <c r="D1415" s="670" t="s">
        <v>7581</v>
      </c>
      <c r="E1415" s="924" t="s">
        <v>1948</v>
      </c>
      <c r="F1415" s="926" t="s">
        <v>1528</v>
      </c>
      <c r="G1415" s="924" t="s">
        <v>2156</v>
      </c>
      <c r="H1415" s="931">
        <v>62</v>
      </c>
      <c r="I1415" s="985" t="s">
        <v>2161</v>
      </c>
      <c r="J1415" s="924" t="s">
        <v>1454</v>
      </c>
      <c r="K1415" s="989" t="s">
        <v>7340</v>
      </c>
      <c r="L1415" s="990">
        <v>2028837.78</v>
      </c>
      <c r="M1415" s="930"/>
      <c r="N1415" s="990">
        <v>2028837.78</v>
      </c>
      <c r="O1415" s="991">
        <v>43009.625</v>
      </c>
      <c r="P1415" s="991">
        <v>43070.625</v>
      </c>
      <c r="Q1415" s="634" t="s">
        <v>110</v>
      </c>
      <c r="R1415" s="634" t="s">
        <v>113</v>
      </c>
      <c r="S1415" s="930"/>
      <c r="T1415" s="990"/>
      <c r="U1415" s="930"/>
      <c r="V1415" s="930"/>
      <c r="W1415" s="930"/>
      <c r="X1415" s="970"/>
      <c r="Y1415" s="930"/>
      <c r="Z1415" s="932"/>
      <c r="AA1415" s="908" t="s">
        <v>1458</v>
      </c>
      <c r="AB1415" s="843" t="s">
        <v>263</v>
      </c>
      <c r="AC1415" s="936"/>
      <c r="AD1415" s="844" t="s">
        <v>113</v>
      </c>
      <c r="AE1415" s="937">
        <f t="shared" si="36"/>
        <v>10</v>
      </c>
    </row>
    <row r="1416" spans="1:31" s="969" customFormat="1" ht="105" hidden="1" x14ac:dyDescent="0.25">
      <c r="A1416" s="960" t="s">
        <v>7404</v>
      </c>
      <c r="B1416" s="985" t="s">
        <v>1944</v>
      </c>
      <c r="C1416" s="985" t="s">
        <v>7298</v>
      </c>
      <c r="D1416" s="670" t="s">
        <v>7582</v>
      </c>
      <c r="E1416" s="924" t="s">
        <v>3142</v>
      </c>
      <c r="F1416" s="926" t="s">
        <v>1645</v>
      </c>
      <c r="G1416" s="924" t="s">
        <v>2259</v>
      </c>
      <c r="H1416" s="931">
        <v>0.51</v>
      </c>
      <c r="I1416" s="985" t="s">
        <v>2161</v>
      </c>
      <c r="J1416" s="924" t="s">
        <v>1454</v>
      </c>
      <c r="K1416" s="989" t="s">
        <v>7341</v>
      </c>
      <c r="L1416" s="990">
        <v>315800</v>
      </c>
      <c r="M1416" s="930"/>
      <c r="N1416" s="990">
        <v>315800</v>
      </c>
      <c r="O1416" s="991">
        <v>43009.625</v>
      </c>
      <c r="P1416" s="991">
        <v>43009.625</v>
      </c>
      <c r="Q1416" s="634" t="s">
        <v>110</v>
      </c>
      <c r="R1416" s="634" t="s">
        <v>113</v>
      </c>
      <c r="S1416" s="930"/>
      <c r="T1416" s="990"/>
      <c r="U1416" s="930"/>
      <c r="V1416" s="930" t="s">
        <v>45</v>
      </c>
      <c r="W1416" s="930" t="s">
        <v>268</v>
      </c>
      <c r="X1416" s="635" t="s">
        <v>3359</v>
      </c>
      <c r="Y1416" s="634" t="s">
        <v>3360</v>
      </c>
      <c r="Z1416" s="932">
        <v>315800</v>
      </c>
      <c r="AA1416" s="908" t="s">
        <v>1458</v>
      </c>
      <c r="AB1416" s="843" t="s">
        <v>263</v>
      </c>
      <c r="AC1416" s="936"/>
      <c r="AD1416" s="844" t="s">
        <v>113</v>
      </c>
      <c r="AE1416" s="937">
        <f t="shared" si="36"/>
        <v>10</v>
      </c>
    </row>
    <row r="1417" spans="1:31" s="969" customFormat="1" ht="105" hidden="1" x14ac:dyDescent="0.25">
      <c r="A1417" s="960" t="s">
        <v>7405</v>
      </c>
      <c r="B1417" s="985" t="s">
        <v>1851</v>
      </c>
      <c r="C1417" s="985" t="s">
        <v>7284</v>
      </c>
      <c r="D1417" s="670" t="s">
        <v>7583</v>
      </c>
      <c r="E1417" s="924" t="s">
        <v>1992</v>
      </c>
      <c r="F1417" s="926" t="s">
        <v>1528</v>
      </c>
      <c r="G1417" s="924" t="s">
        <v>2156</v>
      </c>
      <c r="H1417" s="931">
        <v>40</v>
      </c>
      <c r="I1417" s="985" t="s">
        <v>2161</v>
      </c>
      <c r="J1417" s="924" t="s">
        <v>1454</v>
      </c>
      <c r="K1417" s="989" t="s">
        <v>7342</v>
      </c>
      <c r="L1417" s="990">
        <v>512200</v>
      </c>
      <c r="M1417" s="930" t="s">
        <v>997</v>
      </c>
      <c r="N1417" s="990">
        <v>512200</v>
      </c>
      <c r="O1417" s="991">
        <v>43040.625</v>
      </c>
      <c r="P1417" s="991">
        <v>43160.625</v>
      </c>
      <c r="Q1417" s="634" t="s">
        <v>110</v>
      </c>
      <c r="R1417" s="634" t="s">
        <v>113</v>
      </c>
      <c r="S1417" s="930"/>
      <c r="T1417" s="990"/>
      <c r="U1417" s="930"/>
      <c r="V1417" s="930"/>
      <c r="W1417" s="930" t="s">
        <v>73</v>
      </c>
      <c r="X1417" s="635" t="s">
        <v>7671</v>
      </c>
      <c r="Y1417" s="634" t="s">
        <v>7672</v>
      </c>
      <c r="Z1417" s="932">
        <v>512200</v>
      </c>
      <c r="AA1417" s="908" t="s">
        <v>1458</v>
      </c>
      <c r="AB1417" s="843" t="s">
        <v>263</v>
      </c>
      <c r="AC1417" s="936"/>
      <c r="AD1417" s="844" t="s">
        <v>113</v>
      </c>
      <c r="AE1417" s="937">
        <f t="shared" si="36"/>
        <v>11</v>
      </c>
    </row>
    <row r="1418" spans="1:31" s="969" customFormat="1" ht="229.5" hidden="1" x14ac:dyDescent="0.25">
      <c r="A1418" s="960" t="s">
        <v>7406</v>
      </c>
      <c r="B1418" s="985" t="s">
        <v>2198</v>
      </c>
      <c r="C1418" s="985" t="s">
        <v>7299</v>
      </c>
      <c r="D1418" s="670" t="s">
        <v>7584</v>
      </c>
      <c r="E1418" s="924" t="s">
        <v>5015</v>
      </c>
      <c r="F1418" s="926" t="s">
        <v>1528</v>
      </c>
      <c r="G1418" s="924" t="s">
        <v>2156</v>
      </c>
      <c r="H1418" s="931">
        <v>1</v>
      </c>
      <c r="I1418" s="985" t="s">
        <v>2161</v>
      </c>
      <c r="J1418" s="924" t="s">
        <v>1454</v>
      </c>
      <c r="K1418" s="989" t="s">
        <v>7343</v>
      </c>
      <c r="L1418" s="990">
        <v>9500000</v>
      </c>
      <c r="M1418" s="930"/>
      <c r="N1418" s="990">
        <v>9500000</v>
      </c>
      <c r="O1418" s="991">
        <v>43009.625</v>
      </c>
      <c r="P1418" s="991">
        <v>43070.625</v>
      </c>
      <c r="Q1418" s="930" t="s">
        <v>106</v>
      </c>
      <c r="R1418" s="634" t="s">
        <v>112</v>
      </c>
      <c r="S1418" s="930" t="s">
        <v>1457</v>
      </c>
      <c r="T1418" s="990"/>
      <c r="U1418" s="930"/>
      <c r="V1418" s="930"/>
      <c r="W1418" s="930"/>
      <c r="X1418" s="970"/>
      <c r="Y1418" s="930"/>
      <c r="Z1418" s="932"/>
      <c r="AA1418" s="908" t="s">
        <v>1458</v>
      </c>
      <c r="AB1418" s="843" t="s">
        <v>263</v>
      </c>
      <c r="AC1418" s="936"/>
      <c r="AD1418" s="844" t="s">
        <v>113</v>
      </c>
      <c r="AE1418" s="937">
        <f t="shared" si="36"/>
        <v>10</v>
      </c>
    </row>
    <row r="1419" spans="1:31" s="969" customFormat="1" ht="105" hidden="1" x14ac:dyDescent="0.25">
      <c r="A1419" s="960" t="s">
        <v>7407</v>
      </c>
      <c r="B1419" s="985" t="s">
        <v>1540</v>
      </c>
      <c r="C1419" s="985" t="s">
        <v>1545</v>
      </c>
      <c r="D1419" s="670" t="s">
        <v>7585</v>
      </c>
      <c r="E1419" s="924" t="s">
        <v>1464</v>
      </c>
      <c r="F1419" s="926" t="s">
        <v>1528</v>
      </c>
      <c r="G1419" s="924" t="s">
        <v>2156</v>
      </c>
      <c r="H1419" s="931">
        <v>50</v>
      </c>
      <c r="I1419" s="985" t="s">
        <v>2161</v>
      </c>
      <c r="J1419" s="924" t="s">
        <v>1454</v>
      </c>
      <c r="K1419" s="989" t="s">
        <v>6543</v>
      </c>
      <c r="L1419" s="990">
        <v>768750</v>
      </c>
      <c r="M1419" s="930"/>
      <c r="N1419" s="990">
        <v>768750</v>
      </c>
      <c r="O1419" s="991">
        <v>43009.625</v>
      </c>
      <c r="P1419" s="991">
        <v>43070.625</v>
      </c>
      <c r="Q1419" s="930" t="s">
        <v>108</v>
      </c>
      <c r="R1419" s="634" t="s">
        <v>112</v>
      </c>
      <c r="S1419" s="930" t="s">
        <v>1457</v>
      </c>
      <c r="T1419" s="990"/>
      <c r="U1419" s="930"/>
      <c r="V1419" s="930"/>
      <c r="W1419" s="930"/>
      <c r="X1419" s="970"/>
      <c r="Y1419" s="930"/>
      <c r="Z1419" s="932"/>
      <c r="AA1419" s="908" t="s">
        <v>1458</v>
      </c>
      <c r="AB1419" s="843" t="s">
        <v>263</v>
      </c>
      <c r="AC1419" s="936"/>
      <c r="AD1419" s="844" t="s">
        <v>113</v>
      </c>
      <c r="AE1419" s="937">
        <f t="shared" si="36"/>
        <v>10</v>
      </c>
    </row>
    <row r="1420" spans="1:31" s="969" customFormat="1" ht="105" hidden="1" x14ac:dyDescent="0.25">
      <c r="A1420" s="960" t="s">
        <v>7408</v>
      </c>
      <c r="B1420" s="985" t="s">
        <v>1851</v>
      </c>
      <c r="C1420" s="985" t="s">
        <v>6906</v>
      </c>
      <c r="D1420" s="670" t="s">
        <v>7586</v>
      </c>
      <c r="E1420" s="924" t="s">
        <v>1464</v>
      </c>
      <c r="F1420" s="926" t="s">
        <v>1528</v>
      </c>
      <c r="G1420" s="924" t="s">
        <v>2156</v>
      </c>
      <c r="H1420" s="931">
        <v>2</v>
      </c>
      <c r="I1420" s="985" t="s">
        <v>2161</v>
      </c>
      <c r="J1420" s="924" t="s">
        <v>1454</v>
      </c>
      <c r="K1420" s="989" t="s">
        <v>6969</v>
      </c>
      <c r="L1420" s="990">
        <v>80270</v>
      </c>
      <c r="M1420" s="930"/>
      <c r="N1420" s="990">
        <v>80270</v>
      </c>
      <c r="O1420" s="991">
        <v>43009.625</v>
      </c>
      <c r="P1420" s="991">
        <v>43070.625</v>
      </c>
      <c r="Q1420" s="930" t="s">
        <v>108</v>
      </c>
      <c r="R1420" s="634" t="s">
        <v>112</v>
      </c>
      <c r="S1420" s="930" t="s">
        <v>1457</v>
      </c>
      <c r="T1420" s="990"/>
      <c r="U1420" s="930"/>
      <c r="V1420" s="930"/>
      <c r="W1420" s="930"/>
      <c r="X1420" s="970"/>
      <c r="Y1420" s="930"/>
      <c r="Z1420" s="932"/>
      <c r="AA1420" s="908" t="s">
        <v>1458</v>
      </c>
      <c r="AB1420" s="843" t="s">
        <v>263</v>
      </c>
      <c r="AC1420" s="936"/>
      <c r="AD1420" s="844" t="s">
        <v>113</v>
      </c>
      <c r="AE1420" s="937">
        <f t="shared" si="36"/>
        <v>10</v>
      </c>
    </row>
    <row r="1421" spans="1:31" s="969" customFormat="1" ht="105" hidden="1" x14ac:dyDescent="0.25">
      <c r="A1421" s="960" t="s">
        <v>7409</v>
      </c>
      <c r="B1421" s="985" t="s">
        <v>1951</v>
      </c>
      <c r="C1421" s="985" t="s">
        <v>7300</v>
      </c>
      <c r="D1421" s="670" t="s">
        <v>7587</v>
      </c>
      <c r="E1421" s="924" t="s">
        <v>7301</v>
      </c>
      <c r="F1421" s="926" t="s">
        <v>2474</v>
      </c>
      <c r="G1421" s="924" t="s">
        <v>4892</v>
      </c>
      <c r="H1421" s="931">
        <v>800</v>
      </c>
      <c r="I1421" s="985" t="s">
        <v>2161</v>
      </c>
      <c r="J1421" s="924" t="s">
        <v>1454</v>
      </c>
      <c r="K1421" s="989" t="s">
        <v>6529</v>
      </c>
      <c r="L1421" s="990">
        <v>283200</v>
      </c>
      <c r="M1421" s="930"/>
      <c r="N1421" s="990">
        <v>283200</v>
      </c>
      <c r="O1421" s="991">
        <v>43040.625</v>
      </c>
      <c r="P1421" s="991">
        <v>43040.625</v>
      </c>
      <c r="Q1421" s="634" t="s">
        <v>110</v>
      </c>
      <c r="R1421" s="634" t="s">
        <v>113</v>
      </c>
      <c r="S1421" s="930"/>
      <c r="T1421" s="990"/>
      <c r="U1421" s="930"/>
      <c r="V1421" s="930" t="s">
        <v>45</v>
      </c>
      <c r="W1421" s="930" t="s">
        <v>73</v>
      </c>
      <c r="X1421" s="970" t="s">
        <v>5068</v>
      </c>
      <c r="Y1421" s="930" t="s">
        <v>5120</v>
      </c>
      <c r="Z1421" s="932">
        <v>283200</v>
      </c>
      <c r="AA1421" s="908" t="s">
        <v>1458</v>
      </c>
      <c r="AB1421" s="843" t="s">
        <v>263</v>
      </c>
      <c r="AC1421" s="936"/>
      <c r="AD1421" s="844" t="s">
        <v>113</v>
      </c>
      <c r="AE1421" s="937">
        <f t="shared" si="36"/>
        <v>11</v>
      </c>
    </row>
    <row r="1422" spans="1:31" s="969" customFormat="1" ht="105" hidden="1" x14ac:dyDescent="0.25">
      <c r="A1422" s="960" t="s">
        <v>7410</v>
      </c>
      <c r="B1422" s="985" t="s">
        <v>1517</v>
      </c>
      <c r="C1422" s="985" t="s">
        <v>7302</v>
      </c>
      <c r="D1422" s="670" t="s">
        <v>7588</v>
      </c>
      <c r="E1422" s="924" t="s">
        <v>1464</v>
      </c>
      <c r="F1422" s="926" t="s">
        <v>1528</v>
      </c>
      <c r="G1422" s="924" t="s">
        <v>2156</v>
      </c>
      <c r="H1422" s="931">
        <v>2</v>
      </c>
      <c r="I1422" s="985" t="s">
        <v>2161</v>
      </c>
      <c r="J1422" s="924" t="s">
        <v>1454</v>
      </c>
      <c r="K1422" s="989" t="s">
        <v>7344</v>
      </c>
      <c r="L1422" s="990">
        <v>25605</v>
      </c>
      <c r="M1422" s="930"/>
      <c r="N1422" s="990">
        <v>25605</v>
      </c>
      <c r="O1422" s="991">
        <v>43040.625</v>
      </c>
      <c r="P1422" s="991">
        <v>43070.625</v>
      </c>
      <c r="Q1422" s="930" t="s">
        <v>108</v>
      </c>
      <c r="R1422" s="634" t="s">
        <v>112</v>
      </c>
      <c r="S1422" s="930" t="s">
        <v>1457</v>
      </c>
      <c r="T1422" s="990"/>
      <c r="U1422" s="930"/>
      <c r="V1422" s="930"/>
      <c r="W1422" s="930"/>
      <c r="X1422" s="970"/>
      <c r="Y1422" s="930"/>
      <c r="Z1422" s="932"/>
      <c r="AA1422" s="908" t="s">
        <v>1458</v>
      </c>
      <c r="AB1422" s="843" t="s">
        <v>263</v>
      </c>
      <c r="AC1422" s="936"/>
      <c r="AD1422" s="844" t="s">
        <v>113</v>
      </c>
      <c r="AE1422" s="937">
        <f t="shared" si="36"/>
        <v>11</v>
      </c>
    </row>
    <row r="1423" spans="1:31" s="969" customFormat="1" ht="105" hidden="1" x14ac:dyDescent="0.25">
      <c r="A1423" s="960" t="s">
        <v>7411</v>
      </c>
      <c r="B1423" s="985" t="s">
        <v>1951</v>
      </c>
      <c r="C1423" s="985" t="s">
        <v>1951</v>
      </c>
      <c r="D1423" s="670" t="s">
        <v>7589</v>
      </c>
      <c r="E1423" s="924" t="s">
        <v>7301</v>
      </c>
      <c r="F1423" s="926" t="s">
        <v>1528</v>
      </c>
      <c r="G1423" s="924" t="s">
        <v>2156</v>
      </c>
      <c r="H1423" s="931">
        <v>320</v>
      </c>
      <c r="I1423" s="985" t="s">
        <v>2161</v>
      </c>
      <c r="J1423" s="924" t="s">
        <v>1454</v>
      </c>
      <c r="K1423" s="989" t="s">
        <v>7345</v>
      </c>
      <c r="L1423" s="990">
        <v>1357094.4</v>
      </c>
      <c r="M1423" s="930" t="s">
        <v>997</v>
      </c>
      <c r="N1423" s="990">
        <v>1357094.4</v>
      </c>
      <c r="O1423" s="991">
        <v>43040.625</v>
      </c>
      <c r="P1423" s="991">
        <v>43070.625</v>
      </c>
      <c r="Q1423" s="634" t="s">
        <v>110</v>
      </c>
      <c r="R1423" s="634" t="s">
        <v>113</v>
      </c>
      <c r="S1423" s="930"/>
      <c r="T1423" s="990"/>
      <c r="U1423" s="930"/>
      <c r="V1423" s="930" t="s">
        <v>45</v>
      </c>
      <c r="W1423" s="930" t="s">
        <v>73</v>
      </c>
      <c r="X1423" s="635" t="s">
        <v>5922</v>
      </c>
      <c r="Y1423" s="634" t="s">
        <v>5923</v>
      </c>
      <c r="Z1423" s="932">
        <v>1357094.4</v>
      </c>
      <c r="AA1423" s="908" t="s">
        <v>1458</v>
      </c>
      <c r="AB1423" s="843" t="s">
        <v>263</v>
      </c>
      <c r="AC1423" s="936"/>
      <c r="AD1423" s="844" t="s">
        <v>113</v>
      </c>
      <c r="AE1423" s="937">
        <f t="shared" si="36"/>
        <v>11</v>
      </c>
    </row>
    <row r="1424" spans="1:31" s="969" customFormat="1" ht="105" hidden="1" x14ac:dyDescent="0.25">
      <c r="A1424" s="960" t="s">
        <v>7412</v>
      </c>
      <c r="B1424" s="985" t="s">
        <v>1672</v>
      </c>
      <c r="C1424" s="985" t="s">
        <v>152</v>
      </c>
      <c r="D1424" s="670" t="s">
        <v>7590</v>
      </c>
      <c r="E1424" s="924" t="s">
        <v>7301</v>
      </c>
      <c r="F1424" s="926" t="s">
        <v>1528</v>
      </c>
      <c r="G1424" s="924" t="s">
        <v>2156</v>
      </c>
      <c r="H1424" s="931">
        <v>640</v>
      </c>
      <c r="I1424" s="985" t="s">
        <v>2161</v>
      </c>
      <c r="J1424" s="924" t="s">
        <v>1454</v>
      </c>
      <c r="K1424" s="989" t="s">
        <v>7346</v>
      </c>
      <c r="L1424" s="990">
        <v>1279282</v>
      </c>
      <c r="M1424" s="930"/>
      <c r="N1424" s="990">
        <v>1279282</v>
      </c>
      <c r="O1424" s="991">
        <v>43040.625</v>
      </c>
      <c r="P1424" s="991">
        <v>43070.625</v>
      </c>
      <c r="Q1424" s="634" t="s">
        <v>110</v>
      </c>
      <c r="R1424" s="634" t="s">
        <v>113</v>
      </c>
      <c r="S1424" s="930"/>
      <c r="T1424" s="990"/>
      <c r="U1424" s="930"/>
      <c r="V1424" s="930"/>
      <c r="W1424" s="930"/>
      <c r="X1424" s="970"/>
      <c r="Y1424" s="930"/>
      <c r="Z1424" s="932"/>
      <c r="AA1424" s="908" t="s">
        <v>1458</v>
      </c>
      <c r="AB1424" s="843" t="s">
        <v>263</v>
      </c>
      <c r="AC1424" s="936"/>
      <c r="AD1424" s="844" t="s">
        <v>113</v>
      </c>
      <c r="AE1424" s="937">
        <f t="shared" si="36"/>
        <v>11</v>
      </c>
    </row>
    <row r="1425" spans="1:31" s="969" customFormat="1" ht="105" hidden="1" x14ac:dyDescent="0.25">
      <c r="A1425" s="960" t="s">
        <v>7413</v>
      </c>
      <c r="B1425" s="985" t="s">
        <v>7303</v>
      </c>
      <c r="C1425" s="985" t="s">
        <v>1545</v>
      </c>
      <c r="D1425" s="670" t="s">
        <v>7591</v>
      </c>
      <c r="E1425" s="924" t="s">
        <v>1464</v>
      </c>
      <c r="F1425" s="926" t="s">
        <v>1528</v>
      </c>
      <c r="G1425" s="924" t="s">
        <v>2156</v>
      </c>
      <c r="H1425" s="931">
        <v>15</v>
      </c>
      <c r="I1425" s="985" t="s">
        <v>2161</v>
      </c>
      <c r="J1425" s="924" t="s">
        <v>1454</v>
      </c>
      <c r="K1425" s="989" t="s">
        <v>2776</v>
      </c>
      <c r="L1425" s="990">
        <v>225000</v>
      </c>
      <c r="M1425" s="930" t="s">
        <v>997</v>
      </c>
      <c r="N1425" s="990">
        <v>225000</v>
      </c>
      <c r="O1425" s="991">
        <v>43040.625</v>
      </c>
      <c r="P1425" s="991">
        <v>43070.625</v>
      </c>
      <c r="Q1425" s="634" t="s">
        <v>110</v>
      </c>
      <c r="R1425" s="634" t="s">
        <v>113</v>
      </c>
      <c r="S1425" s="930"/>
      <c r="T1425" s="990"/>
      <c r="U1425" s="930"/>
      <c r="V1425" s="930"/>
      <c r="W1425" s="930" t="s">
        <v>73</v>
      </c>
      <c r="X1425" s="635" t="s">
        <v>8044</v>
      </c>
      <c r="Y1425" s="634" t="s">
        <v>8045</v>
      </c>
      <c r="Z1425" s="932">
        <v>225000</v>
      </c>
      <c r="AA1425" s="908" t="s">
        <v>1458</v>
      </c>
      <c r="AB1425" s="843" t="s">
        <v>263</v>
      </c>
      <c r="AC1425" s="936"/>
      <c r="AD1425" s="844" t="s">
        <v>113</v>
      </c>
      <c r="AE1425" s="937">
        <f t="shared" si="36"/>
        <v>11</v>
      </c>
    </row>
    <row r="1426" spans="1:31" s="969" customFormat="1" ht="105" hidden="1" x14ac:dyDescent="0.25">
      <c r="A1426" s="960" t="s">
        <v>7414</v>
      </c>
      <c r="B1426" s="985" t="s">
        <v>1851</v>
      </c>
      <c r="C1426" s="985" t="s">
        <v>7304</v>
      </c>
      <c r="D1426" s="670" t="s">
        <v>7592</v>
      </c>
      <c r="E1426" s="924" t="s">
        <v>1464</v>
      </c>
      <c r="F1426" s="926" t="s">
        <v>1528</v>
      </c>
      <c r="G1426" s="924" t="s">
        <v>2156</v>
      </c>
      <c r="H1426" s="931">
        <v>14</v>
      </c>
      <c r="I1426" s="985" t="s">
        <v>2161</v>
      </c>
      <c r="J1426" s="924" t="s">
        <v>1454</v>
      </c>
      <c r="K1426" s="989" t="s">
        <v>7347</v>
      </c>
      <c r="L1426" s="990">
        <v>1776574</v>
      </c>
      <c r="M1426" s="930"/>
      <c r="N1426" s="990">
        <v>1776574</v>
      </c>
      <c r="O1426" s="991">
        <v>43040.625</v>
      </c>
      <c r="P1426" s="991">
        <v>43070.625</v>
      </c>
      <c r="Q1426" s="634" t="s">
        <v>110</v>
      </c>
      <c r="R1426" s="634" t="s">
        <v>113</v>
      </c>
      <c r="S1426" s="930"/>
      <c r="T1426" s="990"/>
      <c r="U1426" s="930"/>
      <c r="V1426" s="930"/>
      <c r="W1426" s="930"/>
      <c r="X1426" s="970"/>
      <c r="Y1426" s="930"/>
      <c r="Z1426" s="932"/>
      <c r="AA1426" s="908" t="s">
        <v>1458</v>
      </c>
      <c r="AB1426" s="843" t="s">
        <v>263</v>
      </c>
      <c r="AC1426" s="936"/>
      <c r="AD1426" s="844" t="s">
        <v>113</v>
      </c>
      <c r="AE1426" s="937">
        <f t="shared" si="36"/>
        <v>11</v>
      </c>
    </row>
    <row r="1427" spans="1:31" s="969" customFormat="1" ht="105" hidden="1" x14ac:dyDescent="0.25">
      <c r="A1427" s="960" t="s">
        <v>7415</v>
      </c>
      <c r="B1427" s="985" t="s">
        <v>6931</v>
      </c>
      <c r="C1427" s="985" t="s">
        <v>7305</v>
      </c>
      <c r="D1427" s="670" t="s">
        <v>7593</v>
      </c>
      <c r="E1427" s="924" t="s">
        <v>1569</v>
      </c>
      <c r="F1427" s="926" t="s">
        <v>1528</v>
      </c>
      <c r="G1427" s="924" t="s">
        <v>2156</v>
      </c>
      <c r="H1427" s="931">
        <v>23</v>
      </c>
      <c r="I1427" s="985" t="s">
        <v>2161</v>
      </c>
      <c r="J1427" s="924" t="s">
        <v>1454</v>
      </c>
      <c r="K1427" s="989" t="s">
        <v>8133</v>
      </c>
      <c r="L1427" s="990">
        <v>1467186.33</v>
      </c>
      <c r="M1427" s="930"/>
      <c r="N1427" s="990">
        <v>1467186.33</v>
      </c>
      <c r="O1427" s="991">
        <v>43040.625</v>
      </c>
      <c r="P1427" s="991">
        <v>43070.625</v>
      </c>
      <c r="Q1427" s="930" t="s">
        <v>108</v>
      </c>
      <c r="R1427" s="634" t="s">
        <v>112</v>
      </c>
      <c r="S1427" s="930" t="s">
        <v>1457</v>
      </c>
      <c r="T1427" s="990"/>
      <c r="U1427" s="930"/>
      <c r="V1427" s="930"/>
      <c r="W1427" s="930"/>
      <c r="X1427" s="970"/>
      <c r="Y1427" s="930"/>
      <c r="Z1427" s="932"/>
      <c r="AA1427" s="908" t="s">
        <v>1458</v>
      </c>
      <c r="AB1427" s="843" t="s">
        <v>263</v>
      </c>
      <c r="AC1427" s="936"/>
      <c r="AD1427" s="844" t="s">
        <v>113</v>
      </c>
      <c r="AE1427" s="937">
        <f t="shared" si="36"/>
        <v>11</v>
      </c>
    </row>
    <row r="1428" spans="1:31" s="969" customFormat="1" ht="105" hidden="1" x14ac:dyDescent="0.25">
      <c r="A1428" s="960" t="s">
        <v>7416</v>
      </c>
      <c r="B1428" s="985" t="s">
        <v>2421</v>
      </c>
      <c r="C1428" s="985" t="s">
        <v>6940</v>
      </c>
      <c r="D1428" s="670" t="s">
        <v>7594</v>
      </c>
      <c r="E1428" s="924" t="s">
        <v>1569</v>
      </c>
      <c r="F1428" s="926" t="s">
        <v>1528</v>
      </c>
      <c r="G1428" s="924" t="s">
        <v>2156</v>
      </c>
      <c r="H1428" s="931">
        <v>1</v>
      </c>
      <c r="I1428" s="985" t="s">
        <v>2161</v>
      </c>
      <c r="J1428" s="924" t="s">
        <v>1454</v>
      </c>
      <c r="K1428" s="989" t="s">
        <v>8136</v>
      </c>
      <c r="L1428" s="990">
        <v>1051550</v>
      </c>
      <c r="M1428" s="930"/>
      <c r="N1428" s="990">
        <v>1051550</v>
      </c>
      <c r="O1428" s="991">
        <v>43040.625</v>
      </c>
      <c r="P1428" s="991">
        <v>43070.625</v>
      </c>
      <c r="Q1428" s="930" t="s">
        <v>108</v>
      </c>
      <c r="R1428" s="634" t="s">
        <v>112</v>
      </c>
      <c r="S1428" s="930" t="s">
        <v>1457</v>
      </c>
      <c r="T1428" s="990"/>
      <c r="U1428" s="930"/>
      <c r="V1428" s="930"/>
      <c r="W1428" s="930"/>
      <c r="X1428" s="970"/>
      <c r="Y1428" s="930"/>
      <c r="Z1428" s="932"/>
      <c r="AA1428" s="908" t="s">
        <v>1458</v>
      </c>
      <c r="AB1428" s="843" t="s">
        <v>263</v>
      </c>
      <c r="AC1428" s="936"/>
      <c r="AD1428" s="844" t="s">
        <v>113</v>
      </c>
      <c r="AE1428" s="937">
        <f t="shared" si="36"/>
        <v>11</v>
      </c>
    </row>
    <row r="1429" spans="1:31" s="969" customFormat="1" ht="105" hidden="1" x14ac:dyDescent="0.25">
      <c r="A1429" s="960" t="s">
        <v>7417</v>
      </c>
      <c r="B1429" s="985" t="s">
        <v>6497</v>
      </c>
      <c r="C1429" s="985" t="s">
        <v>6498</v>
      </c>
      <c r="D1429" s="670" t="s">
        <v>7595</v>
      </c>
      <c r="E1429" s="924" t="s">
        <v>1569</v>
      </c>
      <c r="F1429" s="926" t="s">
        <v>1528</v>
      </c>
      <c r="G1429" s="924" t="s">
        <v>2156</v>
      </c>
      <c r="H1429" s="931">
        <v>30</v>
      </c>
      <c r="I1429" s="985" t="s">
        <v>2161</v>
      </c>
      <c r="J1429" s="924" t="s">
        <v>1454</v>
      </c>
      <c r="K1429" s="989" t="s">
        <v>7348</v>
      </c>
      <c r="L1429" s="990">
        <v>1078049.18</v>
      </c>
      <c r="M1429" s="930"/>
      <c r="N1429" s="990">
        <v>1078049.18</v>
      </c>
      <c r="O1429" s="991">
        <v>43040.625</v>
      </c>
      <c r="P1429" s="991">
        <v>43070.625</v>
      </c>
      <c r="Q1429" s="930" t="s">
        <v>108</v>
      </c>
      <c r="R1429" s="634" t="s">
        <v>112</v>
      </c>
      <c r="S1429" s="930" t="s">
        <v>1457</v>
      </c>
      <c r="T1429" s="990"/>
      <c r="U1429" s="930"/>
      <c r="V1429" s="930"/>
      <c r="W1429" s="930"/>
      <c r="X1429" s="970"/>
      <c r="Y1429" s="930"/>
      <c r="Z1429" s="932"/>
      <c r="AA1429" s="908" t="s">
        <v>1458</v>
      </c>
      <c r="AB1429" s="843" t="s">
        <v>263</v>
      </c>
      <c r="AC1429" s="936"/>
      <c r="AD1429" s="844" t="s">
        <v>113</v>
      </c>
      <c r="AE1429" s="937">
        <f t="shared" ref="AE1429:AE1460" si="37">IF(O1429=0,,MONTH(O1429))</f>
        <v>11</v>
      </c>
    </row>
    <row r="1430" spans="1:31" s="969" customFormat="1" ht="105" hidden="1" x14ac:dyDescent="0.25">
      <c r="A1430" s="960" t="s">
        <v>7418</v>
      </c>
      <c r="B1430" s="985" t="s">
        <v>7306</v>
      </c>
      <c r="C1430" s="985" t="s">
        <v>7307</v>
      </c>
      <c r="D1430" s="670" t="s">
        <v>7596</v>
      </c>
      <c r="E1430" s="924" t="s">
        <v>1569</v>
      </c>
      <c r="F1430" s="926" t="s">
        <v>1528</v>
      </c>
      <c r="G1430" s="924" t="s">
        <v>2156</v>
      </c>
      <c r="H1430" s="931">
        <v>1</v>
      </c>
      <c r="I1430" s="985" t="s">
        <v>2161</v>
      </c>
      <c r="J1430" s="924" t="s">
        <v>1454</v>
      </c>
      <c r="K1430" s="989" t="s">
        <v>7349</v>
      </c>
      <c r="L1430" s="990">
        <v>803955.63</v>
      </c>
      <c r="M1430" s="930"/>
      <c r="N1430" s="990">
        <v>803955.63</v>
      </c>
      <c r="O1430" s="991">
        <v>43040.625</v>
      </c>
      <c r="P1430" s="991">
        <v>43070.625</v>
      </c>
      <c r="Q1430" s="930" t="s">
        <v>108</v>
      </c>
      <c r="R1430" s="634" t="s">
        <v>112</v>
      </c>
      <c r="S1430" s="930" t="s">
        <v>1457</v>
      </c>
      <c r="T1430" s="990"/>
      <c r="U1430" s="930"/>
      <c r="V1430" s="930"/>
      <c r="W1430" s="930"/>
      <c r="X1430" s="970"/>
      <c r="Y1430" s="930"/>
      <c r="Z1430" s="932"/>
      <c r="AA1430" s="908" t="s">
        <v>1458</v>
      </c>
      <c r="AB1430" s="843" t="s">
        <v>263</v>
      </c>
      <c r="AC1430" s="936"/>
      <c r="AD1430" s="844" t="s">
        <v>113</v>
      </c>
      <c r="AE1430" s="937">
        <f t="shared" si="37"/>
        <v>11</v>
      </c>
    </row>
    <row r="1431" spans="1:31" s="969" customFormat="1" ht="105" hidden="1" x14ac:dyDescent="0.25">
      <c r="A1431" s="960" t="s">
        <v>7419</v>
      </c>
      <c r="B1431" s="985" t="s">
        <v>2211</v>
      </c>
      <c r="C1431" s="985" t="s">
        <v>2211</v>
      </c>
      <c r="D1431" s="670" t="s">
        <v>7597</v>
      </c>
      <c r="E1431" s="924" t="s">
        <v>1569</v>
      </c>
      <c r="F1431" s="926" t="s">
        <v>1587</v>
      </c>
      <c r="G1431" s="924" t="s">
        <v>2256</v>
      </c>
      <c r="H1431" s="931">
        <v>1</v>
      </c>
      <c r="I1431" s="985" t="s">
        <v>2161</v>
      </c>
      <c r="J1431" s="924" t="s">
        <v>1454</v>
      </c>
      <c r="K1431" s="989" t="s">
        <v>7350</v>
      </c>
      <c r="L1431" s="990">
        <v>4168184.15</v>
      </c>
      <c r="M1431" s="930"/>
      <c r="N1431" s="990">
        <v>4168184.15</v>
      </c>
      <c r="O1431" s="991">
        <v>43040.625</v>
      </c>
      <c r="P1431" s="991">
        <v>43160.625</v>
      </c>
      <c r="Q1431" s="930" t="s">
        <v>108</v>
      </c>
      <c r="R1431" s="634" t="s">
        <v>112</v>
      </c>
      <c r="S1431" s="930" t="s">
        <v>1457</v>
      </c>
      <c r="T1431" s="990"/>
      <c r="U1431" s="930"/>
      <c r="V1431" s="930"/>
      <c r="W1431" s="930"/>
      <c r="X1431" s="970"/>
      <c r="Y1431" s="930"/>
      <c r="Z1431" s="932"/>
      <c r="AA1431" s="908" t="s">
        <v>1458</v>
      </c>
      <c r="AB1431" s="843" t="s">
        <v>263</v>
      </c>
      <c r="AC1431" s="936"/>
      <c r="AD1431" s="844" t="s">
        <v>113</v>
      </c>
      <c r="AE1431" s="937">
        <f t="shared" si="37"/>
        <v>11</v>
      </c>
    </row>
    <row r="1432" spans="1:31" s="969" customFormat="1" ht="127.5" hidden="1" x14ac:dyDescent="0.25">
      <c r="A1432" s="960" t="s">
        <v>7420</v>
      </c>
      <c r="B1432" s="985" t="s">
        <v>1672</v>
      </c>
      <c r="C1432" s="985" t="s">
        <v>1673</v>
      </c>
      <c r="D1432" s="670" t="s">
        <v>7598</v>
      </c>
      <c r="E1432" s="924" t="s">
        <v>6177</v>
      </c>
      <c r="F1432" s="926" t="s">
        <v>1587</v>
      </c>
      <c r="G1432" s="924" t="s">
        <v>2256</v>
      </c>
      <c r="H1432" s="931">
        <v>1</v>
      </c>
      <c r="I1432" s="985" t="s">
        <v>2161</v>
      </c>
      <c r="J1432" s="924" t="s">
        <v>1454</v>
      </c>
      <c r="K1432" s="989" t="s">
        <v>7351</v>
      </c>
      <c r="L1432" s="990">
        <v>732529.52</v>
      </c>
      <c r="M1432" s="930"/>
      <c r="N1432" s="990">
        <v>732529.52</v>
      </c>
      <c r="O1432" s="991">
        <v>43040.625</v>
      </c>
      <c r="P1432" s="991">
        <v>43070.625</v>
      </c>
      <c r="Q1432" s="930" t="s">
        <v>108</v>
      </c>
      <c r="R1432" s="634" t="s">
        <v>112</v>
      </c>
      <c r="S1432" s="930" t="s">
        <v>1457</v>
      </c>
      <c r="T1432" s="990"/>
      <c r="U1432" s="930"/>
      <c r="V1432" s="930"/>
      <c r="W1432" s="930"/>
      <c r="X1432" s="970"/>
      <c r="Y1432" s="930"/>
      <c r="Z1432" s="932"/>
      <c r="AA1432" s="908" t="s">
        <v>1458</v>
      </c>
      <c r="AB1432" s="843" t="s">
        <v>263</v>
      </c>
      <c r="AC1432" s="936"/>
      <c r="AD1432" s="844" t="s">
        <v>113</v>
      </c>
      <c r="AE1432" s="937">
        <f t="shared" si="37"/>
        <v>11</v>
      </c>
    </row>
    <row r="1433" spans="1:31" s="969" customFormat="1" ht="105" hidden="1" x14ac:dyDescent="0.25">
      <c r="A1433" s="960" t="s">
        <v>7421</v>
      </c>
      <c r="B1433" s="985" t="s">
        <v>2021</v>
      </c>
      <c r="C1433" s="985" t="s">
        <v>6916</v>
      </c>
      <c r="D1433" s="670" t="s">
        <v>7599</v>
      </c>
      <c r="E1433" s="924" t="s">
        <v>1464</v>
      </c>
      <c r="F1433" s="926" t="s">
        <v>1528</v>
      </c>
      <c r="G1433" s="924" t="s">
        <v>2156</v>
      </c>
      <c r="H1433" s="931">
        <v>4424</v>
      </c>
      <c r="I1433" s="985" t="s">
        <v>2161</v>
      </c>
      <c r="J1433" s="924" t="s">
        <v>1454</v>
      </c>
      <c r="K1433" s="989" t="s">
        <v>7352</v>
      </c>
      <c r="L1433" s="990">
        <v>733113</v>
      </c>
      <c r="M1433" s="930"/>
      <c r="N1433" s="990">
        <v>733113</v>
      </c>
      <c r="O1433" s="991">
        <v>43040.625</v>
      </c>
      <c r="P1433" s="991">
        <v>43070.625</v>
      </c>
      <c r="Q1433" s="634" t="s">
        <v>110</v>
      </c>
      <c r="R1433" s="634" t="s">
        <v>113</v>
      </c>
      <c r="S1433" s="930"/>
      <c r="T1433" s="990"/>
      <c r="U1433" s="930"/>
      <c r="V1433" s="930"/>
      <c r="W1433" s="930"/>
      <c r="X1433" s="970"/>
      <c r="Y1433" s="930"/>
      <c r="Z1433" s="932"/>
      <c r="AA1433" s="908" t="s">
        <v>1458</v>
      </c>
      <c r="AB1433" s="843" t="s">
        <v>263</v>
      </c>
      <c r="AC1433" s="936"/>
      <c r="AD1433" s="844" t="s">
        <v>113</v>
      </c>
      <c r="AE1433" s="937">
        <f t="shared" si="37"/>
        <v>11</v>
      </c>
    </row>
    <row r="1434" spans="1:31" s="969" customFormat="1" ht="105" hidden="1" x14ac:dyDescent="0.25">
      <c r="A1434" s="960" t="s">
        <v>7422</v>
      </c>
      <c r="B1434" s="985" t="s">
        <v>1576</v>
      </c>
      <c r="C1434" s="985" t="s">
        <v>1738</v>
      </c>
      <c r="D1434" s="670" t="s">
        <v>7600</v>
      </c>
      <c r="E1434" s="924" t="s">
        <v>5034</v>
      </c>
      <c r="F1434" s="926" t="s">
        <v>1528</v>
      </c>
      <c r="G1434" s="924" t="s">
        <v>2156</v>
      </c>
      <c r="H1434" s="931">
        <v>100</v>
      </c>
      <c r="I1434" s="985" t="s">
        <v>2161</v>
      </c>
      <c r="J1434" s="924" t="s">
        <v>1454</v>
      </c>
      <c r="K1434" s="989" t="s">
        <v>7353</v>
      </c>
      <c r="L1434" s="990">
        <v>417000</v>
      </c>
      <c r="M1434" s="930"/>
      <c r="N1434" s="990">
        <v>417000</v>
      </c>
      <c r="O1434" s="991">
        <v>43040.625</v>
      </c>
      <c r="P1434" s="991">
        <v>43070.625</v>
      </c>
      <c r="Q1434" s="634" t="s">
        <v>110</v>
      </c>
      <c r="R1434" s="634" t="s">
        <v>113</v>
      </c>
      <c r="S1434" s="930"/>
      <c r="T1434" s="990"/>
      <c r="U1434" s="930"/>
      <c r="V1434" s="930"/>
      <c r="W1434" s="930"/>
      <c r="X1434" s="970"/>
      <c r="Y1434" s="930"/>
      <c r="Z1434" s="932"/>
      <c r="AA1434" s="908" t="s">
        <v>1458</v>
      </c>
      <c r="AB1434" s="843" t="s">
        <v>263</v>
      </c>
      <c r="AC1434" s="936"/>
      <c r="AD1434" s="844" t="s">
        <v>113</v>
      </c>
      <c r="AE1434" s="937">
        <f t="shared" si="37"/>
        <v>11</v>
      </c>
    </row>
    <row r="1435" spans="1:31" s="969" customFormat="1" ht="105" hidden="1" x14ac:dyDescent="0.25">
      <c r="A1435" s="960" t="s">
        <v>7423</v>
      </c>
      <c r="B1435" s="985" t="s">
        <v>1576</v>
      </c>
      <c r="C1435" s="985" t="s">
        <v>1756</v>
      </c>
      <c r="D1435" s="670" t="s">
        <v>7601</v>
      </c>
      <c r="E1435" s="924" t="s">
        <v>7308</v>
      </c>
      <c r="F1435" s="926" t="s">
        <v>1528</v>
      </c>
      <c r="G1435" s="924" t="s">
        <v>2156</v>
      </c>
      <c r="H1435" s="931">
        <v>86</v>
      </c>
      <c r="I1435" s="985" t="s">
        <v>2161</v>
      </c>
      <c r="J1435" s="924" t="s">
        <v>1454</v>
      </c>
      <c r="K1435" s="989" t="s">
        <v>7354</v>
      </c>
      <c r="L1435" s="990">
        <v>129309.47</v>
      </c>
      <c r="M1435" s="930" t="s">
        <v>997</v>
      </c>
      <c r="N1435" s="990">
        <v>129309.47</v>
      </c>
      <c r="O1435" s="991">
        <v>43040.625</v>
      </c>
      <c r="P1435" s="991">
        <v>43070.625</v>
      </c>
      <c r="Q1435" s="634" t="s">
        <v>110</v>
      </c>
      <c r="R1435" s="634" t="s">
        <v>113</v>
      </c>
      <c r="S1435" s="930"/>
      <c r="T1435" s="990"/>
      <c r="U1435" s="930"/>
      <c r="V1435" s="930" t="s">
        <v>45</v>
      </c>
      <c r="W1435" s="930" t="s">
        <v>72</v>
      </c>
      <c r="X1435" s="635" t="s">
        <v>2363</v>
      </c>
      <c r="Y1435" s="634" t="s">
        <v>2367</v>
      </c>
      <c r="Z1435" s="932">
        <v>129309.47</v>
      </c>
      <c r="AA1435" s="908" t="s">
        <v>1458</v>
      </c>
      <c r="AB1435" s="843" t="s">
        <v>263</v>
      </c>
      <c r="AC1435" s="936"/>
      <c r="AD1435" s="844" t="s">
        <v>113</v>
      </c>
      <c r="AE1435" s="937">
        <f t="shared" si="37"/>
        <v>11</v>
      </c>
    </row>
    <row r="1436" spans="1:31" s="969" customFormat="1" ht="105" hidden="1" x14ac:dyDescent="0.25">
      <c r="A1436" s="960" t="s">
        <v>7424</v>
      </c>
      <c r="B1436" s="985" t="s">
        <v>1531</v>
      </c>
      <c r="C1436" s="985" t="s">
        <v>7309</v>
      </c>
      <c r="D1436" s="670" t="s">
        <v>7602</v>
      </c>
      <c r="E1436" s="924" t="s">
        <v>7310</v>
      </c>
      <c r="F1436" s="926" t="s">
        <v>1528</v>
      </c>
      <c r="G1436" s="924" t="s">
        <v>2156</v>
      </c>
      <c r="H1436" s="931">
        <v>86</v>
      </c>
      <c r="I1436" s="985" t="s">
        <v>2161</v>
      </c>
      <c r="J1436" s="924" t="s">
        <v>1454</v>
      </c>
      <c r="K1436" s="989" t="s">
        <v>7355</v>
      </c>
      <c r="L1436" s="990">
        <v>889463.06</v>
      </c>
      <c r="M1436" s="930" t="s">
        <v>997</v>
      </c>
      <c r="N1436" s="990">
        <v>889463.06</v>
      </c>
      <c r="O1436" s="991">
        <v>43040.625</v>
      </c>
      <c r="P1436" s="991">
        <v>43070.625</v>
      </c>
      <c r="Q1436" s="634" t="s">
        <v>110</v>
      </c>
      <c r="R1436" s="634" t="s">
        <v>113</v>
      </c>
      <c r="S1436" s="930"/>
      <c r="T1436" s="990"/>
      <c r="U1436" s="930"/>
      <c r="V1436" s="930" t="s">
        <v>45</v>
      </c>
      <c r="W1436" s="930" t="s">
        <v>72</v>
      </c>
      <c r="X1436" s="635" t="s">
        <v>3330</v>
      </c>
      <c r="Y1436" s="634" t="s">
        <v>3331</v>
      </c>
      <c r="Z1436" s="932">
        <v>889463.06</v>
      </c>
      <c r="AA1436" s="908" t="s">
        <v>1458</v>
      </c>
      <c r="AB1436" s="843" t="s">
        <v>263</v>
      </c>
      <c r="AC1436" s="936"/>
      <c r="AD1436" s="844" t="s">
        <v>113</v>
      </c>
      <c r="AE1436" s="937">
        <f t="shared" si="37"/>
        <v>11</v>
      </c>
    </row>
    <row r="1437" spans="1:31" s="969" customFormat="1" ht="105" hidden="1" x14ac:dyDescent="0.25">
      <c r="A1437" s="960" t="s">
        <v>7425</v>
      </c>
      <c r="B1437" s="985" t="s">
        <v>1475</v>
      </c>
      <c r="C1437" s="985" t="s">
        <v>1475</v>
      </c>
      <c r="D1437" s="670" t="s">
        <v>7603</v>
      </c>
      <c r="E1437" s="924" t="s">
        <v>7311</v>
      </c>
      <c r="F1437" s="926" t="s">
        <v>6892</v>
      </c>
      <c r="G1437" s="924" t="s">
        <v>6893</v>
      </c>
      <c r="H1437" s="931">
        <v>83</v>
      </c>
      <c r="I1437" s="985" t="s">
        <v>2161</v>
      </c>
      <c r="J1437" s="924" t="s">
        <v>1454</v>
      </c>
      <c r="K1437" s="989" t="s">
        <v>7356</v>
      </c>
      <c r="L1437" s="990">
        <v>780000</v>
      </c>
      <c r="M1437" s="930"/>
      <c r="N1437" s="990">
        <v>780000</v>
      </c>
      <c r="O1437" s="991">
        <v>43040.625</v>
      </c>
      <c r="P1437" s="991">
        <v>43070.625</v>
      </c>
      <c r="Q1437" s="930" t="s">
        <v>108</v>
      </c>
      <c r="R1437" s="634" t="s">
        <v>112</v>
      </c>
      <c r="S1437" s="930" t="s">
        <v>1457</v>
      </c>
      <c r="T1437" s="990"/>
      <c r="U1437" s="930"/>
      <c r="V1437" s="930"/>
      <c r="W1437" s="930"/>
      <c r="X1437" s="970"/>
      <c r="Y1437" s="930"/>
      <c r="Z1437" s="932"/>
      <c r="AA1437" s="908" t="s">
        <v>1458</v>
      </c>
      <c r="AB1437" s="843" t="s">
        <v>263</v>
      </c>
      <c r="AC1437" s="936"/>
      <c r="AD1437" s="844" t="s">
        <v>113</v>
      </c>
      <c r="AE1437" s="937">
        <f t="shared" si="37"/>
        <v>11</v>
      </c>
    </row>
    <row r="1438" spans="1:31" s="969" customFormat="1" ht="105" hidden="1" x14ac:dyDescent="0.25">
      <c r="A1438" s="960" t="s">
        <v>7426</v>
      </c>
      <c r="B1438" s="985" t="s">
        <v>1540</v>
      </c>
      <c r="C1438" s="985" t="s">
        <v>1540</v>
      </c>
      <c r="D1438" s="670" t="s">
        <v>7604</v>
      </c>
      <c r="E1438" s="924" t="s">
        <v>7312</v>
      </c>
      <c r="F1438" s="926" t="s">
        <v>1528</v>
      </c>
      <c r="G1438" s="924" t="s">
        <v>2156</v>
      </c>
      <c r="H1438" s="931">
        <v>542</v>
      </c>
      <c r="I1438" s="985" t="s">
        <v>2161</v>
      </c>
      <c r="J1438" s="924" t="s">
        <v>1454</v>
      </c>
      <c r="K1438" s="989" t="s">
        <v>7710</v>
      </c>
      <c r="L1438" s="990">
        <v>156981.49</v>
      </c>
      <c r="M1438" s="930" t="s">
        <v>997</v>
      </c>
      <c r="N1438" s="990">
        <v>156981.49</v>
      </c>
      <c r="O1438" s="991">
        <v>43040.625</v>
      </c>
      <c r="P1438" s="991">
        <v>43070.625</v>
      </c>
      <c r="Q1438" s="634" t="s">
        <v>110</v>
      </c>
      <c r="R1438" s="634" t="s">
        <v>113</v>
      </c>
      <c r="S1438" s="930"/>
      <c r="T1438" s="990"/>
      <c r="U1438" s="930"/>
      <c r="V1438" s="930" t="s">
        <v>45</v>
      </c>
      <c r="W1438" s="930" t="s">
        <v>72</v>
      </c>
      <c r="X1438" s="635" t="s">
        <v>6019</v>
      </c>
      <c r="Y1438" s="634" t="s">
        <v>7711</v>
      </c>
      <c r="Z1438" s="932">
        <v>156981.49</v>
      </c>
      <c r="AA1438" s="908" t="s">
        <v>1458</v>
      </c>
      <c r="AB1438" s="843" t="s">
        <v>263</v>
      </c>
      <c r="AC1438" s="936"/>
      <c r="AD1438" s="844" t="s">
        <v>113</v>
      </c>
      <c r="AE1438" s="937">
        <f t="shared" si="37"/>
        <v>11</v>
      </c>
    </row>
    <row r="1439" spans="1:31" s="969" customFormat="1" ht="105" hidden="1" x14ac:dyDescent="0.25">
      <c r="A1439" s="960" t="s">
        <v>7427</v>
      </c>
      <c r="B1439" s="985" t="s">
        <v>1576</v>
      </c>
      <c r="C1439" s="985" t="s">
        <v>1576</v>
      </c>
      <c r="D1439" s="670" t="s">
        <v>7605</v>
      </c>
      <c r="E1439" s="924" t="s">
        <v>2241</v>
      </c>
      <c r="F1439" s="926" t="s">
        <v>1528</v>
      </c>
      <c r="G1439" s="924" t="s">
        <v>2156</v>
      </c>
      <c r="H1439" s="931">
        <v>172</v>
      </c>
      <c r="I1439" s="985" t="s">
        <v>2161</v>
      </c>
      <c r="J1439" s="924" t="s">
        <v>1454</v>
      </c>
      <c r="K1439" s="989" t="s">
        <v>7715</v>
      </c>
      <c r="L1439" s="990">
        <v>406923</v>
      </c>
      <c r="M1439" s="930" t="s">
        <v>997</v>
      </c>
      <c r="N1439" s="990">
        <v>406923</v>
      </c>
      <c r="O1439" s="991">
        <v>43040.625</v>
      </c>
      <c r="P1439" s="991">
        <v>43070.625</v>
      </c>
      <c r="Q1439" s="634" t="s">
        <v>110</v>
      </c>
      <c r="R1439" s="634" t="s">
        <v>113</v>
      </c>
      <c r="S1439" s="930"/>
      <c r="T1439" s="990"/>
      <c r="U1439" s="930"/>
      <c r="V1439" s="930" t="s">
        <v>45</v>
      </c>
      <c r="W1439" s="930" t="s">
        <v>72</v>
      </c>
      <c r="X1439" s="635" t="s">
        <v>2385</v>
      </c>
      <c r="Y1439" s="634" t="s">
        <v>2384</v>
      </c>
      <c r="Z1439" s="932">
        <v>406923</v>
      </c>
      <c r="AA1439" s="908" t="s">
        <v>1458</v>
      </c>
      <c r="AB1439" s="843" t="s">
        <v>263</v>
      </c>
      <c r="AC1439" s="936"/>
      <c r="AD1439" s="844" t="s">
        <v>113</v>
      </c>
      <c r="AE1439" s="937">
        <f t="shared" si="37"/>
        <v>11</v>
      </c>
    </row>
    <row r="1440" spans="1:31" s="969" customFormat="1" ht="105" hidden="1" x14ac:dyDescent="0.25">
      <c r="A1440" s="960" t="s">
        <v>7428</v>
      </c>
      <c r="B1440" s="985" t="s">
        <v>1540</v>
      </c>
      <c r="C1440" s="985" t="s">
        <v>1540</v>
      </c>
      <c r="D1440" s="670" t="s">
        <v>7606</v>
      </c>
      <c r="E1440" s="924" t="s">
        <v>7313</v>
      </c>
      <c r="F1440" s="926" t="s">
        <v>1528</v>
      </c>
      <c r="G1440" s="924" t="s">
        <v>2156</v>
      </c>
      <c r="H1440" s="931">
        <v>438</v>
      </c>
      <c r="I1440" s="985" t="s">
        <v>2161</v>
      </c>
      <c r="J1440" s="924" t="s">
        <v>1454</v>
      </c>
      <c r="K1440" s="989" t="s">
        <v>7357</v>
      </c>
      <c r="L1440" s="990">
        <v>601356.30000000005</v>
      </c>
      <c r="M1440" s="930"/>
      <c r="N1440" s="990">
        <v>601356.30000000005</v>
      </c>
      <c r="O1440" s="991">
        <v>43040.625</v>
      </c>
      <c r="P1440" s="991">
        <v>43070.625</v>
      </c>
      <c r="Q1440" s="634" t="s">
        <v>110</v>
      </c>
      <c r="R1440" s="634" t="s">
        <v>113</v>
      </c>
      <c r="S1440" s="930"/>
      <c r="T1440" s="990"/>
      <c r="U1440" s="930"/>
      <c r="V1440" s="930"/>
      <c r="W1440" s="930"/>
      <c r="X1440" s="970"/>
      <c r="Y1440" s="930"/>
      <c r="Z1440" s="932"/>
      <c r="AA1440" s="908" t="s">
        <v>1458</v>
      </c>
      <c r="AB1440" s="843" t="s">
        <v>263</v>
      </c>
      <c r="AC1440" s="936"/>
      <c r="AD1440" s="844" t="s">
        <v>113</v>
      </c>
      <c r="AE1440" s="937">
        <f t="shared" si="37"/>
        <v>11</v>
      </c>
    </row>
    <row r="1441" spans="1:31" s="969" customFormat="1" ht="105" hidden="1" x14ac:dyDescent="0.25">
      <c r="A1441" s="960" t="s">
        <v>7429</v>
      </c>
      <c r="B1441" s="985" t="s">
        <v>1537</v>
      </c>
      <c r="C1441" s="985" t="s">
        <v>1733</v>
      </c>
      <c r="D1441" s="670" t="s">
        <v>7607</v>
      </c>
      <c r="E1441" s="924" t="s">
        <v>6491</v>
      </c>
      <c r="F1441" s="926" t="s">
        <v>1528</v>
      </c>
      <c r="G1441" s="924" t="s">
        <v>2156</v>
      </c>
      <c r="H1441" s="931">
        <v>86</v>
      </c>
      <c r="I1441" s="985" t="s">
        <v>2161</v>
      </c>
      <c r="J1441" s="924" t="s">
        <v>1454</v>
      </c>
      <c r="K1441" s="989" t="s">
        <v>7358</v>
      </c>
      <c r="L1441" s="990">
        <v>1103290.56</v>
      </c>
      <c r="M1441" s="930"/>
      <c r="N1441" s="990">
        <v>1103290.56</v>
      </c>
      <c r="O1441" s="991">
        <v>43040.625</v>
      </c>
      <c r="P1441" s="991">
        <v>43070.625</v>
      </c>
      <c r="Q1441" s="634" t="s">
        <v>110</v>
      </c>
      <c r="R1441" s="634" t="s">
        <v>113</v>
      </c>
      <c r="S1441" s="930"/>
      <c r="T1441" s="990"/>
      <c r="U1441" s="930"/>
      <c r="V1441" s="930"/>
      <c r="W1441" s="930"/>
      <c r="X1441" s="970"/>
      <c r="Y1441" s="930"/>
      <c r="Z1441" s="932"/>
      <c r="AA1441" s="908" t="s">
        <v>1458</v>
      </c>
      <c r="AB1441" s="843" t="s">
        <v>263</v>
      </c>
      <c r="AC1441" s="936"/>
      <c r="AD1441" s="844" t="s">
        <v>113</v>
      </c>
      <c r="AE1441" s="937">
        <f t="shared" si="37"/>
        <v>11</v>
      </c>
    </row>
    <row r="1442" spans="1:31" s="969" customFormat="1" ht="105" hidden="1" x14ac:dyDescent="0.25">
      <c r="A1442" s="960" t="s">
        <v>7430</v>
      </c>
      <c r="B1442" s="985" t="s">
        <v>1844</v>
      </c>
      <c r="C1442" s="985" t="s">
        <v>1844</v>
      </c>
      <c r="D1442" s="670" t="s">
        <v>7608</v>
      </c>
      <c r="E1442" s="924" t="s">
        <v>7314</v>
      </c>
      <c r="F1442" s="926" t="s">
        <v>1528</v>
      </c>
      <c r="G1442" s="924" t="s">
        <v>2156</v>
      </c>
      <c r="H1442" s="931">
        <v>47</v>
      </c>
      <c r="I1442" s="985" t="s">
        <v>2161</v>
      </c>
      <c r="J1442" s="924" t="s">
        <v>1454</v>
      </c>
      <c r="K1442" s="989" t="s">
        <v>7359</v>
      </c>
      <c r="L1442" s="990">
        <v>187562.03</v>
      </c>
      <c r="M1442" s="930"/>
      <c r="N1442" s="990">
        <v>187562.03</v>
      </c>
      <c r="O1442" s="991">
        <v>43040.625</v>
      </c>
      <c r="P1442" s="991">
        <v>43070.625</v>
      </c>
      <c r="Q1442" s="930" t="s">
        <v>108</v>
      </c>
      <c r="R1442" s="634" t="s">
        <v>112</v>
      </c>
      <c r="S1442" s="930" t="s">
        <v>1457</v>
      </c>
      <c r="T1442" s="990"/>
      <c r="U1442" s="930"/>
      <c r="V1442" s="930"/>
      <c r="W1442" s="930"/>
      <c r="X1442" s="970"/>
      <c r="Y1442" s="930"/>
      <c r="Z1442" s="932"/>
      <c r="AA1442" s="908" t="s">
        <v>1458</v>
      </c>
      <c r="AB1442" s="843" t="s">
        <v>263</v>
      </c>
      <c r="AC1442" s="936"/>
      <c r="AD1442" s="844" t="s">
        <v>113</v>
      </c>
      <c r="AE1442" s="937">
        <f t="shared" si="37"/>
        <v>11</v>
      </c>
    </row>
    <row r="1443" spans="1:31" s="969" customFormat="1" ht="105" hidden="1" x14ac:dyDescent="0.25">
      <c r="A1443" s="960" t="s">
        <v>7431</v>
      </c>
      <c r="B1443" s="985" t="s">
        <v>1787</v>
      </c>
      <c r="C1443" s="985" t="s">
        <v>3123</v>
      </c>
      <c r="D1443" s="670" t="s">
        <v>7609</v>
      </c>
      <c r="E1443" s="924" t="s">
        <v>2235</v>
      </c>
      <c r="F1443" s="926" t="s">
        <v>1528</v>
      </c>
      <c r="G1443" s="924" t="s">
        <v>2156</v>
      </c>
      <c r="H1443" s="931">
        <v>1</v>
      </c>
      <c r="I1443" s="985" t="s">
        <v>2161</v>
      </c>
      <c r="J1443" s="924" t="s">
        <v>1454</v>
      </c>
      <c r="K1443" s="989" t="s">
        <v>7360</v>
      </c>
      <c r="L1443" s="990">
        <v>62400</v>
      </c>
      <c r="M1443" s="930"/>
      <c r="N1443" s="990">
        <v>62400</v>
      </c>
      <c r="O1443" s="991">
        <v>43040.625</v>
      </c>
      <c r="P1443" s="991">
        <v>43070.625</v>
      </c>
      <c r="Q1443" s="634" t="s">
        <v>110</v>
      </c>
      <c r="R1443" s="634" t="s">
        <v>113</v>
      </c>
      <c r="S1443" s="930"/>
      <c r="T1443" s="990"/>
      <c r="U1443" s="930"/>
      <c r="V1443" s="930"/>
      <c r="W1443" s="930"/>
      <c r="X1443" s="970"/>
      <c r="Y1443" s="930"/>
      <c r="Z1443" s="932"/>
      <c r="AA1443" s="908" t="s">
        <v>1458</v>
      </c>
      <c r="AB1443" s="843" t="s">
        <v>263</v>
      </c>
      <c r="AC1443" s="936"/>
      <c r="AD1443" s="844" t="s">
        <v>113</v>
      </c>
      <c r="AE1443" s="937">
        <f t="shared" si="37"/>
        <v>11</v>
      </c>
    </row>
    <row r="1444" spans="1:31" s="969" customFormat="1" ht="105" hidden="1" x14ac:dyDescent="0.25">
      <c r="A1444" s="960" t="s">
        <v>7432</v>
      </c>
      <c r="B1444" s="985" t="s">
        <v>2176</v>
      </c>
      <c r="C1444" s="985" t="s">
        <v>2037</v>
      </c>
      <c r="D1444" s="670" t="s">
        <v>7610</v>
      </c>
      <c r="E1444" s="924" t="s">
        <v>2027</v>
      </c>
      <c r="F1444" s="926" t="s">
        <v>1528</v>
      </c>
      <c r="G1444" s="924" t="s">
        <v>2156</v>
      </c>
      <c r="H1444" s="931">
        <v>40</v>
      </c>
      <c r="I1444" s="985" t="s">
        <v>2161</v>
      </c>
      <c r="J1444" s="924" t="s">
        <v>1454</v>
      </c>
      <c r="K1444" s="989" t="s">
        <v>7361</v>
      </c>
      <c r="L1444" s="990">
        <v>308876.79999999999</v>
      </c>
      <c r="M1444" s="930"/>
      <c r="N1444" s="990">
        <v>308876.79999999999</v>
      </c>
      <c r="O1444" s="991">
        <v>43040.625</v>
      </c>
      <c r="P1444" s="991">
        <v>43070.625</v>
      </c>
      <c r="Q1444" s="634" t="s">
        <v>110</v>
      </c>
      <c r="R1444" s="634" t="s">
        <v>113</v>
      </c>
      <c r="S1444" s="930"/>
      <c r="T1444" s="990"/>
      <c r="U1444" s="930"/>
      <c r="V1444" s="930"/>
      <c r="W1444" s="930" t="s">
        <v>73</v>
      </c>
      <c r="X1444" s="970" t="s">
        <v>7652</v>
      </c>
      <c r="Y1444" s="930" t="s">
        <v>7653</v>
      </c>
      <c r="Z1444" s="932">
        <v>308876.79999999999</v>
      </c>
      <c r="AA1444" s="908" t="s">
        <v>1458</v>
      </c>
      <c r="AB1444" s="843" t="s">
        <v>263</v>
      </c>
      <c r="AC1444" s="936"/>
      <c r="AD1444" s="844" t="s">
        <v>113</v>
      </c>
      <c r="AE1444" s="937">
        <f t="shared" si="37"/>
        <v>11</v>
      </c>
    </row>
    <row r="1445" spans="1:31" s="969" customFormat="1" ht="105" hidden="1" x14ac:dyDescent="0.25">
      <c r="A1445" s="960" t="s">
        <v>7433</v>
      </c>
      <c r="B1445" s="985" t="s">
        <v>1815</v>
      </c>
      <c r="C1445" s="985" t="s">
        <v>6144</v>
      </c>
      <c r="D1445" s="670" t="s">
        <v>7611</v>
      </c>
      <c r="E1445" s="924" t="s">
        <v>2235</v>
      </c>
      <c r="F1445" s="926" t="s">
        <v>1528</v>
      </c>
      <c r="G1445" s="924" t="s">
        <v>2156</v>
      </c>
      <c r="H1445" s="931">
        <v>1</v>
      </c>
      <c r="I1445" s="985" t="s">
        <v>2161</v>
      </c>
      <c r="J1445" s="924" t="s">
        <v>1454</v>
      </c>
      <c r="K1445" s="989" t="s">
        <v>7362</v>
      </c>
      <c r="L1445" s="990">
        <v>55583.33</v>
      </c>
      <c r="M1445" s="930"/>
      <c r="N1445" s="990">
        <v>55583.33</v>
      </c>
      <c r="O1445" s="991">
        <v>43040.625</v>
      </c>
      <c r="P1445" s="991">
        <v>43070.625</v>
      </c>
      <c r="Q1445" s="930" t="s">
        <v>108</v>
      </c>
      <c r="R1445" s="634" t="s">
        <v>112</v>
      </c>
      <c r="S1445" s="930" t="s">
        <v>1457</v>
      </c>
      <c r="T1445" s="990"/>
      <c r="U1445" s="930"/>
      <c r="V1445" s="930"/>
      <c r="W1445" s="930"/>
      <c r="X1445" s="970"/>
      <c r="Y1445" s="930"/>
      <c r="Z1445" s="932"/>
      <c r="AA1445" s="908" t="s">
        <v>1458</v>
      </c>
      <c r="AB1445" s="843" t="s">
        <v>263</v>
      </c>
      <c r="AC1445" s="936"/>
      <c r="AD1445" s="844" t="s">
        <v>113</v>
      </c>
      <c r="AE1445" s="937">
        <f t="shared" si="37"/>
        <v>11</v>
      </c>
    </row>
    <row r="1446" spans="1:31" s="969" customFormat="1" ht="105" hidden="1" x14ac:dyDescent="0.25">
      <c r="A1446" s="960" t="s">
        <v>7434</v>
      </c>
      <c r="B1446" s="985" t="s">
        <v>1793</v>
      </c>
      <c r="C1446" s="985" t="s">
        <v>4977</v>
      </c>
      <c r="D1446" s="670" t="s">
        <v>7612</v>
      </c>
      <c r="E1446" s="924" t="s">
        <v>2235</v>
      </c>
      <c r="F1446" s="926" t="s">
        <v>1528</v>
      </c>
      <c r="G1446" s="924" t="s">
        <v>2156</v>
      </c>
      <c r="H1446" s="931">
        <v>1</v>
      </c>
      <c r="I1446" s="985" t="s">
        <v>2161</v>
      </c>
      <c r="J1446" s="924" t="s">
        <v>1454</v>
      </c>
      <c r="K1446" s="989" t="s">
        <v>7363</v>
      </c>
      <c r="L1446" s="990">
        <v>385000</v>
      </c>
      <c r="M1446" s="930"/>
      <c r="N1446" s="990">
        <v>385000</v>
      </c>
      <c r="O1446" s="991">
        <v>43040.625</v>
      </c>
      <c r="P1446" s="991">
        <v>43070.625</v>
      </c>
      <c r="Q1446" s="930" t="s">
        <v>108</v>
      </c>
      <c r="R1446" s="634" t="s">
        <v>112</v>
      </c>
      <c r="S1446" s="930" t="s">
        <v>1457</v>
      </c>
      <c r="T1446" s="990"/>
      <c r="U1446" s="930"/>
      <c r="V1446" s="930"/>
      <c r="W1446" s="930"/>
      <c r="X1446" s="970"/>
      <c r="Y1446" s="930"/>
      <c r="Z1446" s="932"/>
      <c r="AA1446" s="908" t="s">
        <v>1458</v>
      </c>
      <c r="AB1446" s="843" t="s">
        <v>263</v>
      </c>
      <c r="AC1446" s="936"/>
      <c r="AD1446" s="844" t="s">
        <v>113</v>
      </c>
      <c r="AE1446" s="937">
        <f t="shared" si="37"/>
        <v>11</v>
      </c>
    </row>
    <row r="1447" spans="1:31" s="969" customFormat="1" ht="105" hidden="1" x14ac:dyDescent="0.25">
      <c r="A1447" s="960" t="s">
        <v>7435</v>
      </c>
      <c r="B1447" s="985" t="s">
        <v>1531</v>
      </c>
      <c r="C1447" s="985" t="s">
        <v>5511</v>
      </c>
      <c r="D1447" s="670" t="s">
        <v>7613</v>
      </c>
      <c r="E1447" s="924" t="s">
        <v>2235</v>
      </c>
      <c r="F1447" s="926" t="s">
        <v>1587</v>
      </c>
      <c r="G1447" s="924" t="s">
        <v>2256</v>
      </c>
      <c r="H1447" s="931">
        <v>1</v>
      </c>
      <c r="I1447" s="985" t="s">
        <v>2161</v>
      </c>
      <c r="J1447" s="924" t="s">
        <v>1454</v>
      </c>
      <c r="K1447" s="989" t="s">
        <v>7364</v>
      </c>
      <c r="L1447" s="990">
        <v>134145</v>
      </c>
      <c r="M1447" s="930"/>
      <c r="N1447" s="990">
        <v>134145</v>
      </c>
      <c r="O1447" s="991">
        <v>43040.625</v>
      </c>
      <c r="P1447" s="991">
        <v>43070.625</v>
      </c>
      <c r="Q1447" s="930" t="s">
        <v>108</v>
      </c>
      <c r="R1447" s="634" t="s">
        <v>112</v>
      </c>
      <c r="S1447" s="930" t="s">
        <v>1457</v>
      </c>
      <c r="T1447" s="990"/>
      <c r="U1447" s="930"/>
      <c r="V1447" s="930"/>
      <c r="W1447" s="930"/>
      <c r="X1447" s="970"/>
      <c r="Y1447" s="930"/>
      <c r="Z1447" s="932"/>
      <c r="AA1447" s="908" t="s">
        <v>1458</v>
      </c>
      <c r="AB1447" s="843" t="s">
        <v>263</v>
      </c>
      <c r="AC1447" s="936"/>
      <c r="AD1447" s="844" t="s">
        <v>113</v>
      </c>
      <c r="AE1447" s="937">
        <f t="shared" si="37"/>
        <v>11</v>
      </c>
    </row>
    <row r="1448" spans="1:31" s="969" customFormat="1" ht="105" hidden="1" x14ac:dyDescent="0.25">
      <c r="A1448" s="960" t="s">
        <v>7436</v>
      </c>
      <c r="B1448" s="985" t="s">
        <v>7315</v>
      </c>
      <c r="C1448" s="985" t="s">
        <v>7316</v>
      </c>
      <c r="D1448" s="670" t="s">
        <v>7614</v>
      </c>
      <c r="E1448" s="924" t="s">
        <v>2235</v>
      </c>
      <c r="F1448" s="926" t="s">
        <v>1528</v>
      </c>
      <c r="G1448" s="924" t="s">
        <v>2156</v>
      </c>
      <c r="H1448" s="931">
        <v>11</v>
      </c>
      <c r="I1448" s="985" t="s">
        <v>2161</v>
      </c>
      <c r="J1448" s="924" t="s">
        <v>1454</v>
      </c>
      <c r="K1448" s="989" t="s">
        <v>8106</v>
      </c>
      <c r="L1448" s="990">
        <v>133118.87</v>
      </c>
      <c r="M1448" s="930"/>
      <c r="N1448" s="990">
        <v>133118.87</v>
      </c>
      <c r="O1448" s="991">
        <v>43040.625</v>
      </c>
      <c r="P1448" s="991">
        <v>43070.625</v>
      </c>
      <c r="Q1448" s="930" t="s">
        <v>108</v>
      </c>
      <c r="R1448" s="634" t="s">
        <v>112</v>
      </c>
      <c r="S1448" s="930" t="s">
        <v>1457</v>
      </c>
      <c r="T1448" s="990"/>
      <c r="U1448" s="930"/>
      <c r="V1448" s="930"/>
      <c r="W1448" s="930"/>
      <c r="X1448" s="970"/>
      <c r="Y1448" s="930"/>
      <c r="Z1448" s="932"/>
      <c r="AA1448" s="908" t="s">
        <v>1458</v>
      </c>
      <c r="AB1448" s="843" t="s">
        <v>263</v>
      </c>
      <c r="AC1448" s="936"/>
      <c r="AD1448" s="844" t="s">
        <v>113</v>
      </c>
      <c r="AE1448" s="937">
        <f t="shared" si="37"/>
        <v>11</v>
      </c>
    </row>
    <row r="1449" spans="1:31" s="969" customFormat="1" ht="105" hidden="1" x14ac:dyDescent="0.25">
      <c r="A1449" s="960" t="s">
        <v>7437</v>
      </c>
      <c r="B1449" s="985" t="s">
        <v>1517</v>
      </c>
      <c r="C1449" s="985" t="s">
        <v>1517</v>
      </c>
      <c r="D1449" s="670" t="s">
        <v>7615</v>
      </c>
      <c r="E1449" s="924" t="s">
        <v>2235</v>
      </c>
      <c r="F1449" s="926" t="s">
        <v>1528</v>
      </c>
      <c r="G1449" s="924" t="s">
        <v>2156</v>
      </c>
      <c r="H1449" s="931">
        <v>2</v>
      </c>
      <c r="I1449" s="985" t="s">
        <v>2161</v>
      </c>
      <c r="J1449" s="924" t="s">
        <v>1454</v>
      </c>
      <c r="K1449" s="989" t="s">
        <v>7365</v>
      </c>
      <c r="L1449" s="990">
        <v>13000</v>
      </c>
      <c r="M1449" s="930"/>
      <c r="N1449" s="990">
        <v>13000</v>
      </c>
      <c r="O1449" s="991">
        <v>43040.625</v>
      </c>
      <c r="P1449" s="991">
        <v>43070.625</v>
      </c>
      <c r="Q1449" s="930" t="s">
        <v>108</v>
      </c>
      <c r="R1449" s="634" t="s">
        <v>112</v>
      </c>
      <c r="S1449" s="930" t="s">
        <v>1457</v>
      </c>
      <c r="T1449" s="990"/>
      <c r="U1449" s="930"/>
      <c r="V1449" s="930"/>
      <c r="W1449" s="930"/>
      <c r="X1449" s="970"/>
      <c r="Y1449" s="930"/>
      <c r="Z1449" s="932"/>
      <c r="AA1449" s="908" t="s">
        <v>1458</v>
      </c>
      <c r="AB1449" s="843" t="s">
        <v>263</v>
      </c>
      <c r="AC1449" s="936"/>
      <c r="AD1449" s="844" t="s">
        <v>113</v>
      </c>
      <c r="AE1449" s="937">
        <f t="shared" si="37"/>
        <v>11</v>
      </c>
    </row>
    <row r="1450" spans="1:31" s="969" customFormat="1" ht="114.75" hidden="1" x14ac:dyDescent="0.25">
      <c r="A1450" s="960" t="s">
        <v>7438</v>
      </c>
      <c r="B1450" s="985" t="s">
        <v>7282</v>
      </c>
      <c r="C1450" s="985" t="s">
        <v>7282</v>
      </c>
      <c r="D1450" s="670" t="s">
        <v>7616</v>
      </c>
      <c r="E1450" s="924" t="s">
        <v>7317</v>
      </c>
      <c r="F1450" s="926" t="s">
        <v>1528</v>
      </c>
      <c r="G1450" s="924" t="s">
        <v>2156</v>
      </c>
      <c r="H1450" s="931">
        <v>1</v>
      </c>
      <c r="I1450" s="985" t="s">
        <v>2161</v>
      </c>
      <c r="J1450" s="924" t="s">
        <v>1454</v>
      </c>
      <c r="K1450" s="989" t="s">
        <v>8120</v>
      </c>
      <c r="L1450" s="990">
        <v>159792.72</v>
      </c>
      <c r="M1450" s="930"/>
      <c r="N1450" s="990">
        <v>159792.72</v>
      </c>
      <c r="O1450" s="991">
        <v>43040.625</v>
      </c>
      <c r="P1450" s="991">
        <v>43435.625</v>
      </c>
      <c r="Q1450" s="930" t="s">
        <v>108</v>
      </c>
      <c r="R1450" s="634" t="s">
        <v>112</v>
      </c>
      <c r="S1450" s="930" t="s">
        <v>1457</v>
      </c>
      <c r="T1450" s="990"/>
      <c r="U1450" s="930"/>
      <c r="V1450" s="930"/>
      <c r="W1450" s="930"/>
      <c r="X1450" s="970"/>
      <c r="Y1450" s="930"/>
      <c r="Z1450" s="932"/>
      <c r="AA1450" s="908" t="s">
        <v>1458</v>
      </c>
      <c r="AB1450" s="843" t="s">
        <v>263</v>
      </c>
      <c r="AC1450" s="936"/>
      <c r="AD1450" s="844" t="s">
        <v>113</v>
      </c>
      <c r="AE1450" s="937">
        <f t="shared" si="37"/>
        <v>11</v>
      </c>
    </row>
    <row r="1451" spans="1:31" s="969" customFormat="1" ht="105" hidden="1" x14ac:dyDescent="0.25">
      <c r="A1451" s="960" t="s">
        <v>7439</v>
      </c>
      <c r="B1451" s="985" t="s">
        <v>232</v>
      </c>
      <c r="C1451" s="985" t="s">
        <v>7318</v>
      </c>
      <c r="D1451" s="670" t="s">
        <v>7617</v>
      </c>
      <c r="E1451" s="924" t="s">
        <v>7319</v>
      </c>
      <c r="F1451" s="926" t="s">
        <v>1528</v>
      </c>
      <c r="G1451" s="924" t="s">
        <v>2156</v>
      </c>
      <c r="H1451" s="931">
        <v>22</v>
      </c>
      <c r="I1451" s="985" t="s">
        <v>2161</v>
      </c>
      <c r="J1451" s="924" t="s">
        <v>1454</v>
      </c>
      <c r="K1451" s="989" t="s">
        <v>8065</v>
      </c>
      <c r="L1451" s="990">
        <v>83702.080000000002</v>
      </c>
      <c r="M1451" s="930"/>
      <c r="N1451" s="990">
        <v>83702.080000000002</v>
      </c>
      <c r="O1451" s="991">
        <v>43070</v>
      </c>
      <c r="P1451" s="991">
        <v>43070.625</v>
      </c>
      <c r="Q1451" s="930" t="s">
        <v>108</v>
      </c>
      <c r="R1451" s="634" t="s">
        <v>112</v>
      </c>
      <c r="S1451" s="930" t="s">
        <v>1457</v>
      </c>
      <c r="T1451" s="990"/>
      <c r="U1451" s="930"/>
      <c r="V1451" s="930"/>
      <c r="W1451" s="930"/>
      <c r="X1451" s="970"/>
      <c r="Y1451" s="930"/>
      <c r="Z1451" s="932"/>
      <c r="AA1451" s="908" t="s">
        <v>1458</v>
      </c>
      <c r="AB1451" s="843" t="s">
        <v>263</v>
      </c>
      <c r="AC1451" s="936"/>
      <c r="AD1451" s="844" t="s">
        <v>113</v>
      </c>
      <c r="AE1451" s="937">
        <f t="shared" si="37"/>
        <v>12</v>
      </c>
    </row>
    <row r="1452" spans="1:31" s="969" customFormat="1" ht="105" hidden="1" x14ac:dyDescent="0.25">
      <c r="A1452" s="960" t="s">
        <v>7440</v>
      </c>
      <c r="B1452" s="985" t="s">
        <v>1919</v>
      </c>
      <c r="C1452" s="985" t="s">
        <v>7295</v>
      </c>
      <c r="D1452" s="670" t="s">
        <v>7618</v>
      </c>
      <c r="E1452" s="924" t="s">
        <v>7296</v>
      </c>
      <c r="F1452" s="926" t="s">
        <v>1528</v>
      </c>
      <c r="G1452" s="924" t="s">
        <v>2156</v>
      </c>
      <c r="H1452" s="931">
        <v>10</v>
      </c>
      <c r="I1452" s="985" t="s">
        <v>2161</v>
      </c>
      <c r="J1452" s="924" t="s">
        <v>1454</v>
      </c>
      <c r="K1452" s="989" t="s">
        <v>7339</v>
      </c>
      <c r="L1452" s="990">
        <v>244190.84</v>
      </c>
      <c r="M1452" s="930"/>
      <c r="N1452" s="990">
        <v>244190.84</v>
      </c>
      <c r="O1452" s="991">
        <v>43040.625</v>
      </c>
      <c r="P1452" s="991">
        <v>43070.625</v>
      </c>
      <c r="Q1452" s="930" t="s">
        <v>108</v>
      </c>
      <c r="R1452" s="634" t="s">
        <v>112</v>
      </c>
      <c r="S1452" s="930" t="s">
        <v>1457</v>
      </c>
      <c r="T1452" s="990"/>
      <c r="U1452" s="930"/>
      <c r="V1452" s="930"/>
      <c r="W1452" s="930"/>
      <c r="X1452" s="970"/>
      <c r="Y1452" s="930"/>
      <c r="Z1452" s="932"/>
      <c r="AA1452" s="908" t="s">
        <v>1458</v>
      </c>
      <c r="AB1452" s="843" t="s">
        <v>263</v>
      </c>
      <c r="AC1452" s="936"/>
      <c r="AD1452" s="844" t="s">
        <v>113</v>
      </c>
      <c r="AE1452" s="937">
        <f t="shared" si="37"/>
        <v>11</v>
      </c>
    </row>
    <row r="1453" spans="1:31" s="969" customFormat="1" ht="105" hidden="1" x14ac:dyDescent="0.25">
      <c r="A1453" s="960" t="s">
        <v>7441</v>
      </c>
      <c r="B1453" s="985" t="s">
        <v>1851</v>
      </c>
      <c r="C1453" s="985" t="s">
        <v>1851</v>
      </c>
      <c r="D1453" s="670" t="s">
        <v>7619</v>
      </c>
      <c r="E1453" s="924" t="s">
        <v>1948</v>
      </c>
      <c r="F1453" s="926" t="s">
        <v>1528</v>
      </c>
      <c r="G1453" s="924" t="s">
        <v>2156</v>
      </c>
      <c r="H1453" s="931">
        <v>62</v>
      </c>
      <c r="I1453" s="985" t="s">
        <v>2161</v>
      </c>
      <c r="J1453" s="924" t="s">
        <v>1454</v>
      </c>
      <c r="K1453" s="989" t="s">
        <v>7340</v>
      </c>
      <c r="L1453" s="990">
        <v>2028837.78</v>
      </c>
      <c r="M1453" s="930" t="s">
        <v>997</v>
      </c>
      <c r="N1453" s="990">
        <v>2028837.78</v>
      </c>
      <c r="O1453" s="991">
        <v>43070</v>
      </c>
      <c r="P1453" s="991">
        <v>43070.625</v>
      </c>
      <c r="Q1453" s="930" t="s">
        <v>110</v>
      </c>
      <c r="R1453" s="634" t="s">
        <v>113</v>
      </c>
      <c r="S1453" s="930"/>
      <c r="T1453" s="990"/>
      <c r="U1453" s="930"/>
      <c r="V1453" s="930" t="s">
        <v>45</v>
      </c>
      <c r="W1453" s="930" t="s">
        <v>73</v>
      </c>
      <c r="X1453" s="635" t="s">
        <v>2409</v>
      </c>
      <c r="Y1453" s="634" t="s">
        <v>2410</v>
      </c>
      <c r="Z1453" s="932">
        <v>2028837.78</v>
      </c>
      <c r="AA1453" s="908" t="s">
        <v>1458</v>
      </c>
      <c r="AB1453" s="843" t="s">
        <v>263</v>
      </c>
      <c r="AC1453" s="936"/>
      <c r="AD1453" s="844" t="s">
        <v>113</v>
      </c>
      <c r="AE1453" s="937">
        <f t="shared" si="37"/>
        <v>12</v>
      </c>
    </row>
    <row r="1454" spans="1:31" s="969" customFormat="1" ht="105" hidden="1" x14ac:dyDescent="0.25">
      <c r="A1454" s="960" t="s">
        <v>7442</v>
      </c>
      <c r="B1454" s="985" t="s">
        <v>1941</v>
      </c>
      <c r="C1454" s="985" t="s">
        <v>1941</v>
      </c>
      <c r="D1454" s="670" t="s">
        <v>7620</v>
      </c>
      <c r="E1454" s="924" t="s">
        <v>1948</v>
      </c>
      <c r="F1454" s="926" t="s">
        <v>1587</v>
      </c>
      <c r="G1454" s="924" t="s">
        <v>2256</v>
      </c>
      <c r="H1454" s="931">
        <v>45</v>
      </c>
      <c r="I1454" s="985" t="s">
        <v>2161</v>
      </c>
      <c r="J1454" s="924" t="s">
        <v>1454</v>
      </c>
      <c r="K1454" s="989" t="s">
        <v>7366</v>
      </c>
      <c r="L1454" s="990">
        <v>16875000</v>
      </c>
      <c r="M1454" s="930" t="s">
        <v>997</v>
      </c>
      <c r="N1454" s="990">
        <v>16875000</v>
      </c>
      <c r="O1454" s="991">
        <v>43040.625</v>
      </c>
      <c r="P1454" s="991">
        <v>43070.625</v>
      </c>
      <c r="Q1454" s="930" t="s">
        <v>110</v>
      </c>
      <c r="R1454" s="634" t="s">
        <v>113</v>
      </c>
      <c r="S1454" s="930"/>
      <c r="T1454" s="990"/>
      <c r="U1454" s="930"/>
      <c r="V1454" s="930" t="s">
        <v>45</v>
      </c>
      <c r="W1454" s="930" t="s">
        <v>73</v>
      </c>
      <c r="X1454" s="970" t="s">
        <v>2334</v>
      </c>
      <c r="Y1454" s="930" t="s">
        <v>2335</v>
      </c>
      <c r="Z1454" s="932"/>
      <c r="AA1454" s="908" t="s">
        <v>1458</v>
      </c>
      <c r="AB1454" s="843" t="s">
        <v>263</v>
      </c>
      <c r="AC1454" s="936"/>
      <c r="AD1454" s="844" t="s">
        <v>113</v>
      </c>
      <c r="AE1454" s="937">
        <f t="shared" si="37"/>
        <v>11</v>
      </c>
    </row>
    <row r="1455" spans="1:31" s="969" customFormat="1" ht="105" hidden="1" x14ac:dyDescent="0.25">
      <c r="A1455" s="960" t="s">
        <v>7443</v>
      </c>
      <c r="B1455" s="985" t="s">
        <v>1951</v>
      </c>
      <c r="C1455" s="985" t="s">
        <v>1951</v>
      </c>
      <c r="D1455" s="670" t="s">
        <v>7621</v>
      </c>
      <c r="E1455" s="924" t="s">
        <v>1948</v>
      </c>
      <c r="F1455" s="926" t="s">
        <v>1528</v>
      </c>
      <c r="G1455" s="924" t="s">
        <v>2156</v>
      </c>
      <c r="H1455" s="931">
        <v>710</v>
      </c>
      <c r="I1455" s="985" t="s">
        <v>2161</v>
      </c>
      <c r="J1455" s="924" t="s">
        <v>1454</v>
      </c>
      <c r="K1455" s="989" t="s">
        <v>7656</v>
      </c>
      <c r="L1455" s="974">
        <v>112355.64</v>
      </c>
      <c r="M1455" s="930" t="s">
        <v>997</v>
      </c>
      <c r="N1455" s="974">
        <v>112355.64</v>
      </c>
      <c r="O1455" s="991">
        <v>43040.625</v>
      </c>
      <c r="P1455" s="991">
        <v>43070.625</v>
      </c>
      <c r="Q1455" s="930" t="s">
        <v>110</v>
      </c>
      <c r="R1455" s="634" t="s">
        <v>113</v>
      </c>
      <c r="S1455" s="930"/>
      <c r="T1455" s="990"/>
      <c r="U1455" s="930"/>
      <c r="V1455" s="930" t="s">
        <v>45</v>
      </c>
      <c r="W1455" s="930" t="s">
        <v>73</v>
      </c>
      <c r="X1455" s="970" t="s">
        <v>2381</v>
      </c>
      <c r="Y1455" s="634" t="s">
        <v>5767</v>
      </c>
      <c r="Z1455" s="932">
        <v>112355.64</v>
      </c>
      <c r="AA1455" s="908" t="s">
        <v>1458</v>
      </c>
      <c r="AB1455" s="843" t="s">
        <v>263</v>
      </c>
      <c r="AC1455" s="936"/>
      <c r="AD1455" s="844" t="s">
        <v>113</v>
      </c>
      <c r="AE1455" s="937">
        <f t="shared" si="37"/>
        <v>11</v>
      </c>
    </row>
    <row r="1456" spans="1:31" s="969" customFormat="1" ht="105" hidden="1" x14ac:dyDescent="0.25">
      <c r="A1456" s="960" t="s">
        <v>7444</v>
      </c>
      <c r="B1456" s="985" t="s">
        <v>6512</v>
      </c>
      <c r="C1456" s="985" t="s">
        <v>6512</v>
      </c>
      <c r="D1456" s="670" t="s">
        <v>7622</v>
      </c>
      <c r="E1456" s="924" t="s">
        <v>6513</v>
      </c>
      <c r="F1456" s="926" t="s">
        <v>1528</v>
      </c>
      <c r="G1456" s="924" t="s">
        <v>2156</v>
      </c>
      <c r="H1456" s="931">
        <v>3</v>
      </c>
      <c r="I1456" s="985" t="s">
        <v>2161</v>
      </c>
      <c r="J1456" s="924" t="s">
        <v>1454</v>
      </c>
      <c r="K1456" s="989" t="s">
        <v>6869</v>
      </c>
      <c r="L1456" s="990">
        <v>106192.58</v>
      </c>
      <c r="M1456" s="930"/>
      <c r="N1456" s="990">
        <v>106192.58</v>
      </c>
      <c r="O1456" s="991">
        <v>43040.625</v>
      </c>
      <c r="P1456" s="991">
        <v>43040.625</v>
      </c>
      <c r="Q1456" s="930" t="s">
        <v>108</v>
      </c>
      <c r="R1456" s="634" t="s">
        <v>112</v>
      </c>
      <c r="S1456" s="930" t="s">
        <v>1457</v>
      </c>
      <c r="T1456" s="990"/>
      <c r="U1456" s="930"/>
      <c r="V1456" s="930"/>
      <c r="W1456" s="930"/>
      <c r="X1456" s="970"/>
      <c r="Y1456" s="930"/>
      <c r="Z1456" s="932"/>
      <c r="AA1456" s="908" t="s">
        <v>1458</v>
      </c>
      <c r="AB1456" s="843" t="s">
        <v>263</v>
      </c>
      <c r="AC1456" s="936"/>
      <c r="AD1456" s="844" t="s">
        <v>113</v>
      </c>
      <c r="AE1456" s="937">
        <f t="shared" si="37"/>
        <v>11</v>
      </c>
    </row>
    <row r="1457" spans="1:31" s="969" customFormat="1" ht="105" hidden="1" x14ac:dyDescent="0.25">
      <c r="A1457" s="960" t="s">
        <v>7445</v>
      </c>
      <c r="B1457" s="985" t="s">
        <v>1786</v>
      </c>
      <c r="C1457" s="985" t="s">
        <v>6921</v>
      </c>
      <c r="D1457" s="670" t="s">
        <v>7623</v>
      </c>
      <c r="E1457" s="924" t="s">
        <v>6922</v>
      </c>
      <c r="F1457" s="926" t="s">
        <v>973</v>
      </c>
      <c r="G1457" s="924" t="s">
        <v>6179</v>
      </c>
      <c r="H1457" s="931">
        <v>100</v>
      </c>
      <c r="I1457" s="985" t="s">
        <v>2161</v>
      </c>
      <c r="J1457" s="924" t="s">
        <v>1454</v>
      </c>
      <c r="K1457" s="989" t="s">
        <v>7367</v>
      </c>
      <c r="L1457" s="990">
        <v>64000.9</v>
      </c>
      <c r="M1457" s="930"/>
      <c r="N1457" s="990">
        <v>64000.9</v>
      </c>
      <c r="O1457" s="991">
        <v>43040.625</v>
      </c>
      <c r="P1457" s="991">
        <v>43070.625</v>
      </c>
      <c r="Q1457" s="930" t="s">
        <v>108</v>
      </c>
      <c r="R1457" s="634" t="s">
        <v>112</v>
      </c>
      <c r="S1457" s="930" t="s">
        <v>1457</v>
      </c>
      <c r="T1457" s="990"/>
      <c r="U1457" s="930"/>
      <c r="V1457" s="930"/>
      <c r="W1457" s="930"/>
      <c r="X1457" s="970"/>
      <c r="Y1457" s="930"/>
      <c r="Z1457" s="932"/>
      <c r="AA1457" s="908" t="s">
        <v>1458</v>
      </c>
      <c r="AB1457" s="843" t="s">
        <v>263</v>
      </c>
      <c r="AC1457" s="936"/>
      <c r="AD1457" s="844" t="s">
        <v>113</v>
      </c>
      <c r="AE1457" s="937">
        <f t="shared" si="37"/>
        <v>11</v>
      </c>
    </row>
    <row r="1458" spans="1:31" s="969" customFormat="1" ht="105" hidden="1" x14ac:dyDescent="0.25">
      <c r="A1458" s="960" t="s">
        <v>7446</v>
      </c>
      <c r="B1458" s="985" t="s">
        <v>1531</v>
      </c>
      <c r="C1458" s="985" t="s">
        <v>1531</v>
      </c>
      <c r="D1458" s="670" t="s">
        <v>7624</v>
      </c>
      <c r="E1458" s="924" t="s">
        <v>7320</v>
      </c>
      <c r="F1458" s="926" t="s">
        <v>1528</v>
      </c>
      <c r="G1458" s="924" t="s">
        <v>2156</v>
      </c>
      <c r="H1458" s="931">
        <v>405</v>
      </c>
      <c r="I1458" s="985" t="s">
        <v>2161</v>
      </c>
      <c r="J1458" s="924" t="s">
        <v>1454</v>
      </c>
      <c r="K1458" s="989" t="s">
        <v>7368</v>
      </c>
      <c r="L1458" s="990">
        <v>202134.71</v>
      </c>
      <c r="M1458" s="930"/>
      <c r="N1458" s="990">
        <v>202134.71</v>
      </c>
      <c r="O1458" s="991">
        <v>43040.625</v>
      </c>
      <c r="P1458" s="991">
        <v>43040.625</v>
      </c>
      <c r="Q1458" s="930" t="s">
        <v>110</v>
      </c>
      <c r="R1458" s="634" t="s">
        <v>113</v>
      </c>
      <c r="S1458" s="930"/>
      <c r="T1458" s="990"/>
      <c r="U1458" s="930"/>
      <c r="V1458" s="930"/>
      <c r="W1458" s="930"/>
      <c r="X1458" s="970"/>
      <c r="Y1458" s="930"/>
      <c r="Z1458" s="932"/>
      <c r="AA1458" s="908" t="s">
        <v>1458</v>
      </c>
      <c r="AB1458" s="843" t="s">
        <v>263</v>
      </c>
      <c r="AC1458" s="936"/>
      <c r="AD1458" s="844" t="s">
        <v>113</v>
      </c>
      <c r="AE1458" s="937">
        <f t="shared" si="37"/>
        <v>11</v>
      </c>
    </row>
    <row r="1459" spans="1:31" s="969" customFormat="1" ht="105" hidden="1" x14ac:dyDescent="0.25">
      <c r="A1459" s="960" t="s">
        <v>7447</v>
      </c>
      <c r="B1459" s="985" t="s">
        <v>1480</v>
      </c>
      <c r="C1459" s="985" t="s">
        <v>6493</v>
      </c>
      <c r="D1459" s="670" t="s">
        <v>7625</v>
      </c>
      <c r="E1459" s="924" t="s">
        <v>4852</v>
      </c>
      <c r="F1459" s="926" t="s">
        <v>1528</v>
      </c>
      <c r="G1459" s="924" t="s">
        <v>2156</v>
      </c>
      <c r="H1459" s="931">
        <v>1</v>
      </c>
      <c r="I1459" s="985" t="s">
        <v>2161</v>
      </c>
      <c r="J1459" s="924" t="s">
        <v>1454</v>
      </c>
      <c r="K1459" s="989" t="s">
        <v>7369</v>
      </c>
      <c r="L1459" s="990">
        <v>46000</v>
      </c>
      <c r="M1459" s="930"/>
      <c r="N1459" s="990">
        <v>46000</v>
      </c>
      <c r="O1459" s="991">
        <v>43040.625</v>
      </c>
      <c r="P1459" s="991">
        <v>43040.625</v>
      </c>
      <c r="Q1459" s="930" t="s">
        <v>108</v>
      </c>
      <c r="R1459" s="634" t="s">
        <v>112</v>
      </c>
      <c r="S1459" s="930" t="s">
        <v>1457</v>
      </c>
      <c r="T1459" s="990"/>
      <c r="U1459" s="930"/>
      <c r="V1459" s="930"/>
      <c r="W1459" s="930"/>
      <c r="X1459" s="970"/>
      <c r="Y1459" s="930"/>
      <c r="Z1459" s="932"/>
      <c r="AA1459" s="908" t="s">
        <v>1458</v>
      </c>
      <c r="AB1459" s="843" t="s">
        <v>263</v>
      </c>
      <c r="AC1459" s="936"/>
      <c r="AD1459" s="844" t="s">
        <v>113</v>
      </c>
      <c r="AE1459" s="937">
        <f t="shared" si="37"/>
        <v>11</v>
      </c>
    </row>
    <row r="1460" spans="1:31" s="969" customFormat="1" ht="105" hidden="1" x14ac:dyDescent="0.25">
      <c r="A1460" s="960" t="s">
        <v>7448</v>
      </c>
      <c r="B1460" s="985" t="s">
        <v>1854</v>
      </c>
      <c r="C1460" s="985" t="s">
        <v>6146</v>
      </c>
      <c r="D1460" s="670" t="s">
        <v>7626</v>
      </c>
      <c r="E1460" s="924" t="s">
        <v>2235</v>
      </c>
      <c r="F1460" s="926" t="s">
        <v>1528</v>
      </c>
      <c r="G1460" s="924" t="s">
        <v>2156</v>
      </c>
      <c r="H1460" s="931">
        <v>500</v>
      </c>
      <c r="I1460" s="985" t="s">
        <v>2161</v>
      </c>
      <c r="J1460" s="924" t="s">
        <v>1454</v>
      </c>
      <c r="K1460" s="989" t="s">
        <v>7370</v>
      </c>
      <c r="L1460" s="990">
        <v>268769</v>
      </c>
      <c r="M1460" s="930"/>
      <c r="N1460" s="990">
        <v>268769</v>
      </c>
      <c r="O1460" s="991">
        <v>43040.625</v>
      </c>
      <c r="P1460" s="991">
        <v>43070.625</v>
      </c>
      <c r="Q1460" s="930" t="s">
        <v>108</v>
      </c>
      <c r="R1460" s="634" t="s">
        <v>112</v>
      </c>
      <c r="S1460" s="930" t="s">
        <v>1457</v>
      </c>
      <c r="T1460" s="990"/>
      <c r="U1460" s="930"/>
      <c r="V1460" s="930"/>
      <c r="W1460" s="930"/>
      <c r="X1460" s="970"/>
      <c r="Y1460" s="930"/>
      <c r="Z1460" s="932"/>
      <c r="AA1460" s="908" t="s">
        <v>1458</v>
      </c>
      <c r="AB1460" s="843" t="s">
        <v>263</v>
      </c>
      <c r="AC1460" s="936"/>
      <c r="AD1460" s="844" t="s">
        <v>113</v>
      </c>
      <c r="AE1460" s="937">
        <f t="shared" si="37"/>
        <v>11</v>
      </c>
    </row>
    <row r="1461" spans="1:31" s="969" customFormat="1" ht="105" hidden="1" x14ac:dyDescent="0.25">
      <c r="A1461" s="960" t="s">
        <v>7449</v>
      </c>
      <c r="B1461" s="985" t="s">
        <v>1793</v>
      </c>
      <c r="C1461" s="985" t="s">
        <v>6939</v>
      </c>
      <c r="D1461" s="670" t="s">
        <v>7627</v>
      </c>
      <c r="E1461" s="924" t="s">
        <v>2235</v>
      </c>
      <c r="F1461" s="926" t="s">
        <v>1528</v>
      </c>
      <c r="G1461" s="924" t="s">
        <v>2156</v>
      </c>
      <c r="H1461" s="931">
        <v>2</v>
      </c>
      <c r="I1461" s="985" t="s">
        <v>2161</v>
      </c>
      <c r="J1461" s="924" t="s">
        <v>1454</v>
      </c>
      <c r="K1461" s="989" t="s">
        <v>7371</v>
      </c>
      <c r="L1461" s="990">
        <v>66896</v>
      </c>
      <c r="M1461" s="930"/>
      <c r="N1461" s="990">
        <v>66896</v>
      </c>
      <c r="O1461" s="991">
        <v>43040.625</v>
      </c>
      <c r="P1461" s="991">
        <v>43070.625</v>
      </c>
      <c r="Q1461" s="930" t="s">
        <v>108</v>
      </c>
      <c r="R1461" s="634" t="s">
        <v>112</v>
      </c>
      <c r="S1461" s="930" t="s">
        <v>1457</v>
      </c>
      <c r="T1461" s="990"/>
      <c r="U1461" s="930"/>
      <c r="V1461" s="930"/>
      <c r="W1461" s="930"/>
      <c r="X1461" s="970"/>
      <c r="Y1461" s="930"/>
      <c r="Z1461" s="932"/>
      <c r="AA1461" s="908" t="s">
        <v>1458</v>
      </c>
      <c r="AB1461" s="843" t="s">
        <v>263</v>
      </c>
      <c r="AC1461" s="936"/>
      <c r="AD1461" s="844" t="s">
        <v>113</v>
      </c>
      <c r="AE1461" s="937">
        <f t="shared" ref="AE1461:AE1484" si="38">IF(O1461=0,,MONTH(O1461))</f>
        <v>11</v>
      </c>
    </row>
    <row r="1462" spans="1:31" s="969" customFormat="1" ht="105" hidden="1" x14ac:dyDescent="0.25">
      <c r="A1462" s="960" t="s">
        <v>7450</v>
      </c>
      <c r="B1462" s="985" t="s">
        <v>1793</v>
      </c>
      <c r="C1462" s="985" t="s">
        <v>4977</v>
      </c>
      <c r="D1462" s="670" t="s">
        <v>7628</v>
      </c>
      <c r="E1462" s="924" t="s">
        <v>2235</v>
      </c>
      <c r="F1462" s="926" t="s">
        <v>1528</v>
      </c>
      <c r="G1462" s="924" t="s">
        <v>2156</v>
      </c>
      <c r="H1462" s="931">
        <v>1</v>
      </c>
      <c r="I1462" s="985" t="s">
        <v>2161</v>
      </c>
      <c r="J1462" s="924" t="s">
        <v>1454</v>
      </c>
      <c r="K1462" s="989" t="s">
        <v>7372</v>
      </c>
      <c r="L1462" s="990">
        <v>1422077.39</v>
      </c>
      <c r="M1462" s="930"/>
      <c r="N1462" s="990">
        <v>1422077.39</v>
      </c>
      <c r="O1462" s="991">
        <v>43040.625</v>
      </c>
      <c r="P1462" s="991">
        <v>43070.625</v>
      </c>
      <c r="Q1462" s="930" t="s">
        <v>108</v>
      </c>
      <c r="R1462" s="634" t="s">
        <v>112</v>
      </c>
      <c r="S1462" s="930" t="s">
        <v>1457</v>
      </c>
      <c r="T1462" s="990"/>
      <c r="U1462" s="930"/>
      <c r="V1462" s="930"/>
      <c r="W1462" s="930"/>
      <c r="X1462" s="970"/>
      <c r="Y1462" s="930"/>
      <c r="Z1462" s="932"/>
      <c r="AA1462" s="908" t="s">
        <v>1458</v>
      </c>
      <c r="AB1462" s="843" t="s">
        <v>263</v>
      </c>
      <c r="AC1462" s="936"/>
      <c r="AD1462" s="844" t="s">
        <v>113</v>
      </c>
      <c r="AE1462" s="937">
        <f t="shared" si="38"/>
        <v>11</v>
      </c>
    </row>
    <row r="1463" spans="1:31" s="969" customFormat="1" ht="105" hidden="1" x14ac:dyDescent="0.25">
      <c r="A1463" s="960" t="s">
        <v>7451</v>
      </c>
      <c r="B1463" s="985" t="s">
        <v>1906</v>
      </c>
      <c r="C1463" s="985" t="s">
        <v>1907</v>
      </c>
      <c r="D1463" s="670" t="s">
        <v>7629</v>
      </c>
      <c r="E1463" s="924" t="s">
        <v>2235</v>
      </c>
      <c r="F1463" s="926" t="s">
        <v>1528</v>
      </c>
      <c r="G1463" s="924" t="s">
        <v>2156</v>
      </c>
      <c r="H1463" s="931">
        <v>1</v>
      </c>
      <c r="I1463" s="985" t="s">
        <v>2161</v>
      </c>
      <c r="J1463" s="924" t="s">
        <v>1454</v>
      </c>
      <c r="K1463" s="989" t="s">
        <v>7373</v>
      </c>
      <c r="L1463" s="990">
        <v>475958.48</v>
      </c>
      <c r="M1463" s="930"/>
      <c r="N1463" s="990">
        <v>475958.48</v>
      </c>
      <c r="O1463" s="991">
        <v>43040.625</v>
      </c>
      <c r="P1463" s="991">
        <v>43070.625</v>
      </c>
      <c r="Q1463" s="930" t="s">
        <v>108</v>
      </c>
      <c r="R1463" s="634" t="s">
        <v>112</v>
      </c>
      <c r="S1463" s="930" t="s">
        <v>1457</v>
      </c>
      <c r="T1463" s="990"/>
      <c r="U1463" s="930"/>
      <c r="V1463" s="930"/>
      <c r="W1463" s="930"/>
      <c r="X1463" s="970"/>
      <c r="Y1463" s="930"/>
      <c r="Z1463" s="932"/>
      <c r="AA1463" s="908" t="s">
        <v>1458</v>
      </c>
      <c r="AB1463" s="843" t="s">
        <v>263</v>
      </c>
      <c r="AC1463" s="936"/>
      <c r="AD1463" s="844" t="s">
        <v>113</v>
      </c>
      <c r="AE1463" s="937">
        <f t="shared" si="38"/>
        <v>11</v>
      </c>
    </row>
    <row r="1464" spans="1:31" s="969" customFormat="1" ht="204" hidden="1" x14ac:dyDescent="0.25">
      <c r="A1464" s="960" t="s">
        <v>7452</v>
      </c>
      <c r="B1464" s="985" t="s">
        <v>2198</v>
      </c>
      <c r="C1464" s="985" t="s">
        <v>7299</v>
      </c>
      <c r="D1464" s="670" t="s">
        <v>7630</v>
      </c>
      <c r="E1464" s="924" t="s">
        <v>5015</v>
      </c>
      <c r="F1464" s="926" t="s">
        <v>1528</v>
      </c>
      <c r="G1464" s="924" t="s">
        <v>2156</v>
      </c>
      <c r="H1464" s="931">
        <v>1</v>
      </c>
      <c r="I1464" s="985" t="s">
        <v>2161</v>
      </c>
      <c r="J1464" s="924" t="s">
        <v>1454</v>
      </c>
      <c r="K1464" s="989" t="s">
        <v>7374</v>
      </c>
      <c r="L1464" s="990">
        <v>23500000</v>
      </c>
      <c r="M1464" s="930"/>
      <c r="N1464" s="990">
        <v>23500000</v>
      </c>
      <c r="O1464" s="991">
        <v>43040.625</v>
      </c>
      <c r="P1464" s="991">
        <v>43191.625</v>
      </c>
      <c r="Q1464" s="930" t="s">
        <v>100</v>
      </c>
      <c r="R1464" s="634" t="s">
        <v>112</v>
      </c>
      <c r="S1464" s="930" t="s">
        <v>1457</v>
      </c>
      <c r="T1464" s="990"/>
      <c r="U1464" s="930"/>
      <c r="V1464" s="930"/>
      <c r="W1464" s="930"/>
      <c r="X1464" s="970"/>
      <c r="Y1464" s="930"/>
      <c r="Z1464" s="932"/>
      <c r="AA1464" s="908" t="s">
        <v>1458</v>
      </c>
      <c r="AB1464" s="843" t="s">
        <v>263</v>
      </c>
      <c r="AC1464" s="936"/>
      <c r="AD1464" s="844" t="s">
        <v>113</v>
      </c>
      <c r="AE1464" s="937">
        <f t="shared" si="38"/>
        <v>11</v>
      </c>
    </row>
    <row r="1465" spans="1:31" s="969" customFormat="1" ht="105" hidden="1" x14ac:dyDescent="0.25">
      <c r="A1465" s="960" t="s">
        <v>7453</v>
      </c>
      <c r="B1465" s="985" t="s">
        <v>1517</v>
      </c>
      <c r="C1465" s="985" t="s">
        <v>7302</v>
      </c>
      <c r="D1465" s="670" t="s">
        <v>7631</v>
      </c>
      <c r="E1465" s="924" t="s">
        <v>1464</v>
      </c>
      <c r="F1465" s="926" t="s">
        <v>1528</v>
      </c>
      <c r="G1465" s="924" t="s">
        <v>2156</v>
      </c>
      <c r="H1465" s="931">
        <v>2</v>
      </c>
      <c r="I1465" s="985" t="s">
        <v>2161</v>
      </c>
      <c r="J1465" s="924" t="s">
        <v>1454</v>
      </c>
      <c r="K1465" s="989" t="s">
        <v>7344</v>
      </c>
      <c r="L1465" s="990">
        <v>25605</v>
      </c>
      <c r="M1465" s="930"/>
      <c r="N1465" s="990">
        <v>25605</v>
      </c>
      <c r="O1465" s="991">
        <v>43040.625</v>
      </c>
      <c r="P1465" s="991">
        <v>43070.625</v>
      </c>
      <c r="Q1465" s="930" t="s">
        <v>108</v>
      </c>
      <c r="R1465" s="634" t="s">
        <v>112</v>
      </c>
      <c r="S1465" s="930" t="s">
        <v>1457</v>
      </c>
      <c r="T1465" s="990"/>
      <c r="U1465" s="930"/>
      <c r="V1465" s="930"/>
      <c r="W1465" s="930"/>
      <c r="X1465" s="970"/>
      <c r="Y1465" s="930"/>
      <c r="Z1465" s="932"/>
      <c r="AA1465" s="908" t="s">
        <v>1458</v>
      </c>
      <c r="AB1465" s="843" t="s">
        <v>263</v>
      </c>
      <c r="AC1465" s="936"/>
      <c r="AD1465" s="844" t="s">
        <v>113</v>
      </c>
      <c r="AE1465" s="937">
        <f t="shared" si="38"/>
        <v>11</v>
      </c>
    </row>
    <row r="1466" spans="1:31" s="969" customFormat="1" ht="105" hidden="1" x14ac:dyDescent="0.25">
      <c r="A1466" s="960" t="s">
        <v>7454</v>
      </c>
      <c r="B1466" s="985" t="s">
        <v>1919</v>
      </c>
      <c r="C1466" s="985" t="s">
        <v>7290</v>
      </c>
      <c r="D1466" s="670" t="s">
        <v>7632</v>
      </c>
      <c r="E1466" s="924" t="s">
        <v>7291</v>
      </c>
      <c r="F1466" s="926" t="s">
        <v>1528</v>
      </c>
      <c r="G1466" s="924" t="s">
        <v>2156</v>
      </c>
      <c r="H1466" s="931">
        <v>7</v>
      </c>
      <c r="I1466" s="985" t="s">
        <v>2161</v>
      </c>
      <c r="J1466" s="924" t="s">
        <v>1454</v>
      </c>
      <c r="K1466" s="989" t="s">
        <v>7336</v>
      </c>
      <c r="L1466" s="990">
        <v>55774.31</v>
      </c>
      <c r="M1466" s="930"/>
      <c r="N1466" s="990">
        <v>55774.31</v>
      </c>
      <c r="O1466" s="991">
        <v>43040.625</v>
      </c>
      <c r="P1466" s="991">
        <v>43070.625</v>
      </c>
      <c r="Q1466" s="930" t="s">
        <v>108</v>
      </c>
      <c r="R1466" s="634" t="s">
        <v>112</v>
      </c>
      <c r="S1466" s="930" t="s">
        <v>1457</v>
      </c>
      <c r="T1466" s="990"/>
      <c r="U1466" s="930"/>
      <c r="V1466" s="930"/>
      <c r="W1466" s="930"/>
      <c r="X1466" s="970"/>
      <c r="Y1466" s="930"/>
      <c r="Z1466" s="932"/>
      <c r="AA1466" s="908" t="s">
        <v>1458</v>
      </c>
      <c r="AB1466" s="843" t="s">
        <v>263</v>
      </c>
      <c r="AC1466" s="936"/>
      <c r="AD1466" s="844" t="s">
        <v>113</v>
      </c>
      <c r="AE1466" s="937">
        <f t="shared" si="38"/>
        <v>11</v>
      </c>
    </row>
    <row r="1467" spans="1:31" s="969" customFormat="1" ht="105" hidden="1" x14ac:dyDescent="0.25">
      <c r="A1467" s="960" t="s">
        <v>7455</v>
      </c>
      <c r="B1467" s="985" t="s">
        <v>2021</v>
      </c>
      <c r="C1467" s="985" t="s">
        <v>7292</v>
      </c>
      <c r="D1467" s="670" t="s">
        <v>7633</v>
      </c>
      <c r="E1467" s="924" t="s">
        <v>7293</v>
      </c>
      <c r="F1467" s="926" t="s">
        <v>1528</v>
      </c>
      <c r="G1467" s="924" t="s">
        <v>2156</v>
      </c>
      <c r="H1467" s="931">
        <v>11000</v>
      </c>
      <c r="I1467" s="985" t="s">
        <v>2161</v>
      </c>
      <c r="J1467" s="924" t="s">
        <v>1454</v>
      </c>
      <c r="K1467" s="989" t="s">
        <v>7337</v>
      </c>
      <c r="L1467" s="990">
        <v>133836.67000000001</v>
      </c>
      <c r="M1467" s="930"/>
      <c r="N1467" s="990">
        <v>133836.67000000001</v>
      </c>
      <c r="O1467" s="991">
        <v>43040.625</v>
      </c>
      <c r="P1467" s="991">
        <v>43070.625</v>
      </c>
      <c r="Q1467" s="930" t="s">
        <v>108</v>
      </c>
      <c r="R1467" s="634" t="s">
        <v>112</v>
      </c>
      <c r="S1467" s="930" t="s">
        <v>1457</v>
      </c>
      <c r="T1467" s="990"/>
      <c r="U1467" s="930"/>
      <c r="V1467" s="930"/>
      <c r="W1467" s="930"/>
      <c r="X1467" s="970"/>
      <c r="Y1467" s="930"/>
      <c r="Z1467" s="932"/>
      <c r="AA1467" s="908" t="s">
        <v>1458</v>
      </c>
      <c r="AB1467" s="843" t="s">
        <v>263</v>
      </c>
      <c r="AC1467" s="936"/>
      <c r="AD1467" s="844" t="s">
        <v>113</v>
      </c>
      <c r="AE1467" s="937">
        <f t="shared" si="38"/>
        <v>11</v>
      </c>
    </row>
    <row r="1468" spans="1:31" s="969" customFormat="1" ht="105" hidden="1" x14ac:dyDescent="0.25">
      <c r="A1468" s="960" t="s">
        <v>7456</v>
      </c>
      <c r="B1468" s="985" t="s">
        <v>1526</v>
      </c>
      <c r="C1468" s="985" t="s">
        <v>5547</v>
      </c>
      <c r="D1468" s="670" t="s">
        <v>7634</v>
      </c>
      <c r="E1468" s="924" t="s">
        <v>6514</v>
      </c>
      <c r="F1468" s="926" t="s">
        <v>1528</v>
      </c>
      <c r="G1468" s="924" t="s">
        <v>2156</v>
      </c>
      <c r="H1468" s="931">
        <v>1</v>
      </c>
      <c r="I1468" s="985" t="s">
        <v>2161</v>
      </c>
      <c r="J1468" s="924" t="s">
        <v>1454</v>
      </c>
      <c r="K1468" s="989" t="s">
        <v>7375</v>
      </c>
      <c r="L1468" s="990">
        <v>69933.33</v>
      </c>
      <c r="M1468" s="930"/>
      <c r="N1468" s="990">
        <v>69933.33</v>
      </c>
      <c r="O1468" s="991">
        <v>43040.625</v>
      </c>
      <c r="P1468" s="991">
        <v>43070.625</v>
      </c>
      <c r="Q1468" s="930" t="s">
        <v>108</v>
      </c>
      <c r="R1468" s="634" t="s">
        <v>112</v>
      </c>
      <c r="S1468" s="930" t="s">
        <v>1457</v>
      </c>
      <c r="T1468" s="990"/>
      <c r="U1468" s="930"/>
      <c r="V1468" s="930"/>
      <c r="W1468" s="930"/>
      <c r="X1468" s="970"/>
      <c r="Y1468" s="930"/>
      <c r="Z1468" s="932"/>
      <c r="AA1468" s="908" t="s">
        <v>1458</v>
      </c>
      <c r="AB1468" s="843" t="s">
        <v>263</v>
      </c>
      <c r="AC1468" s="936"/>
      <c r="AD1468" s="844" t="s">
        <v>113</v>
      </c>
      <c r="AE1468" s="937">
        <f t="shared" si="38"/>
        <v>11</v>
      </c>
    </row>
    <row r="1469" spans="1:31" s="969" customFormat="1" ht="105" hidden="1" x14ac:dyDescent="0.25">
      <c r="A1469" s="960" t="s">
        <v>7457</v>
      </c>
      <c r="B1469" s="985" t="s">
        <v>1666</v>
      </c>
      <c r="C1469" s="985" t="s">
        <v>1666</v>
      </c>
      <c r="D1469" s="670" t="s">
        <v>7635</v>
      </c>
      <c r="E1469" s="924" t="s">
        <v>7289</v>
      </c>
      <c r="F1469" s="926" t="s">
        <v>1640</v>
      </c>
      <c r="G1469" s="924" t="s">
        <v>2260</v>
      </c>
      <c r="H1469" s="931">
        <v>180</v>
      </c>
      <c r="I1469" s="985" t="s">
        <v>2161</v>
      </c>
      <c r="J1469" s="924" t="s">
        <v>1454</v>
      </c>
      <c r="K1469" s="989" t="s">
        <v>7335</v>
      </c>
      <c r="L1469" s="990">
        <v>179028.65</v>
      </c>
      <c r="M1469" s="930"/>
      <c r="N1469" s="990">
        <v>179028.65</v>
      </c>
      <c r="O1469" s="991">
        <v>43040.625</v>
      </c>
      <c r="P1469" s="991">
        <v>43070.625</v>
      </c>
      <c r="Q1469" s="930" t="s">
        <v>108</v>
      </c>
      <c r="R1469" s="634" t="s">
        <v>112</v>
      </c>
      <c r="S1469" s="930" t="s">
        <v>1457</v>
      </c>
      <c r="T1469" s="990"/>
      <c r="U1469" s="930"/>
      <c r="V1469" s="930"/>
      <c r="W1469" s="930"/>
      <c r="X1469" s="970"/>
      <c r="Y1469" s="930"/>
      <c r="Z1469" s="932"/>
      <c r="AA1469" s="908" t="s">
        <v>1458</v>
      </c>
      <c r="AB1469" s="843" t="s">
        <v>263</v>
      </c>
      <c r="AC1469" s="936"/>
      <c r="AD1469" s="844" t="s">
        <v>113</v>
      </c>
      <c r="AE1469" s="937">
        <f t="shared" si="38"/>
        <v>11</v>
      </c>
    </row>
    <row r="1470" spans="1:31" s="969" customFormat="1" ht="105" hidden="1" x14ac:dyDescent="0.25">
      <c r="A1470" s="960" t="s">
        <v>7458</v>
      </c>
      <c r="B1470" s="985" t="s">
        <v>2549</v>
      </c>
      <c r="C1470" s="985" t="s">
        <v>2129</v>
      </c>
      <c r="D1470" s="670" t="s">
        <v>7636</v>
      </c>
      <c r="E1470" s="924" t="s">
        <v>6492</v>
      </c>
      <c r="F1470" s="926" t="s">
        <v>1528</v>
      </c>
      <c r="G1470" s="924" t="s">
        <v>2156</v>
      </c>
      <c r="H1470" s="931">
        <v>5440</v>
      </c>
      <c r="I1470" s="985" t="s">
        <v>2161</v>
      </c>
      <c r="J1470" s="924" t="s">
        <v>1454</v>
      </c>
      <c r="K1470" s="989" t="s">
        <v>7376</v>
      </c>
      <c r="L1470" s="990">
        <v>229877.6</v>
      </c>
      <c r="M1470" s="930"/>
      <c r="N1470" s="990">
        <v>229877.6</v>
      </c>
      <c r="O1470" s="991">
        <v>43040.625</v>
      </c>
      <c r="P1470" s="991">
        <v>43070.625</v>
      </c>
      <c r="Q1470" s="930" t="s">
        <v>108</v>
      </c>
      <c r="R1470" s="634" t="s">
        <v>112</v>
      </c>
      <c r="S1470" s="930" t="s">
        <v>1457</v>
      </c>
      <c r="T1470" s="990"/>
      <c r="U1470" s="930"/>
      <c r="V1470" s="930"/>
      <c r="W1470" s="930"/>
      <c r="X1470" s="970"/>
      <c r="Y1470" s="930"/>
      <c r="Z1470" s="932"/>
      <c r="AA1470" s="908" t="s">
        <v>1458</v>
      </c>
      <c r="AB1470" s="843" t="s">
        <v>263</v>
      </c>
      <c r="AC1470" s="936"/>
      <c r="AD1470" s="844" t="s">
        <v>113</v>
      </c>
      <c r="AE1470" s="937">
        <f t="shared" si="38"/>
        <v>11</v>
      </c>
    </row>
    <row r="1471" spans="1:31" s="969" customFormat="1" ht="105" hidden="1" x14ac:dyDescent="0.25">
      <c r="A1471" s="960" t="s">
        <v>7459</v>
      </c>
      <c r="B1471" s="985" t="s">
        <v>1666</v>
      </c>
      <c r="C1471" s="985" t="s">
        <v>7321</v>
      </c>
      <c r="D1471" s="670" t="s">
        <v>7637</v>
      </c>
      <c r="E1471" s="924" t="s">
        <v>4944</v>
      </c>
      <c r="F1471" s="926" t="s">
        <v>1528</v>
      </c>
      <c r="G1471" s="924" t="s">
        <v>2156</v>
      </c>
      <c r="H1471" s="931">
        <v>1305</v>
      </c>
      <c r="I1471" s="985" t="s">
        <v>2161</v>
      </c>
      <c r="J1471" s="924" t="s">
        <v>1454</v>
      </c>
      <c r="K1471" s="989" t="s">
        <v>8067</v>
      </c>
      <c r="L1471" s="990">
        <v>195290.74</v>
      </c>
      <c r="M1471" s="930"/>
      <c r="N1471" s="990">
        <v>195290.74</v>
      </c>
      <c r="O1471" s="991">
        <v>43040.625</v>
      </c>
      <c r="P1471" s="991">
        <v>43070.625</v>
      </c>
      <c r="Q1471" s="930" t="s">
        <v>108</v>
      </c>
      <c r="R1471" s="634" t="s">
        <v>112</v>
      </c>
      <c r="S1471" s="930" t="s">
        <v>1457</v>
      </c>
      <c r="T1471" s="990"/>
      <c r="U1471" s="930"/>
      <c r="V1471" s="930"/>
      <c r="W1471" s="930"/>
      <c r="X1471" s="970"/>
      <c r="Y1471" s="930"/>
      <c r="Z1471" s="932"/>
      <c r="AA1471" s="908" t="s">
        <v>1458</v>
      </c>
      <c r="AB1471" s="843" t="s">
        <v>263</v>
      </c>
      <c r="AC1471" s="936"/>
      <c r="AD1471" s="844" t="s">
        <v>113</v>
      </c>
      <c r="AE1471" s="937">
        <f t="shared" si="38"/>
        <v>11</v>
      </c>
    </row>
    <row r="1472" spans="1:31" s="969" customFormat="1" ht="105" hidden="1" x14ac:dyDescent="0.25">
      <c r="A1472" s="960" t="s">
        <v>7460</v>
      </c>
      <c r="B1472" s="985" t="s">
        <v>1687</v>
      </c>
      <c r="C1472" s="985" t="s">
        <v>3132</v>
      </c>
      <c r="D1472" s="670" t="s">
        <v>7638</v>
      </c>
      <c r="E1472" s="924" t="s">
        <v>4944</v>
      </c>
      <c r="F1472" s="926" t="s">
        <v>1645</v>
      </c>
      <c r="G1472" s="924" t="s">
        <v>2259</v>
      </c>
      <c r="H1472" s="931">
        <v>135</v>
      </c>
      <c r="I1472" s="985" t="s">
        <v>2161</v>
      </c>
      <c r="J1472" s="924" t="s">
        <v>1454</v>
      </c>
      <c r="K1472" s="989" t="s">
        <v>7377</v>
      </c>
      <c r="L1472" s="990">
        <v>59101.93</v>
      </c>
      <c r="M1472" s="930"/>
      <c r="N1472" s="990">
        <v>59101.93</v>
      </c>
      <c r="O1472" s="991">
        <v>43040.625</v>
      </c>
      <c r="P1472" s="991">
        <v>43070.625</v>
      </c>
      <c r="Q1472" s="930" t="s">
        <v>108</v>
      </c>
      <c r="R1472" s="634" t="s">
        <v>112</v>
      </c>
      <c r="S1472" s="930" t="s">
        <v>1457</v>
      </c>
      <c r="T1472" s="990"/>
      <c r="U1472" s="930"/>
      <c r="V1472" s="930"/>
      <c r="W1472" s="930"/>
      <c r="X1472" s="970"/>
      <c r="Y1472" s="930"/>
      <c r="Z1472" s="932"/>
      <c r="AA1472" s="908" t="s">
        <v>1458</v>
      </c>
      <c r="AB1472" s="843" t="s">
        <v>263</v>
      </c>
      <c r="AC1472" s="936"/>
      <c r="AD1472" s="844" t="s">
        <v>113</v>
      </c>
      <c r="AE1472" s="937">
        <f t="shared" si="38"/>
        <v>11</v>
      </c>
    </row>
    <row r="1473" spans="1:31" s="969" customFormat="1" ht="105" hidden="1" x14ac:dyDescent="0.25">
      <c r="A1473" s="960" t="s">
        <v>7461</v>
      </c>
      <c r="B1473" s="985" t="s">
        <v>1687</v>
      </c>
      <c r="C1473" s="985" t="s">
        <v>3132</v>
      </c>
      <c r="D1473" s="670" t="s">
        <v>7639</v>
      </c>
      <c r="E1473" s="924" t="s">
        <v>4944</v>
      </c>
      <c r="F1473" s="926" t="s">
        <v>1645</v>
      </c>
      <c r="G1473" s="924" t="s">
        <v>2259</v>
      </c>
      <c r="H1473" s="931">
        <v>1249.7</v>
      </c>
      <c r="I1473" s="985" t="s">
        <v>2161</v>
      </c>
      <c r="J1473" s="924" t="s">
        <v>1454</v>
      </c>
      <c r="K1473" s="989" t="s">
        <v>7378</v>
      </c>
      <c r="L1473" s="990">
        <v>686440.22</v>
      </c>
      <c r="M1473" s="930"/>
      <c r="N1473" s="990">
        <v>686440.22</v>
      </c>
      <c r="O1473" s="991">
        <v>43040.625</v>
      </c>
      <c r="P1473" s="991">
        <v>43070.625</v>
      </c>
      <c r="Q1473" s="930" t="s">
        <v>108</v>
      </c>
      <c r="R1473" s="634" t="s">
        <v>112</v>
      </c>
      <c r="S1473" s="930" t="s">
        <v>1457</v>
      </c>
      <c r="T1473" s="990"/>
      <c r="U1473" s="930"/>
      <c r="V1473" s="930"/>
      <c r="W1473" s="930"/>
      <c r="X1473" s="970"/>
      <c r="Y1473" s="930"/>
      <c r="Z1473" s="932"/>
      <c r="AA1473" s="908" t="s">
        <v>1458</v>
      </c>
      <c r="AB1473" s="843" t="s">
        <v>263</v>
      </c>
      <c r="AC1473" s="936"/>
      <c r="AD1473" s="844" t="s">
        <v>113</v>
      </c>
      <c r="AE1473" s="937">
        <f t="shared" si="38"/>
        <v>11</v>
      </c>
    </row>
    <row r="1474" spans="1:31" s="969" customFormat="1" ht="105" hidden="1" x14ac:dyDescent="0.25">
      <c r="A1474" s="960" t="s">
        <v>7462</v>
      </c>
      <c r="B1474" s="985" t="s">
        <v>1687</v>
      </c>
      <c r="C1474" s="985" t="s">
        <v>3132</v>
      </c>
      <c r="D1474" s="670" t="s">
        <v>7640</v>
      </c>
      <c r="E1474" s="924" t="s">
        <v>4944</v>
      </c>
      <c r="F1474" s="926" t="s">
        <v>1645</v>
      </c>
      <c r="G1474" s="924" t="s">
        <v>2259</v>
      </c>
      <c r="H1474" s="931">
        <v>2003.039</v>
      </c>
      <c r="I1474" s="985" t="s">
        <v>2161</v>
      </c>
      <c r="J1474" s="924" t="s">
        <v>1454</v>
      </c>
      <c r="K1474" s="989" t="s">
        <v>8103</v>
      </c>
      <c r="L1474" s="990">
        <v>760228.25</v>
      </c>
      <c r="M1474" s="930"/>
      <c r="N1474" s="990">
        <v>760228.25</v>
      </c>
      <c r="O1474" s="991">
        <v>43040.625</v>
      </c>
      <c r="P1474" s="991">
        <v>43070.625</v>
      </c>
      <c r="Q1474" s="930" t="s">
        <v>108</v>
      </c>
      <c r="R1474" s="634" t="s">
        <v>112</v>
      </c>
      <c r="S1474" s="930" t="s">
        <v>1457</v>
      </c>
      <c r="T1474" s="990"/>
      <c r="U1474" s="930"/>
      <c r="V1474" s="930"/>
      <c r="W1474" s="930"/>
      <c r="X1474" s="970"/>
      <c r="Y1474" s="930"/>
      <c r="Z1474" s="932"/>
      <c r="AA1474" s="908" t="s">
        <v>1458</v>
      </c>
      <c r="AB1474" s="843" t="s">
        <v>263</v>
      </c>
      <c r="AC1474" s="936"/>
      <c r="AD1474" s="844" t="s">
        <v>113</v>
      </c>
      <c r="AE1474" s="937">
        <f t="shared" si="38"/>
        <v>11</v>
      </c>
    </row>
    <row r="1475" spans="1:31" s="969" customFormat="1" ht="105" hidden="1" x14ac:dyDescent="0.25">
      <c r="A1475" s="960" t="s">
        <v>7463</v>
      </c>
      <c r="B1475" s="985" t="s">
        <v>1687</v>
      </c>
      <c r="C1475" s="985" t="s">
        <v>3132</v>
      </c>
      <c r="D1475" s="670" t="s">
        <v>7641</v>
      </c>
      <c r="E1475" s="924" t="s">
        <v>4944</v>
      </c>
      <c r="F1475" s="926" t="s">
        <v>1528</v>
      </c>
      <c r="G1475" s="924" t="s">
        <v>2156</v>
      </c>
      <c r="H1475" s="931">
        <v>350</v>
      </c>
      <c r="I1475" s="985" t="s">
        <v>2161</v>
      </c>
      <c r="J1475" s="924" t="s">
        <v>1454</v>
      </c>
      <c r="K1475" s="989" t="s">
        <v>7379</v>
      </c>
      <c r="L1475" s="990">
        <v>543480.34</v>
      </c>
      <c r="M1475" s="930"/>
      <c r="N1475" s="990">
        <v>543480.34</v>
      </c>
      <c r="O1475" s="991">
        <v>43040.625</v>
      </c>
      <c r="P1475" s="991">
        <v>43070.625</v>
      </c>
      <c r="Q1475" s="930" t="s">
        <v>108</v>
      </c>
      <c r="R1475" s="634" t="s">
        <v>112</v>
      </c>
      <c r="S1475" s="930" t="s">
        <v>1457</v>
      </c>
      <c r="T1475" s="990"/>
      <c r="U1475" s="930"/>
      <c r="V1475" s="930"/>
      <c r="W1475" s="930"/>
      <c r="X1475" s="970"/>
      <c r="Y1475" s="930"/>
      <c r="Z1475" s="932"/>
      <c r="AA1475" s="908" t="s">
        <v>1458</v>
      </c>
      <c r="AB1475" s="843" t="s">
        <v>263</v>
      </c>
      <c r="AC1475" s="936"/>
      <c r="AD1475" s="844" t="s">
        <v>113</v>
      </c>
      <c r="AE1475" s="937">
        <f t="shared" si="38"/>
        <v>11</v>
      </c>
    </row>
    <row r="1476" spans="1:31" s="969" customFormat="1" ht="105" hidden="1" x14ac:dyDescent="0.25">
      <c r="A1476" s="960" t="s">
        <v>7464</v>
      </c>
      <c r="B1476" s="985" t="s">
        <v>1672</v>
      </c>
      <c r="C1476" s="985" t="s">
        <v>1673</v>
      </c>
      <c r="D1476" s="670" t="s">
        <v>7642</v>
      </c>
      <c r="E1476" s="924" t="s">
        <v>7322</v>
      </c>
      <c r="F1476" s="926" t="s">
        <v>1528</v>
      </c>
      <c r="G1476" s="924" t="s">
        <v>2156</v>
      </c>
      <c r="H1476" s="931">
        <v>12153</v>
      </c>
      <c r="I1476" s="985" t="s">
        <v>2161</v>
      </c>
      <c r="J1476" s="924" t="s">
        <v>1454</v>
      </c>
      <c r="K1476" s="989" t="s">
        <v>7380</v>
      </c>
      <c r="L1476" s="990">
        <v>1944921.26</v>
      </c>
      <c r="M1476" s="930"/>
      <c r="N1476" s="990">
        <v>1944921.26</v>
      </c>
      <c r="O1476" s="991">
        <v>43040.625</v>
      </c>
      <c r="P1476" s="991">
        <v>43070.625</v>
      </c>
      <c r="Q1476" s="930" t="s">
        <v>108</v>
      </c>
      <c r="R1476" s="634" t="s">
        <v>112</v>
      </c>
      <c r="S1476" s="930" t="s">
        <v>1457</v>
      </c>
      <c r="T1476" s="990"/>
      <c r="U1476" s="930"/>
      <c r="V1476" s="930"/>
      <c r="W1476" s="930"/>
      <c r="X1476" s="970"/>
      <c r="Y1476" s="930"/>
      <c r="Z1476" s="932"/>
      <c r="AA1476" s="908" t="s">
        <v>1458</v>
      </c>
      <c r="AB1476" s="843" t="s">
        <v>263</v>
      </c>
      <c r="AC1476" s="936"/>
      <c r="AD1476" s="844" t="s">
        <v>113</v>
      </c>
      <c r="AE1476" s="937">
        <f t="shared" si="38"/>
        <v>11</v>
      </c>
    </row>
    <row r="1477" spans="1:31" s="969" customFormat="1" ht="105" hidden="1" x14ac:dyDescent="0.25">
      <c r="A1477" s="960" t="s">
        <v>7465</v>
      </c>
      <c r="B1477" s="985" t="s">
        <v>1576</v>
      </c>
      <c r="C1477" s="985" t="s">
        <v>1738</v>
      </c>
      <c r="D1477" s="670" t="s">
        <v>7643</v>
      </c>
      <c r="E1477" s="924" t="s">
        <v>5034</v>
      </c>
      <c r="F1477" s="926" t="s">
        <v>1528</v>
      </c>
      <c r="G1477" s="924" t="s">
        <v>2156</v>
      </c>
      <c r="H1477" s="931">
        <v>100</v>
      </c>
      <c r="I1477" s="985" t="s">
        <v>2161</v>
      </c>
      <c r="J1477" s="924" t="s">
        <v>1454</v>
      </c>
      <c r="K1477" s="989" t="s">
        <v>8031</v>
      </c>
      <c r="L1477" s="990">
        <v>833080</v>
      </c>
      <c r="M1477" s="930" t="s">
        <v>997</v>
      </c>
      <c r="N1477" s="990">
        <v>833080</v>
      </c>
      <c r="O1477" s="991">
        <v>43070</v>
      </c>
      <c r="P1477" s="991">
        <v>43070.625</v>
      </c>
      <c r="Q1477" s="930" t="s">
        <v>110</v>
      </c>
      <c r="R1477" s="634" t="s">
        <v>113</v>
      </c>
      <c r="S1477" s="930"/>
      <c r="T1477" s="990"/>
      <c r="U1477" s="930"/>
      <c r="V1477" s="930" t="s">
        <v>45</v>
      </c>
      <c r="W1477" s="930" t="s">
        <v>268</v>
      </c>
      <c r="X1477" s="970" t="s">
        <v>2389</v>
      </c>
      <c r="Y1477" s="930" t="s">
        <v>2388</v>
      </c>
      <c r="Z1477" s="990">
        <v>833080</v>
      </c>
      <c r="AA1477" s="908" t="s">
        <v>1458</v>
      </c>
      <c r="AB1477" s="843" t="s">
        <v>263</v>
      </c>
      <c r="AC1477" s="936"/>
      <c r="AD1477" s="844" t="s">
        <v>113</v>
      </c>
      <c r="AE1477" s="937">
        <f t="shared" si="38"/>
        <v>12</v>
      </c>
    </row>
    <row r="1478" spans="1:31" s="969" customFormat="1" ht="105" hidden="1" x14ac:dyDescent="0.25">
      <c r="A1478" s="960" t="s">
        <v>7466</v>
      </c>
      <c r="B1478" s="985" t="s">
        <v>7323</v>
      </c>
      <c r="C1478" s="985" t="s">
        <v>7323</v>
      </c>
      <c r="D1478" s="670" t="s">
        <v>7644</v>
      </c>
      <c r="E1478" s="924" t="s">
        <v>7324</v>
      </c>
      <c r="F1478" s="926" t="s">
        <v>1528</v>
      </c>
      <c r="G1478" s="924" t="s">
        <v>2156</v>
      </c>
      <c r="H1478" s="931">
        <v>172</v>
      </c>
      <c r="I1478" s="985" t="s">
        <v>2161</v>
      </c>
      <c r="J1478" s="924" t="s">
        <v>1454</v>
      </c>
      <c r="K1478" s="989" t="s">
        <v>7381</v>
      </c>
      <c r="L1478" s="990">
        <v>8238800</v>
      </c>
      <c r="M1478" s="930"/>
      <c r="N1478" s="990">
        <v>8238800</v>
      </c>
      <c r="O1478" s="991">
        <v>43040.625</v>
      </c>
      <c r="P1478" s="991">
        <v>43070.625</v>
      </c>
      <c r="Q1478" s="930" t="s">
        <v>110</v>
      </c>
      <c r="R1478" s="634" t="s">
        <v>113</v>
      </c>
      <c r="S1478" s="930"/>
      <c r="T1478" s="990"/>
      <c r="U1478" s="930"/>
      <c r="V1478" s="930"/>
      <c r="W1478" s="930"/>
      <c r="X1478" s="970"/>
      <c r="Y1478" s="930"/>
      <c r="Z1478" s="932"/>
      <c r="AA1478" s="908" t="s">
        <v>1458</v>
      </c>
      <c r="AB1478" s="843" t="s">
        <v>263</v>
      </c>
      <c r="AC1478" s="936"/>
      <c r="AD1478" s="844" t="s">
        <v>113</v>
      </c>
      <c r="AE1478" s="937">
        <f t="shared" si="38"/>
        <v>11</v>
      </c>
    </row>
    <row r="1479" spans="1:31" s="969" customFormat="1" ht="105" hidden="1" x14ac:dyDescent="0.25">
      <c r="A1479" s="960" t="s">
        <v>7467</v>
      </c>
      <c r="B1479" s="985" t="s">
        <v>1475</v>
      </c>
      <c r="C1479" s="985" t="s">
        <v>1475</v>
      </c>
      <c r="D1479" s="670" t="s">
        <v>7645</v>
      </c>
      <c r="E1479" s="924" t="s">
        <v>7311</v>
      </c>
      <c r="F1479" s="926" t="s">
        <v>6892</v>
      </c>
      <c r="G1479" s="924" t="s">
        <v>6893</v>
      </c>
      <c r="H1479" s="931">
        <v>73</v>
      </c>
      <c r="I1479" s="985" t="s">
        <v>2161</v>
      </c>
      <c r="J1479" s="924" t="s">
        <v>1454</v>
      </c>
      <c r="K1479" s="989" t="s">
        <v>8089</v>
      </c>
      <c r="L1479" s="990">
        <v>500427.99</v>
      </c>
      <c r="M1479" s="930"/>
      <c r="N1479" s="990">
        <v>500427.99</v>
      </c>
      <c r="O1479" s="991">
        <v>43040.625</v>
      </c>
      <c r="P1479" s="991">
        <v>43070.625</v>
      </c>
      <c r="Q1479" s="930" t="s">
        <v>108</v>
      </c>
      <c r="R1479" s="634" t="s">
        <v>112</v>
      </c>
      <c r="S1479" s="930" t="s">
        <v>1457</v>
      </c>
      <c r="T1479" s="990"/>
      <c r="U1479" s="930"/>
      <c r="V1479" s="930"/>
      <c r="W1479" s="930"/>
      <c r="X1479" s="970"/>
      <c r="Y1479" s="930"/>
      <c r="Z1479" s="932"/>
      <c r="AA1479" s="908" t="s">
        <v>1458</v>
      </c>
      <c r="AB1479" s="843" t="s">
        <v>263</v>
      </c>
      <c r="AC1479" s="936"/>
      <c r="AD1479" s="844" t="s">
        <v>113</v>
      </c>
      <c r="AE1479" s="937">
        <f t="shared" si="38"/>
        <v>11</v>
      </c>
    </row>
    <row r="1480" spans="1:31" s="969" customFormat="1" ht="105" hidden="1" x14ac:dyDescent="0.25">
      <c r="A1480" s="960" t="s">
        <v>7468</v>
      </c>
      <c r="B1480" s="985" t="s">
        <v>3127</v>
      </c>
      <c r="C1480" s="985" t="s">
        <v>3127</v>
      </c>
      <c r="D1480" s="670" t="s">
        <v>7646</v>
      </c>
      <c r="E1480" s="924" t="s">
        <v>7325</v>
      </c>
      <c r="F1480" s="926" t="s">
        <v>1645</v>
      </c>
      <c r="G1480" s="924" t="s">
        <v>2259</v>
      </c>
      <c r="H1480" s="931">
        <v>10</v>
      </c>
      <c r="I1480" s="985" t="s">
        <v>2161</v>
      </c>
      <c r="J1480" s="924" t="s">
        <v>1454</v>
      </c>
      <c r="K1480" s="989" t="s">
        <v>7382</v>
      </c>
      <c r="L1480" s="990">
        <v>218170</v>
      </c>
      <c r="M1480" s="930"/>
      <c r="N1480" s="990">
        <v>218170</v>
      </c>
      <c r="O1480" s="991">
        <v>43040.625</v>
      </c>
      <c r="P1480" s="991">
        <v>43070.625</v>
      </c>
      <c r="Q1480" s="930" t="s">
        <v>108</v>
      </c>
      <c r="R1480" s="634" t="s">
        <v>112</v>
      </c>
      <c r="S1480" s="930" t="s">
        <v>1457</v>
      </c>
      <c r="T1480" s="990"/>
      <c r="U1480" s="930"/>
      <c r="V1480" s="930"/>
      <c r="W1480" s="930"/>
      <c r="X1480" s="970"/>
      <c r="Y1480" s="930"/>
      <c r="Z1480" s="932"/>
      <c r="AA1480" s="908" t="s">
        <v>1458</v>
      </c>
      <c r="AB1480" s="843" t="s">
        <v>263</v>
      </c>
      <c r="AC1480" s="936"/>
      <c r="AD1480" s="844" t="s">
        <v>113</v>
      </c>
      <c r="AE1480" s="937">
        <f t="shared" si="38"/>
        <v>11</v>
      </c>
    </row>
    <row r="1481" spans="1:31" s="969" customFormat="1" ht="105" hidden="1" x14ac:dyDescent="0.25">
      <c r="A1481" s="960" t="s">
        <v>7469</v>
      </c>
      <c r="B1481" s="985" t="s">
        <v>2122</v>
      </c>
      <c r="C1481" s="985" t="s">
        <v>6900</v>
      </c>
      <c r="D1481" s="670" t="s">
        <v>7647</v>
      </c>
      <c r="E1481" s="924" t="s">
        <v>6901</v>
      </c>
      <c r="F1481" s="926" t="s">
        <v>1528</v>
      </c>
      <c r="G1481" s="924" t="s">
        <v>2156</v>
      </c>
      <c r="H1481" s="931">
        <v>1</v>
      </c>
      <c r="I1481" s="985" t="s">
        <v>2161</v>
      </c>
      <c r="J1481" s="924" t="s">
        <v>1454</v>
      </c>
      <c r="K1481" s="989" t="s">
        <v>7383</v>
      </c>
      <c r="L1481" s="990">
        <v>815781.32</v>
      </c>
      <c r="M1481" s="930"/>
      <c r="N1481" s="990">
        <v>815781.32</v>
      </c>
      <c r="O1481" s="991">
        <v>43040.625</v>
      </c>
      <c r="P1481" s="991">
        <v>43040.625</v>
      </c>
      <c r="Q1481" s="930" t="s">
        <v>108</v>
      </c>
      <c r="R1481" s="634" t="s">
        <v>112</v>
      </c>
      <c r="S1481" s="930" t="s">
        <v>1457</v>
      </c>
      <c r="T1481" s="990"/>
      <c r="U1481" s="930"/>
      <c r="V1481" s="930"/>
      <c r="W1481" s="930"/>
      <c r="X1481" s="970"/>
      <c r="Y1481" s="930"/>
      <c r="Z1481" s="932"/>
      <c r="AA1481" s="908" t="s">
        <v>1458</v>
      </c>
      <c r="AB1481" s="843" t="s">
        <v>263</v>
      </c>
      <c r="AC1481" s="936"/>
      <c r="AD1481" s="844" t="s">
        <v>113</v>
      </c>
      <c r="AE1481" s="937">
        <f t="shared" si="38"/>
        <v>11</v>
      </c>
    </row>
    <row r="1482" spans="1:31" s="969" customFormat="1" ht="105" hidden="1" x14ac:dyDescent="0.25">
      <c r="A1482" s="960" t="s">
        <v>7470</v>
      </c>
      <c r="B1482" s="985" t="s">
        <v>1571</v>
      </c>
      <c r="C1482" s="985" t="s">
        <v>6152</v>
      </c>
      <c r="D1482" s="670" t="s">
        <v>7648</v>
      </c>
      <c r="E1482" s="924" t="s">
        <v>7326</v>
      </c>
      <c r="F1482" s="926" t="s">
        <v>1528</v>
      </c>
      <c r="G1482" s="924" t="s">
        <v>2156</v>
      </c>
      <c r="H1482" s="931">
        <v>47</v>
      </c>
      <c r="I1482" s="985" t="s">
        <v>2161</v>
      </c>
      <c r="J1482" s="924" t="s">
        <v>1454</v>
      </c>
      <c r="K1482" s="989" t="s">
        <v>8074</v>
      </c>
      <c r="L1482" s="990">
        <v>290771.20000000001</v>
      </c>
      <c r="M1482" s="930"/>
      <c r="N1482" s="990">
        <v>290771.20000000001</v>
      </c>
      <c r="O1482" s="991">
        <v>43070</v>
      </c>
      <c r="P1482" s="991">
        <v>43070.625</v>
      </c>
      <c r="Q1482" s="930" t="s">
        <v>108</v>
      </c>
      <c r="R1482" s="634" t="s">
        <v>112</v>
      </c>
      <c r="S1482" s="930" t="s">
        <v>1457</v>
      </c>
      <c r="T1482" s="990"/>
      <c r="U1482" s="930"/>
      <c r="V1482" s="930"/>
      <c r="W1482" s="930"/>
      <c r="X1482" s="970"/>
      <c r="Y1482" s="930"/>
      <c r="Z1482" s="932"/>
      <c r="AA1482" s="908" t="s">
        <v>1458</v>
      </c>
      <c r="AB1482" s="843" t="s">
        <v>263</v>
      </c>
      <c r="AC1482" s="936"/>
      <c r="AD1482" s="844" t="s">
        <v>113</v>
      </c>
      <c r="AE1482" s="937">
        <f t="shared" si="38"/>
        <v>12</v>
      </c>
    </row>
    <row r="1483" spans="1:31" s="969" customFormat="1" ht="105" hidden="1" x14ac:dyDescent="0.25">
      <c r="A1483" s="960" t="s">
        <v>7471</v>
      </c>
      <c r="B1483" s="985" t="s">
        <v>1793</v>
      </c>
      <c r="C1483" s="985" t="s">
        <v>4977</v>
      </c>
      <c r="D1483" s="670" t="s">
        <v>7649</v>
      </c>
      <c r="E1483" s="924" t="s">
        <v>2235</v>
      </c>
      <c r="F1483" s="926" t="s">
        <v>1587</v>
      </c>
      <c r="G1483" s="924" t="s">
        <v>2256</v>
      </c>
      <c r="H1483" s="931">
        <v>3</v>
      </c>
      <c r="I1483" s="985" t="s">
        <v>2161</v>
      </c>
      <c r="J1483" s="924" t="s">
        <v>1454</v>
      </c>
      <c r="K1483" s="989" t="s">
        <v>7384</v>
      </c>
      <c r="L1483" s="990">
        <v>494910</v>
      </c>
      <c r="M1483" s="930"/>
      <c r="N1483" s="990">
        <v>494910</v>
      </c>
      <c r="O1483" s="991">
        <v>43070</v>
      </c>
      <c r="P1483" s="991">
        <v>43070.625</v>
      </c>
      <c r="Q1483" s="930" t="s">
        <v>108</v>
      </c>
      <c r="R1483" s="634" t="s">
        <v>112</v>
      </c>
      <c r="S1483" s="930" t="s">
        <v>1457</v>
      </c>
      <c r="T1483" s="990"/>
      <c r="U1483" s="930"/>
      <c r="V1483" s="930"/>
      <c r="W1483" s="930"/>
      <c r="X1483" s="970"/>
      <c r="Y1483" s="930"/>
      <c r="Z1483" s="932"/>
      <c r="AA1483" s="908" t="s">
        <v>1458</v>
      </c>
      <c r="AB1483" s="843" t="s">
        <v>263</v>
      </c>
      <c r="AC1483" s="936"/>
      <c r="AD1483" s="844" t="s">
        <v>113</v>
      </c>
      <c r="AE1483" s="937">
        <f t="shared" si="38"/>
        <v>12</v>
      </c>
    </row>
    <row r="1484" spans="1:31" s="969" customFormat="1" ht="105" hidden="1" x14ac:dyDescent="0.25">
      <c r="A1484" s="976" t="s">
        <v>7472</v>
      </c>
      <c r="B1484" s="987" t="s">
        <v>1793</v>
      </c>
      <c r="C1484" s="987" t="s">
        <v>4977</v>
      </c>
      <c r="D1484" s="988" t="s">
        <v>7650</v>
      </c>
      <c r="E1484" s="939" t="s">
        <v>2235</v>
      </c>
      <c r="F1484" s="941" t="s">
        <v>1528</v>
      </c>
      <c r="G1484" s="939" t="s">
        <v>2156</v>
      </c>
      <c r="H1484" s="943">
        <v>1</v>
      </c>
      <c r="I1484" s="987" t="s">
        <v>2161</v>
      </c>
      <c r="J1484" s="939" t="s">
        <v>1454</v>
      </c>
      <c r="K1484" s="989" t="s">
        <v>7385</v>
      </c>
      <c r="L1484" s="990">
        <v>1456578.4</v>
      </c>
      <c r="M1484" s="945"/>
      <c r="N1484" s="990">
        <v>1456578.4</v>
      </c>
      <c r="O1484" s="991">
        <v>43070</v>
      </c>
      <c r="P1484" s="991">
        <v>43070.625</v>
      </c>
      <c r="Q1484" s="930" t="s">
        <v>108</v>
      </c>
      <c r="R1484" s="963" t="s">
        <v>112</v>
      </c>
      <c r="S1484" s="930" t="s">
        <v>1457</v>
      </c>
      <c r="T1484" s="990"/>
      <c r="U1484" s="945"/>
      <c r="V1484" s="945"/>
      <c r="W1484" s="945"/>
      <c r="X1484" s="1016"/>
      <c r="Y1484" s="945"/>
      <c r="Z1484" s="1017"/>
      <c r="AA1484" s="908" t="s">
        <v>1458</v>
      </c>
      <c r="AB1484" s="843" t="s">
        <v>263</v>
      </c>
      <c r="AC1484" s="948"/>
      <c r="AD1484" s="844" t="s">
        <v>113</v>
      </c>
      <c r="AE1484" s="949">
        <f t="shared" si="38"/>
        <v>12</v>
      </c>
    </row>
    <row r="1485" spans="1:31" ht="105" hidden="1" x14ac:dyDescent="0.25">
      <c r="A1485" s="960" t="s">
        <v>7835</v>
      </c>
      <c r="B1485" s="985" t="s">
        <v>1687</v>
      </c>
      <c r="C1485" s="985" t="s">
        <v>3132</v>
      </c>
      <c r="D1485" s="670" t="s">
        <v>8024</v>
      </c>
      <c r="E1485" s="924" t="s">
        <v>4944</v>
      </c>
      <c r="F1485" s="926" t="s">
        <v>1645</v>
      </c>
      <c r="G1485" s="924" t="s">
        <v>2259</v>
      </c>
      <c r="H1485" s="931">
        <v>746.8</v>
      </c>
      <c r="I1485" s="985" t="s">
        <v>2161</v>
      </c>
      <c r="J1485" s="924" t="s">
        <v>1454</v>
      </c>
      <c r="K1485" s="989" t="s">
        <v>7759</v>
      </c>
      <c r="L1485" s="990">
        <v>197753.91</v>
      </c>
      <c r="M1485" s="930"/>
      <c r="N1485" s="990">
        <v>197753.91</v>
      </c>
      <c r="O1485" s="991">
        <v>43040.625</v>
      </c>
      <c r="P1485" s="991">
        <v>43070.625</v>
      </c>
      <c r="Q1485" s="930" t="s">
        <v>108</v>
      </c>
      <c r="R1485" s="963" t="s">
        <v>112</v>
      </c>
      <c r="S1485" s="930" t="s">
        <v>1457</v>
      </c>
      <c r="T1485" s="990"/>
      <c r="U1485" s="930"/>
      <c r="V1485" s="930"/>
      <c r="W1485" s="934"/>
      <c r="X1485" s="935"/>
      <c r="Y1485" s="934"/>
      <c r="Z1485" s="933"/>
      <c r="AA1485" s="908" t="s">
        <v>1458</v>
      </c>
      <c r="AB1485" s="843" t="s">
        <v>263</v>
      </c>
      <c r="AC1485" s="936"/>
      <c r="AD1485" s="936"/>
      <c r="AE1485" s="937">
        <f t="shared" ref="AE1485:AE1516" si="39">IF(O1485=0,,MONTH(O1485))</f>
        <v>11</v>
      </c>
    </row>
    <row r="1486" spans="1:31" ht="105" hidden="1" x14ac:dyDescent="0.25">
      <c r="A1486" s="960" t="s">
        <v>7836</v>
      </c>
      <c r="B1486" s="985" t="s">
        <v>1480</v>
      </c>
      <c r="C1486" s="985" t="s">
        <v>6493</v>
      </c>
      <c r="D1486" s="670" t="s">
        <v>8023</v>
      </c>
      <c r="E1486" s="924" t="s">
        <v>4852</v>
      </c>
      <c r="F1486" s="926" t="s">
        <v>1528</v>
      </c>
      <c r="G1486" s="924" t="s">
        <v>2156</v>
      </c>
      <c r="H1486" s="931">
        <v>1</v>
      </c>
      <c r="I1486" s="985" t="s">
        <v>2161</v>
      </c>
      <c r="J1486" s="924" t="s">
        <v>1454</v>
      </c>
      <c r="K1486" s="989" t="s">
        <v>7760</v>
      </c>
      <c r="L1486" s="990">
        <v>125000</v>
      </c>
      <c r="M1486" s="930"/>
      <c r="N1486" s="990">
        <v>125000</v>
      </c>
      <c r="O1486" s="991">
        <v>43040.625</v>
      </c>
      <c r="P1486" s="991">
        <v>43070.625</v>
      </c>
      <c r="Q1486" s="930" t="s">
        <v>108</v>
      </c>
      <c r="R1486" s="963" t="s">
        <v>112</v>
      </c>
      <c r="S1486" s="930" t="s">
        <v>1457</v>
      </c>
      <c r="T1486" s="990"/>
      <c r="U1486" s="930"/>
      <c r="V1486" s="930"/>
      <c r="W1486" s="934"/>
      <c r="X1486" s="935"/>
      <c r="Y1486" s="934"/>
      <c r="Z1486" s="933"/>
      <c r="AA1486" s="908" t="s">
        <v>1458</v>
      </c>
      <c r="AB1486" s="843" t="s">
        <v>263</v>
      </c>
      <c r="AC1486" s="936"/>
      <c r="AD1486" s="936"/>
      <c r="AE1486" s="937">
        <f t="shared" si="39"/>
        <v>11</v>
      </c>
    </row>
    <row r="1487" spans="1:31" ht="105" hidden="1" x14ac:dyDescent="0.25">
      <c r="A1487" s="960" t="s">
        <v>7837</v>
      </c>
      <c r="B1487" s="985" t="s">
        <v>1941</v>
      </c>
      <c r="C1487" s="985" t="s">
        <v>1941</v>
      </c>
      <c r="D1487" s="670" t="s">
        <v>8022</v>
      </c>
      <c r="E1487" s="924" t="s">
        <v>1948</v>
      </c>
      <c r="F1487" s="926" t="s">
        <v>1587</v>
      </c>
      <c r="G1487" s="924" t="s">
        <v>2256</v>
      </c>
      <c r="H1487" s="931">
        <v>35</v>
      </c>
      <c r="I1487" s="985" t="s">
        <v>2161</v>
      </c>
      <c r="J1487" s="924" t="s">
        <v>1454</v>
      </c>
      <c r="K1487" s="989" t="s">
        <v>7761</v>
      </c>
      <c r="L1487" s="990">
        <v>21608650</v>
      </c>
      <c r="M1487" s="930" t="s">
        <v>997</v>
      </c>
      <c r="N1487" s="990">
        <v>21608650</v>
      </c>
      <c r="O1487" s="991">
        <v>43070.625</v>
      </c>
      <c r="P1487" s="991">
        <v>43252.625</v>
      </c>
      <c r="Q1487" s="930" t="s">
        <v>110</v>
      </c>
      <c r="R1487" s="634" t="s">
        <v>113</v>
      </c>
      <c r="S1487" s="930"/>
      <c r="T1487" s="990"/>
      <c r="U1487" s="930"/>
      <c r="V1487" s="930" t="s">
        <v>45</v>
      </c>
      <c r="W1487" s="934" t="s">
        <v>73</v>
      </c>
      <c r="X1487" s="935" t="s">
        <v>2334</v>
      </c>
      <c r="Y1487" s="934" t="s">
        <v>2335</v>
      </c>
      <c r="Z1487" s="933">
        <v>21608650</v>
      </c>
      <c r="AA1487" s="908" t="s">
        <v>1458</v>
      </c>
      <c r="AB1487" s="843" t="s">
        <v>263</v>
      </c>
      <c r="AC1487" s="936"/>
      <c r="AD1487" s="936"/>
      <c r="AE1487" s="937">
        <f t="shared" si="39"/>
        <v>12</v>
      </c>
    </row>
    <row r="1488" spans="1:31" ht="105" hidden="1" x14ac:dyDescent="0.25">
      <c r="A1488" s="960" t="s">
        <v>7838</v>
      </c>
      <c r="B1488" s="985" t="s">
        <v>1941</v>
      </c>
      <c r="C1488" s="985" t="s">
        <v>1941</v>
      </c>
      <c r="D1488" s="670" t="s">
        <v>8021</v>
      </c>
      <c r="E1488" s="924" t="s">
        <v>1948</v>
      </c>
      <c r="F1488" s="926" t="s">
        <v>1587</v>
      </c>
      <c r="G1488" s="924" t="s">
        <v>2256</v>
      </c>
      <c r="H1488" s="931">
        <v>62</v>
      </c>
      <c r="I1488" s="985" t="s">
        <v>2161</v>
      </c>
      <c r="J1488" s="924" t="s">
        <v>1454</v>
      </c>
      <c r="K1488" s="989" t="s">
        <v>7762</v>
      </c>
      <c r="L1488" s="990">
        <v>1319918</v>
      </c>
      <c r="M1488" s="930"/>
      <c r="N1488" s="990">
        <v>1319918</v>
      </c>
      <c r="O1488" s="991">
        <v>43040.625</v>
      </c>
      <c r="P1488" s="991">
        <v>43160.625</v>
      </c>
      <c r="Q1488" s="930" t="s">
        <v>110</v>
      </c>
      <c r="R1488" s="634" t="s">
        <v>113</v>
      </c>
      <c r="S1488" s="930"/>
      <c r="T1488" s="990"/>
      <c r="U1488" s="930"/>
      <c r="V1488" s="930"/>
      <c r="W1488" s="934"/>
      <c r="X1488" s="935"/>
      <c r="Y1488" s="934"/>
      <c r="Z1488" s="933"/>
      <c r="AA1488" s="908" t="s">
        <v>1458</v>
      </c>
      <c r="AB1488" s="843" t="s">
        <v>263</v>
      </c>
      <c r="AC1488" s="936"/>
      <c r="AD1488" s="936"/>
      <c r="AE1488" s="937">
        <f t="shared" si="39"/>
        <v>11</v>
      </c>
    </row>
    <row r="1489" spans="1:31" ht="105" hidden="1" x14ac:dyDescent="0.25">
      <c r="A1489" s="960" t="s">
        <v>7839</v>
      </c>
      <c r="B1489" s="985" t="s">
        <v>1851</v>
      </c>
      <c r="C1489" s="985" t="s">
        <v>1851</v>
      </c>
      <c r="D1489" s="670" t="s">
        <v>8020</v>
      </c>
      <c r="E1489" s="924" t="s">
        <v>1948</v>
      </c>
      <c r="F1489" s="926" t="s">
        <v>1528</v>
      </c>
      <c r="G1489" s="924" t="s">
        <v>2156</v>
      </c>
      <c r="H1489" s="931">
        <v>42</v>
      </c>
      <c r="I1489" s="985" t="s">
        <v>2161</v>
      </c>
      <c r="J1489" s="924" t="s">
        <v>1454</v>
      </c>
      <c r="K1489" s="989" t="s">
        <v>7763</v>
      </c>
      <c r="L1489" s="990">
        <v>842310</v>
      </c>
      <c r="M1489" s="930" t="s">
        <v>997</v>
      </c>
      <c r="N1489" s="990">
        <v>842310</v>
      </c>
      <c r="O1489" s="991">
        <v>43070.625</v>
      </c>
      <c r="P1489" s="991">
        <v>43160.625</v>
      </c>
      <c r="Q1489" s="930" t="s">
        <v>110</v>
      </c>
      <c r="R1489" s="634" t="s">
        <v>113</v>
      </c>
      <c r="S1489" s="930"/>
      <c r="T1489" s="990"/>
      <c r="U1489" s="930"/>
      <c r="V1489" s="930" t="s">
        <v>45</v>
      </c>
      <c r="W1489" s="934" t="s">
        <v>73</v>
      </c>
      <c r="X1489" s="935" t="s">
        <v>8027</v>
      </c>
      <c r="Y1489" s="934" t="s">
        <v>8028</v>
      </c>
      <c r="Z1489" s="933">
        <v>842310</v>
      </c>
      <c r="AA1489" s="908" t="s">
        <v>1458</v>
      </c>
      <c r="AB1489" s="843" t="s">
        <v>263</v>
      </c>
      <c r="AC1489" s="936"/>
      <c r="AD1489" s="936"/>
      <c r="AE1489" s="937">
        <f t="shared" si="39"/>
        <v>12</v>
      </c>
    </row>
    <row r="1490" spans="1:31" ht="267.75" hidden="1" x14ac:dyDescent="0.25">
      <c r="A1490" s="960" t="s">
        <v>7840</v>
      </c>
      <c r="B1490" s="985" t="s">
        <v>2010</v>
      </c>
      <c r="C1490" s="985" t="s">
        <v>2057</v>
      </c>
      <c r="D1490" s="670" t="s">
        <v>8019</v>
      </c>
      <c r="E1490" s="924" t="s">
        <v>7722</v>
      </c>
      <c r="F1490" s="926" t="s">
        <v>1528</v>
      </c>
      <c r="G1490" s="924" t="s">
        <v>2156</v>
      </c>
      <c r="H1490" s="931">
        <v>1</v>
      </c>
      <c r="I1490" s="985" t="s">
        <v>2161</v>
      </c>
      <c r="J1490" s="924" t="s">
        <v>1454</v>
      </c>
      <c r="K1490" s="989" t="s">
        <v>7764</v>
      </c>
      <c r="L1490" s="990">
        <v>716991.01</v>
      </c>
      <c r="M1490" s="930"/>
      <c r="N1490" s="990">
        <v>716991.01</v>
      </c>
      <c r="O1490" s="991">
        <v>43040.625</v>
      </c>
      <c r="P1490" s="991">
        <v>43070.625</v>
      </c>
      <c r="Q1490" s="930" t="s">
        <v>108</v>
      </c>
      <c r="R1490" s="963" t="s">
        <v>112</v>
      </c>
      <c r="S1490" s="930" t="s">
        <v>1457</v>
      </c>
      <c r="T1490" s="990"/>
      <c r="U1490" s="930"/>
      <c r="V1490" s="930"/>
      <c r="W1490" s="934"/>
      <c r="X1490" s="935"/>
      <c r="Y1490" s="934"/>
      <c r="Z1490" s="933"/>
      <c r="AA1490" s="908" t="s">
        <v>1458</v>
      </c>
      <c r="AB1490" s="843" t="s">
        <v>263</v>
      </c>
      <c r="AC1490" s="936"/>
      <c r="AD1490" s="936"/>
      <c r="AE1490" s="937">
        <f t="shared" si="39"/>
        <v>11</v>
      </c>
    </row>
    <row r="1491" spans="1:31" ht="105" hidden="1" x14ac:dyDescent="0.25">
      <c r="A1491" s="960" t="s">
        <v>7841</v>
      </c>
      <c r="B1491" s="985" t="s">
        <v>1507</v>
      </c>
      <c r="C1491" s="985" t="s">
        <v>1507</v>
      </c>
      <c r="D1491" s="670" t="s">
        <v>8018</v>
      </c>
      <c r="E1491" s="924" t="s">
        <v>1495</v>
      </c>
      <c r="F1491" s="926" t="s">
        <v>7723</v>
      </c>
      <c r="G1491" s="924" t="s">
        <v>1508</v>
      </c>
      <c r="H1491" s="931">
        <v>1</v>
      </c>
      <c r="I1491" s="985" t="s">
        <v>2161</v>
      </c>
      <c r="J1491" s="924" t="s">
        <v>1454</v>
      </c>
      <c r="K1491" s="989" t="s">
        <v>7765</v>
      </c>
      <c r="L1491" s="990">
        <v>147005.79</v>
      </c>
      <c r="M1491" s="930"/>
      <c r="N1491" s="990">
        <v>147005.79</v>
      </c>
      <c r="O1491" s="991">
        <v>43040.625</v>
      </c>
      <c r="P1491" s="991">
        <v>43070.625</v>
      </c>
      <c r="Q1491" s="930" t="s">
        <v>110</v>
      </c>
      <c r="R1491" s="634" t="s">
        <v>113</v>
      </c>
      <c r="S1491" s="930"/>
      <c r="T1491" s="990"/>
      <c r="U1491" s="930"/>
      <c r="V1491" s="930"/>
      <c r="W1491" s="934" t="s">
        <v>65</v>
      </c>
      <c r="X1491" s="638" t="s">
        <v>5933</v>
      </c>
      <c r="Y1491" s="637" t="s">
        <v>1509</v>
      </c>
      <c r="Z1491" s="933">
        <v>147005.79</v>
      </c>
      <c r="AA1491" s="908" t="s">
        <v>1458</v>
      </c>
      <c r="AB1491" s="843" t="s">
        <v>263</v>
      </c>
      <c r="AC1491" s="936"/>
      <c r="AD1491" s="936"/>
      <c r="AE1491" s="937">
        <f t="shared" si="39"/>
        <v>11</v>
      </c>
    </row>
    <row r="1492" spans="1:31" ht="105" hidden="1" x14ac:dyDescent="0.25">
      <c r="A1492" s="960" t="s">
        <v>7842</v>
      </c>
      <c r="B1492" s="985" t="s">
        <v>1507</v>
      </c>
      <c r="C1492" s="985" t="s">
        <v>1507</v>
      </c>
      <c r="D1492" s="670" t="s">
        <v>8017</v>
      </c>
      <c r="E1492" s="924" t="s">
        <v>1495</v>
      </c>
      <c r="F1492" s="926" t="s">
        <v>7723</v>
      </c>
      <c r="G1492" s="924" t="s">
        <v>1508</v>
      </c>
      <c r="H1492" s="931">
        <v>1</v>
      </c>
      <c r="I1492" s="985" t="s">
        <v>2161</v>
      </c>
      <c r="J1492" s="924" t="s">
        <v>1454</v>
      </c>
      <c r="K1492" s="989" t="s">
        <v>7766</v>
      </c>
      <c r="L1492" s="990">
        <v>290324.99</v>
      </c>
      <c r="M1492" s="930"/>
      <c r="N1492" s="990">
        <v>290324.99</v>
      </c>
      <c r="O1492" s="991">
        <v>43040.625</v>
      </c>
      <c r="P1492" s="991">
        <v>43070.625</v>
      </c>
      <c r="Q1492" s="930" t="s">
        <v>110</v>
      </c>
      <c r="R1492" s="634" t="s">
        <v>113</v>
      </c>
      <c r="S1492" s="930"/>
      <c r="T1492" s="990"/>
      <c r="U1492" s="930"/>
      <c r="V1492" s="930"/>
      <c r="W1492" s="934" t="s">
        <v>65</v>
      </c>
      <c r="X1492" s="638" t="s">
        <v>5933</v>
      </c>
      <c r="Y1492" s="637" t="s">
        <v>1509</v>
      </c>
      <c r="Z1492" s="933">
        <v>290324.99</v>
      </c>
      <c r="AA1492" s="908" t="s">
        <v>1458</v>
      </c>
      <c r="AB1492" s="843" t="s">
        <v>263</v>
      </c>
      <c r="AC1492" s="936"/>
      <c r="AD1492" s="936"/>
      <c r="AE1492" s="937">
        <f t="shared" si="39"/>
        <v>11</v>
      </c>
    </row>
    <row r="1493" spans="1:31" ht="105" hidden="1" x14ac:dyDescent="0.25">
      <c r="A1493" s="960" t="s">
        <v>7843</v>
      </c>
      <c r="B1493" s="985" t="s">
        <v>1507</v>
      </c>
      <c r="C1493" s="985" t="s">
        <v>1507</v>
      </c>
      <c r="D1493" s="670" t="s">
        <v>8016</v>
      </c>
      <c r="E1493" s="924" t="s">
        <v>1495</v>
      </c>
      <c r="F1493" s="926" t="s">
        <v>7723</v>
      </c>
      <c r="G1493" s="924" t="s">
        <v>1508</v>
      </c>
      <c r="H1493" s="931">
        <v>1</v>
      </c>
      <c r="I1493" s="985" t="s">
        <v>2161</v>
      </c>
      <c r="J1493" s="924" t="s">
        <v>1454</v>
      </c>
      <c r="K1493" s="989" t="s">
        <v>7767</v>
      </c>
      <c r="L1493" s="990">
        <v>159436.31</v>
      </c>
      <c r="M1493" s="930"/>
      <c r="N1493" s="990">
        <v>159436.31</v>
      </c>
      <c r="O1493" s="991">
        <v>43040.625</v>
      </c>
      <c r="P1493" s="991">
        <v>43070.625</v>
      </c>
      <c r="Q1493" s="930" t="s">
        <v>110</v>
      </c>
      <c r="R1493" s="634" t="s">
        <v>113</v>
      </c>
      <c r="S1493" s="930"/>
      <c r="T1493" s="990"/>
      <c r="U1493" s="930"/>
      <c r="V1493" s="930"/>
      <c r="W1493" s="934" t="s">
        <v>65</v>
      </c>
      <c r="X1493" s="638" t="s">
        <v>5933</v>
      </c>
      <c r="Y1493" s="637" t="s">
        <v>1509</v>
      </c>
      <c r="Z1493" s="933">
        <v>159436.31</v>
      </c>
      <c r="AA1493" s="908" t="s">
        <v>1458</v>
      </c>
      <c r="AB1493" s="843" t="s">
        <v>263</v>
      </c>
      <c r="AC1493" s="936"/>
      <c r="AD1493" s="936"/>
      <c r="AE1493" s="937">
        <f t="shared" si="39"/>
        <v>11</v>
      </c>
    </row>
    <row r="1494" spans="1:31" ht="105" hidden="1" x14ac:dyDescent="0.25">
      <c r="A1494" s="960" t="s">
        <v>7844</v>
      </c>
      <c r="B1494" s="985" t="s">
        <v>1480</v>
      </c>
      <c r="C1494" s="985" t="s">
        <v>2116</v>
      </c>
      <c r="D1494" s="670" t="s">
        <v>8015</v>
      </c>
      <c r="E1494" s="924" t="s">
        <v>2117</v>
      </c>
      <c r="F1494" s="926" t="s">
        <v>1528</v>
      </c>
      <c r="G1494" s="924" t="s">
        <v>2156</v>
      </c>
      <c r="H1494" s="931">
        <v>1</v>
      </c>
      <c r="I1494" s="985" t="s">
        <v>2161</v>
      </c>
      <c r="J1494" s="924" t="s">
        <v>1454</v>
      </c>
      <c r="K1494" s="989" t="s">
        <v>7768</v>
      </c>
      <c r="L1494" s="990">
        <v>1450692</v>
      </c>
      <c r="M1494" s="930"/>
      <c r="N1494" s="990">
        <v>1450692</v>
      </c>
      <c r="O1494" s="991">
        <v>43070.625</v>
      </c>
      <c r="P1494" s="991">
        <v>43435.625</v>
      </c>
      <c r="Q1494" s="930" t="s">
        <v>106</v>
      </c>
      <c r="R1494" s="963" t="s">
        <v>112</v>
      </c>
      <c r="S1494" s="930" t="s">
        <v>1457</v>
      </c>
      <c r="T1494" s="990"/>
      <c r="U1494" s="930"/>
      <c r="V1494" s="930"/>
      <c r="W1494" s="934"/>
      <c r="X1494" s="935"/>
      <c r="Y1494" s="934"/>
      <c r="Z1494" s="933"/>
      <c r="AA1494" s="908" t="s">
        <v>1458</v>
      </c>
      <c r="AB1494" s="843" t="s">
        <v>263</v>
      </c>
      <c r="AC1494" s="936"/>
      <c r="AD1494" s="936"/>
      <c r="AE1494" s="937">
        <f t="shared" si="39"/>
        <v>12</v>
      </c>
    </row>
    <row r="1495" spans="1:31" ht="105" hidden="1" x14ac:dyDescent="0.25">
      <c r="A1495" s="960" t="s">
        <v>7845</v>
      </c>
      <c r="B1495" s="985" t="s">
        <v>2044</v>
      </c>
      <c r="C1495" s="985" t="s">
        <v>2115</v>
      </c>
      <c r="D1495" s="670" t="s">
        <v>8014</v>
      </c>
      <c r="E1495" s="924" t="s">
        <v>2046</v>
      </c>
      <c r="F1495" s="926" t="s">
        <v>1528</v>
      </c>
      <c r="G1495" s="924" t="s">
        <v>2156</v>
      </c>
      <c r="H1495" s="931">
        <v>1</v>
      </c>
      <c r="I1495" s="985" t="s">
        <v>2161</v>
      </c>
      <c r="J1495" s="924" t="s">
        <v>1454</v>
      </c>
      <c r="K1495" s="989" t="s">
        <v>7769</v>
      </c>
      <c r="L1495" s="990">
        <v>3180100</v>
      </c>
      <c r="M1495" s="930"/>
      <c r="N1495" s="990">
        <v>3180100</v>
      </c>
      <c r="O1495" s="991">
        <v>43070.625</v>
      </c>
      <c r="P1495" s="991">
        <v>43435.625</v>
      </c>
      <c r="Q1495" s="930" t="s">
        <v>106</v>
      </c>
      <c r="R1495" s="963" t="s">
        <v>112</v>
      </c>
      <c r="S1495" s="930" t="s">
        <v>1457</v>
      </c>
      <c r="T1495" s="990"/>
      <c r="U1495" s="930"/>
      <c r="V1495" s="930"/>
      <c r="W1495" s="934"/>
      <c r="X1495" s="935"/>
      <c r="Y1495" s="934"/>
      <c r="Z1495" s="933"/>
      <c r="AA1495" s="908" t="s">
        <v>1458</v>
      </c>
      <c r="AB1495" s="843" t="s">
        <v>263</v>
      </c>
      <c r="AC1495" s="936"/>
      <c r="AD1495" s="936"/>
      <c r="AE1495" s="937">
        <f t="shared" si="39"/>
        <v>12</v>
      </c>
    </row>
    <row r="1496" spans="1:31" ht="105" hidden="1" x14ac:dyDescent="0.25">
      <c r="A1496" s="960" t="s">
        <v>7846</v>
      </c>
      <c r="B1496" s="985" t="s">
        <v>2033</v>
      </c>
      <c r="C1496" s="985" t="s">
        <v>2034</v>
      </c>
      <c r="D1496" s="670" t="s">
        <v>8013</v>
      </c>
      <c r="E1496" s="924" t="s">
        <v>2027</v>
      </c>
      <c r="F1496" s="926" t="s">
        <v>1528</v>
      </c>
      <c r="G1496" s="924" t="s">
        <v>2156</v>
      </c>
      <c r="H1496" s="931">
        <v>106</v>
      </c>
      <c r="I1496" s="985" t="s">
        <v>2161</v>
      </c>
      <c r="J1496" s="924" t="s">
        <v>1454</v>
      </c>
      <c r="K1496" s="989" t="s">
        <v>7770</v>
      </c>
      <c r="L1496" s="990">
        <v>35790889.159999996</v>
      </c>
      <c r="M1496" s="930"/>
      <c r="N1496" s="990">
        <v>35790889.159999996</v>
      </c>
      <c r="O1496" s="991">
        <v>43040.625</v>
      </c>
      <c r="P1496" s="991">
        <v>43435.625</v>
      </c>
      <c r="Q1496" s="930" t="s">
        <v>110</v>
      </c>
      <c r="R1496" s="930"/>
      <c r="S1496" s="930"/>
      <c r="T1496" s="990"/>
      <c r="U1496" s="930"/>
      <c r="V1496" s="930"/>
      <c r="W1496" s="934"/>
      <c r="X1496" s="935"/>
      <c r="Y1496" s="934"/>
      <c r="Z1496" s="933"/>
      <c r="AA1496" s="908" t="s">
        <v>1458</v>
      </c>
      <c r="AB1496" s="843" t="s">
        <v>263</v>
      </c>
      <c r="AC1496" s="936"/>
      <c r="AD1496" s="936"/>
      <c r="AE1496" s="937">
        <f t="shared" si="39"/>
        <v>11</v>
      </c>
    </row>
    <row r="1497" spans="1:31" ht="105" hidden="1" x14ac:dyDescent="0.25">
      <c r="A1497" s="960" t="s">
        <v>7847</v>
      </c>
      <c r="B1497" s="985" t="s">
        <v>2122</v>
      </c>
      <c r="C1497" s="985" t="s">
        <v>6900</v>
      </c>
      <c r="D1497" s="670" t="s">
        <v>8012</v>
      </c>
      <c r="E1497" s="924" t="s">
        <v>6901</v>
      </c>
      <c r="F1497" s="926" t="s">
        <v>1528</v>
      </c>
      <c r="G1497" s="924" t="s">
        <v>2156</v>
      </c>
      <c r="H1497" s="931">
        <v>1</v>
      </c>
      <c r="I1497" s="985" t="s">
        <v>2161</v>
      </c>
      <c r="J1497" s="924" t="s">
        <v>1454</v>
      </c>
      <c r="K1497" s="989" t="s">
        <v>7383</v>
      </c>
      <c r="L1497" s="990">
        <v>815781.32</v>
      </c>
      <c r="M1497" s="930"/>
      <c r="N1497" s="990">
        <v>815781.32</v>
      </c>
      <c r="O1497" s="991">
        <v>43040.625</v>
      </c>
      <c r="P1497" s="991">
        <v>43070.625</v>
      </c>
      <c r="Q1497" s="930" t="s">
        <v>108</v>
      </c>
      <c r="R1497" s="963" t="s">
        <v>112</v>
      </c>
      <c r="S1497" s="930" t="s">
        <v>1457</v>
      </c>
      <c r="T1497" s="990"/>
      <c r="U1497" s="930"/>
      <c r="V1497" s="930"/>
      <c r="W1497" s="934"/>
      <c r="X1497" s="935"/>
      <c r="Y1497" s="934"/>
      <c r="Z1497" s="933"/>
      <c r="AA1497" s="908" t="s">
        <v>1458</v>
      </c>
      <c r="AB1497" s="843" t="s">
        <v>263</v>
      </c>
      <c r="AC1497" s="936"/>
      <c r="AD1497" s="936"/>
      <c r="AE1497" s="937">
        <f t="shared" si="39"/>
        <v>11</v>
      </c>
    </row>
    <row r="1498" spans="1:31" ht="105" hidden="1" x14ac:dyDescent="0.25">
      <c r="A1498" s="960" t="s">
        <v>7848</v>
      </c>
      <c r="B1498" s="985" t="s">
        <v>1540</v>
      </c>
      <c r="C1498" s="985" t="s">
        <v>1545</v>
      </c>
      <c r="D1498" s="670" t="s">
        <v>8011</v>
      </c>
      <c r="E1498" s="924" t="s">
        <v>6158</v>
      </c>
      <c r="F1498" s="926" t="s">
        <v>1528</v>
      </c>
      <c r="G1498" s="924" t="s">
        <v>2156</v>
      </c>
      <c r="H1498" s="931">
        <v>50</v>
      </c>
      <c r="I1498" s="985" t="s">
        <v>2161</v>
      </c>
      <c r="J1498" s="924" t="s">
        <v>1454</v>
      </c>
      <c r="K1498" s="989" t="s">
        <v>7771</v>
      </c>
      <c r="L1498" s="990">
        <v>725000</v>
      </c>
      <c r="M1498" s="930"/>
      <c r="N1498" s="990">
        <v>725000</v>
      </c>
      <c r="O1498" s="991">
        <v>43040.625</v>
      </c>
      <c r="P1498" s="991">
        <v>43070.625</v>
      </c>
      <c r="Q1498" s="930" t="s">
        <v>110</v>
      </c>
      <c r="R1498" s="930"/>
      <c r="S1498" s="930"/>
      <c r="T1498" s="990"/>
      <c r="U1498" s="930"/>
      <c r="V1498" s="930"/>
      <c r="W1498" s="934" t="s">
        <v>92</v>
      </c>
      <c r="X1498" s="638" t="s">
        <v>8047</v>
      </c>
      <c r="Y1498" s="637" t="s">
        <v>8048</v>
      </c>
      <c r="Z1498" s="933">
        <v>725000</v>
      </c>
      <c r="AA1498" s="908" t="s">
        <v>1458</v>
      </c>
      <c r="AB1498" s="843" t="s">
        <v>263</v>
      </c>
      <c r="AC1498" s="936"/>
      <c r="AD1498" s="936"/>
      <c r="AE1498" s="937">
        <f t="shared" si="39"/>
        <v>11</v>
      </c>
    </row>
    <row r="1499" spans="1:31" ht="105" hidden="1" x14ac:dyDescent="0.25">
      <c r="A1499" s="960" t="s">
        <v>7849</v>
      </c>
      <c r="B1499" s="985" t="s">
        <v>6890</v>
      </c>
      <c r="C1499" s="985" t="s">
        <v>7724</v>
      </c>
      <c r="D1499" s="670" t="s">
        <v>8010</v>
      </c>
      <c r="E1499" s="924" t="s">
        <v>7320</v>
      </c>
      <c r="F1499" s="926" t="s">
        <v>1528</v>
      </c>
      <c r="G1499" s="924" t="s">
        <v>2156</v>
      </c>
      <c r="H1499" s="931">
        <v>1</v>
      </c>
      <c r="I1499" s="985" t="s">
        <v>2161</v>
      </c>
      <c r="J1499" s="924" t="s">
        <v>1454</v>
      </c>
      <c r="K1499" s="989" t="s">
        <v>7772</v>
      </c>
      <c r="L1499" s="990">
        <v>68762.5</v>
      </c>
      <c r="M1499" s="930"/>
      <c r="N1499" s="990">
        <v>68762.5</v>
      </c>
      <c r="O1499" s="991">
        <v>43040.625</v>
      </c>
      <c r="P1499" s="991">
        <v>43070.625</v>
      </c>
      <c r="Q1499" s="930" t="s">
        <v>108</v>
      </c>
      <c r="R1499" s="963" t="s">
        <v>112</v>
      </c>
      <c r="S1499" s="930" t="s">
        <v>1457</v>
      </c>
      <c r="T1499" s="990"/>
      <c r="U1499" s="930"/>
      <c r="V1499" s="930"/>
      <c r="W1499" s="934"/>
      <c r="X1499" s="935"/>
      <c r="Y1499" s="934"/>
      <c r="Z1499" s="933"/>
      <c r="AA1499" s="908" t="s">
        <v>1458</v>
      </c>
      <c r="AB1499" s="843" t="s">
        <v>263</v>
      </c>
      <c r="AC1499" s="936"/>
      <c r="AD1499" s="936"/>
      <c r="AE1499" s="937">
        <f t="shared" si="39"/>
        <v>11</v>
      </c>
    </row>
    <row r="1500" spans="1:31" ht="105" hidden="1" x14ac:dyDescent="0.25">
      <c r="A1500" s="960" t="s">
        <v>7850</v>
      </c>
      <c r="B1500" s="985" t="s">
        <v>1851</v>
      </c>
      <c r="C1500" s="985" t="s">
        <v>2037</v>
      </c>
      <c r="D1500" s="670" t="s">
        <v>8009</v>
      </c>
      <c r="E1500" s="924" t="s">
        <v>2027</v>
      </c>
      <c r="F1500" s="926" t="s">
        <v>1528</v>
      </c>
      <c r="G1500" s="924" t="s">
        <v>2156</v>
      </c>
      <c r="H1500" s="931">
        <v>24</v>
      </c>
      <c r="I1500" s="985" t="s">
        <v>2161</v>
      </c>
      <c r="J1500" s="924" t="s">
        <v>1454</v>
      </c>
      <c r="K1500" s="989" t="s">
        <v>7773</v>
      </c>
      <c r="L1500" s="990">
        <v>5947200</v>
      </c>
      <c r="M1500" s="930"/>
      <c r="N1500" s="990">
        <v>5947200</v>
      </c>
      <c r="O1500" s="991">
        <v>43070.625</v>
      </c>
      <c r="P1500" s="991">
        <v>43160.625</v>
      </c>
      <c r="Q1500" s="930" t="s">
        <v>110</v>
      </c>
      <c r="R1500" s="634" t="s">
        <v>113</v>
      </c>
      <c r="S1500" s="930"/>
      <c r="T1500" s="990"/>
      <c r="U1500" s="930"/>
      <c r="V1500" s="930"/>
      <c r="W1500" s="934"/>
      <c r="X1500" s="935"/>
      <c r="Y1500" s="934"/>
      <c r="Z1500" s="933"/>
      <c r="AA1500" s="908" t="s">
        <v>1458</v>
      </c>
      <c r="AB1500" s="843" t="s">
        <v>263</v>
      </c>
      <c r="AC1500" s="936"/>
      <c r="AD1500" s="936"/>
      <c r="AE1500" s="937">
        <f t="shared" si="39"/>
        <v>12</v>
      </c>
    </row>
    <row r="1501" spans="1:31" ht="105" hidden="1" x14ac:dyDescent="0.25">
      <c r="A1501" s="960" t="s">
        <v>7851</v>
      </c>
      <c r="B1501" s="985" t="s">
        <v>5013</v>
      </c>
      <c r="C1501" s="985" t="s">
        <v>5014</v>
      </c>
      <c r="D1501" s="670" t="s">
        <v>8008</v>
      </c>
      <c r="E1501" s="924" t="s">
        <v>5015</v>
      </c>
      <c r="F1501" s="926" t="s">
        <v>1528</v>
      </c>
      <c r="G1501" s="924" t="s">
        <v>2156</v>
      </c>
      <c r="H1501" s="931">
        <v>1</v>
      </c>
      <c r="I1501" s="985" t="s">
        <v>2161</v>
      </c>
      <c r="J1501" s="924" t="s">
        <v>1454</v>
      </c>
      <c r="K1501" s="989" t="s">
        <v>1689</v>
      </c>
      <c r="L1501" s="990">
        <v>1800000</v>
      </c>
      <c r="M1501" s="930"/>
      <c r="N1501" s="990">
        <v>1800000</v>
      </c>
      <c r="O1501" s="991">
        <v>43070</v>
      </c>
      <c r="P1501" s="991">
        <v>43070.625</v>
      </c>
      <c r="Q1501" s="930" t="s">
        <v>106</v>
      </c>
      <c r="R1501" s="963" t="s">
        <v>112</v>
      </c>
      <c r="S1501" s="930" t="s">
        <v>1457</v>
      </c>
      <c r="T1501" s="990"/>
      <c r="U1501" s="930"/>
      <c r="V1501" s="930"/>
      <c r="W1501" s="934"/>
      <c r="X1501" s="935"/>
      <c r="Y1501" s="934"/>
      <c r="Z1501" s="933"/>
      <c r="AA1501" s="908" t="s">
        <v>1458</v>
      </c>
      <c r="AB1501" s="843" t="s">
        <v>263</v>
      </c>
      <c r="AC1501" s="936"/>
      <c r="AD1501" s="936"/>
      <c r="AE1501" s="937">
        <f t="shared" si="39"/>
        <v>12</v>
      </c>
    </row>
    <row r="1502" spans="1:31" ht="105" hidden="1" x14ac:dyDescent="0.25">
      <c r="A1502" s="960" t="s">
        <v>7852</v>
      </c>
      <c r="B1502" s="985" t="s">
        <v>1493</v>
      </c>
      <c r="C1502" s="985" t="s">
        <v>1494</v>
      </c>
      <c r="D1502" s="670" t="s">
        <v>8007</v>
      </c>
      <c r="E1502" s="924" t="s">
        <v>1495</v>
      </c>
      <c r="F1502" s="926" t="s">
        <v>7725</v>
      </c>
      <c r="G1502" s="924" t="s">
        <v>1496</v>
      </c>
      <c r="H1502" s="931">
        <v>1</v>
      </c>
      <c r="I1502" s="985" t="s">
        <v>2161</v>
      </c>
      <c r="J1502" s="924" t="s">
        <v>1454</v>
      </c>
      <c r="K1502" s="989" t="s">
        <v>7774</v>
      </c>
      <c r="L1502" s="990">
        <v>2780717.34</v>
      </c>
      <c r="M1502" s="930"/>
      <c r="N1502" s="990">
        <v>2780717.34</v>
      </c>
      <c r="O1502" s="991">
        <v>43070.625</v>
      </c>
      <c r="P1502" s="991">
        <v>43070.625</v>
      </c>
      <c r="Q1502" s="930" t="s">
        <v>110</v>
      </c>
      <c r="R1502" s="634" t="s">
        <v>113</v>
      </c>
      <c r="S1502" s="930"/>
      <c r="T1502" s="990"/>
      <c r="U1502" s="930"/>
      <c r="V1502" s="930"/>
      <c r="W1502" s="934" t="s">
        <v>66</v>
      </c>
      <c r="X1502" s="638" t="s">
        <v>5962</v>
      </c>
      <c r="Y1502" s="637" t="s">
        <v>5963</v>
      </c>
      <c r="Z1502" s="933">
        <v>2780717.34</v>
      </c>
      <c r="AA1502" s="908" t="s">
        <v>1458</v>
      </c>
      <c r="AB1502" s="843" t="s">
        <v>263</v>
      </c>
      <c r="AC1502" s="936"/>
      <c r="AD1502" s="936"/>
      <c r="AE1502" s="937">
        <f t="shared" si="39"/>
        <v>12</v>
      </c>
    </row>
    <row r="1503" spans="1:31" ht="105" hidden="1" x14ac:dyDescent="0.25">
      <c r="A1503" s="960" t="s">
        <v>7853</v>
      </c>
      <c r="B1503" s="985" t="s">
        <v>1493</v>
      </c>
      <c r="C1503" s="985" t="s">
        <v>1494</v>
      </c>
      <c r="D1503" s="670" t="s">
        <v>8006</v>
      </c>
      <c r="E1503" s="924" t="s">
        <v>1495</v>
      </c>
      <c r="F1503" s="926" t="s">
        <v>7725</v>
      </c>
      <c r="G1503" s="924" t="s">
        <v>1496</v>
      </c>
      <c r="H1503" s="931">
        <v>1</v>
      </c>
      <c r="I1503" s="985" t="s">
        <v>2161</v>
      </c>
      <c r="J1503" s="924" t="s">
        <v>1454</v>
      </c>
      <c r="K1503" s="989" t="s">
        <v>7775</v>
      </c>
      <c r="L1503" s="990">
        <v>4385774.03</v>
      </c>
      <c r="M1503" s="930"/>
      <c r="N1503" s="990">
        <v>4385774.03</v>
      </c>
      <c r="O1503" s="991">
        <v>43070.625</v>
      </c>
      <c r="P1503" s="991">
        <v>43070.625</v>
      </c>
      <c r="Q1503" s="930" t="s">
        <v>110</v>
      </c>
      <c r="R1503" s="634" t="s">
        <v>113</v>
      </c>
      <c r="S1503" s="930"/>
      <c r="T1503" s="990"/>
      <c r="U1503" s="930"/>
      <c r="V1503" s="930"/>
      <c r="W1503" s="934" t="s">
        <v>66</v>
      </c>
      <c r="X1503" s="638" t="s">
        <v>5962</v>
      </c>
      <c r="Y1503" s="637" t="s">
        <v>5963</v>
      </c>
      <c r="Z1503" s="933">
        <v>4385774.03</v>
      </c>
      <c r="AA1503" s="908" t="s">
        <v>1458</v>
      </c>
      <c r="AB1503" s="843" t="s">
        <v>263</v>
      </c>
      <c r="AC1503" s="936"/>
      <c r="AD1503" s="936"/>
      <c r="AE1503" s="937">
        <f t="shared" si="39"/>
        <v>12</v>
      </c>
    </row>
    <row r="1504" spans="1:31" ht="105" hidden="1" x14ac:dyDescent="0.25">
      <c r="A1504" s="960" t="s">
        <v>7854</v>
      </c>
      <c r="B1504" s="985" t="s">
        <v>1941</v>
      </c>
      <c r="C1504" s="985" t="s">
        <v>1941</v>
      </c>
      <c r="D1504" s="670" t="s">
        <v>8005</v>
      </c>
      <c r="E1504" s="924" t="s">
        <v>1948</v>
      </c>
      <c r="F1504" s="926" t="s">
        <v>1587</v>
      </c>
      <c r="G1504" s="924" t="s">
        <v>2256</v>
      </c>
      <c r="H1504" s="931">
        <v>1</v>
      </c>
      <c r="I1504" s="985" t="s">
        <v>2161</v>
      </c>
      <c r="J1504" s="924" t="s">
        <v>1454</v>
      </c>
      <c r="K1504" s="989" t="s">
        <v>7776</v>
      </c>
      <c r="L1504" s="990">
        <v>389548.33</v>
      </c>
      <c r="M1504" s="930"/>
      <c r="N1504" s="990">
        <v>389548.33</v>
      </c>
      <c r="O1504" s="991">
        <v>43040.625</v>
      </c>
      <c r="P1504" s="991">
        <v>43160.625</v>
      </c>
      <c r="Q1504" s="930" t="s">
        <v>108</v>
      </c>
      <c r="R1504" s="963" t="s">
        <v>112</v>
      </c>
      <c r="S1504" s="930" t="s">
        <v>1457</v>
      </c>
      <c r="T1504" s="990"/>
      <c r="U1504" s="930"/>
      <c r="V1504" s="930"/>
      <c r="W1504" s="934"/>
      <c r="X1504" s="935"/>
      <c r="Y1504" s="934"/>
      <c r="Z1504" s="933"/>
      <c r="AA1504" s="908" t="s">
        <v>1458</v>
      </c>
      <c r="AB1504" s="843" t="s">
        <v>263</v>
      </c>
      <c r="AC1504" s="936"/>
      <c r="AD1504" s="936"/>
      <c r="AE1504" s="937">
        <f t="shared" si="39"/>
        <v>11</v>
      </c>
    </row>
    <row r="1505" spans="1:31" ht="105" hidden="1" x14ac:dyDescent="0.25">
      <c r="A1505" s="960" t="s">
        <v>7855</v>
      </c>
      <c r="B1505" s="985" t="s">
        <v>1851</v>
      </c>
      <c r="C1505" s="985" t="s">
        <v>2160</v>
      </c>
      <c r="D1505" s="670" t="s">
        <v>8004</v>
      </c>
      <c r="E1505" s="924" t="s">
        <v>3155</v>
      </c>
      <c r="F1505" s="926" t="s">
        <v>1528</v>
      </c>
      <c r="G1505" s="924" t="s">
        <v>2156</v>
      </c>
      <c r="H1505" s="931">
        <v>100</v>
      </c>
      <c r="I1505" s="985" t="s">
        <v>2161</v>
      </c>
      <c r="J1505" s="924" t="s">
        <v>1454</v>
      </c>
      <c r="K1505" s="989" t="s">
        <v>7777</v>
      </c>
      <c r="L1505" s="990">
        <v>1224840</v>
      </c>
      <c r="M1505" s="930"/>
      <c r="N1505" s="990">
        <v>1224840</v>
      </c>
      <c r="O1505" s="991">
        <v>43070.625</v>
      </c>
      <c r="P1505" s="991">
        <v>43070.625</v>
      </c>
      <c r="Q1505" s="930" t="s">
        <v>110</v>
      </c>
      <c r="R1505" s="634" t="s">
        <v>113</v>
      </c>
      <c r="S1505" s="930"/>
      <c r="T1505" s="990"/>
      <c r="U1505" s="930"/>
      <c r="V1505" s="930"/>
      <c r="W1505" s="934"/>
      <c r="X1505" s="935"/>
      <c r="Y1505" s="934"/>
      <c r="Z1505" s="933"/>
      <c r="AA1505" s="908" t="s">
        <v>1458</v>
      </c>
      <c r="AB1505" s="843" t="s">
        <v>263</v>
      </c>
      <c r="AC1505" s="936"/>
      <c r="AD1505" s="936"/>
      <c r="AE1505" s="937">
        <f t="shared" si="39"/>
        <v>12</v>
      </c>
    </row>
    <row r="1506" spans="1:31" ht="105" hidden="1" x14ac:dyDescent="0.25">
      <c r="A1506" s="960" t="s">
        <v>7856</v>
      </c>
      <c r="B1506" s="985" t="s">
        <v>1571</v>
      </c>
      <c r="C1506" s="985" t="s">
        <v>6894</v>
      </c>
      <c r="D1506" s="670" t="s">
        <v>8003</v>
      </c>
      <c r="E1506" s="924" t="s">
        <v>2235</v>
      </c>
      <c r="F1506" s="926" t="s">
        <v>1528</v>
      </c>
      <c r="G1506" s="924" t="s">
        <v>2156</v>
      </c>
      <c r="H1506" s="931">
        <v>12</v>
      </c>
      <c r="I1506" s="985" t="s">
        <v>2161</v>
      </c>
      <c r="J1506" s="924" t="s">
        <v>1454</v>
      </c>
      <c r="K1506" s="989" t="s">
        <v>6951</v>
      </c>
      <c r="L1506" s="990">
        <v>90000</v>
      </c>
      <c r="M1506" s="930"/>
      <c r="N1506" s="990">
        <v>90000</v>
      </c>
      <c r="O1506" s="991">
        <v>43070.625</v>
      </c>
      <c r="P1506" s="991">
        <v>43070.625</v>
      </c>
      <c r="Q1506" s="930" t="s">
        <v>108</v>
      </c>
      <c r="R1506" s="963" t="s">
        <v>112</v>
      </c>
      <c r="S1506" s="930" t="s">
        <v>1457</v>
      </c>
      <c r="T1506" s="990"/>
      <c r="U1506" s="930"/>
      <c r="V1506" s="930"/>
      <c r="W1506" s="934"/>
      <c r="X1506" s="935"/>
      <c r="Y1506" s="934"/>
      <c r="Z1506" s="933"/>
      <c r="AA1506" s="908" t="s">
        <v>1458</v>
      </c>
      <c r="AB1506" s="843" t="s">
        <v>263</v>
      </c>
      <c r="AC1506" s="936"/>
      <c r="AD1506" s="936"/>
      <c r="AE1506" s="937">
        <f t="shared" si="39"/>
        <v>12</v>
      </c>
    </row>
    <row r="1507" spans="1:31" ht="105" hidden="1" x14ac:dyDescent="0.25">
      <c r="A1507" s="960" t="s">
        <v>7857</v>
      </c>
      <c r="B1507" s="985" t="s">
        <v>1517</v>
      </c>
      <c r="C1507" s="985" t="s">
        <v>1517</v>
      </c>
      <c r="D1507" s="670" t="s">
        <v>8002</v>
      </c>
      <c r="E1507" s="924" t="s">
        <v>2235</v>
      </c>
      <c r="F1507" s="926" t="s">
        <v>1528</v>
      </c>
      <c r="G1507" s="924" t="s">
        <v>2156</v>
      </c>
      <c r="H1507" s="931">
        <v>93</v>
      </c>
      <c r="I1507" s="985" t="s">
        <v>2161</v>
      </c>
      <c r="J1507" s="924" t="s">
        <v>1454</v>
      </c>
      <c r="K1507" s="989" t="s">
        <v>8071</v>
      </c>
      <c r="L1507" s="990">
        <v>321034.75</v>
      </c>
      <c r="M1507" s="930"/>
      <c r="N1507" s="990">
        <v>321034.75</v>
      </c>
      <c r="O1507" s="991">
        <v>43070.625</v>
      </c>
      <c r="P1507" s="991">
        <v>43070.625</v>
      </c>
      <c r="Q1507" s="930" t="s">
        <v>108</v>
      </c>
      <c r="R1507" s="963" t="s">
        <v>112</v>
      </c>
      <c r="S1507" s="930" t="s">
        <v>1457</v>
      </c>
      <c r="T1507" s="990"/>
      <c r="U1507" s="930"/>
      <c r="V1507" s="930"/>
      <c r="W1507" s="934"/>
      <c r="X1507" s="935"/>
      <c r="Y1507" s="934"/>
      <c r="Z1507" s="933"/>
      <c r="AA1507" s="908" t="s">
        <v>1458</v>
      </c>
      <c r="AB1507" s="843" t="s">
        <v>263</v>
      </c>
      <c r="AC1507" s="936"/>
      <c r="AD1507" s="936"/>
      <c r="AE1507" s="937">
        <f t="shared" si="39"/>
        <v>12</v>
      </c>
    </row>
    <row r="1508" spans="1:31" ht="105" hidden="1" x14ac:dyDescent="0.25">
      <c r="A1508" s="960" t="s">
        <v>7858</v>
      </c>
      <c r="B1508" s="985" t="s">
        <v>1793</v>
      </c>
      <c r="C1508" s="985" t="s">
        <v>4977</v>
      </c>
      <c r="D1508" s="670" t="s">
        <v>8001</v>
      </c>
      <c r="E1508" s="924" t="s">
        <v>2235</v>
      </c>
      <c r="F1508" s="926" t="s">
        <v>1528</v>
      </c>
      <c r="G1508" s="924" t="s">
        <v>2156</v>
      </c>
      <c r="H1508" s="931">
        <v>1</v>
      </c>
      <c r="I1508" s="985" t="s">
        <v>2161</v>
      </c>
      <c r="J1508" s="924" t="s">
        <v>1454</v>
      </c>
      <c r="K1508" s="989" t="s">
        <v>7363</v>
      </c>
      <c r="L1508" s="990">
        <v>385000</v>
      </c>
      <c r="M1508" s="930"/>
      <c r="N1508" s="990">
        <v>385000</v>
      </c>
      <c r="O1508" s="991">
        <v>43070.625</v>
      </c>
      <c r="P1508" s="991">
        <v>43070.625</v>
      </c>
      <c r="Q1508" s="930" t="s">
        <v>108</v>
      </c>
      <c r="R1508" s="963" t="s">
        <v>112</v>
      </c>
      <c r="S1508" s="930" t="s">
        <v>1457</v>
      </c>
      <c r="T1508" s="990"/>
      <c r="U1508" s="930"/>
      <c r="V1508" s="930"/>
      <c r="W1508" s="934"/>
      <c r="X1508" s="935"/>
      <c r="Y1508" s="934"/>
      <c r="Z1508" s="933"/>
      <c r="AA1508" s="908" t="s">
        <v>1458</v>
      </c>
      <c r="AB1508" s="843" t="s">
        <v>263</v>
      </c>
      <c r="AC1508" s="936"/>
      <c r="AD1508" s="936"/>
      <c r="AE1508" s="937">
        <f t="shared" si="39"/>
        <v>12</v>
      </c>
    </row>
    <row r="1509" spans="1:31" ht="105" hidden="1" x14ac:dyDescent="0.25">
      <c r="A1509" s="960" t="s">
        <v>7859</v>
      </c>
      <c r="B1509" s="985" t="s">
        <v>1919</v>
      </c>
      <c r="C1509" s="985" t="s">
        <v>7295</v>
      </c>
      <c r="D1509" s="670" t="s">
        <v>8000</v>
      </c>
      <c r="E1509" s="924" t="s">
        <v>4852</v>
      </c>
      <c r="F1509" s="926" t="s">
        <v>1528</v>
      </c>
      <c r="G1509" s="924" t="s">
        <v>2156</v>
      </c>
      <c r="H1509" s="931">
        <v>16</v>
      </c>
      <c r="I1509" s="985" t="s">
        <v>2161</v>
      </c>
      <c r="J1509" s="924" t="s">
        <v>1454</v>
      </c>
      <c r="K1509" s="989" t="s">
        <v>7778</v>
      </c>
      <c r="L1509" s="990">
        <v>413750.13</v>
      </c>
      <c r="M1509" s="930"/>
      <c r="N1509" s="990">
        <v>413750.13</v>
      </c>
      <c r="O1509" s="991">
        <v>43070.625</v>
      </c>
      <c r="P1509" s="991">
        <v>43070.625</v>
      </c>
      <c r="Q1509" s="930" t="s">
        <v>108</v>
      </c>
      <c r="R1509" s="963" t="s">
        <v>112</v>
      </c>
      <c r="S1509" s="930" t="s">
        <v>1457</v>
      </c>
      <c r="T1509" s="990"/>
      <c r="U1509" s="930"/>
      <c r="V1509" s="930"/>
      <c r="W1509" s="934"/>
      <c r="X1509" s="935"/>
      <c r="Y1509" s="934"/>
      <c r="Z1509" s="933"/>
      <c r="AA1509" s="908" t="s">
        <v>1458</v>
      </c>
      <c r="AB1509" s="843" t="s">
        <v>263</v>
      </c>
      <c r="AC1509" s="936"/>
      <c r="AD1509" s="936"/>
      <c r="AE1509" s="937">
        <f t="shared" si="39"/>
        <v>12</v>
      </c>
    </row>
    <row r="1510" spans="1:31" ht="105" hidden="1" x14ac:dyDescent="0.25">
      <c r="A1510" s="960" t="s">
        <v>7860</v>
      </c>
      <c r="B1510" s="985" t="s">
        <v>1593</v>
      </c>
      <c r="C1510" s="985" t="s">
        <v>5027</v>
      </c>
      <c r="D1510" s="670" t="s">
        <v>7999</v>
      </c>
      <c r="E1510" s="924" t="s">
        <v>4852</v>
      </c>
      <c r="F1510" s="926" t="s">
        <v>1528</v>
      </c>
      <c r="G1510" s="924" t="s">
        <v>2156</v>
      </c>
      <c r="H1510" s="931">
        <v>4</v>
      </c>
      <c r="I1510" s="985" t="s">
        <v>2161</v>
      </c>
      <c r="J1510" s="924" t="s">
        <v>1454</v>
      </c>
      <c r="K1510" s="989" t="s">
        <v>7779</v>
      </c>
      <c r="L1510" s="990">
        <v>120936</v>
      </c>
      <c r="M1510" s="930"/>
      <c r="N1510" s="990">
        <v>120936</v>
      </c>
      <c r="O1510" s="991">
        <v>43070.625</v>
      </c>
      <c r="P1510" s="991">
        <v>43070.625</v>
      </c>
      <c r="Q1510" s="930" t="s">
        <v>108</v>
      </c>
      <c r="R1510" s="963" t="s">
        <v>112</v>
      </c>
      <c r="S1510" s="930" t="s">
        <v>1457</v>
      </c>
      <c r="T1510" s="990"/>
      <c r="U1510" s="930"/>
      <c r="V1510" s="930"/>
      <c r="W1510" s="934"/>
      <c r="X1510" s="935"/>
      <c r="Y1510" s="934"/>
      <c r="Z1510" s="933"/>
      <c r="AA1510" s="908" t="s">
        <v>1458</v>
      </c>
      <c r="AB1510" s="843" t="s">
        <v>263</v>
      </c>
      <c r="AC1510" s="936"/>
      <c r="AD1510" s="936"/>
      <c r="AE1510" s="937">
        <f t="shared" si="39"/>
        <v>12</v>
      </c>
    </row>
    <row r="1511" spans="1:31" ht="105" hidden="1" x14ac:dyDescent="0.25">
      <c r="A1511" s="960" t="s">
        <v>7861</v>
      </c>
      <c r="B1511" s="985" t="s">
        <v>1851</v>
      </c>
      <c r="C1511" s="985" t="s">
        <v>7304</v>
      </c>
      <c r="D1511" s="670" t="s">
        <v>7998</v>
      </c>
      <c r="E1511" s="924" t="s">
        <v>1464</v>
      </c>
      <c r="F1511" s="926" t="s">
        <v>1528</v>
      </c>
      <c r="G1511" s="924" t="s">
        <v>2156</v>
      </c>
      <c r="H1511" s="931">
        <v>10</v>
      </c>
      <c r="I1511" s="985" t="s">
        <v>2161</v>
      </c>
      <c r="J1511" s="924" t="s">
        <v>1454</v>
      </c>
      <c r="K1511" s="989" t="s">
        <v>7780</v>
      </c>
      <c r="L1511" s="990">
        <v>1268981.43</v>
      </c>
      <c r="M1511" s="930"/>
      <c r="N1511" s="990">
        <v>1268981.43</v>
      </c>
      <c r="O1511" s="991">
        <v>43070.625</v>
      </c>
      <c r="P1511" s="991">
        <v>43101.625</v>
      </c>
      <c r="Q1511" s="930" t="s">
        <v>110</v>
      </c>
      <c r="R1511" s="634" t="s">
        <v>113</v>
      </c>
      <c r="S1511" s="930"/>
      <c r="T1511" s="990"/>
      <c r="U1511" s="930"/>
      <c r="V1511" s="930"/>
      <c r="W1511" s="934"/>
      <c r="X1511" s="935"/>
      <c r="Y1511" s="934"/>
      <c r="Z1511" s="933"/>
      <c r="AA1511" s="908" t="s">
        <v>1458</v>
      </c>
      <c r="AB1511" s="843" t="s">
        <v>263</v>
      </c>
      <c r="AC1511" s="936"/>
      <c r="AD1511" s="936"/>
      <c r="AE1511" s="937">
        <f t="shared" si="39"/>
        <v>12</v>
      </c>
    </row>
    <row r="1512" spans="1:31" ht="105" hidden="1" x14ac:dyDescent="0.25">
      <c r="A1512" s="960" t="s">
        <v>7862</v>
      </c>
      <c r="B1512" s="985" t="s">
        <v>1531</v>
      </c>
      <c r="C1512" s="985" t="s">
        <v>1531</v>
      </c>
      <c r="D1512" s="670" t="s">
        <v>7997</v>
      </c>
      <c r="E1512" s="924" t="s">
        <v>7320</v>
      </c>
      <c r="F1512" s="926" t="s">
        <v>1528</v>
      </c>
      <c r="G1512" s="924" t="s">
        <v>2156</v>
      </c>
      <c r="H1512" s="931">
        <v>360</v>
      </c>
      <c r="I1512" s="985" t="s">
        <v>2161</v>
      </c>
      <c r="J1512" s="924" t="s">
        <v>1454</v>
      </c>
      <c r="K1512" s="989" t="s">
        <v>7781</v>
      </c>
      <c r="L1512" s="990">
        <v>173266.47</v>
      </c>
      <c r="M1512" s="930"/>
      <c r="N1512" s="990">
        <v>173266.47</v>
      </c>
      <c r="O1512" s="991">
        <v>43070.625</v>
      </c>
      <c r="P1512" s="991">
        <v>43101.625</v>
      </c>
      <c r="Q1512" s="930" t="s">
        <v>110</v>
      </c>
      <c r="R1512" s="634" t="s">
        <v>113</v>
      </c>
      <c r="S1512" s="930"/>
      <c r="T1512" s="990"/>
      <c r="U1512" s="930"/>
      <c r="V1512" s="930"/>
      <c r="W1512" s="934"/>
      <c r="X1512" s="935"/>
      <c r="Y1512" s="934"/>
      <c r="Z1512" s="933"/>
      <c r="AA1512" s="908" t="s">
        <v>1458</v>
      </c>
      <c r="AB1512" s="843" t="s">
        <v>263</v>
      </c>
      <c r="AC1512" s="936"/>
      <c r="AD1512" s="936"/>
      <c r="AE1512" s="937">
        <f t="shared" si="39"/>
        <v>12</v>
      </c>
    </row>
    <row r="1513" spans="1:31" ht="105" hidden="1" x14ac:dyDescent="0.25">
      <c r="A1513" s="960" t="s">
        <v>7863</v>
      </c>
      <c r="B1513" s="985" t="s">
        <v>1540</v>
      </c>
      <c r="C1513" s="985" t="s">
        <v>7726</v>
      </c>
      <c r="D1513" s="670" t="s">
        <v>7996</v>
      </c>
      <c r="E1513" s="924" t="s">
        <v>7320</v>
      </c>
      <c r="F1513" s="926" t="s">
        <v>1528</v>
      </c>
      <c r="G1513" s="924" t="s">
        <v>2156</v>
      </c>
      <c r="H1513" s="931">
        <v>58</v>
      </c>
      <c r="I1513" s="985" t="s">
        <v>2161</v>
      </c>
      <c r="J1513" s="924" t="s">
        <v>1454</v>
      </c>
      <c r="K1513" s="989" t="s">
        <v>7782</v>
      </c>
      <c r="L1513" s="990">
        <v>325380</v>
      </c>
      <c r="M1513" s="930"/>
      <c r="N1513" s="990">
        <v>325380</v>
      </c>
      <c r="O1513" s="991">
        <v>43070.625</v>
      </c>
      <c r="P1513" s="991">
        <v>43101.625</v>
      </c>
      <c r="Q1513" s="930" t="s">
        <v>110</v>
      </c>
      <c r="R1513" s="634" t="s">
        <v>113</v>
      </c>
      <c r="S1513" s="930"/>
      <c r="T1513" s="990"/>
      <c r="U1513" s="930"/>
      <c r="V1513" s="930"/>
      <c r="W1513" s="934"/>
      <c r="X1513" s="935"/>
      <c r="Y1513" s="934"/>
      <c r="Z1513" s="933"/>
      <c r="AA1513" s="908" t="s">
        <v>1458</v>
      </c>
      <c r="AB1513" s="843" t="s">
        <v>263</v>
      </c>
      <c r="AC1513" s="936"/>
      <c r="AD1513" s="936"/>
      <c r="AE1513" s="937">
        <f t="shared" si="39"/>
        <v>12</v>
      </c>
    </row>
    <row r="1514" spans="1:31" ht="105" hidden="1" x14ac:dyDescent="0.25">
      <c r="A1514" s="960" t="s">
        <v>7864</v>
      </c>
      <c r="B1514" s="985" t="s">
        <v>1540</v>
      </c>
      <c r="C1514" s="985" t="s">
        <v>7727</v>
      </c>
      <c r="D1514" s="670" t="s">
        <v>7995</v>
      </c>
      <c r="E1514" s="924" t="s">
        <v>2178</v>
      </c>
      <c r="F1514" s="926" t="s">
        <v>1528</v>
      </c>
      <c r="G1514" s="924" t="s">
        <v>2156</v>
      </c>
      <c r="H1514" s="931">
        <v>348</v>
      </c>
      <c r="I1514" s="985" t="s">
        <v>2161</v>
      </c>
      <c r="J1514" s="924" t="s">
        <v>1454</v>
      </c>
      <c r="K1514" s="989" t="s">
        <v>7783</v>
      </c>
      <c r="L1514" s="990">
        <v>505087.2</v>
      </c>
      <c r="M1514" s="930"/>
      <c r="N1514" s="990">
        <v>505087.2</v>
      </c>
      <c r="O1514" s="991">
        <v>43070.625</v>
      </c>
      <c r="P1514" s="991">
        <v>43101.625</v>
      </c>
      <c r="Q1514" s="930" t="s">
        <v>110</v>
      </c>
      <c r="R1514" s="634" t="s">
        <v>113</v>
      </c>
      <c r="S1514" s="930"/>
      <c r="T1514" s="990"/>
      <c r="U1514" s="930"/>
      <c r="V1514" s="930"/>
      <c r="W1514" s="934"/>
      <c r="X1514" s="935"/>
      <c r="Y1514" s="934"/>
      <c r="Z1514" s="933"/>
      <c r="AA1514" s="908" t="s">
        <v>1458</v>
      </c>
      <c r="AB1514" s="843" t="s">
        <v>263</v>
      </c>
      <c r="AC1514" s="936"/>
      <c r="AD1514" s="936"/>
      <c r="AE1514" s="937">
        <f t="shared" si="39"/>
        <v>12</v>
      </c>
    </row>
    <row r="1515" spans="1:31" ht="105" hidden="1" x14ac:dyDescent="0.25">
      <c r="A1515" s="960" t="s">
        <v>7865</v>
      </c>
      <c r="B1515" s="985" t="s">
        <v>1531</v>
      </c>
      <c r="C1515" s="985" t="s">
        <v>1531</v>
      </c>
      <c r="D1515" s="670" t="s">
        <v>7994</v>
      </c>
      <c r="E1515" s="924" t="s">
        <v>7320</v>
      </c>
      <c r="F1515" s="926" t="s">
        <v>1528</v>
      </c>
      <c r="G1515" s="924" t="s">
        <v>2156</v>
      </c>
      <c r="H1515" s="931">
        <v>450</v>
      </c>
      <c r="I1515" s="985" t="s">
        <v>2161</v>
      </c>
      <c r="J1515" s="924" t="s">
        <v>1454</v>
      </c>
      <c r="K1515" s="989" t="s">
        <v>7784</v>
      </c>
      <c r="L1515" s="990">
        <v>157327.9</v>
      </c>
      <c r="M1515" s="930"/>
      <c r="N1515" s="990">
        <v>157327.9</v>
      </c>
      <c r="O1515" s="991">
        <v>43070.625</v>
      </c>
      <c r="P1515" s="991">
        <v>43101.625</v>
      </c>
      <c r="Q1515" s="930" t="s">
        <v>110</v>
      </c>
      <c r="R1515" s="634" t="s">
        <v>113</v>
      </c>
      <c r="S1515" s="930"/>
      <c r="T1515" s="990"/>
      <c r="U1515" s="930"/>
      <c r="V1515" s="930"/>
      <c r="W1515" s="934"/>
      <c r="X1515" s="935"/>
      <c r="Y1515" s="934"/>
      <c r="Z1515" s="933"/>
      <c r="AA1515" s="908" t="s">
        <v>1458</v>
      </c>
      <c r="AB1515" s="843" t="s">
        <v>263</v>
      </c>
      <c r="AC1515" s="936"/>
      <c r="AD1515" s="936"/>
      <c r="AE1515" s="937">
        <f t="shared" si="39"/>
        <v>12</v>
      </c>
    </row>
    <row r="1516" spans="1:31" ht="105" hidden="1" x14ac:dyDescent="0.25">
      <c r="A1516" s="960" t="s">
        <v>7866</v>
      </c>
      <c r="B1516" s="985" t="s">
        <v>1672</v>
      </c>
      <c r="C1516" s="985" t="s">
        <v>152</v>
      </c>
      <c r="D1516" s="670" t="s">
        <v>7993</v>
      </c>
      <c r="E1516" s="924" t="s">
        <v>7301</v>
      </c>
      <c r="F1516" s="926" t="s">
        <v>1528</v>
      </c>
      <c r="G1516" s="924" t="s">
        <v>2156</v>
      </c>
      <c r="H1516" s="931">
        <v>300</v>
      </c>
      <c r="I1516" s="985" t="s">
        <v>2161</v>
      </c>
      <c r="J1516" s="924" t="s">
        <v>1454</v>
      </c>
      <c r="K1516" s="989" t="s">
        <v>7785</v>
      </c>
      <c r="L1516" s="990">
        <v>599663.43999999994</v>
      </c>
      <c r="M1516" s="930"/>
      <c r="N1516" s="990">
        <v>599663.43999999994</v>
      </c>
      <c r="O1516" s="991">
        <v>43070.625</v>
      </c>
      <c r="P1516" s="991">
        <v>43101.625</v>
      </c>
      <c r="Q1516" s="930" t="s">
        <v>110</v>
      </c>
      <c r="R1516" s="634" t="s">
        <v>113</v>
      </c>
      <c r="S1516" s="930"/>
      <c r="T1516" s="990"/>
      <c r="U1516" s="930"/>
      <c r="V1516" s="930"/>
      <c r="W1516" s="934"/>
      <c r="X1516" s="935"/>
      <c r="Y1516" s="934"/>
      <c r="Z1516" s="933"/>
      <c r="AA1516" s="908" t="s">
        <v>1458</v>
      </c>
      <c r="AB1516" s="843" t="s">
        <v>263</v>
      </c>
      <c r="AC1516" s="936"/>
      <c r="AD1516" s="936"/>
      <c r="AE1516" s="937">
        <f t="shared" si="39"/>
        <v>12</v>
      </c>
    </row>
    <row r="1517" spans="1:31" ht="105" hidden="1" x14ac:dyDescent="0.25">
      <c r="A1517" s="960" t="s">
        <v>7867</v>
      </c>
      <c r="B1517" s="985" t="s">
        <v>1585</v>
      </c>
      <c r="C1517" s="985" t="s">
        <v>7728</v>
      </c>
      <c r="D1517" s="670" t="s">
        <v>7992</v>
      </c>
      <c r="E1517" s="924" t="s">
        <v>7729</v>
      </c>
      <c r="F1517" s="926" t="s">
        <v>1528</v>
      </c>
      <c r="G1517" s="924" t="s">
        <v>2156</v>
      </c>
      <c r="H1517" s="931">
        <v>26</v>
      </c>
      <c r="I1517" s="985" t="s">
        <v>2161</v>
      </c>
      <c r="J1517" s="924" t="s">
        <v>1454</v>
      </c>
      <c r="K1517" s="989" t="s">
        <v>7786</v>
      </c>
      <c r="L1517" s="990">
        <v>453860</v>
      </c>
      <c r="M1517" s="930"/>
      <c r="N1517" s="990">
        <v>453860</v>
      </c>
      <c r="O1517" s="991">
        <v>43070.625</v>
      </c>
      <c r="P1517" s="991">
        <v>43101.625</v>
      </c>
      <c r="Q1517" s="930" t="s">
        <v>110</v>
      </c>
      <c r="R1517" s="634" t="s">
        <v>113</v>
      </c>
      <c r="S1517" s="930"/>
      <c r="T1517" s="990"/>
      <c r="U1517" s="930"/>
      <c r="V1517" s="930"/>
      <c r="W1517" s="934"/>
      <c r="X1517" s="935"/>
      <c r="Y1517" s="934"/>
      <c r="Z1517" s="933"/>
      <c r="AA1517" s="908" t="s">
        <v>1458</v>
      </c>
      <c r="AB1517" s="843" t="s">
        <v>263</v>
      </c>
      <c r="AC1517" s="936"/>
      <c r="AD1517" s="936"/>
      <c r="AE1517" s="937">
        <f t="shared" ref="AE1517:AE1548" si="40">IF(O1517=0,,MONTH(O1517))</f>
        <v>12</v>
      </c>
    </row>
    <row r="1518" spans="1:31" ht="105" hidden="1" x14ac:dyDescent="0.25">
      <c r="A1518" s="960" t="s">
        <v>7868</v>
      </c>
      <c r="B1518" s="985" t="s">
        <v>1540</v>
      </c>
      <c r="C1518" s="985" t="s">
        <v>2432</v>
      </c>
      <c r="D1518" s="670" t="s">
        <v>7991</v>
      </c>
      <c r="E1518" s="924" t="s">
        <v>7729</v>
      </c>
      <c r="F1518" s="926" t="s">
        <v>1528</v>
      </c>
      <c r="G1518" s="924" t="s">
        <v>2156</v>
      </c>
      <c r="H1518" s="931">
        <v>1235</v>
      </c>
      <c r="I1518" s="985" t="s">
        <v>2161</v>
      </c>
      <c r="J1518" s="924" t="s">
        <v>1454</v>
      </c>
      <c r="K1518" s="989" t="s">
        <v>7787</v>
      </c>
      <c r="L1518" s="990">
        <v>167535.85</v>
      </c>
      <c r="M1518" s="930"/>
      <c r="N1518" s="990">
        <v>167535.85</v>
      </c>
      <c r="O1518" s="991">
        <v>43070.625</v>
      </c>
      <c r="P1518" s="991">
        <v>43101.625</v>
      </c>
      <c r="Q1518" s="930" t="s">
        <v>110</v>
      </c>
      <c r="R1518" s="634" t="s">
        <v>113</v>
      </c>
      <c r="S1518" s="930"/>
      <c r="T1518" s="990"/>
      <c r="U1518" s="930"/>
      <c r="V1518" s="930"/>
      <c r="W1518" s="934"/>
      <c r="X1518" s="935"/>
      <c r="Y1518" s="934"/>
      <c r="Z1518" s="933"/>
      <c r="AA1518" s="908" t="s">
        <v>1458</v>
      </c>
      <c r="AB1518" s="843" t="s">
        <v>263</v>
      </c>
      <c r="AC1518" s="936"/>
      <c r="AD1518" s="936"/>
      <c r="AE1518" s="937">
        <f t="shared" si="40"/>
        <v>12</v>
      </c>
    </row>
    <row r="1519" spans="1:31" ht="105" hidden="1" x14ac:dyDescent="0.25">
      <c r="A1519" s="960" t="s">
        <v>7869</v>
      </c>
      <c r="B1519" s="985" t="s">
        <v>7730</v>
      </c>
      <c r="C1519" s="985" t="s">
        <v>7731</v>
      </c>
      <c r="D1519" s="670" t="s">
        <v>7990</v>
      </c>
      <c r="E1519" s="924" t="s">
        <v>7732</v>
      </c>
      <c r="F1519" s="926" t="s">
        <v>1528</v>
      </c>
      <c r="G1519" s="924" t="s">
        <v>2156</v>
      </c>
      <c r="H1519" s="931">
        <v>200</v>
      </c>
      <c r="I1519" s="985" t="s">
        <v>2161</v>
      </c>
      <c r="J1519" s="924" t="s">
        <v>1454</v>
      </c>
      <c r="K1519" s="989" t="s">
        <v>7788</v>
      </c>
      <c r="L1519" s="990">
        <v>255177.5</v>
      </c>
      <c r="M1519" s="930"/>
      <c r="N1519" s="990">
        <v>255177.5</v>
      </c>
      <c r="O1519" s="991">
        <v>43040.625</v>
      </c>
      <c r="P1519" s="991">
        <v>43070.625</v>
      </c>
      <c r="Q1519" s="930" t="s">
        <v>108</v>
      </c>
      <c r="R1519" s="963" t="s">
        <v>112</v>
      </c>
      <c r="S1519" s="930" t="s">
        <v>1457</v>
      </c>
      <c r="T1519" s="990"/>
      <c r="U1519" s="930"/>
      <c r="V1519" s="930"/>
      <c r="W1519" s="934"/>
      <c r="X1519" s="935"/>
      <c r="Y1519" s="934"/>
      <c r="Z1519" s="933"/>
      <c r="AA1519" s="908" t="s">
        <v>1458</v>
      </c>
      <c r="AB1519" s="843" t="s">
        <v>263</v>
      </c>
      <c r="AC1519" s="936"/>
      <c r="AD1519" s="936"/>
      <c r="AE1519" s="937">
        <f t="shared" si="40"/>
        <v>11</v>
      </c>
    </row>
    <row r="1520" spans="1:31" ht="105" hidden="1" x14ac:dyDescent="0.25">
      <c r="A1520" s="960" t="s">
        <v>7870</v>
      </c>
      <c r="B1520" s="985" t="s">
        <v>232</v>
      </c>
      <c r="C1520" s="985" t="s">
        <v>1733</v>
      </c>
      <c r="D1520" s="670" t="s">
        <v>7989</v>
      </c>
      <c r="E1520" s="924" t="s">
        <v>6925</v>
      </c>
      <c r="F1520" s="926" t="s">
        <v>1528</v>
      </c>
      <c r="G1520" s="924" t="s">
        <v>2156</v>
      </c>
      <c r="H1520" s="931">
        <v>62</v>
      </c>
      <c r="I1520" s="985" t="s">
        <v>2161</v>
      </c>
      <c r="J1520" s="924" t="s">
        <v>1454</v>
      </c>
      <c r="K1520" s="989" t="s">
        <v>7789</v>
      </c>
      <c r="L1520" s="990">
        <v>3342187.3</v>
      </c>
      <c r="M1520" s="930"/>
      <c r="N1520" s="990">
        <v>3342187.3</v>
      </c>
      <c r="O1520" s="991">
        <v>43070.625</v>
      </c>
      <c r="P1520" s="991">
        <v>43070.625</v>
      </c>
      <c r="Q1520" s="930" t="s">
        <v>110</v>
      </c>
      <c r="R1520" s="634" t="s">
        <v>113</v>
      </c>
      <c r="S1520" s="930"/>
      <c r="T1520" s="990"/>
      <c r="U1520" s="930"/>
      <c r="V1520" s="930"/>
      <c r="W1520" s="934"/>
      <c r="X1520" s="935"/>
      <c r="Y1520" s="934"/>
      <c r="Z1520" s="933"/>
      <c r="AA1520" s="908" t="s">
        <v>1458</v>
      </c>
      <c r="AB1520" s="843" t="s">
        <v>263</v>
      </c>
      <c r="AC1520" s="936"/>
      <c r="AD1520" s="936"/>
      <c r="AE1520" s="937">
        <f t="shared" si="40"/>
        <v>12</v>
      </c>
    </row>
    <row r="1521" spans="1:31" ht="105" hidden="1" x14ac:dyDescent="0.25">
      <c r="A1521" s="960" t="s">
        <v>7871</v>
      </c>
      <c r="B1521" s="985" t="s">
        <v>232</v>
      </c>
      <c r="C1521" s="985" t="s">
        <v>1733</v>
      </c>
      <c r="D1521" s="670" t="s">
        <v>7988</v>
      </c>
      <c r="E1521" s="924" t="s">
        <v>6491</v>
      </c>
      <c r="F1521" s="926" t="s">
        <v>1528</v>
      </c>
      <c r="G1521" s="924" t="s">
        <v>2156</v>
      </c>
      <c r="H1521" s="931">
        <v>15</v>
      </c>
      <c r="I1521" s="985" t="s">
        <v>2161</v>
      </c>
      <c r="J1521" s="924" t="s">
        <v>1454</v>
      </c>
      <c r="K1521" s="989" t="s">
        <v>7790</v>
      </c>
      <c r="L1521" s="990">
        <v>575276.37</v>
      </c>
      <c r="M1521" s="930"/>
      <c r="N1521" s="990">
        <v>575276.37</v>
      </c>
      <c r="O1521" s="991">
        <v>43070.625</v>
      </c>
      <c r="P1521" s="991">
        <v>43070.625</v>
      </c>
      <c r="Q1521" s="930" t="s">
        <v>110</v>
      </c>
      <c r="R1521" s="634" t="s">
        <v>113</v>
      </c>
      <c r="S1521" s="930"/>
      <c r="T1521" s="990"/>
      <c r="U1521" s="930"/>
      <c r="V1521" s="930"/>
      <c r="W1521" s="934"/>
      <c r="X1521" s="935"/>
      <c r="Y1521" s="934"/>
      <c r="Z1521" s="933"/>
      <c r="AA1521" s="908" t="s">
        <v>1458</v>
      </c>
      <c r="AB1521" s="843" t="s">
        <v>263</v>
      </c>
      <c r="AC1521" s="936"/>
      <c r="AD1521" s="936"/>
      <c r="AE1521" s="937">
        <f t="shared" si="40"/>
        <v>12</v>
      </c>
    </row>
    <row r="1522" spans="1:31" ht="105" hidden="1" x14ac:dyDescent="0.25">
      <c r="A1522" s="960" t="s">
        <v>7872</v>
      </c>
      <c r="B1522" s="985" t="s">
        <v>1540</v>
      </c>
      <c r="C1522" s="985" t="s">
        <v>1540</v>
      </c>
      <c r="D1522" s="670" t="s">
        <v>7987</v>
      </c>
      <c r="E1522" s="924" t="s">
        <v>7733</v>
      </c>
      <c r="F1522" s="926" t="s">
        <v>1528</v>
      </c>
      <c r="G1522" s="924" t="s">
        <v>2156</v>
      </c>
      <c r="H1522" s="931">
        <v>2150</v>
      </c>
      <c r="I1522" s="985" t="s">
        <v>2161</v>
      </c>
      <c r="J1522" s="924" t="s">
        <v>1454</v>
      </c>
      <c r="K1522" s="989" t="s">
        <v>7791</v>
      </c>
      <c r="L1522" s="990">
        <v>185837.26</v>
      </c>
      <c r="M1522" s="930"/>
      <c r="N1522" s="990">
        <v>185837.26</v>
      </c>
      <c r="O1522" s="991">
        <v>43070.625</v>
      </c>
      <c r="P1522" s="991">
        <v>43070.625</v>
      </c>
      <c r="Q1522" s="930" t="s">
        <v>110</v>
      </c>
      <c r="R1522" s="634" t="s">
        <v>113</v>
      </c>
      <c r="S1522" s="930"/>
      <c r="T1522" s="990"/>
      <c r="U1522" s="930"/>
      <c r="V1522" s="930"/>
      <c r="W1522" s="934"/>
      <c r="X1522" s="935"/>
      <c r="Y1522" s="934"/>
      <c r="Z1522" s="933"/>
      <c r="AA1522" s="908" t="s">
        <v>1458</v>
      </c>
      <c r="AB1522" s="843" t="s">
        <v>263</v>
      </c>
      <c r="AC1522" s="936"/>
      <c r="AD1522" s="936"/>
      <c r="AE1522" s="937">
        <f t="shared" si="40"/>
        <v>12</v>
      </c>
    </row>
    <row r="1523" spans="1:31" ht="105" hidden="1" x14ac:dyDescent="0.25">
      <c r="A1523" s="960" t="s">
        <v>7873</v>
      </c>
      <c r="B1523" s="985" t="s">
        <v>4988</v>
      </c>
      <c r="C1523" s="985" t="s">
        <v>4988</v>
      </c>
      <c r="D1523" s="670" t="s">
        <v>7986</v>
      </c>
      <c r="E1523" s="924" t="s">
        <v>7734</v>
      </c>
      <c r="F1523" s="926" t="s">
        <v>6892</v>
      </c>
      <c r="G1523" s="924" t="s">
        <v>6893</v>
      </c>
      <c r="H1523" s="931">
        <v>1092</v>
      </c>
      <c r="I1523" s="985" t="s">
        <v>2161</v>
      </c>
      <c r="J1523" s="924" t="s">
        <v>1454</v>
      </c>
      <c r="K1523" s="989" t="s">
        <v>7792</v>
      </c>
      <c r="L1523" s="990">
        <v>2400000</v>
      </c>
      <c r="M1523" s="930"/>
      <c r="N1523" s="990">
        <v>2400000</v>
      </c>
      <c r="O1523" s="991">
        <v>43070.625</v>
      </c>
      <c r="P1523" s="991">
        <v>43160.625</v>
      </c>
      <c r="Q1523" s="930" t="s">
        <v>110</v>
      </c>
      <c r="R1523" s="634" t="s">
        <v>113</v>
      </c>
      <c r="S1523" s="930"/>
      <c r="T1523" s="990"/>
      <c r="U1523" s="930"/>
      <c r="V1523" s="930"/>
      <c r="W1523" s="934"/>
      <c r="X1523" s="935"/>
      <c r="Y1523" s="934"/>
      <c r="Z1523" s="933"/>
      <c r="AA1523" s="908" t="s">
        <v>1458</v>
      </c>
      <c r="AB1523" s="843" t="s">
        <v>263</v>
      </c>
      <c r="AC1523" s="936"/>
      <c r="AD1523" s="936"/>
      <c r="AE1523" s="937">
        <f t="shared" si="40"/>
        <v>12</v>
      </c>
    </row>
    <row r="1524" spans="1:31" ht="105" hidden="1" x14ac:dyDescent="0.25">
      <c r="A1524" s="960" t="s">
        <v>7874</v>
      </c>
      <c r="B1524" s="985" t="s">
        <v>1793</v>
      </c>
      <c r="C1524" s="985" t="s">
        <v>6145</v>
      </c>
      <c r="D1524" s="670" t="s">
        <v>7985</v>
      </c>
      <c r="E1524" s="924" t="s">
        <v>2235</v>
      </c>
      <c r="F1524" s="926" t="s">
        <v>1528</v>
      </c>
      <c r="G1524" s="924" t="s">
        <v>2156</v>
      </c>
      <c r="H1524" s="931">
        <v>2</v>
      </c>
      <c r="I1524" s="985" t="s">
        <v>2161</v>
      </c>
      <c r="J1524" s="924" t="s">
        <v>1454</v>
      </c>
      <c r="K1524" s="989" t="s">
        <v>7793</v>
      </c>
      <c r="L1524" s="990">
        <v>18000</v>
      </c>
      <c r="M1524" s="930"/>
      <c r="N1524" s="990">
        <v>18000</v>
      </c>
      <c r="O1524" s="991">
        <v>43070.625</v>
      </c>
      <c r="P1524" s="991">
        <v>43070.625</v>
      </c>
      <c r="Q1524" s="930" t="s">
        <v>108</v>
      </c>
      <c r="R1524" s="963" t="s">
        <v>112</v>
      </c>
      <c r="S1524" s="930" t="s">
        <v>1457</v>
      </c>
      <c r="T1524" s="990"/>
      <c r="U1524" s="930"/>
      <c r="V1524" s="930"/>
      <c r="W1524" s="934"/>
      <c r="X1524" s="935"/>
      <c r="Y1524" s="934"/>
      <c r="Z1524" s="933"/>
      <c r="AA1524" s="908" t="s">
        <v>1458</v>
      </c>
      <c r="AB1524" s="843" t="s">
        <v>263</v>
      </c>
      <c r="AC1524" s="936"/>
      <c r="AD1524" s="936"/>
      <c r="AE1524" s="937">
        <f t="shared" si="40"/>
        <v>12</v>
      </c>
    </row>
    <row r="1525" spans="1:31" ht="105" hidden="1" x14ac:dyDescent="0.25">
      <c r="A1525" s="960" t="s">
        <v>7875</v>
      </c>
      <c r="B1525" s="985" t="s">
        <v>1517</v>
      </c>
      <c r="C1525" s="985" t="s">
        <v>1517</v>
      </c>
      <c r="D1525" s="670" t="s">
        <v>7984</v>
      </c>
      <c r="E1525" s="924" t="s">
        <v>2235</v>
      </c>
      <c r="F1525" s="926" t="s">
        <v>1528</v>
      </c>
      <c r="G1525" s="924" t="s">
        <v>2156</v>
      </c>
      <c r="H1525" s="931">
        <v>5</v>
      </c>
      <c r="I1525" s="985" t="s">
        <v>2161</v>
      </c>
      <c r="J1525" s="924" t="s">
        <v>1454</v>
      </c>
      <c r="K1525" s="989" t="s">
        <v>8073</v>
      </c>
      <c r="L1525" s="990">
        <v>38906.879999999997</v>
      </c>
      <c r="M1525" s="930"/>
      <c r="N1525" s="990">
        <v>38906.879999999997</v>
      </c>
      <c r="O1525" s="991">
        <v>43070.625</v>
      </c>
      <c r="P1525" s="991">
        <v>43070.625</v>
      </c>
      <c r="Q1525" s="930" t="s">
        <v>108</v>
      </c>
      <c r="R1525" s="963" t="s">
        <v>112</v>
      </c>
      <c r="S1525" s="930" t="s">
        <v>1457</v>
      </c>
      <c r="T1525" s="990"/>
      <c r="U1525" s="930"/>
      <c r="V1525" s="930"/>
      <c r="W1525" s="934"/>
      <c r="X1525" s="935"/>
      <c r="Y1525" s="934"/>
      <c r="Z1525" s="933"/>
      <c r="AA1525" s="908" t="s">
        <v>1458</v>
      </c>
      <c r="AB1525" s="843" t="s">
        <v>263</v>
      </c>
      <c r="AC1525" s="936"/>
      <c r="AD1525" s="936"/>
      <c r="AE1525" s="937">
        <f t="shared" si="40"/>
        <v>12</v>
      </c>
    </row>
    <row r="1526" spans="1:31" ht="105" hidden="1" x14ac:dyDescent="0.25">
      <c r="A1526" s="960" t="s">
        <v>7876</v>
      </c>
      <c r="B1526" s="985" t="s">
        <v>1793</v>
      </c>
      <c r="C1526" s="985" t="s">
        <v>4977</v>
      </c>
      <c r="D1526" s="670" t="s">
        <v>7983</v>
      </c>
      <c r="E1526" s="924" t="s">
        <v>2235</v>
      </c>
      <c r="F1526" s="926" t="s">
        <v>1587</v>
      </c>
      <c r="G1526" s="924" t="s">
        <v>2256</v>
      </c>
      <c r="H1526" s="931">
        <v>1</v>
      </c>
      <c r="I1526" s="985" t="s">
        <v>2161</v>
      </c>
      <c r="J1526" s="924" t="s">
        <v>1454</v>
      </c>
      <c r="K1526" s="989" t="s">
        <v>8072</v>
      </c>
      <c r="L1526" s="990">
        <v>96417</v>
      </c>
      <c r="M1526" s="930"/>
      <c r="N1526" s="990">
        <v>96417</v>
      </c>
      <c r="O1526" s="991">
        <v>43070.625</v>
      </c>
      <c r="P1526" s="991">
        <v>43070.625</v>
      </c>
      <c r="Q1526" s="930" t="s">
        <v>108</v>
      </c>
      <c r="R1526" s="963" t="s">
        <v>112</v>
      </c>
      <c r="S1526" s="930" t="s">
        <v>1457</v>
      </c>
      <c r="T1526" s="990"/>
      <c r="U1526" s="930"/>
      <c r="V1526" s="930"/>
      <c r="W1526" s="934"/>
      <c r="X1526" s="935"/>
      <c r="Y1526" s="934"/>
      <c r="Z1526" s="933"/>
      <c r="AA1526" s="908" t="s">
        <v>1458</v>
      </c>
      <c r="AB1526" s="843" t="s">
        <v>263</v>
      </c>
      <c r="AC1526" s="936"/>
      <c r="AD1526" s="936"/>
      <c r="AE1526" s="937">
        <f t="shared" si="40"/>
        <v>12</v>
      </c>
    </row>
    <row r="1527" spans="1:31" ht="105" hidden="1" x14ac:dyDescent="0.25">
      <c r="A1527" s="960" t="s">
        <v>7877</v>
      </c>
      <c r="B1527" s="985" t="s">
        <v>1906</v>
      </c>
      <c r="C1527" s="985" t="s">
        <v>1907</v>
      </c>
      <c r="D1527" s="670" t="s">
        <v>7982</v>
      </c>
      <c r="E1527" s="924" t="s">
        <v>2235</v>
      </c>
      <c r="F1527" s="926" t="s">
        <v>1587</v>
      </c>
      <c r="G1527" s="924" t="s">
        <v>2256</v>
      </c>
      <c r="H1527" s="931">
        <v>2</v>
      </c>
      <c r="I1527" s="985" t="s">
        <v>2161</v>
      </c>
      <c r="J1527" s="924" t="s">
        <v>1454</v>
      </c>
      <c r="K1527" s="989" t="s">
        <v>8069</v>
      </c>
      <c r="L1527" s="990">
        <v>498511.12</v>
      </c>
      <c r="M1527" s="930"/>
      <c r="N1527" s="990">
        <v>498511.12</v>
      </c>
      <c r="O1527" s="991">
        <v>43070.625</v>
      </c>
      <c r="P1527" s="991">
        <v>43070.625</v>
      </c>
      <c r="Q1527" s="930" t="s">
        <v>108</v>
      </c>
      <c r="R1527" s="963" t="s">
        <v>112</v>
      </c>
      <c r="S1527" s="930" t="s">
        <v>1457</v>
      </c>
      <c r="T1527" s="990"/>
      <c r="U1527" s="930"/>
      <c r="V1527" s="930"/>
      <c r="W1527" s="934"/>
      <c r="X1527" s="935"/>
      <c r="Y1527" s="934"/>
      <c r="Z1527" s="933"/>
      <c r="AA1527" s="908" t="s">
        <v>1458</v>
      </c>
      <c r="AB1527" s="843" t="s">
        <v>263</v>
      </c>
      <c r="AC1527" s="936"/>
      <c r="AD1527" s="936"/>
      <c r="AE1527" s="937">
        <f t="shared" si="40"/>
        <v>12</v>
      </c>
    </row>
    <row r="1528" spans="1:31" ht="105" hidden="1" x14ac:dyDescent="0.25">
      <c r="A1528" s="960" t="s">
        <v>7878</v>
      </c>
      <c r="B1528" s="985" t="s">
        <v>1793</v>
      </c>
      <c r="C1528" s="985" t="s">
        <v>4977</v>
      </c>
      <c r="D1528" s="670" t="s">
        <v>7981</v>
      </c>
      <c r="E1528" s="924" t="s">
        <v>2235</v>
      </c>
      <c r="F1528" s="926" t="s">
        <v>1587</v>
      </c>
      <c r="G1528" s="924" t="s">
        <v>2256</v>
      </c>
      <c r="H1528" s="931">
        <v>1</v>
      </c>
      <c r="I1528" s="985" t="s">
        <v>2161</v>
      </c>
      <c r="J1528" s="924" t="s">
        <v>1454</v>
      </c>
      <c r="K1528" s="989" t="s">
        <v>7794</v>
      </c>
      <c r="L1528" s="990">
        <v>1339435.74</v>
      </c>
      <c r="M1528" s="930"/>
      <c r="N1528" s="990">
        <v>1339435.74</v>
      </c>
      <c r="O1528" s="991">
        <v>43070.625</v>
      </c>
      <c r="P1528" s="991">
        <v>43070.625</v>
      </c>
      <c r="Q1528" s="930" t="s">
        <v>108</v>
      </c>
      <c r="R1528" s="963" t="s">
        <v>112</v>
      </c>
      <c r="S1528" s="930" t="s">
        <v>1457</v>
      </c>
      <c r="T1528" s="990"/>
      <c r="U1528" s="930"/>
      <c r="V1528" s="930"/>
      <c r="W1528" s="934"/>
      <c r="X1528" s="935"/>
      <c r="Y1528" s="934"/>
      <c r="Z1528" s="933"/>
      <c r="AA1528" s="908" t="s">
        <v>1458</v>
      </c>
      <c r="AB1528" s="843" t="s">
        <v>263</v>
      </c>
      <c r="AC1528" s="936"/>
      <c r="AD1528" s="936"/>
      <c r="AE1528" s="937">
        <f t="shared" si="40"/>
        <v>12</v>
      </c>
    </row>
    <row r="1529" spans="1:31" ht="105" hidden="1" x14ac:dyDescent="0.25">
      <c r="A1529" s="960" t="s">
        <v>7879</v>
      </c>
      <c r="B1529" s="985" t="s">
        <v>1854</v>
      </c>
      <c r="C1529" s="985" t="s">
        <v>6146</v>
      </c>
      <c r="D1529" s="670" t="s">
        <v>7980</v>
      </c>
      <c r="E1529" s="924" t="s">
        <v>2235</v>
      </c>
      <c r="F1529" s="926" t="s">
        <v>1528</v>
      </c>
      <c r="G1529" s="924" t="s">
        <v>2156</v>
      </c>
      <c r="H1529" s="931">
        <v>200</v>
      </c>
      <c r="I1529" s="985" t="s">
        <v>2161</v>
      </c>
      <c r="J1529" s="924" t="s">
        <v>1454</v>
      </c>
      <c r="K1529" s="989" t="s">
        <v>7795</v>
      </c>
      <c r="L1529" s="990">
        <v>109928</v>
      </c>
      <c r="M1529" s="930"/>
      <c r="N1529" s="990">
        <v>109928</v>
      </c>
      <c r="O1529" s="991">
        <v>43070.625</v>
      </c>
      <c r="P1529" s="991">
        <v>43070.625</v>
      </c>
      <c r="Q1529" s="930" t="s">
        <v>108</v>
      </c>
      <c r="R1529" s="963" t="s">
        <v>112</v>
      </c>
      <c r="S1529" s="930" t="s">
        <v>1457</v>
      </c>
      <c r="T1529" s="990"/>
      <c r="U1529" s="930"/>
      <c r="V1529" s="930"/>
      <c r="W1529" s="934"/>
      <c r="X1529" s="935"/>
      <c r="Y1529" s="934"/>
      <c r="Z1529" s="933"/>
      <c r="AA1529" s="908" t="s">
        <v>1458</v>
      </c>
      <c r="AB1529" s="843" t="s">
        <v>263</v>
      </c>
      <c r="AC1529" s="936"/>
      <c r="AD1529" s="936"/>
      <c r="AE1529" s="937">
        <f t="shared" si="40"/>
        <v>12</v>
      </c>
    </row>
    <row r="1530" spans="1:31" ht="105" hidden="1" x14ac:dyDescent="0.25">
      <c r="A1530" s="960" t="s">
        <v>7880</v>
      </c>
      <c r="B1530" s="985" t="s">
        <v>1793</v>
      </c>
      <c r="C1530" s="985" t="s">
        <v>6896</v>
      </c>
      <c r="D1530" s="670" t="s">
        <v>7979</v>
      </c>
      <c r="E1530" s="924" t="s">
        <v>2235</v>
      </c>
      <c r="F1530" s="926" t="s">
        <v>1528</v>
      </c>
      <c r="G1530" s="924" t="s">
        <v>2156</v>
      </c>
      <c r="H1530" s="931">
        <v>2</v>
      </c>
      <c r="I1530" s="985" t="s">
        <v>2161</v>
      </c>
      <c r="J1530" s="924" t="s">
        <v>1454</v>
      </c>
      <c r="K1530" s="989" t="s">
        <v>7017</v>
      </c>
      <c r="L1530" s="990">
        <v>28005</v>
      </c>
      <c r="M1530" s="930"/>
      <c r="N1530" s="990">
        <v>28005</v>
      </c>
      <c r="O1530" s="991">
        <v>43070.625</v>
      </c>
      <c r="P1530" s="991">
        <v>43070.625</v>
      </c>
      <c r="Q1530" s="930" t="s">
        <v>108</v>
      </c>
      <c r="R1530" s="963" t="s">
        <v>112</v>
      </c>
      <c r="S1530" s="930" t="s">
        <v>1457</v>
      </c>
      <c r="T1530" s="990"/>
      <c r="U1530" s="930"/>
      <c r="V1530" s="930"/>
      <c r="W1530" s="934"/>
      <c r="X1530" s="935"/>
      <c r="Y1530" s="934"/>
      <c r="Z1530" s="933"/>
      <c r="AA1530" s="908" t="s">
        <v>1458</v>
      </c>
      <c r="AB1530" s="843" t="s">
        <v>263</v>
      </c>
      <c r="AC1530" s="936"/>
      <c r="AD1530" s="936"/>
      <c r="AE1530" s="937">
        <f t="shared" si="40"/>
        <v>12</v>
      </c>
    </row>
    <row r="1531" spans="1:31" ht="105" hidden="1" x14ac:dyDescent="0.25">
      <c r="A1531" s="960" t="s">
        <v>7881</v>
      </c>
      <c r="B1531" s="985" t="s">
        <v>1517</v>
      </c>
      <c r="C1531" s="985" t="s">
        <v>7735</v>
      </c>
      <c r="D1531" s="670" t="s">
        <v>7978</v>
      </c>
      <c r="E1531" s="924" t="s">
        <v>7736</v>
      </c>
      <c r="F1531" s="926" t="s">
        <v>1528</v>
      </c>
      <c r="G1531" s="924" t="s">
        <v>2156</v>
      </c>
      <c r="H1531" s="931">
        <v>350</v>
      </c>
      <c r="I1531" s="985" t="s">
        <v>2161</v>
      </c>
      <c r="J1531" s="924" t="s">
        <v>1454</v>
      </c>
      <c r="K1531" s="989" t="s">
        <v>7797</v>
      </c>
      <c r="L1531" s="990">
        <v>203000</v>
      </c>
      <c r="M1531" s="930" t="s">
        <v>997</v>
      </c>
      <c r="N1531" s="990">
        <v>203000</v>
      </c>
      <c r="O1531" s="991">
        <v>43040.625</v>
      </c>
      <c r="P1531" s="991">
        <v>43070.625</v>
      </c>
      <c r="Q1531" s="930" t="s">
        <v>110</v>
      </c>
      <c r="R1531" s="930" t="s">
        <v>113</v>
      </c>
      <c r="S1531" s="930"/>
      <c r="T1531" s="990"/>
      <c r="U1531" s="930"/>
      <c r="V1531" s="930"/>
      <c r="W1531" s="934" t="s">
        <v>268</v>
      </c>
      <c r="X1531" s="638" t="s">
        <v>8055</v>
      </c>
      <c r="Y1531" s="637" t="s">
        <v>8056</v>
      </c>
      <c r="Z1531" s="933">
        <v>203000</v>
      </c>
      <c r="AA1531" s="908" t="s">
        <v>1458</v>
      </c>
      <c r="AB1531" s="843" t="s">
        <v>263</v>
      </c>
      <c r="AC1531" s="936"/>
      <c r="AD1531" s="936"/>
      <c r="AE1531" s="937">
        <f t="shared" si="40"/>
        <v>11</v>
      </c>
    </row>
    <row r="1532" spans="1:31" ht="105" hidden="1" x14ac:dyDescent="0.25">
      <c r="A1532" s="960" t="s">
        <v>7882</v>
      </c>
      <c r="B1532" s="985" t="s">
        <v>1576</v>
      </c>
      <c r="C1532" s="985" t="s">
        <v>7737</v>
      </c>
      <c r="D1532" s="670" t="s">
        <v>7977</v>
      </c>
      <c r="E1532" s="924" t="s">
        <v>7738</v>
      </c>
      <c r="F1532" s="926" t="s">
        <v>1528</v>
      </c>
      <c r="G1532" s="924" t="s">
        <v>2156</v>
      </c>
      <c r="H1532" s="931">
        <v>60</v>
      </c>
      <c r="I1532" s="985" t="s">
        <v>2161</v>
      </c>
      <c r="J1532" s="924" t="s">
        <v>1454</v>
      </c>
      <c r="K1532" s="989" t="s">
        <v>7796</v>
      </c>
      <c r="L1532" s="990">
        <v>149400</v>
      </c>
      <c r="M1532" s="930"/>
      <c r="N1532" s="990">
        <v>149400</v>
      </c>
      <c r="O1532" s="991">
        <v>43070.625</v>
      </c>
      <c r="P1532" s="991">
        <v>43070.625</v>
      </c>
      <c r="Q1532" s="930" t="s">
        <v>110</v>
      </c>
      <c r="R1532" s="634" t="s">
        <v>113</v>
      </c>
      <c r="S1532" s="930"/>
      <c r="T1532" s="990"/>
      <c r="U1532" s="930"/>
      <c r="V1532" s="930"/>
      <c r="W1532" s="934"/>
      <c r="X1532" s="935"/>
      <c r="Y1532" s="934"/>
      <c r="Z1532" s="933"/>
      <c r="AA1532" s="908" t="s">
        <v>1458</v>
      </c>
      <c r="AB1532" s="843" t="s">
        <v>263</v>
      </c>
      <c r="AC1532" s="936"/>
      <c r="AD1532" s="936"/>
      <c r="AE1532" s="937">
        <f t="shared" si="40"/>
        <v>12</v>
      </c>
    </row>
    <row r="1533" spans="1:31" ht="105" hidden="1" x14ac:dyDescent="0.25">
      <c r="A1533" s="960" t="s">
        <v>7883</v>
      </c>
      <c r="B1533" s="985" t="s">
        <v>2176</v>
      </c>
      <c r="C1533" s="985" t="s">
        <v>2037</v>
      </c>
      <c r="D1533" s="670" t="s">
        <v>7976</v>
      </c>
      <c r="E1533" s="924" t="s">
        <v>2027</v>
      </c>
      <c r="F1533" s="926" t="s">
        <v>1528</v>
      </c>
      <c r="G1533" s="924" t="s">
        <v>2156</v>
      </c>
      <c r="H1533" s="931">
        <v>1095</v>
      </c>
      <c r="I1533" s="985" t="s">
        <v>2161</v>
      </c>
      <c r="J1533" s="924" t="s">
        <v>1454</v>
      </c>
      <c r="K1533" s="989" t="s">
        <v>7798</v>
      </c>
      <c r="L1533" s="990">
        <v>8511795.7200000007</v>
      </c>
      <c r="M1533" s="930"/>
      <c r="N1533" s="990">
        <v>8511795.7200000007</v>
      </c>
      <c r="O1533" s="991">
        <v>43070.625</v>
      </c>
      <c r="P1533" s="991">
        <v>43344.625</v>
      </c>
      <c r="Q1533" s="930" t="s">
        <v>110</v>
      </c>
      <c r="R1533" s="634" t="s">
        <v>113</v>
      </c>
      <c r="S1533" s="930"/>
      <c r="T1533" s="990"/>
      <c r="U1533" s="930"/>
      <c r="V1533" s="930"/>
      <c r="W1533" s="934"/>
      <c r="X1533" s="935"/>
      <c r="Y1533" s="934"/>
      <c r="Z1533" s="933"/>
      <c r="AA1533" s="908" t="s">
        <v>1458</v>
      </c>
      <c r="AB1533" s="843" t="s">
        <v>263</v>
      </c>
      <c r="AC1533" s="936"/>
      <c r="AD1533" s="936"/>
      <c r="AE1533" s="937">
        <f t="shared" si="40"/>
        <v>12</v>
      </c>
    </row>
    <row r="1534" spans="1:31" ht="105" hidden="1" x14ac:dyDescent="0.25">
      <c r="A1534" s="960" t="s">
        <v>7884</v>
      </c>
      <c r="B1534" s="985" t="s">
        <v>1576</v>
      </c>
      <c r="C1534" s="985" t="s">
        <v>2037</v>
      </c>
      <c r="D1534" s="670" t="s">
        <v>7975</v>
      </c>
      <c r="E1534" s="924" t="s">
        <v>2027</v>
      </c>
      <c r="F1534" s="926" t="s">
        <v>1528</v>
      </c>
      <c r="G1534" s="924" t="s">
        <v>2156</v>
      </c>
      <c r="H1534" s="931">
        <v>32</v>
      </c>
      <c r="I1534" s="985" t="s">
        <v>2161</v>
      </c>
      <c r="J1534" s="924" t="s">
        <v>1454</v>
      </c>
      <c r="K1534" s="989" t="s">
        <v>7799</v>
      </c>
      <c r="L1534" s="990">
        <v>21558411.199999999</v>
      </c>
      <c r="M1534" s="930"/>
      <c r="N1534" s="990">
        <v>21558411.199999999</v>
      </c>
      <c r="O1534" s="991">
        <v>43070.625</v>
      </c>
      <c r="P1534" s="991">
        <v>43435.625</v>
      </c>
      <c r="Q1534" s="930" t="s">
        <v>110</v>
      </c>
      <c r="R1534" s="634" t="s">
        <v>113</v>
      </c>
      <c r="S1534" s="930"/>
      <c r="T1534" s="990"/>
      <c r="U1534" s="930"/>
      <c r="V1534" s="930"/>
      <c r="W1534" s="934"/>
      <c r="X1534" s="935"/>
      <c r="Y1534" s="934"/>
      <c r="Z1534" s="933"/>
      <c r="AA1534" s="908" t="s">
        <v>1458</v>
      </c>
      <c r="AB1534" s="843" t="s">
        <v>263</v>
      </c>
      <c r="AC1534" s="936"/>
      <c r="AD1534" s="936"/>
      <c r="AE1534" s="937">
        <f t="shared" si="40"/>
        <v>12</v>
      </c>
    </row>
    <row r="1535" spans="1:31" ht="105" hidden="1" x14ac:dyDescent="0.25">
      <c r="A1535" s="960" t="s">
        <v>7885</v>
      </c>
      <c r="B1535" s="985" t="s">
        <v>1791</v>
      </c>
      <c r="C1535" s="985" t="s">
        <v>6138</v>
      </c>
      <c r="D1535" s="670" t="s">
        <v>7974</v>
      </c>
      <c r="E1535" s="924" t="s">
        <v>2027</v>
      </c>
      <c r="F1535" s="926" t="s">
        <v>1528</v>
      </c>
      <c r="G1535" s="924" t="s">
        <v>2156</v>
      </c>
      <c r="H1535" s="931">
        <v>40</v>
      </c>
      <c r="I1535" s="985" t="s">
        <v>2161</v>
      </c>
      <c r="J1535" s="924" t="s">
        <v>1454</v>
      </c>
      <c r="K1535" s="989" t="s">
        <v>7800</v>
      </c>
      <c r="L1535" s="990">
        <v>1913818.4</v>
      </c>
      <c r="M1535" s="930"/>
      <c r="N1535" s="990">
        <v>1913818.4</v>
      </c>
      <c r="O1535" s="991">
        <v>43070.625</v>
      </c>
      <c r="P1535" s="991">
        <v>43435.625</v>
      </c>
      <c r="Q1535" s="930" t="s">
        <v>110</v>
      </c>
      <c r="R1535" s="634" t="s">
        <v>113</v>
      </c>
      <c r="S1535" s="930"/>
      <c r="T1535" s="990"/>
      <c r="U1535" s="930"/>
      <c r="V1535" s="930"/>
      <c r="W1535" s="934"/>
      <c r="X1535" s="935"/>
      <c r="Y1535" s="934"/>
      <c r="Z1535" s="933"/>
      <c r="AA1535" s="908" t="s">
        <v>1458</v>
      </c>
      <c r="AB1535" s="843" t="s">
        <v>263</v>
      </c>
      <c r="AC1535" s="936"/>
      <c r="AD1535" s="936"/>
      <c r="AE1535" s="937">
        <f t="shared" si="40"/>
        <v>12</v>
      </c>
    </row>
    <row r="1536" spans="1:31" ht="105" hidden="1" x14ac:dyDescent="0.25">
      <c r="A1536" s="960" t="s">
        <v>7886</v>
      </c>
      <c r="B1536" s="985" t="s">
        <v>1576</v>
      </c>
      <c r="C1536" s="985" t="s">
        <v>2037</v>
      </c>
      <c r="D1536" s="670" t="s">
        <v>7973</v>
      </c>
      <c r="E1536" s="924" t="s">
        <v>2027</v>
      </c>
      <c r="F1536" s="926" t="s">
        <v>1528</v>
      </c>
      <c r="G1536" s="924" t="s">
        <v>2156</v>
      </c>
      <c r="H1536" s="931">
        <v>46</v>
      </c>
      <c r="I1536" s="985" t="s">
        <v>2161</v>
      </c>
      <c r="J1536" s="924" t="s">
        <v>1454</v>
      </c>
      <c r="K1536" s="989" t="s">
        <v>7801</v>
      </c>
      <c r="L1536" s="990">
        <v>30990216.100000001</v>
      </c>
      <c r="M1536" s="930"/>
      <c r="N1536" s="990">
        <v>30990216.100000001</v>
      </c>
      <c r="O1536" s="991">
        <v>43070.625</v>
      </c>
      <c r="P1536" s="991">
        <v>43435.625</v>
      </c>
      <c r="Q1536" s="930" t="s">
        <v>110</v>
      </c>
      <c r="R1536" s="634" t="s">
        <v>113</v>
      </c>
      <c r="S1536" s="930"/>
      <c r="T1536" s="990"/>
      <c r="U1536" s="930"/>
      <c r="V1536" s="930"/>
      <c r="W1536" s="934"/>
      <c r="X1536" s="935"/>
      <c r="Y1536" s="934"/>
      <c r="Z1536" s="933"/>
      <c r="AA1536" s="908" t="s">
        <v>1458</v>
      </c>
      <c r="AB1536" s="843" t="s">
        <v>263</v>
      </c>
      <c r="AC1536" s="936"/>
      <c r="AD1536" s="936"/>
      <c r="AE1536" s="937">
        <f t="shared" si="40"/>
        <v>12</v>
      </c>
    </row>
    <row r="1537" spans="1:31" ht="105" hidden="1" x14ac:dyDescent="0.25">
      <c r="A1537" s="960" t="s">
        <v>7887</v>
      </c>
      <c r="B1537" s="985" t="s">
        <v>1791</v>
      </c>
      <c r="C1537" s="985" t="s">
        <v>6138</v>
      </c>
      <c r="D1537" s="670" t="s">
        <v>7972</v>
      </c>
      <c r="E1537" s="924" t="s">
        <v>2027</v>
      </c>
      <c r="F1537" s="926" t="s">
        <v>1528</v>
      </c>
      <c r="G1537" s="924" t="s">
        <v>2156</v>
      </c>
      <c r="H1537" s="931">
        <v>46</v>
      </c>
      <c r="I1537" s="985" t="s">
        <v>2161</v>
      </c>
      <c r="J1537" s="924" t="s">
        <v>1454</v>
      </c>
      <c r="K1537" s="989" t="s">
        <v>7802</v>
      </c>
      <c r="L1537" s="990">
        <v>2200891.16</v>
      </c>
      <c r="M1537" s="930"/>
      <c r="N1537" s="990">
        <v>2200891.16</v>
      </c>
      <c r="O1537" s="991">
        <v>43070.625</v>
      </c>
      <c r="P1537" s="991">
        <v>43435.625</v>
      </c>
      <c r="Q1537" s="930" t="s">
        <v>110</v>
      </c>
      <c r="R1537" s="634" t="s">
        <v>113</v>
      </c>
      <c r="S1537" s="930"/>
      <c r="T1537" s="990"/>
      <c r="U1537" s="930"/>
      <c r="V1537" s="930"/>
      <c r="W1537" s="934"/>
      <c r="X1537" s="935"/>
      <c r="Y1537" s="934"/>
      <c r="Z1537" s="933"/>
      <c r="AA1537" s="908" t="s">
        <v>1458</v>
      </c>
      <c r="AB1537" s="843" t="s">
        <v>263</v>
      </c>
      <c r="AC1537" s="936"/>
      <c r="AD1537" s="936"/>
      <c r="AE1537" s="937">
        <f t="shared" si="40"/>
        <v>12</v>
      </c>
    </row>
    <row r="1538" spans="1:31" ht="105" hidden="1" x14ac:dyDescent="0.25">
      <c r="A1538" s="960" t="s">
        <v>7888</v>
      </c>
      <c r="B1538" s="985" t="s">
        <v>2033</v>
      </c>
      <c r="C1538" s="985" t="s">
        <v>2034</v>
      </c>
      <c r="D1538" s="670" t="s">
        <v>7971</v>
      </c>
      <c r="E1538" s="924" t="s">
        <v>2027</v>
      </c>
      <c r="F1538" s="926" t="s">
        <v>1528</v>
      </c>
      <c r="G1538" s="924" t="s">
        <v>2156</v>
      </c>
      <c r="H1538" s="931">
        <v>145</v>
      </c>
      <c r="I1538" s="985" t="s">
        <v>2161</v>
      </c>
      <c r="J1538" s="924" t="s">
        <v>1454</v>
      </c>
      <c r="K1538" s="989" t="s">
        <v>7803</v>
      </c>
      <c r="L1538" s="990">
        <v>49958975.700000003</v>
      </c>
      <c r="M1538" s="930"/>
      <c r="N1538" s="990">
        <v>49958975.700000003</v>
      </c>
      <c r="O1538" s="991">
        <v>43070.625</v>
      </c>
      <c r="P1538" s="991">
        <v>43435.625</v>
      </c>
      <c r="Q1538" s="930" t="s">
        <v>110</v>
      </c>
      <c r="R1538" s="634" t="s">
        <v>113</v>
      </c>
      <c r="S1538" s="930"/>
      <c r="T1538" s="990"/>
      <c r="U1538" s="930"/>
      <c r="V1538" s="930"/>
      <c r="W1538" s="934"/>
      <c r="X1538" s="935"/>
      <c r="Y1538" s="934"/>
      <c r="Z1538" s="933"/>
      <c r="AA1538" s="908" t="s">
        <v>1458</v>
      </c>
      <c r="AB1538" s="843" t="s">
        <v>263</v>
      </c>
      <c r="AC1538" s="936"/>
      <c r="AD1538" s="936"/>
      <c r="AE1538" s="937">
        <f t="shared" si="40"/>
        <v>12</v>
      </c>
    </row>
    <row r="1539" spans="1:31" ht="105" hidden="1" x14ac:dyDescent="0.25">
      <c r="A1539" s="960" t="s">
        <v>7889</v>
      </c>
      <c r="B1539" s="985" t="s">
        <v>301</v>
      </c>
      <c r="C1539" s="985" t="s">
        <v>301</v>
      </c>
      <c r="D1539" s="670" t="s">
        <v>7970</v>
      </c>
      <c r="E1539" s="924" t="s">
        <v>2027</v>
      </c>
      <c r="F1539" s="926" t="s">
        <v>1528</v>
      </c>
      <c r="G1539" s="924" t="s">
        <v>2156</v>
      </c>
      <c r="H1539" s="931">
        <v>5700</v>
      </c>
      <c r="I1539" s="985" t="s">
        <v>2161</v>
      </c>
      <c r="J1539" s="924" t="s">
        <v>1454</v>
      </c>
      <c r="K1539" s="989" t="s">
        <v>7804</v>
      </c>
      <c r="L1539" s="990">
        <v>3022629</v>
      </c>
      <c r="M1539" s="930"/>
      <c r="N1539" s="990">
        <v>3022629</v>
      </c>
      <c r="O1539" s="991">
        <v>43070.625</v>
      </c>
      <c r="P1539" s="991">
        <v>43344.625</v>
      </c>
      <c r="Q1539" s="930" t="s">
        <v>110</v>
      </c>
      <c r="R1539" s="634" t="s">
        <v>113</v>
      </c>
      <c r="S1539" s="930"/>
      <c r="T1539" s="990"/>
      <c r="U1539" s="930"/>
      <c r="V1539" s="930"/>
      <c r="W1539" s="934"/>
      <c r="X1539" s="935"/>
      <c r="Y1539" s="934"/>
      <c r="Z1539" s="933"/>
      <c r="AA1539" s="908" t="s">
        <v>1458</v>
      </c>
      <c r="AB1539" s="843" t="s">
        <v>263</v>
      </c>
      <c r="AC1539" s="936"/>
      <c r="AD1539" s="936"/>
      <c r="AE1539" s="937">
        <f t="shared" si="40"/>
        <v>12</v>
      </c>
    </row>
    <row r="1540" spans="1:31" ht="105" hidden="1" x14ac:dyDescent="0.25">
      <c r="A1540" s="960" t="s">
        <v>7890</v>
      </c>
      <c r="B1540" s="985" t="s">
        <v>2131</v>
      </c>
      <c r="C1540" s="985" t="s">
        <v>7739</v>
      </c>
      <c r="D1540" s="670" t="s">
        <v>7969</v>
      </c>
      <c r="E1540" s="924" t="s">
        <v>2235</v>
      </c>
      <c r="F1540" s="926" t="s">
        <v>1528</v>
      </c>
      <c r="G1540" s="924" t="s">
        <v>2156</v>
      </c>
      <c r="H1540" s="931">
        <v>1</v>
      </c>
      <c r="I1540" s="985" t="s">
        <v>2161</v>
      </c>
      <c r="J1540" s="924" t="s">
        <v>1454</v>
      </c>
      <c r="K1540" s="989" t="s">
        <v>7805</v>
      </c>
      <c r="L1540" s="990">
        <v>16154.75</v>
      </c>
      <c r="M1540" s="930"/>
      <c r="N1540" s="990">
        <v>16154.75</v>
      </c>
      <c r="O1540" s="991">
        <v>43070.625</v>
      </c>
      <c r="P1540" s="991">
        <v>43070.625</v>
      </c>
      <c r="Q1540" s="930" t="s">
        <v>108</v>
      </c>
      <c r="R1540" s="963" t="s">
        <v>112</v>
      </c>
      <c r="S1540" s="930" t="s">
        <v>1457</v>
      </c>
      <c r="T1540" s="990"/>
      <c r="U1540" s="930"/>
      <c r="V1540" s="930"/>
      <c r="W1540" s="934"/>
      <c r="X1540" s="935"/>
      <c r="Y1540" s="934"/>
      <c r="Z1540" s="933"/>
      <c r="AA1540" s="908" t="s">
        <v>1458</v>
      </c>
      <c r="AB1540" s="843" t="s">
        <v>263</v>
      </c>
      <c r="AC1540" s="936"/>
      <c r="AD1540" s="936"/>
      <c r="AE1540" s="937">
        <f t="shared" si="40"/>
        <v>12</v>
      </c>
    </row>
    <row r="1541" spans="1:31" ht="105" hidden="1" x14ac:dyDescent="0.25">
      <c r="A1541" s="960" t="s">
        <v>7891</v>
      </c>
      <c r="B1541" s="985" t="s">
        <v>1517</v>
      </c>
      <c r="C1541" s="985" t="s">
        <v>1517</v>
      </c>
      <c r="D1541" s="670" t="s">
        <v>7968</v>
      </c>
      <c r="E1541" s="924" t="s">
        <v>2235</v>
      </c>
      <c r="F1541" s="926" t="s">
        <v>1528</v>
      </c>
      <c r="G1541" s="924" t="s">
        <v>2156</v>
      </c>
      <c r="H1541" s="931">
        <v>19</v>
      </c>
      <c r="I1541" s="985" t="s">
        <v>2161</v>
      </c>
      <c r="J1541" s="924" t="s">
        <v>1454</v>
      </c>
      <c r="K1541" s="989" t="s">
        <v>7806</v>
      </c>
      <c r="L1541" s="990">
        <v>103203.63</v>
      </c>
      <c r="M1541" s="930"/>
      <c r="N1541" s="990">
        <v>103203.63</v>
      </c>
      <c r="O1541" s="991">
        <v>43070.625</v>
      </c>
      <c r="P1541" s="991">
        <v>43070.625</v>
      </c>
      <c r="Q1541" s="930" t="s">
        <v>108</v>
      </c>
      <c r="R1541" s="963" t="s">
        <v>112</v>
      </c>
      <c r="S1541" s="930" t="s">
        <v>1457</v>
      </c>
      <c r="T1541" s="990"/>
      <c r="U1541" s="930"/>
      <c r="V1541" s="930"/>
      <c r="W1541" s="934"/>
      <c r="X1541" s="935"/>
      <c r="Y1541" s="934"/>
      <c r="Z1541" s="933"/>
      <c r="AA1541" s="908" t="s">
        <v>1458</v>
      </c>
      <c r="AB1541" s="843" t="s">
        <v>263</v>
      </c>
      <c r="AC1541" s="936"/>
      <c r="AD1541" s="936"/>
      <c r="AE1541" s="937">
        <f t="shared" si="40"/>
        <v>12</v>
      </c>
    </row>
    <row r="1542" spans="1:31" ht="105" hidden="1" x14ac:dyDescent="0.25">
      <c r="A1542" s="960" t="s">
        <v>7892</v>
      </c>
      <c r="B1542" s="985" t="s">
        <v>2134</v>
      </c>
      <c r="C1542" s="985" t="s">
        <v>2135</v>
      </c>
      <c r="D1542" s="670" t="s">
        <v>7967</v>
      </c>
      <c r="E1542" s="924" t="s">
        <v>1569</v>
      </c>
      <c r="F1542" s="926" t="s">
        <v>1528</v>
      </c>
      <c r="G1542" s="924" t="s">
        <v>2156</v>
      </c>
      <c r="H1542" s="931">
        <v>1</v>
      </c>
      <c r="I1542" s="985" t="s">
        <v>2161</v>
      </c>
      <c r="J1542" s="924" t="s">
        <v>1454</v>
      </c>
      <c r="K1542" s="989" t="s">
        <v>7807</v>
      </c>
      <c r="L1542" s="990">
        <v>2418333.33</v>
      </c>
      <c r="M1542" s="930"/>
      <c r="N1542" s="990">
        <v>2418333.33</v>
      </c>
      <c r="O1542" s="991">
        <v>43070.625</v>
      </c>
      <c r="P1542" s="991">
        <v>43160.625</v>
      </c>
      <c r="Q1542" s="930" t="s">
        <v>108</v>
      </c>
      <c r="R1542" s="963" t="s">
        <v>112</v>
      </c>
      <c r="S1542" s="930" t="s">
        <v>1457</v>
      </c>
      <c r="T1542" s="990"/>
      <c r="U1542" s="930"/>
      <c r="V1542" s="930"/>
      <c r="W1542" s="934"/>
      <c r="X1542" s="935"/>
      <c r="Y1542" s="934"/>
      <c r="Z1542" s="933"/>
      <c r="AA1542" s="908" t="s">
        <v>1458</v>
      </c>
      <c r="AB1542" s="843" t="s">
        <v>263</v>
      </c>
      <c r="AC1542" s="936"/>
      <c r="AD1542" s="936"/>
      <c r="AE1542" s="937">
        <f t="shared" si="40"/>
        <v>12</v>
      </c>
    </row>
    <row r="1543" spans="1:31" ht="105" hidden="1" x14ac:dyDescent="0.25">
      <c r="A1543" s="960" t="s">
        <v>7893</v>
      </c>
      <c r="B1543" s="985" t="s">
        <v>7740</v>
      </c>
      <c r="C1543" s="985" t="s">
        <v>7741</v>
      </c>
      <c r="D1543" s="670" t="s">
        <v>7966</v>
      </c>
      <c r="E1543" s="924" t="s">
        <v>2235</v>
      </c>
      <c r="F1543" s="926" t="s">
        <v>1528</v>
      </c>
      <c r="G1543" s="924" t="s">
        <v>2156</v>
      </c>
      <c r="H1543" s="931">
        <v>1</v>
      </c>
      <c r="I1543" s="985" t="s">
        <v>2161</v>
      </c>
      <c r="J1543" s="924" t="s">
        <v>1454</v>
      </c>
      <c r="K1543" s="989" t="s">
        <v>7808</v>
      </c>
      <c r="L1543" s="990">
        <v>20570892</v>
      </c>
      <c r="M1543" s="930"/>
      <c r="N1543" s="990">
        <v>20570892</v>
      </c>
      <c r="O1543" s="991">
        <v>43070.625</v>
      </c>
      <c r="P1543" s="991">
        <v>43070.625</v>
      </c>
      <c r="Q1543" s="930" t="s">
        <v>110</v>
      </c>
      <c r="R1543" s="634" t="s">
        <v>113</v>
      </c>
      <c r="S1543" s="930"/>
      <c r="T1543" s="990"/>
      <c r="U1543" s="930"/>
      <c r="V1543" s="930"/>
      <c r="W1543" s="934" t="s">
        <v>90</v>
      </c>
      <c r="X1543" s="638" t="s">
        <v>8042</v>
      </c>
      <c r="Y1543" s="637" t="s">
        <v>8043</v>
      </c>
      <c r="Z1543" s="933">
        <v>20570892</v>
      </c>
      <c r="AA1543" s="908" t="s">
        <v>1458</v>
      </c>
      <c r="AB1543" s="843" t="s">
        <v>263</v>
      </c>
      <c r="AC1543" s="936"/>
      <c r="AD1543" s="936"/>
      <c r="AE1543" s="937">
        <f t="shared" si="40"/>
        <v>12</v>
      </c>
    </row>
    <row r="1544" spans="1:31" ht="105" hidden="1" x14ac:dyDescent="0.25">
      <c r="A1544" s="960" t="s">
        <v>7894</v>
      </c>
      <c r="B1544" s="985" t="s">
        <v>2423</v>
      </c>
      <c r="C1544" s="985" t="s">
        <v>2424</v>
      </c>
      <c r="D1544" s="670" t="s">
        <v>7965</v>
      </c>
      <c r="E1544" s="924" t="s">
        <v>2235</v>
      </c>
      <c r="F1544" s="926" t="s">
        <v>1528</v>
      </c>
      <c r="G1544" s="924" t="s">
        <v>2156</v>
      </c>
      <c r="H1544" s="931">
        <v>1</v>
      </c>
      <c r="I1544" s="985" t="s">
        <v>2161</v>
      </c>
      <c r="J1544" s="924" t="s">
        <v>1454</v>
      </c>
      <c r="K1544" s="989" t="s">
        <v>7809</v>
      </c>
      <c r="L1544" s="990">
        <v>1200000</v>
      </c>
      <c r="M1544" s="930"/>
      <c r="N1544" s="990">
        <v>1200000</v>
      </c>
      <c r="O1544" s="991">
        <v>43070.625</v>
      </c>
      <c r="P1544" s="991">
        <v>43435.625</v>
      </c>
      <c r="Q1544" s="930" t="s">
        <v>110</v>
      </c>
      <c r="R1544" s="634" t="s">
        <v>113</v>
      </c>
      <c r="S1544" s="930"/>
      <c r="T1544" s="990"/>
      <c r="U1544" s="930"/>
      <c r="V1544" s="930"/>
      <c r="W1544" s="934" t="s">
        <v>76</v>
      </c>
      <c r="X1544" s="638" t="s">
        <v>8217</v>
      </c>
      <c r="Y1544" s="637" t="s">
        <v>8218</v>
      </c>
      <c r="Z1544" s="933">
        <v>1200000</v>
      </c>
      <c r="AA1544" s="908" t="s">
        <v>1458</v>
      </c>
      <c r="AB1544" s="843" t="s">
        <v>263</v>
      </c>
      <c r="AC1544" s="936"/>
      <c r="AD1544" s="936"/>
      <c r="AE1544" s="937">
        <f t="shared" si="40"/>
        <v>12</v>
      </c>
    </row>
    <row r="1545" spans="1:31" ht="105" hidden="1" x14ac:dyDescent="0.25">
      <c r="A1545" s="960" t="s">
        <v>7895</v>
      </c>
      <c r="B1545" s="985" t="s">
        <v>7285</v>
      </c>
      <c r="C1545" s="985" t="s">
        <v>7286</v>
      </c>
      <c r="D1545" s="670" t="s">
        <v>7964</v>
      </c>
      <c r="E1545" s="924" t="s">
        <v>6492</v>
      </c>
      <c r="F1545" s="926" t="s">
        <v>1587</v>
      </c>
      <c r="G1545" s="924" t="s">
        <v>2256</v>
      </c>
      <c r="H1545" s="931">
        <v>1</v>
      </c>
      <c r="I1545" s="985" t="s">
        <v>2161</v>
      </c>
      <c r="J1545" s="924" t="s">
        <v>1454</v>
      </c>
      <c r="K1545" s="989" t="s">
        <v>7328</v>
      </c>
      <c r="L1545" s="990">
        <v>122846.98</v>
      </c>
      <c r="M1545" s="930"/>
      <c r="N1545" s="990">
        <v>122846.98</v>
      </c>
      <c r="O1545" s="991">
        <v>43070.625</v>
      </c>
      <c r="P1545" s="991">
        <v>43070.625</v>
      </c>
      <c r="Q1545" s="930" t="s">
        <v>108</v>
      </c>
      <c r="R1545" s="963" t="s">
        <v>112</v>
      </c>
      <c r="S1545" s="930" t="s">
        <v>1457</v>
      </c>
      <c r="T1545" s="990"/>
      <c r="U1545" s="930"/>
      <c r="V1545" s="930"/>
      <c r="W1545" s="934"/>
      <c r="X1545" s="935"/>
      <c r="Y1545" s="934"/>
      <c r="Z1545" s="933"/>
      <c r="AA1545" s="908" t="s">
        <v>1458</v>
      </c>
      <c r="AB1545" s="843" t="s">
        <v>263</v>
      </c>
      <c r="AC1545" s="936"/>
      <c r="AD1545" s="936"/>
      <c r="AE1545" s="937">
        <f t="shared" si="40"/>
        <v>12</v>
      </c>
    </row>
    <row r="1546" spans="1:31" ht="105" hidden="1" x14ac:dyDescent="0.25">
      <c r="A1546" s="960" t="s">
        <v>7896</v>
      </c>
      <c r="B1546" s="985" t="s">
        <v>6890</v>
      </c>
      <c r="C1546" s="985" t="s">
        <v>7724</v>
      </c>
      <c r="D1546" s="670" t="s">
        <v>7963</v>
      </c>
      <c r="E1546" s="924" t="s">
        <v>7320</v>
      </c>
      <c r="F1546" s="926" t="s">
        <v>1528</v>
      </c>
      <c r="G1546" s="924" t="s">
        <v>2156</v>
      </c>
      <c r="H1546" s="931">
        <v>1</v>
      </c>
      <c r="I1546" s="985" t="s">
        <v>2161</v>
      </c>
      <c r="J1546" s="924" t="s">
        <v>1454</v>
      </c>
      <c r="K1546" s="989" t="s">
        <v>7772</v>
      </c>
      <c r="L1546" s="990">
        <v>68762.5</v>
      </c>
      <c r="M1546" s="930"/>
      <c r="N1546" s="990">
        <v>68762.5</v>
      </c>
      <c r="O1546" s="991">
        <v>43070.625</v>
      </c>
      <c r="P1546" s="991">
        <v>43070.625</v>
      </c>
      <c r="Q1546" s="930" t="s">
        <v>108</v>
      </c>
      <c r="R1546" s="963" t="s">
        <v>112</v>
      </c>
      <c r="S1546" s="930" t="s">
        <v>1457</v>
      </c>
      <c r="T1546" s="990"/>
      <c r="U1546" s="930"/>
      <c r="V1546" s="930"/>
      <c r="W1546" s="934"/>
      <c r="X1546" s="935"/>
      <c r="Y1546" s="934"/>
      <c r="Z1546" s="933"/>
      <c r="AA1546" s="908" t="s">
        <v>1458</v>
      </c>
      <c r="AB1546" s="843" t="s">
        <v>263</v>
      </c>
      <c r="AC1546" s="936"/>
      <c r="AD1546" s="936"/>
      <c r="AE1546" s="937">
        <f t="shared" si="40"/>
        <v>12</v>
      </c>
    </row>
    <row r="1547" spans="1:31" ht="105" hidden="1" x14ac:dyDescent="0.25">
      <c r="A1547" s="960" t="s">
        <v>7897</v>
      </c>
      <c r="B1547" s="985" t="s">
        <v>7282</v>
      </c>
      <c r="C1547" s="985" t="s">
        <v>7282</v>
      </c>
      <c r="D1547" s="670" t="s">
        <v>7962</v>
      </c>
      <c r="E1547" s="924" t="s">
        <v>7742</v>
      </c>
      <c r="F1547" s="926" t="s">
        <v>1528</v>
      </c>
      <c r="G1547" s="924" t="s">
        <v>2156</v>
      </c>
      <c r="H1547" s="931">
        <v>4</v>
      </c>
      <c r="I1547" s="985" t="s">
        <v>2161</v>
      </c>
      <c r="J1547" s="924" t="s">
        <v>1454</v>
      </c>
      <c r="K1547" s="989" t="s">
        <v>7810</v>
      </c>
      <c r="L1547" s="990">
        <v>1524000</v>
      </c>
      <c r="M1547" s="930"/>
      <c r="N1547" s="990">
        <v>1524000</v>
      </c>
      <c r="O1547" s="991">
        <v>43070.625</v>
      </c>
      <c r="P1547" s="991">
        <v>43497.625</v>
      </c>
      <c r="Q1547" s="930" t="s">
        <v>110</v>
      </c>
      <c r="R1547" s="634" t="s">
        <v>113</v>
      </c>
      <c r="S1547" s="930"/>
      <c r="T1547" s="990"/>
      <c r="U1547" s="930"/>
      <c r="V1547" s="930"/>
      <c r="W1547" s="934"/>
      <c r="X1547" s="935"/>
      <c r="Y1547" s="934"/>
      <c r="Z1547" s="933"/>
      <c r="AA1547" s="908" t="s">
        <v>1458</v>
      </c>
      <c r="AB1547" s="843" t="s">
        <v>263</v>
      </c>
      <c r="AC1547" s="936"/>
      <c r="AD1547" s="936"/>
      <c r="AE1547" s="937">
        <f t="shared" si="40"/>
        <v>12</v>
      </c>
    </row>
    <row r="1548" spans="1:31" ht="105" hidden="1" x14ac:dyDescent="0.25">
      <c r="A1548" s="960" t="s">
        <v>7898</v>
      </c>
      <c r="B1548" s="985" t="s">
        <v>1687</v>
      </c>
      <c r="C1548" s="985" t="s">
        <v>3132</v>
      </c>
      <c r="D1548" s="670" t="s">
        <v>7961</v>
      </c>
      <c r="E1548" s="924" t="s">
        <v>4944</v>
      </c>
      <c r="F1548" s="926" t="s">
        <v>1645</v>
      </c>
      <c r="G1548" s="924" t="s">
        <v>2259</v>
      </c>
      <c r="H1548" s="931">
        <v>309.2</v>
      </c>
      <c r="I1548" s="985" t="s">
        <v>2161</v>
      </c>
      <c r="J1548" s="924" t="s">
        <v>1454</v>
      </c>
      <c r="K1548" s="989" t="s">
        <v>7811</v>
      </c>
      <c r="L1548" s="990">
        <v>110094.9</v>
      </c>
      <c r="M1548" s="930"/>
      <c r="N1548" s="990">
        <v>110094.9</v>
      </c>
      <c r="O1548" s="991">
        <v>43070.625</v>
      </c>
      <c r="P1548" s="991">
        <v>43070.625</v>
      </c>
      <c r="Q1548" s="930" t="s">
        <v>108</v>
      </c>
      <c r="R1548" s="963" t="s">
        <v>112</v>
      </c>
      <c r="S1548" s="930" t="s">
        <v>1457</v>
      </c>
      <c r="T1548" s="990"/>
      <c r="U1548" s="930"/>
      <c r="V1548" s="930"/>
      <c r="W1548" s="934"/>
      <c r="X1548" s="935"/>
      <c r="Y1548" s="934"/>
      <c r="Z1548" s="933"/>
      <c r="AA1548" s="908" t="s">
        <v>1458</v>
      </c>
      <c r="AB1548" s="843" t="s">
        <v>263</v>
      </c>
      <c r="AC1548" s="936"/>
      <c r="AD1548" s="936"/>
      <c r="AE1548" s="937">
        <f t="shared" si="40"/>
        <v>12</v>
      </c>
    </row>
    <row r="1549" spans="1:31" ht="105" hidden="1" x14ac:dyDescent="0.25">
      <c r="A1549" s="960" t="s">
        <v>7899</v>
      </c>
      <c r="B1549" s="985" t="s">
        <v>1687</v>
      </c>
      <c r="C1549" s="985" t="s">
        <v>3132</v>
      </c>
      <c r="D1549" s="670" t="s">
        <v>7960</v>
      </c>
      <c r="E1549" s="924" t="s">
        <v>4944</v>
      </c>
      <c r="F1549" s="926" t="s">
        <v>1645</v>
      </c>
      <c r="G1549" s="924" t="s">
        <v>2259</v>
      </c>
      <c r="H1549" s="931">
        <v>646.20000000000005</v>
      </c>
      <c r="I1549" s="985" t="s">
        <v>2161</v>
      </c>
      <c r="J1549" s="924" t="s">
        <v>1454</v>
      </c>
      <c r="K1549" s="989" t="s">
        <v>8068</v>
      </c>
      <c r="L1549" s="990">
        <v>375912.61</v>
      </c>
      <c r="M1549" s="930"/>
      <c r="N1549" s="990">
        <v>375912.61</v>
      </c>
      <c r="O1549" s="991">
        <v>43070.625</v>
      </c>
      <c r="P1549" s="991">
        <v>43070.625</v>
      </c>
      <c r="Q1549" s="930" t="s">
        <v>108</v>
      </c>
      <c r="R1549" s="963" t="s">
        <v>112</v>
      </c>
      <c r="S1549" s="930" t="s">
        <v>1457</v>
      </c>
      <c r="T1549" s="990"/>
      <c r="U1549" s="930"/>
      <c r="V1549" s="930"/>
      <c r="W1549" s="934"/>
      <c r="X1549" s="935"/>
      <c r="Y1549" s="934"/>
      <c r="Z1549" s="933"/>
      <c r="AA1549" s="908" t="s">
        <v>1458</v>
      </c>
      <c r="AB1549" s="843" t="s">
        <v>263</v>
      </c>
      <c r="AC1549" s="936"/>
      <c r="AD1549" s="936"/>
      <c r="AE1549" s="937">
        <f t="shared" ref="AE1549:AE1579" si="41">IF(O1549=0,,MONTH(O1549))</f>
        <v>12</v>
      </c>
    </row>
    <row r="1550" spans="1:31" ht="105" hidden="1" x14ac:dyDescent="0.25">
      <c r="A1550" s="960" t="s">
        <v>7900</v>
      </c>
      <c r="B1550" s="985" t="s">
        <v>1687</v>
      </c>
      <c r="C1550" s="985" t="s">
        <v>3132</v>
      </c>
      <c r="D1550" s="670" t="s">
        <v>7959</v>
      </c>
      <c r="E1550" s="924" t="s">
        <v>4944</v>
      </c>
      <c r="F1550" s="926" t="s">
        <v>1645</v>
      </c>
      <c r="G1550" s="924" t="s">
        <v>2259</v>
      </c>
      <c r="H1550" s="931">
        <v>667</v>
      </c>
      <c r="I1550" s="985" t="s">
        <v>2161</v>
      </c>
      <c r="J1550" s="924" t="s">
        <v>1454</v>
      </c>
      <c r="K1550" s="989" t="s">
        <v>7812</v>
      </c>
      <c r="L1550" s="990">
        <v>450148.28</v>
      </c>
      <c r="M1550" s="930"/>
      <c r="N1550" s="990">
        <v>450148.28</v>
      </c>
      <c r="O1550" s="991">
        <v>43070.625</v>
      </c>
      <c r="P1550" s="991">
        <v>43070.625</v>
      </c>
      <c r="Q1550" s="930" t="s">
        <v>108</v>
      </c>
      <c r="R1550" s="963" t="s">
        <v>112</v>
      </c>
      <c r="S1550" s="930" t="s">
        <v>1457</v>
      </c>
      <c r="T1550" s="990"/>
      <c r="U1550" s="930"/>
      <c r="V1550" s="930"/>
      <c r="W1550" s="934"/>
      <c r="X1550" s="935"/>
      <c r="Y1550" s="934"/>
      <c r="Z1550" s="933"/>
      <c r="AA1550" s="908" t="s">
        <v>1458</v>
      </c>
      <c r="AB1550" s="843" t="s">
        <v>263</v>
      </c>
      <c r="AC1550" s="936"/>
      <c r="AD1550" s="936"/>
      <c r="AE1550" s="937">
        <f t="shared" si="41"/>
        <v>12</v>
      </c>
    </row>
    <row r="1551" spans="1:31" ht="105" hidden="1" x14ac:dyDescent="0.25">
      <c r="A1551" s="960" t="s">
        <v>7901</v>
      </c>
      <c r="B1551" s="985" t="s">
        <v>1687</v>
      </c>
      <c r="C1551" s="985" t="s">
        <v>3132</v>
      </c>
      <c r="D1551" s="670" t="s">
        <v>7958</v>
      </c>
      <c r="E1551" s="924" t="s">
        <v>4944</v>
      </c>
      <c r="F1551" s="926" t="s">
        <v>1645</v>
      </c>
      <c r="G1551" s="924" t="s">
        <v>2259</v>
      </c>
      <c r="H1551" s="931">
        <v>523.20000000000005</v>
      </c>
      <c r="I1551" s="985" t="s">
        <v>2161</v>
      </c>
      <c r="J1551" s="924" t="s">
        <v>1454</v>
      </c>
      <c r="K1551" s="989" t="s">
        <v>7813</v>
      </c>
      <c r="L1551" s="990">
        <v>173554.61</v>
      </c>
      <c r="M1551" s="930"/>
      <c r="N1551" s="990">
        <v>173554.61</v>
      </c>
      <c r="O1551" s="991">
        <v>43070.625</v>
      </c>
      <c r="P1551" s="991">
        <v>43070.625</v>
      </c>
      <c r="Q1551" s="930" t="s">
        <v>108</v>
      </c>
      <c r="R1551" s="963" t="s">
        <v>112</v>
      </c>
      <c r="S1551" s="930" t="s">
        <v>1457</v>
      </c>
      <c r="T1551" s="990"/>
      <c r="U1551" s="930"/>
      <c r="V1551" s="930"/>
      <c r="W1551" s="934"/>
      <c r="X1551" s="935"/>
      <c r="Y1551" s="934"/>
      <c r="Z1551" s="933"/>
      <c r="AA1551" s="908" t="s">
        <v>1458</v>
      </c>
      <c r="AB1551" s="843" t="s">
        <v>263</v>
      </c>
      <c r="AC1551" s="936"/>
      <c r="AD1551" s="936"/>
      <c r="AE1551" s="937">
        <f t="shared" si="41"/>
        <v>12</v>
      </c>
    </row>
    <row r="1552" spans="1:31" ht="105" hidden="1" x14ac:dyDescent="0.25">
      <c r="A1552" s="960" t="s">
        <v>7902</v>
      </c>
      <c r="B1552" s="985" t="s">
        <v>2549</v>
      </c>
      <c r="C1552" s="985" t="s">
        <v>2129</v>
      </c>
      <c r="D1552" s="670" t="s">
        <v>7957</v>
      </c>
      <c r="E1552" s="924" t="s">
        <v>4944</v>
      </c>
      <c r="F1552" s="926" t="s">
        <v>1528</v>
      </c>
      <c r="G1552" s="924" t="s">
        <v>2156</v>
      </c>
      <c r="H1552" s="931">
        <v>4160</v>
      </c>
      <c r="I1552" s="985" t="s">
        <v>2161</v>
      </c>
      <c r="J1552" s="924" t="s">
        <v>1454</v>
      </c>
      <c r="K1552" s="989" t="s">
        <v>7814</v>
      </c>
      <c r="L1552" s="990">
        <v>171848.45</v>
      </c>
      <c r="M1552" s="930"/>
      <c r="N1552" s="990">
        <v>171848.45</v>
      </c>
      <c r="O1552" s="991">
        <v>43070.625</v>
      </c>
      <c r="P1552" s="991">
        <v>43070.625</v>
      </c>
      <c r="Q1552" s="930" t="s">
        <v>108</v>
      </c>
      <c r="R1552" s="963" t="s">
        <v>112</v>
      </c>
      <c r="S1552" s="930" t="s">
        <v>1457</v>
      </c>
      <c r="T1552" s="990"/>
      <c r="U1552" s="930"/>
      <c r="V1552" s="930"/>
      <c r="W1552" s="934"/>
      <c r="X1552" s="935"/>
      <c r="Y1552" s="934"/>
      <c r="Z1552" s="933"/>
      <c r="AA1552" s="908" t="s">
        <v>1458</v>
      </c>
      <c r="AB1552" s="843" t="s">
        <v>263</v>
      </c>
      <c r="AC1552" s="936"/>
      <c r="AD1552" s="936"/>
      <c r="AE1552" s="937">
        <f t="shared" si="41"/>
        <v>12</v>
      </c>
    </row>
    <row r="1553" spans="1:31" ht="105" hidden="1" x14ac:dyDescent="0.25">
      <c r="A1553" s="960" t="s">
        <v>7903</v>
      </c>
      <c r="B1553" s="985" t="s">
        <v>7740</v>
      </c>
      <c r="C1553" s="985" t="s">
        <v>7741</v>
      </c>
      <c r="D1553" s="670" t="s">
        <v>7956</v>
      </c>
      <c r="E1553" s="924" t="s">
        <v>2235</v>
      </c>
      <c r="F1553" s="926" t="s">
        <v>1528</v>
      </c>
      <c r="G1553" s="924" t="s">
        <v>2156</v>
      </c>
      <c r="H1553" s="931">
        <v>1</v>
      </c>
      <c r="I1553" s="985" t="s">
        <v>2161</v>
      </c>
      <c r="J1553" s="924" t="s">
        <v>1454</v>
      </c>
      <c r="K1553" s="989" t="s">
        <v>7808</v>
      </c>
      <c r="L1553" s="990">
        <v>20570892</v>
      </c>
      <c r="M1553" s="930"/>
      <c r="N1553" s="990">
        <v>20570892</v>
      </c>
      <c r="O1553" s="991">
        <v>43070.625</v>
      </c>
      <c r="P1553" s="991">
        <v>43435.625</v>
      </c>
      <c r="Q1553" s="930" t="s">
        <v>102</v>
      </c>
      <c r="R1553" s="963" t="s">
        <v>112</v>
      </c>
      <c r="S1553" s="930" t="s">
        <v>1457</v>
      </c>
      <c r="T1553" s="990"/>
      <c r="U1553" s="930"/>
      <c r="V1553" s="930"/>
      <c r="W1553" s="934"/>
      <c r="X1553" s="935"/>
      <c r="Y1553" s="934"/>
      <c r="Z1553" s="933"/>
      <c r="AA1553" s="908" t="s">
        <v>1458</v>
      </c>
      <c r="AB1553" s="843" t="s">
        <v>263</v>
      </c>
      <c r="AC1553" s="936"/>
      <c r="AD1553" s="936"/>
      <c r="AE1553" s="937">
        <f t="shared" si="41"/>
        <v>12</v>
      </c>
    </row>
    <row r="1554" spans="1:31" ht="105" hidden="1" x14ac:dyDescent="0.25">
      <c r="A1554" s="960" t="s">
        <v>7904</v>
      </c>
      <c r="B1554" s="985" t="s">
        <v>152</v>
      </c>
      <c r="C1554" s="985" t="s">
        <v>2042</v>
      </c>
      <c r="D1554" s="670" t="s">
        <v>7954</v>
      </c>
      <c r="E1554" s="924" t="s">
        <v>2027</v>
      </c>
      <c r="F1554" s="926" t="s">
        <v>1587</v>
      </c>
      <c r="G1554" s="924" t="s">
        <v>2256</v>
      </c>
      <c r="H1554" s="931">
        <v>36</v>
      </c>
      <c r="I1554" s="985" t="s">
        <v>2161</v>
      </c>
      <c r="J1554" s="924" t="s">
        <v>1454</v>
      </c>
      <c r="K1554" s="989" t="s">
        <v>7815</v>
      </c>
      <c r="L1554" s="990">
        <v>489600</v>
      </c>
      <c r="M1554" s="930"/>
      <c r="N1554" s="990">
        <v>489600</v>
      </c>
      <c r="O1554" s="991">
        <v>43070.625</v>
      </c>
      <c r="P1554" s="991">
        <v>43221.625</v>
      </c>
      <c r="Q1554" s="930" t="s">
        <v>110</v>
      </c>
      <c r="R1554" s="634" t="s">
        <v>113</v>
      </c>
      <c r="S1554" s="930"/>
      <c r="T1554" s="990"/>
      <c r="U1554" s="930"/>
      <c r="V1554" s="930"/>
      <c r="W1554" s="934"/>
      <c r="X1554" s="935"/>
      <c r="Y1554" s="934"/>
      <c r="Z1554" s="933"/>
      <c r="AA1554" s="908" t="s">
        <v>1458</v>
      </c>
      <c r="AB1554" s="843" t="s">
        <v>263</v>
      </c>
      <c r="AC1554" s="936"/>
      <c r="AD1554" s="936"/>
      <c r="AE1554" s="937">
        <f t="shared" si="41"/>
        <v>12</v>
      </c>
    </row>
    <row r="1555" spans="1:31" ht="105" hidden="1" x14ac:dyDescent="0.25">
      <c r="A1555" s="960" t="s">
        <v>7905</v>
      </c>
      <c r="B1555" s="985" t="s">
        <v>152</v>
      </c>
      <c r="C1555" s="985" t="s">
        <v>2042</v>
      </c>
      <c r="D1555" s="670" t="s">
        <v>7955</v>
      </c>
      <c r="E1555" s="924" t="s">
        <v>2027</v>
      </c>
      <c r="F1555" s="926" t="s">
        <v>1587</v>
      </c>
      <c r="G1555" s="924" t="s">
        <v>2256</v>
      </c>
      <c r="H1555" s="931">
        <v>24</v>
      </c>
      <c r="I1555" s="985" t="s">
        <v>2161</v>
      </c>
      <c r="J1555" s="924" t="s">
        <v>1454</v>
      </c>
      <c r="K1555" s="989" t="s">
        <v>7816</v>
      </c>
      <c r="L1555" s="990">
        <v>326400</v>
      </c>
      <c r="M1555" s="930"/>
      <c r="N1555" s="990">
        <v>326400</v>
      </c>
      <c r="O1555" s="991">
        <v>43070.625</v>
      </c>
      <c r="P1555" s="991">
        <v>43221.625</v>
      </c>
      <c r="Q1555" s="930" t="s">
        <v>110</v>
      </c>
      <c r="R1555" s="634" t="s">
        <v>113</v>
      </c>
      <c r="S1555" s="930"/>
      <c r="T1555" s="990"/>
      <c r="U1555" s="930"/>
      <c r="V1555" s="930"/>
      <c r="W1555" s="934"/>
      <c r="X1555" s="935"/>
      <c r="Y1555" s="934"/>
      <c r="Z1555" s="933"/>
      <c r="AA1555" s="908" t="s">
        <v>1458</v>
      </c>
      <c r="AB1555" s="843" t="s">
        <v>263</v>
      </c>
      <c r="AC1555" s="936"/>
      <c r="AD1555" s="936"/>
      <c r="AE1555" s="937">
        <f t="shared" si="41"/>
        <v>12</v>
      </c>
    </row>
    <row r="1556" spans="1:31" ht="105" hidden="1" x14ac:dyDescent="0.25">
      <c r="A1556" s="960" t="s">
        <v>7906</v>
      </c>
      <c r="B1556" s="985" t="s">
        <v>152</v>
      </c>
      <c r="C1556" s="985" t="s">
        <v>2042</v>
      </c>
      <c r="D1556" s="670" t="s">
        <v>7953</v>
      </c>
      <c r="E1556" s="924" t="s">
        <v>2027</v>
      </c>
      <c r="F1556" s="926" t="s">
        <v>1587</v>
      </c>
      <c r="G1556" s="924" t="s">
        <v>2256</v>
      </c>
      <c r="H1556" s="931">
        <v>72</v>
      </c>
      <c r="I1556" s="985" t="s">
        <v>2161</v>
      </c>
      <c r="J1556" s="924" t="s">
        <v>1454</v>
      </c>
      <c r="K1556" s="989" t="s">
        <v>1613</v>
      </c>
      <c r="L1556" s="990">
        <v>900000</v>
      </c>
      <c r="M1556" s="930"/>
      <c r="N1556" s="990">
        <v>900000</v>
      </c>
      <c r="O1556" s="991">
        <v>43070.625</v>
      </c>
      <c r="P1556" s="991">
        <v>43221.625</v>
      </c>
      <c r="Q1556" s="930" t="s">
        <v>110</v>
      </c>
      <c r="R1556" s="634" t="s">
        <v>113</v>
      </c>
      <c r="S1556" s="930"/>
      <c r="T1556" s="990"/>
      <c r="U1556" s="930"/>
      <c r="V1556" s="930"/>
      <c r="W1556" s="934"/>
      <c r="X1556" s="935"/>
      <c r="Y1556" s="934"/>
      <c r="Z1556" s="933"/>
      <c r="AA1556" s="908" t="s">
        <v>1458</v>
      </c>
      <c r="AB1556" s="843" t="s">
        <v>263</v>
      </c>
      <c r="AC1556" s="936"/>
      <c r="AD1556" s="936"/>
      <c r="AE1556" s="937">
        <f t="shared" si="41"/>
        <v>12</v>
      </c>
    </row>
    <row r="1557" spans="1:31" ht="105" hidden="1" x14ac:dyDescent="0.25">
      <c r="A1557" s="960" t="s">
        <v>7907</v>
      </c>
      <c r="B1557" s="985" t="s">
        <v>152</v>
      </c>
      <c r="C1557" s="985" t="s">
        <v>2042</v>
      </c>
      <c r="D1557" s="670" t="s">
        <v>7952</v>
      </c>
      <c r="E1557" s="924" t="s">
        <v>2027</v>
      </c>
      <c r="F1557" s="926" t="s">
        <v>1587</v>
      </c>
      <c r="G1557" s="924" t="s">
        <v>2256</v>
      </c>
      <c r="H1557" s="931">
        <v>200</v>
      </c>
      <c r="I1557" s="985" t="s">
        <v>2161</v>
      </c>
      <c r="J1557" s="924" t="s">
        <v>1454</v>
      </c>
      <c r="K1557" s="989" t="s">
        <v>8273</v>
      </c>
      <c r="L1557" s="990">
        <v>950000</v>
      </c>
      <c r="M1557" s="930"/>
      <c r="N1557" s="990">
        <v>950000</v>
      </c>
      <c r="O1557" s="991">
        <v>43070.625</v>
      </c>
      <c r="P1557" s="991">
        <v>43221.625</v>
      </c>
      <c r="Q1557" s="930" t="s">
        <v>110</v>
      </c>
      <c r="R1557" s="634" t="s">
        <v>113</v>
      </c>
      <c r="S1557" s="930"/>
      <c r="T1557" s="990"/>
      <c r="U1557" s="930"/>
      <c r="V1557" s="930"/>
      <c r="W1557" s="934" t="s">
        <v>73</v>
      </c>
      <c r="X1557" s="638" t="s">
        <v>5111</v>
      </c>
      <c r="Y1557" s="637" t="s">
        <v>5112</v>
      </c>
      <c r="Z1557" s="933">
        <v>950000</v>
      </c>
      <c r="AA1557" s="908" t="s">
        <v>1458</v>
      </c>
      <c r="AB1557" s="843" t="s">
        <v>263</v>
      </c>
      <c r="AC1557" s="936"/>
      <c r="AD1557" s="936"/>
      <c r="AE1557" s="937">
        <f t="shared" si="41"/>
        <v>12</v>
      </c>
    </row>
    <row r="1558" spans="1:31" ht="105" hidden="1" x14ac:dyDescent="0.25">
      <c r="A1558" s="960" t="s">
        <v>7908</v>
      </c>
      <c r="B1558" s="985" t="s">
        <v>6905</v>
      </c>
      <c r="C1558" s="985" t="s">
        <v>7743</v>
      </c>
      <c r="D1558" s="670" t="s">
        <v>7951</v>
      </c>
      <c r="E1558" s="924" t="s">
        <v>7744</v>
      </c>
      <c r="F1558" s="926" t="s">
        <v>1528</v>
      </c>
      <c r="G1558" s="924" t="s">
        <v>2156</v>
      </c>
      <c r="H1558" s="931">
        <v>1</v>
      </c>
      <c r="I1558" s="985" t="s">
        <v>2161</v>
      </c>
      <c r="J1558" s="924" t="s">
        <v>1454</v>
      </c>
      <c r="K1558" s="989" t="s">
        <v>7817</v>
      </c>
      <c r="L1558" s="990">
        <v>2603971.9</v>
      </c>
      <c r="M1558" s="930"/>
      <c r="N1558" s="990">
        <v>2603971.9</v>
      </c>
      <c r="O1558" s="991">
        <v>43070.625</v>
      </c>
      <c r="P1558" s="991">
        <v>43435.625</v>
      </c>
      <c r="Q1558" s="930" t="s">
        <v>100</v>
      </c>
      <c r="R1558" s="963" t="s">
        <v>112</v>
      </c>
      <c r="S1558" s="930" t="s">
        <v>1457</v>
      </c>
      <c r="T1558" s="990"/>
      <c r="U1558" s="930"/>
      <c r="V1558" s="930"/>
      <c r="W1558" s="934"/>
      <c r="X1558" s="935"/>
      <c r="Y1558" s="934"/>
      <c r="Z1558" s="933"/>
      <c r="AA1558" s="908" t="s">
        <v>1458</v>
      </c>
      <c r="AB1558" s="843" t="s">
        <v>263</v>
      </c>
      <c r="AC1558" s="936"/>
      <c r="AD1558" s="936"/>
      <c r="AE1558" s="937">
        <f t="shared" si="41"/>
        <v>12</v>
      </c>
    </row>
    <row r="1559" spans="1:31" ht="105" hidden="1" x14ac:dyDescent="0.25">
      <c r="A1559" s="960" t="s">
        <v>7909</v>
      </c>
      <c r="B1559" s="985" t="s">
        <v>1526</v>
      </c>
      <c r="C1559" s="985" t="s">
        <v>5547</v>
      </c>
      <c r="D1559" s="670" t="s">
        <v>7950</v>
      </c>
      <c r="E1559" s="924" t="s">
        <v>6514</v>
      </c>
      <c r="F1559" s="926" t="s">
        <v>1528</v>
      </c>
      <c r="G1559" s="924" t="s">
        <v>2156</v>
      </c>
      <c r="H1559" s="931">
        <v>1</v>
      </c>
      <c r="I1559" s="985" t="s">
        <v>2161</v>
      </c>
      <c r="J1559" s="924" t="s">
        <v>1454</v>
      </c>
      <c r="K1559" s="989" t="s">
        <v>7375</v>
      </c>
      <c r="L1559" s="990">
        <v>69933.33</v>
      </c>
      <c r="M1559" s="930"/>
      <c r="N1559" s="990">
        <v>69933.33</v>
      </c>
      <c r="O1559" s="991">
        <v>43070.625</v>
      </c>
      <c r="P1559" s="991">
        <v>43101.625</v>
      </c>
      <c r="Q1559" s="930" t="s">
        <v>108</v>
      </c>
      <c r="R1559" s="963" t="s">
        <v>112</v>
      </c>
      <c r="S1559" s="930" t="s">
        <v>1457</v>
      </c>
      <c r="T1559" s="990"/>
      <c r="U1559" s="930"/>
      <c r="V1559" s="930"/>
      <c r="W1559" s="934"/>
      <c r="X1559" s="935"/>
      <c r="Y1559" s="934"/>
      <c r="Z1559" s="933"/>
      <c r="AA1559" s="908" t="s">
        <v>1458</v>
      </c>
      <c r="AB1559" s="843" t="s">
        <v>263</v>
      </c>
      <c r="AC1559" s="936"/>
      <c r="AD1559" s="936"/>
      <c r="AE1559" s="937">
        <f t="shared" si="41"/>
        <v>12</v>
      </c>
    </row>
    <row r="1560" spans="1:31" ht="105" hidden="1" x14ac:dyDescent="0.25">
      <c r="A1560" s="960" t="s">
        <v>7910</v>
      </c>
      <c r="B1560" s="985" t="s">
        <v>7745</v>
      </c>
      <c r="C1560" s="985" t="s">
        <v>7746</v>
      </c>
      <c r="D1560" s="670" t="s">
        <v>7949</v>
      </c>
      <c r="E1560" s="924" t="s">
        <v>7747</v>
      </c>
      <c r="F1560" s="926" t="s">
        <v>6892</v>
      </c>
      <c r="G1560" s="924" t="s">
        <v>6893</v>
      </c>
      <c r="H1560" s="931">
        <v>21</v>
      </c>
      <c r="I1560" s="985" t="s">
        <v>2161</v>
      </c>
      <c r="J1560" s="924" t="s">
        <v>1454</v>
      </c>
      <c r="K1560" s="989" t="s">
        <v>2968</v>
      </c>
      <c r="L1560" s="990">
        <v>107000</v>
      </c>
      <c r="M1560" s="930"/>
      <c r="N1560" s="990">
        <v>107000</v>
      </c>
      <c r="O1560" s="991">
        <v>43070.625</v>
      </c>
      <c r="P1560" s="991">
        <v>43070.625</v>
      </c>
      <c r="Q1560" s="930" t="s">
        <v>110</v>
      </c>
      <c r="R1560" s="930"/>
      <c r="S1560" s="930"/>
      <c r="T1560" s="990"/>
      <c r="U1560" s="930"/>
      <c r="V1560" s="930"/>
      <c r="W1560" s="934"/>
      <c r="X1560" s="935"/>
      <c r="Y1560" s="934"/>
      <c r="Z1560" s="933"/>
      <c r="AA1560" s="908" t="s">
        <v>1458</v>
      </c>
      <c r="AB1560" s="843" t="s">
        <v>263</v>
      </c>
      <c r="AC1560" s="936"/>
      <c r="AD1560" s="936"/>
      <c r="AE1560" s="937">
        <f t="shared" si="41"/>
        <v>12</v>
      </c>
    </row>
    <row r="1561" spans="1:31" ht="105" hidden="1" x14ac:dyDescent="0.25">
      <c r="A1561" s="960" t="s">
        <v>7911</v>
      </c>
      <c r="B1561" s="985" t="s">
        <v>1540</v>
      </c>
      <c r="C1561" s="985" t="s">
        <v>1540</v>
      </c>
      <c r="D1561" s="670" t="s">
        <v>7948</v>
      </c>
      <c r="E1561" s="924" t="s">
        <v>7748</v>
      </c>
      <c r="F1561" s="926" t="s">
        <v>1528</v>
      </c>
      <c r="G1561" s="924" t="s">
        <v>2156</v>
      </c>
      <c r="H1561" s="931">
        <v>516</v>
      </c>
      <c r="I1561" s="985" t="s">
        <v>2161</v>
      </c>
      <c r="J1561" s="924" t="s">
        <v>1454</v>
      </c>
      <c r="K1561" s="989" t="s">
        <v>7818</v>
      </c>
      <c r="L1561" s="990">
        <v>727796.29</v>
      </c>
      <c r="M1561" s="930" t="s">
        <v>997</v>
      </c>
      <c r="N1561" s="990">
        <v>727796.29</v>
      </c>
      <c r="O1561" s="991">
        <v>43070.625</v>
      </c>
      <c r="P1561" s="991">
        <v>43070.625</v>
      </c>
      <c r="Q1561" s="930" t="s">
        <v>110</v>
      </c>
      <c r="R1561" s="634" t="s">
        <v>113</v>
      </c>
      <c r="S1561" s="930"/>
      <c r="T1561" s="990"/>
      <c r="U1561" s="930"/>
      <c r="V1561" s="930" t="s">
        <v>45</v>
      </c>
      <c r="W1561" s="934" t="s">
        <v>72</v>
      </c>
      <c r="X1561" s="935" t="s">
        <v>5103</v>
      </c>
      <c r="Y1561" s="934" t="s">
        <v>8034</v>
      </c>
      <c r="Z1561" s="933">
        <v>727796.29</v>
      </c>
      <c r="AA1561" s="908" t="s">
        <v>1458</v>
      </c>
      <c r="AB1561" s="843" t="s">
        <v>263</v>
      </c>
      <c r="AC1561" s="936"/>
      <c r="AD1561" s="936"/>
      <c r="AE1561" s="937">
        <f t="shared" si="41"/>
        <v>12</v>
      </c>
    </row>
    <row r="1562" spans="1:31" ht="105" hidden="1" x14ac:dyDescent="0.25">
      <c r="A1562" s="960" t="s">
        <v>7912</v>
      </c>
      <c r="B1562" s="985" t="s">
        <v>1540</v>
      </c>
      <c r="C1562" s="985" t="s">
        <v>1540</v>
      </c>
      <c r="D1562" s="670" t="s">
        <v>7947</v>
      </c>
      <c r="E1562" s="924" t="s">
        <v>7749</v>
      </c>
      <c r="F1562" s="926" t="s">
        <v>1528</v>
      </c>
      <c r="G1562" s="924" t="s">
        <v>2156</v>
      </c>
      <c r="H1562" s="931">
        <v>76</v>
      </c>
      <c r="I1562" s="985" t="s">
        <v>2161</v>
      </c>
      <c r="J1562" s="924" t="s">
        <v>1454</v>
      </c>
      <c r="K1562" s="989" t="s">
        <v>7819</v>
      </c>
      <c r="L1562" s="990">
        <v>988000</v>
      </c>
      <c r="M1562" s="930"/>
      <c r="N1562" s="990">
        <v>988000</v>
      </c>
      <c r="O1562" s="991">
        <v>43070.625</v>
      </c>
      <c r="P1562" s="991">
        <v>43070.625</v>
      </c>
      <c r="Q1562" s="930" t="s">
        <v>110</v>
      </c>
      <c r="R1562" s="634" t="s">
        <v>113</v>
      </c>
      <c r="S1562" s="930"/>
      <c r="T1562" s="990"/>
      <c r="U1562" s="930"/>
      <c r="V1562" s="930"/>
      <c r="W1562" s="934"/>
      <c r="X1562" s="935"/>
      <c r="Y1562" s="934"/>
      <c r="Z1562" s="933"/>
      <c r="AA1562" s="908" t="s">
        <v>1458</v>
      </c>
      <c r="AB1562" s="843" t="s">
        <v>263</v>
      </c>
      <c r="AC1562" s="936"/>
      <c r="AD1562" s="936"/>
      <c r="AE1562" s="937">
        <f t="shared" si="41"/>
        <v>12</v>
      </c>
    </row>
    <row r="1563" spans="1:31" ht="105" hidden="1" x14ac:dyDescent="0.25">
      <c r="A1563" s="960" t="s">
        <v>7913</v>
      </c>
      <c r="B1563" s="985" t="s">
        <v>1793</v>
      </c>
      <c r="C1563" s="985" t="s">
        <v>7304</v>
      </c>
      <c r="D1563" s="670" t="s">
        <v>7946</v>
      </c>
      <c r="E1563" s="924" t="s">
        <v>2235</v>
      </c>
      <c r="F1563" s="926" t="s">
        <v>1528</v>
      </c>
      <c r="G1563" s="924" t="s">
        <v>2156</v>
      </c>
      <c r="H1563" s="931">
        <v>9</v>
      </c>
      <c r="I1563" s="985" t="s">
        <v>2161</v>
      </c>
      <c r="J1563" s="924" t="s">
        <v>1454</v>
      </c>
      <c r="K1563" s="989" t="s">
        <v>7820</v>
      </c>
      <c r="L1563" s="990">
        <v>1831400</v>
      </c>
      <c r="M1563" s="930"/>
      <c r="N1563" s="990">
        <v>1831400</v>
      </c>
      <c r="O1563" s="991">
        <v>43070.625</v>
      </c>
      <c r="P1563" s="991">
        <v>43070.625</v>
      </c>
      <c r="Q1563" s="930" t="s">
        <v>110</v>
      </c>
      <c r="R1563" s="634" t="s">
        <v>113</v>
      </c>
      <c r="S1563" s="930"/>
      <c r="T1563" s="990"/>
      <c r="U1563" s="930"/>
      <c r="V1563" s="930"/>
      <c r="W1563" s="934"/>
      <c r="X1563" s="935"/>
      <c r="Y1563" s="934"/>
      <c r="Z1563" s="933"/>
      <c r="AA1563" s="908" t="s">
        <v>1458</v>
      </c>
      <c r="AB1563" s="843" t="s">
        <v>263</v>
      </c>
      <c r="AC1563" s="936"/>
      <c r="AD1563" s="936"/>
      <c r="AE1563" s="937">
        <f t="shared" si="41"/>
        <v>12</v>
      </c>
    </row>
    <row r="1564" spans="1:31" ht="105" hidden="1" x14ac:dyDescent="0.25">
      <c r="A1564" s="960" t="s">
        <v>7914</v>
      </c>
      <c r="B1564" s="985" t="s">
        <v>7750</v>
      </c>
      <c r="C1564" s="985" t="s">
        <v>1567</v>
      </c>
      <c r="D1564" s="670" t="s">
        <v>7945</v>
      </c>
      <c r="E1564" s="924" t="s">
        <v>2235</v>
      </c>
      <c r="F1564" s="926" t="s">
        <v>1528</v>
      </c>
      <c r="G1564" s="924" t="s">
        <v>2156</v>
      </c>
      <c r="H1564" s="931">
        <v>15</v>
      </c>
      <c r="I1564" s="985" t="s">
        <v>2161</v>
      </c>
      <c r="J1564" s="924" t="s">
        <v>1454</v>
      </c>
      <c r="K1564" s="989" t="s">
        <v>7821</v>
      </c>
      <c r="L1564" s="990">
        <v>82965</v>
      </c>
      <c r="M1564" s="930"/>
      <c r="N1564" s="990">
        <v>82965</v>
      </c>
      <c r="O1564" s="991">
        <v>43070.625</v>
      </c>
      <c r="P1564" s="991">
        <v>43070.625</v>
      </c>
      <c r="Q1564" s="930" t="s">
        <v>108</v>
      </c>
      <c r="R1564" s="963" t="s">
        <v>112</v>
      </c>
      <c r="S1564" s="930" t="s">
        <v>1457</v>
      </c>
      <c r="T1564" s="990"/>
      <c r="U1564" s="930"/>
      <c r="V1564" s="930"/>
      <c r="W1564" s="934"/>
      <c r="X1564" s="935"/>
      <c r="Y1564" s="934"/>
      <c r="Z1564" s="933"/>
      <c r="AA1564" s="908" t="s">
        <v>1458</v>
      </c>
      <c r="AB1564" s="843" t="s">
        <v>263</v>
      </c>
      <c r="AC1564" s="936"/>
      <c r="AD1564" s="936"/>
      <c r="AE1564" s="937">
        <f t="shared" si="41"/>
        <v>12</v>
      </c>
    </row>
    <row r="1565" spans="1:31" ht="105" hidden="1" x14ac:dyDescent="0.25">
      <c r="A1565" s="960" t="s">
        <v>7915</v>
      </c>
      <c r="B1565" s="985" t="s">
        <v>2211</v>
      </c>
      <c r="C1565" s="985" t="s">
        <v>2212</v>
      </c>
      <c r="D1565" s="670" t="s">
        <v>7944</v>
      </c>
      <c r="E1565" s="924" t="s">
        <v>2235</v>
      </c>
      <c r="F1565" s="926" t="s">
        <v>1528</v>
      </c>
      <c r="G1565" s="924" t="s">
        <v>2156</v>
      </c>
      <c r="H1565" s="931">
        <v>2</v>
      </c>
      <c r="I1565" s="985" t="s">
        <v>2161</v>
      </c>
      <c r="J1565" s="924" t="s">
        <v>1454</v>
      </c>
      <c r="K1565" s="990" t="s">
        <v>7822</v>
      </c>
      <c r="L1565" s="990">
        <v>118420</v>
      </c>
      <c r="M1565" s="930"/>
      <c r="N1565" s="990">
        <v>118420</v>
      </c>
      <c r="O1565" s="991">
        <v>43070.625</v>
      </c>
      <c r="P1565" s="991">
        <v>43070.625</v>
      </c>
      <c r="Q1565" s="930" t="s">
        <v>108</v>
      </c>
      <c r="R1565" s="963" t="s">
        <v>112</v>
      </c>
      <c r="S1565" s="930" t="s">
        <v>1457</v>
      </c>
      <c r="T1565" s="990"/>
      <c r="U1565" s="930"/>
      <c r="V1565" s="930"/>
      <c r="W1565" s="934"/>
      <c r="X1565" s="935"/>
      <c r="Y1565" s="934"/>
      <c r="Z1565" s="933"/>
      <c r="AA1565" s="908" t="s">
        <v>1458</v>
      </c>
      <c r="AB1565" s="843" t="s">
        <v>263</v>
      </c>
      <c r="AC1565" s="936"/>
      <c r="AD1565" s="936"/>
      <c r="AE1565" s="937">
        <f t="shared" si="41"/>
        <v>12</v>
      </c>
    </row>
    <row r="1566" spans="1:31" ht="105" hidden="1" x14ac:dyDescent="0.25">
      <c r="A1566" s="960" t="s">
        <v>7916</v>
      </c>
      <c r="B1566" s="985" t="s">
        <v>6138</v>
      </c>
      <c r="C1566" s="985" t="s">
        <v>7751</v>
      </c>
      <c r="D1566" s="670" t="s">
        <v>7943</v>
      </c>
      <c r="E1566" s="924" t="s">
        <v>5015</v>
      </c>
      <c r="F1566" s="926" t="s">
        <v>6892</v>
      </c>
      <c r="G1566" s="924" t="s">
        <v>6893</v>
      </c>
      <c r="H1566" s="931">
        <v>16</v>
      </c>
      <c r="I1566" s="985" t="s">
        <v>2161</v>
      </c>
      <c r="J1566" s="924" t="s">
        <v>1454</v>
      </c>
      <c r="K1566" s="989" t="s">
        <v>7823</v>
      </c>
      <c r="L1566" s="990">
        <v>515255</v>
      </c>
      <c r="M1566" s="930"/>
      <c r="N1566" s="990">
        <v>515255</v>
      </c>
      <c r="O1566" s="991">
        <v>43070.625</v>
      </c>
      <c r="P1566" s="991">
        <v>43070.625</v>
      </c>
      <c r="Q1566" s="930" t="s">
        <v>108</v>
      </c>
      <c r="R1566" s="963" t="s">
        <v>112</v>
      </c>
      <c r="S1566" s="930" t="s">
        <v>1457</v>
      </c>
      <c r="T1566" s="990"/>
      <c r="U1566" s="930"/>
      <c r="V1566" s="930"/>
      <c r="W1566" s="934"/>
      <c r="X1566" s="935"/>
      <c r="Y1566" s="934"/>
      <c r="Z1566" s="933"/>
      <c r="AA1566" s="908" t="s">
        <v>1458</v>
      </c>
      <c r="AB1566" s="843" t="s">
        <v>263</v>
      </c>
      <c r="AC1566" s="936"/>
      <c r="AD1566" s="936"/>
      <c r="AE1566" s="937">
        <f t="shared" si="41"/>
        <v>12</v>
      </c>
    </row>
    <row r="1567" spans="1:31" ht="105" hidden="1" x14ac:dyDescent="0.25">
      <c r="A1567" s="960" t="s">
        <v>7917</v>
      </c>
      <c r="B1567" s="985" t="s">
        <v>1666</v>
      </c>
      <c r="C1567" s="985" t="s">
        <v>1666</v>
      </c>
      <c r="D1567" s="670" t="s">
        <v>7942</v>
      </c>
      <c r="E1567" s="924" t="s">
        <v>7752</v>
      </c>
      <c r="F1567" s="926" t="s">
        <v>1640</v>
      </c>
      <c r="G1567" s="924" t="s">
        <v>2260</v>
      </c>
      <c r="H1567" s="931">
        <v>180</v>
      </c>
      <c r="I1567" s="985" t="s">
        <v>2161</v>
      </c>
      <c r="J1567" s="924" t="s">
        <v>1454</v>
      </c>
      <c r="K1567" s="989" t="s">
        <v>7824</v>
      </c>
      <c r="L1567" s="990">
        <v>177900</v>
      </c>
      <c r="M1567" s="930"/>
      <c r="N1567" s="990">
        <v>177900</v>
      </c>
      <c r="O1567" s="991">
        <v>43070.625</v>
      </c>
      <c r="P1567" s="991">
        <v>43070.625</v>
      </c>
      <c r="Q1567" s="930" t="s">
        <v>110</v>
      </c>
      <c r="R1567" s="634" t="s">
        <v>113</v>
      </c>
      <c r="S1567" s="930"/>
      <c r="T1567" s="990"/>
      <c r="U1567" s="930"/>
      <c r="V1567" s="930"/>
      <c r="W1567" s="934" t="s">
        <v>92</v>
      </c>
      <c r="X1567" s="638" t="s">
        <v>8220</v>
      </c>
      <c r="Y1567" s="637" t="s">
        <v>8221</v>
      </c>
      <c r="Z1567" s="933">
        <v>177900</v>
      </c>
      <c r="AA1567" s="908" t="s">
        <v>1458</v>
      </c>
      <c r="AB1567" s="843" t="s">
        <v>263</v>
      </c>
      <c r="AC1567" s="936"/>
      <c r="AD1567" s="936"/>
      <c r="AE1567" s="937">
        <f t="shared" si="41"/>
        <v>12</v>
      </c>
    </row>
    <row r="1568" spans="1:31" ht="105" hidden="1" x14ac:dyDescent="0.25">
      <c r="A1568" s="960" t="s">
        <v>7918</v>
      </c>
      <c r="B1568" s="985" t="s">
        <v>1787</v>
      </c>
      <c r="C1568" s="985" t="s">
        <v>2210</v>
      </c>
      <c r="D1568" s="670" t="s">
        <v>7941</v>
      </c>
      <c r="E1568" s="924" t="s">
        <v>2235</v>
      </c>
      <c r="F1568" s="926" t="s">
        <v>1528</v>
      </c>
      <c r="G1568" s="924" t="s">
        <v>2156</v>
      </c>
      <c r="H1568" s="931">
        <v>107</v>
      </c>
      <c r="I1568" s="985" t="s">
        <v>2161</v>
      </c>
      <c r="J1568" s="924" t="s">
        <v>1454</v>
      </c>
      <c r="K1568" s="989" t="s">
        <v>1801</v>
      </c>
      <c r="L1568" s="990">
        <v>180000</v>
      </c>
      <c r="M1568" s="930"/>
      <c r="N1568" s="990">
        <v>180000</v>
      </c>
      <c r="O1568" s="991">
        <v>43070.625</v>
      </c>
      <c r="P1568" s="991">
        <v>43070.625</v>
      </c>
      <c r="Q1568" s="930" t="s">
        <v>108</v>
      </c>
      <c r="R1568" s="963" t="s">
        <v>112</v>
      </c>
      <c r="S1568" s="930" t="s">
        <v>1457</v>
      </c>
      <c r="T1568" s="990"/>
      <c r="U1568" s="930"/>
      <c r="V1568" s="930"/>
      <c r="W1568" s="934"/>
      <c r="X1568" s="935"/>
      <c r="Y1568" s="934"/>
      <c r="Z1568" s="933"/>
      <c r="AA1568" s="908" t="s">
        <v>1458</v>
      </c>
      <c r="AB1568" s="843" t="s">
        <v>263</v>
      </c>
      <c r="AC1568" s="936"/>
      <c r="AD1568" s="936"/>
      <c r="AE1568" s="937">
        <f t="shared" si="41"/>
        <v>12</v>
      </c>
    </row>
    <row r="1569" spans="1:31" ht="105" hidden="1" x14ac:dyDescent="0.25">
      <c r="A1569" s="960" t="s">
        <v>7919</v>
      </c>
      <c r="B1569" s="985" t="s">
        <v>1580</v>
      </c>
      <c r="C1569" s="985" t="s">
        <v>1581</v>
      </c>
      <c r="D1569" s="670" t="s">
        <v>7940</v>
      </c>
      <c r="E1569" s="924" t="s">
        <v>1582</v>
      </c>
      <c r="F1569" s="926" t="s">
        <v>1528</v>
      </c>
      <c r="G1569" s="924" t="s">
        <v>2156</v>
      </c>
      <c r="H1569" s="931">
        <v>1</v>
      </c>
      <c r="I1569" s="985" t="s">
        <v>2161</v>
      </c>
      <c r="J1569" s="924" t="s">
        <v>1454</v>
      </c>
      <c r="K1569" s="989" t="s">
        <v>7825</v>
      </c>
      <c r="L1569" s="990">
        <v>3200000</v>
      </c>
      <c r="M1569" s="930"/>
      <c r="N1569" s="990">
        <v>3200000</v>
      </c>
      <c r="O1569" s="991">
        <v>43070.625</v>
      </c>
      <c r="P1569" s="991">
        <v>43132.625</v>
      </c>
      <c r="Q1569" s="930" t="s">
        <v>106</v>
      </c>
      <c r="R1569" s="963" t="s">
        <v>112</v>
      </c>
      <c r="S1569" s="930" t="s">
        <v>1457</v>
      </c>
      <c r="T1569" s="990"/>
      <c r="U1569" s="930"/>
      <c r="V1569" s="930"/>
      <c r="W1569" s="934"/>
      <c r="X1569" s="935"/>
      <c r="Y1569" s="934"/>
      <c r="Z1569" s="933"/>
      <c r="AA1569" s="908" t="s">
        <v>1458</v>
      </c>
      <c r="AB1569" s="843" t="s">
        <v>263</v>
      </c>
      <c r="AC1569" s="936"/>
      <c r="AD1569" s="936"/>
      <c r="AE1569" s="937">
        <f t="shared" si="41"/>
        <v>12</v>
      </c>
    </row>
    <row r="1570" spans="1:31" ht="105" hidden="1" x14ac:dyDescent="0.25">
      <c r="A1570" s="960" t="s">
        <v>7920</v>
      </c>
      <c r="B1570" s="985" t="s">
        <v>7753</v>
      </c>
      <c r="C1570" s="985" t="s">
        <v>7754</v>
      </c>
      <c r="D1570" s="670" t="s">
        <v>7939</v>
      </c>
      <c r="E1570" s="924" t="s">
        <v>1495</v>
      </c>
      <c r="F1570" s="926" t="s">
        <v>7723</v>
      </c>
      <c r="G1570" s="924" t="s">
        <v>1508</v>
      </c>
      <c r="H1570" s="931">
        <v>4816</v>
      </c>
      <c r="I1570" s="985" t="s">
        <v>2161</v>
      </c>
      <c r="J1570" s="924" t="s">
        <v>1454</v>
      </c>
      <c r="K1570" s="989" t="s">
        <v>7826</v>
      </c>
      <c r="L1570" s="990">
        <v>140346.67000000001</v>
      </c>
      <c r="M1570" s="930"/>
      <c r="N1570" s="990">
        <v>140346.67000000001</v>
      </c>
      <c r="O1570" s="991">
        <v>43070.625</v>
      </c>
      <c r="P1570" s="991">
        <v>43070.625</v>
      </c>
      <c r="Q1570" s="930" t="s">
        <v>110</v>
      </c>
      <c r="R1570" s="634" t="s">
        <v>113</v>
      </c>
      <c r="S1570" s="930"/>
      <c r="T1570" s="990"/>
      <c r="U1570" s="930"/>
      <c r="V1570" s="930"/>
      <c r="W1570" s="934" t="s">
        <v>65</v>
      </c>
      <c r="X1570" s="638" t="s">
        <v>5933</v>
      </c>
      <c r="Y1570" s="637" t="s">
        <v>1509</v>
      </c>
      <c r="Z1570" s="933">
        <v>140346.67000000001</v>
      </c>
      <c r="AA1570" s="908" t="s">
        <v>1458</v>
      </c>
      <c r="AB1570" s="843" t="s">
        <v>263</v>
      </c>
      <c r="AC1570" s="936"/>
      <c r="AD1570" s="936"/>
      <c r="AE1570" s="937">
        <f t="shared" si="41"/>
        <v>12</v>
      </c>
    </row>
    <row r="1571" spans="1:31" ht="105" hidden="1" x14ac:dyDescent="0.25">
      <c r="A1571" s="960" t="s">
        <v>7921</v>
      </c>
      <c r="B1571" s="985" t="s">
        <v>7753</v>
      </c>
      <c r="C1571" s="985" t="s">
        <v>7754</v>
      </c>
      <c r="D1571" s="670" t="s">
        <v>7938</v>
      </c>
      <c r="E1571" s="924" t="s">
        <v>1495</v>
      </c>
      <c r="F1571" s="926" t="s">
        <v>7723</v>
      </c>
      <c r="G1571" s="924" t="s">
        <v>1508</v>
      </c>
      <c r="H1571" s="931">
        <v>4816</v>
      </c>
      <c r="I1571" s="985" t="s">
        <v>2161</v>
      </c>
      <c r="J1571" s="924" t="s">
        <v>1454</v>
      </c>
      <c r="K1571" s="989" t="s">
        <v>7827</v>
      </c>
      <c r="L1571" s="990">
        <v>291474.92</v>
      </c>
      <c r="M1571" s="930"/>
      <c r="N1571" s="990">
        <v>291474.92</v>
      </c>
      <c r="O1571" s="991">
        <v>43070.625</v>
      </c>
      <c r="P1571" s="991">
        <v>43070.625</v>
      </c>
      <c r="Q1571" s="930" t="s">
        <v>110</v>
      </c>
      <c r="R1571" s="634" t="s">
        <v>113</v>
      </c>
      <c r="S1571" s="930"/>
      <c r="T1571" s="990"/>
      <c r="U1571" s="930"/>
      <c r="V1571" s="930"/>
      <c r="W1571" s="934" t="s">
        <v>65</v>
      </c>
      <c r="X1571" s="638" t="s">
        <v>5933</v>
      </c>
      <c r="Y1571" s="637" t="s">
        <v>1509</v>
      </c>
      <c r="Z1571" s="933">
        <v>291474.92</v>
      </c>
      <c r="AA1571" s="908" t="s">
        <v>1458</v>
      </c>
      <c r="AB1571" s="843" t="s">
        <v>263</v>
      </c>
      <c r="AC1571" s="936"/>
      <c r="AD1571" s="936"/>
      <c r="AE1571" s="937">
        <f t="shared" si="41"/>
        <v>12</v>
      </c>
    </row>
    <row r="1572" spans="1:31" ht="105" hidden="1" x14ac:dyDescent="0.25">
      <c r="A1572" s="960" t="s">
        <v>7922</v>
      </c>
      <c r="B1572" s="985" t="s">
        <v>1576</v>
      </c>
      <c r="C1572" s="985" t="s">
        <v>6908</v>
      </c>
      <c r="D1572" s="670" t="s">
        <v>7937</v>
      </c>
      <c r="E1572" s="924" t="s">
        <v>3139</v>
      </c>
      <c r="F1572" s="926" t="s">
        <v>1528</v>
      </c>
      <c r="G1572" s="924" t="s">
        <v>2156</v>
      </c>
      <c r="H1572" s="931">
        <v>150</v>
      </c>
      <c r="I1572" s="985" t="s">
        <v>2161</v>
      </c>
      <c r="J1572" s="924" t="s">
        <v>1454</v>
      </c>
      <c r="K1572" s="989" t="s">
        <v>7828</v>
      </c>
      <c r="L1572" s="990">
        <v>146476.5</v>
      </c>
      <c r="M1572" s="930"/>
      <c r="N1572" s="990">
        <v>146476.5</v>
      </c>
      <c r="O1572" s="991">
        <v>43070.625</v>
      </c>
      <c r="P1572" s="991">
        <v>43101.625</v>
      </c>
      <c r="Q1572" s="930" t="s">
        <v>110</v>
      </c>
      <c r="R1572" s="634" t="s">
        <v>113</v>
      </c>
      <c r="S1572" s="930"/>
      <c r="T1572" s="990"/>
      <c r="U1572" s="930"/>
      <c r="V1572" s="930"/>
      <c r="W1572" s="934"/>
      <c r="X1572" s="935"/>
      <c r="Y1572" s="934"/>
      <c r="Z1572" s="933"/>
      <c r="AA1572" s="908" t="s">
        <v>1458</v>
      </c>
      <c r="AB1572" s="843" t="s">
        <v>263</v>
      </c>
      <c r="AC1572" s="936"/>
      <c r="AD1572" s="936"/>
      <c r="AE1572" s="937">
        <f t="shared" si="41"/>
        <v>12</v>
      </c>
    </row>
    <row r="1573" spans="1:31" ht="153" hidden="1" x14ac:dyDescent="0.25">
      <c r="A1573" s="960" t="s">
        <v>7923</v>
      </c>
      <c r="B1573" s="985" t="s">
        <v>1687</v>
      </c>
      <c r="C1573" s="985" t="s">
        <v>3132</v>
      </c>
      <c r="D1573" s="670" t="s">
        <v>7936</v>
      </c>
      <c r="E1573" s="924" t="s">
        <v>7755</v>
      </c>
      <c r="F1573" s="926" t="s">
        <v>1528</v>
      </c>
      <c r="G1573" s="924" t="s">
        <v>2156</v>
      </c>
      <c r="H1573" s="931">
        <v>11</v>
      </c>
      <c r="I1573" s="985" t="s">
        <v>2161</v>
      </c>
      <c r="J1573" s="924" t="s">
        <v>1454</v>
      </c>
      <c r="K1573" s="989" t="s">
        <v>7829</v>
      </c>
      <c r="L1573" s="990">
        <v>2566957</v>
      </c>
      <c r="M1573" s="930"/>
      <c r="N1573" s="990">
        <v>2566957</v>
      </c>
      <c r="O1573" s="991">
        <v>43070.625</v>
      </c>
      <c r="P1573" s="991">
        <v>43070.625</v>
      </c>
      <c r="Q1573" s="930" t="s">
        <v>110</v>
      </c>
      <c r="R1573" s="634" t="s">
        <v>113</v>
      </c>
      <c r="S1573" s="930"/>
      <c r="T1573" s="990"/>
      <c r="U1573" s="930"/>
      <c r="V1573" s="930" t="s">
        <v>45</v>
      </c>
      <c r="W1573" s="934" t="s">
        <v>268</v>
      </c>
      <c r="X1573" s="638" t="s">
        <v>8215</v>
      </c>
      <c r="Y1573" s="637" t="s">
        <v>8216</v>
      </c>
      <c r="Z1573" s="933">
        <v>2566957</v>
      </c>
      <c r="AA1573" s="908" t="s">
        <v>1458</v>
      </c>
      <c r="AB1573" s="843" t="s">
        <v>263</v>
      </c>
      <c r="AC1573" s="936"/>
      <c r="AD1573" s="936"/>
      <c r="AE1573" s="937">
        <f t="shared" si="41"/>
        <v>12</v>
      </c>
    </row>
    <row r="1574" spans="1:31" ht="105" hidden="1" x14ac:dyDescent="0.25">
      <c r="A1574" s="960" t="s">
        <v>7924</v>
      </c>
      <c r="B1574" s="985" t="s">
        <v>1951</v>
      </c>
      <c r="C1574" s="985" t="s">
        <v>1951</v>
      </c>
      <c r="D1574" s="670" t="s">
        <v>7935</v>
      </c>
      <c r="E1574" s="924" t="s">
        <v>1948</v>
      </c>
      <c r="F1574" s="926" t="s">
        <v>1528</v>
      </c>
      <c r="G1574" s="924" t="s">
        <v>2156</v>
      </c>
      <c r="H1574" s="931">
        <v>565</v>
      </c>
      <c r="I1574" s="985" t="s">
        <v>2161</v>
      </c>
      <c r="J1574" s="924" t="s">
        <v>1454</v>
      </c>
      <c r="K1574" s="989" t="s">
        <v>7830</v>
      </c>
      <c r="L1574" s="990">
        <v>451271.12</v>
      </c>
      <c r="M1574" s="930"/>
      <c r="N1574" s="990">
        <v>451271.12</v>
      </c>
      <c r="O1574" s="991">
        <v>43070.625</v>
      </c>
      <c r="P1574" s="991">
        <v>43101.625</v>
      </c>
      <c r="Q1574" s="930" t="s">
        <v>110</v>
      </c>
      <c r="R1574" s="634" t="s">
        <v>113</v>
      </c>
      <c r="S1574" s="930"/>
      <c r="T1574" s="990"/>
      <c r="U1574" s="930"/>
      <c r="V1574" s="930"/>
      <c r="W1574" s="934"/>
      <c r="X1574" s="935"/>
      <c r="Y1574" s="934"/>
      <c r="Z1574" s="933"/>
      <c r="AA1574" s="908" t="s">
        <v>1458</v>
      </c>
      <c r="AB1574" s="843" t="s">
        <v>263</v>
      </c>
      <c r="AC1574" s="936"/>
      <c r="AD1574" s="936"/>
      <c r="AE1574" s="937">
        <f t="shared" si="41"/>
        <v>12</v>
      </c>
    </row>
    <row r="1575" spans="1:31" ht="105" hidden="1" x14ac:dyDescent="0.25">
      <c r="A1575" s="960" t="s">
        <v>7925</v>
      </c>
      <c r="B1575" s="985" t="s">
        <v>1851</v>
      </c>
      <c r="C1575" s="985" t="s">
        <v>1851</v>
      </c>
      <c r="D1575" s="670" t="s">
        <v>7934</v>
      </c>
      <c r="E1575" s="924" t="s">
        <v>1948</v>
      </c>
      <c r="F1575" s="926" t="s">
        <v>1587</v>
      </c>
      <c r="G1575" s="924" t="s">
        <v>2256</v>
      </c>
      <c r="H1575" s="931">
        <v>86</v>
      </c>
      <c r="I1575" s="985" t="s">
        <v>2161</v>
      </c>
      <c r="J1575" s="924" t="s">
        <v>1454</v>
      </c>
      <c r="K1575" s="989" t="s">
        <v>7831</v>
      </c>
      <c r="L1575" s="990">
        <v>2475604.6</v>
      </c>
      <c r="M1575" s="930"/>
      <c r="N1575" s="990">
        <v>2475604.6</v>
      </c>
      <c r="O1575" s="991">
        <v>43070.625</v>
      </c>
      <c r="P1575" s="991">
        <v>43191.625</v>
      </c>
      <c r="Q1575" s="930" t="s">
        <v>110</v>
      </c>
      <c r="R1575" s="634" t="s">
        <v>113</v>
      </c>
      <c r="S1575" s="930"/>
      <c r="T1575" s="990"/>
      <c r="U1575" s="930"/>
      <c r="V1575" s="930"/>
      <c r="W1575" s="934"/>
      <c r="X1575" s="935"/>
      <c r="Y1575" s="934"/>
      <c r="Z1575" s="933"/>
      <c r="AA1575" s="908" t="s">
        <v>1458</v>
      </c>
      <c r="AB1575" s="843" t="s">
        <v>263</v>
      </c>
      <c r="AC1575" s="936"/>
      <c r="AD1575" s="936"/>
      <c r="AE1575" s="937">
        <f t="shared" si="41"/>
        <v>12</v>
      </c>
    </row>
    <row r="1576" spans="1:31" ht="105" hidden="1" x14ac:dyDescent="0.25">
      <c r="A1576" s="960" t="s">
        <v>7926</v>
      </c>
      <c r="B1576" s="985" t="s">
        <v>7756</v>
      </c>
      <c r="C1576" s="985" t="s">
        <v>7756</v>
      </c>
      <c r="D1576" s="670" t="s">
        <v>7933</v>
      </c>
      <c r="E1576" s="924" t="s">
        <v>7757</v>
      </c>
      <c r="F1576" s="926" t="s">
        <v>1528</v>
      </c>
      <c r="G1576" s="924" t="s">
        <v>2156</v>
      </c>
      <c r="H1576" s="931">
        <v>2</v>
      </c>
      <c r="I1576" s="985" t="s">
        <v>2161</v>
      </c>
      <c r="J1576" s="924" t="s">
        <v>1454</v>
      </c>
      <c r="K1576" s="989" t="s">
        <v>7832</v>
      </c>
      <c r="L1576" s="990">
        <v>470684</v>
      </c>
      <c r="M1576" s="930" t="s">
        <v>997</v>
      </c>
      <c r="N1576" s="990">
        <v>470684</v>
      </c>
      <c r="O1576" s="991">
        <v>43070.625</v>
      </c>
      <c r="P1576" s="991">
        <v>43221.625</v>
      </c>
      <c r="Q1576" s="930" t="s">
        <v>110</v>
      </c>
      <c r="R1576" s="634" t="s">
        <v>113</v>
      </c>
      <c r="S1576" s="930"/>
      <c r="T1576" s="990"/>
      <c r="U1576" s="930"/>
      <c r="V1576" s="930"/>
      <c r="W1576" s="934" t="s">
        <v>97</v>
      </c>
      <c r="X1576" s="638" t="s">
        <v>8270</v>
      </c>
      <c r="Y1576" s="637" t="s">
        <v>8271</v>
      </c>
      <c r="Z1576" s="933">
        <v>470684</v>
      </c>
      <c r="AA1576" s="908" t="s">
        <v>1458</v>
      </c>
      <c r="AB1576" s="843" t="s">
        <v>263</v>
      </c>
      <c r="AC1576" s="936"/>
      <c r="AD1576" s="936"/>
      <c r="AE1576" s="937">
        <f t="shared" si="41"/>
        <v>12</v>
      </c>
    </row>
    <row r="1577" spans="1:31" ht="105" hidden="1" x14ac:dyDescent="0.25">
      <c r="A1577" s="960" t="s">
        <v>7927</v>
      </c>
      <c r="B1577" s="985" t="s">
        <v>1666</v>
      </c>
      <c r="C1577" s="985" t="s">
        <v>7321</v>
      </c>
      <c r="D1577" s="670" t="s">
        <v>7932</v>
      </c>
      <c r="E1577" s="924" t="s">
        <v>4944</v>
      </c>
      <c r="F1577" s="926" t="s">
        <v>1528</v>
      </c>
      <c r="G1577" s="924" t="s">
        <v>2156</v>
      </c>
      <c r="H1577" s="931">
        <v>1305</v>
      </c>
      <c r="I1577" s="985" t="s">
        <v>2161</v>
      </c>
      <c r="J1577" s="924" t="s">
        <v>1454</v>
      </c>
      <c r="K1577" s="989" t="s">
        <v>8067</v>
      </c>
      <c r="L1577" s="990">
        <v>195290.74</v>
      </c>
      <c r="M1577" s="930"/>
      <c r="N1577" s="990">
        <v>195290.74</v>
      </c>
      <c r="O1577" s="991">
        <v>43070.625</v>
      </c>
      <c r="P1577" s="991">
        <v>43101.625</v>
      </c>
      <c r="Q1577" s="930" t="s">
        <v>108</v>
      </c>
      <c r="R1577" s="963" t="s">
        <v>112</v>
      </c>
      <c r="S1577" s="930" t="s">
        <v>1457</v>
      </c>
      <c r="T1577" s="990"/>
      <c r="U1577" s="930"/>
      <c r="V1577" s="930"/>
      <c r="W1577" s="934"/>
      <c r="X1577" s="935"/>
      <c r="Y1577" s="934"/>
      <c r="Z1577" s="933"/>
      <c r="AA1577" s="908" t="s">
        <v>1458</v>
      </c>
      <c r="AB1577" s="843" t="s">
        <v>263</v>
      </c>
      <c r="AC1577" s="936"/>
      <c r="AD1577" s="936"/>
      <c r="AE1577" s="937">
        <f t="shared" si="41"/>
        <v>12</v>
      </c>
    </row>
    <row r="1578" spans="1:31" ht="105" hidden="1" x14ac:dyDescent="0.25">
      <c r="A1578" s="960" t="s">
        <v>7928</v>
      </c>
      <c r="B1578" s="985" t="s">
        <v>1576</v>
      </c>
      <c r="C1578" s="985" t="s">
        <v>1576</v>
      </c>
      <c r="D1578" s="670" t="s">
        <v>7931</v>
      </c>
      <c r="E1578" s="924" t="s">
        <v>7758</v>
      </c>
      <c r="F1578" s="926" t="s">
        <v>1528</v>
      </c>
      <c r="G1578" s="924" t="s">
        <v>2156</v>
      </c>
      <c r="H1578" s="931">
        <v>2000</v>
      </c>
      <c r="I1578" s="985" t="s">
        <v>2161</v>
      </c>
      <c r="J1578" s="924" t="s">
        <v>1454</v>
      </c>
      <c r="K1578" s="989" t="s">
        <v>7833</v>
      </c>
      <c r="L1578" s="990">
        <v>123666.36</v>
      </c>
      <c r="M1578" s="930"/>
      <c r="N1578" s="990">
        <v>123666.36</v>
      </c>
      <c r="O1578" s="991">
        <v>43070.625</v>
      </c>
      <c r="P1578" s="991">
        <v>43101.625</v>
      </c>
      <c r="Q1578" s="930" t="s">
        <v>110</v>
      </c>
      <c r="R1578" s="634" t="s">
        <v>113</v>
      </c>
      <c r="S1578" s="930"/>
      <c r="T1578" s="990"/>
      <c r="U1578" s="930"/>
      <c r="V1578" s="930"/>
      <c r="W1578" s="934"/>
      <c r="X1578" s="935"/>
      <c r="Y1578" s="934"/>
      <c r="Z1578" s="933"/>
      <c r="AA1578" s="908" t="s">
        <v>1458</v>
      </c>
      <c r="AB1578" s="843" t="s">
        <v>263</v>
      </c>
      <c r="AC1578" s="936"/>
      <c r="AD1578" s="936"/>
      <c r="AE1578" s="937">
        <f t="shared" si="41"/>
        <v>12</v>
      </c>
    </row>
    <row r="1579" spans="1:31" ht="105" hidden="1" x14ac:dyDescent="0.25">
      <c r="A1579" s="976" t="s">
        <v>7929</v>
      </c>
      <c r="B1579" s="987" t="s">
        <v>1494</v>
      </c>
      <c r="C1579" s="987" t="s">
        <v>1493</v>
      </c>
      <c r="D1579" s="988" t="s">
        <v>7930</v>
      </c>
      <c r="E1579" s="939" t="s">
        <v>1495</v>
      </c>
      <c r="F1579" s="941" t="s">
        <v>7725</v>
      </c>
      <c r="G1579" s="939" t="s">
        <v>1496</v>
      </c>
      <c r="H1579" s="943">
        <v>1247094</v>
      </c>
      <c r="I1579" s="987" t="s">
        <v>2161</v>
      </c>
      <c r="J1579" s="939" t="s">
        <v>1454</v>
      </c>
      <c r="K1579" s="1033" t="s">
        <v>7834</v>
      </c>
      <c r="L1579" s="1034">
        <v>3458820.69</v>
      </c>
      <c r="M1579" s="945"/>
      <c r="N1579" s="1034">
        <v>3458820.69</v>
      </c>
      <c r="O1579" s="1015">
        <v>43070.625</v>
      </c>
      <c r="P1579" s="1015">
        <v>43070.625</v>
      </c>
      <c r="Q1579" s="930" t="s">
        <v>110</v>
      </c>
      <c r="R1579" s="634" t="s">
        <v>113</v>
      </c>
      <c r="S1579" s="945"/>
      <c r="T1579" s="990"/>
      <c r="U1579" s="945"/>
      <c r="V1579" s="945"/>
      <c r="W1579" s="946" t="s">
        <v>66</v>
      </c>
      <c r="X1579" s="1022" t="s">
        <v>5962</v>
      </c>
      <c r="Y1579" s="677" t="s">
        <v>5963</v>
      </c>
      <c r="Z1579" s="944">
        <v>3458820.69</v>
      </c>
      <c r="AA1579" s="908" t="s">
        <v>1458</v>
      </c>
      <c r="AB1579" s="843" t="s">
        <v>263</v>
      </c>
      <c r="AC1579" s="948"/>
      <c r="AD1579" s="948"/>
      <c r="AE1579" s="949">
        <f t="shared" si="41"/>
        <v>12</v>
      </c>
    </row>
    <row r="1580" spans="1:31" ht="105" hidden="1" x14ac:dyDescent="0.25">
      <c r="A1580" s="960" t="s">
        <v>8242</v>
      </c>
      <c r="B1580" s="842" t="s">
        <v>1851</v>
      </c>
      <c r="C1580" s="842" t="s">
        <v>6906</v>
      </c>
      <c r="D1580" s="670" t="s">
        <v>8261</v>
      </c>
      <c r="E1580" s="1023" t="s">
        <v>8226</v>
      </c>
      <c r="F1580" s="620" t="s">
        <v>1528</v>
      </c>
      <c r="G1580" s="670" t="s">
        <v>2156</v>
      </c>
      <c r="H1580" s="1024">
        <v>3</v>
      </c>
      <c r="I1580" s="1025" t="s">
        <v>2161</v>
      </c>
      <c r="J1580" s="670" t="s">
        <v>1454</v>
      </c>
      <c r="K1580" s="990" t="s">
        <v>8233</v>
      </c>
      <c r="L1580" s="990">
        <v>179550</v>
      </c>
      <c r="M1580" s="634"/>
      <c r="N1580" s="990">
        <v>179550</v>
      </c>
      <c r="O1580" s="991">
        <v>43070.625</v>
      </c>
      <c r="P1580" s="991">
        <v>43070.625</v>
      </c>
      <c r="Q1580" s="930" t="s">
        <v>110</v>
      </c>
      <c r="R1580" s="634" t="s">
        <v>113</v>
      </c>
      <c r="S1580" s="634"/>
      <c r="T1580" s="990"/>
      <c r="U1580" s="634"/>
      <c r="V1580" s="634"/>
      <c r="W1580" s="637" t="s">
        <v>268</v>
      </c>
      <c r="X1580" s="638" t="s">
        <v>8267</v>
      </c>
      <c r="Y1580" s="637" t="s">
        <v>8268</v>
      </c>
      <c r="Z1580" s="636">
        <v>179550</v>
      </c>
      <c r="AA1580" s="908" t="s">
        <v>1458</v>
      </c>
      <c r="AB1580" s="843" t="s">
        <v>263</v>
      </c>
      <c r="AC1580" s="652"/>
      <c r="AD1580" s="652"/>
      <c r="AE1580" s="877">
        <f t="shared" ref="AE1580:AE1589" si="42">IF(O1580=0,,MONTH(O1580))</f>
        <v>12</v>
      </c>
    </row>
    <row r="1581" spans="1:31" ht="105" hidden="1" x14ac:dyDescent="0.25">
      <c r="A1581" s="960" t="s">
        <v>8243</v>
      </c>
      <c r="B1581" s="842" t="s">
        <v>1571</v>
      </c>
      <c r="C1581" s="842" t="s">
        <v>6152</v>
      </c>
      <c r="D1581" s="670" t="s">
        <v>8260</v>
      </c>
      <c r="E1581" s="1023" t="s">
        <v>7326</v>
      </c>
      <c r="F1581" s="620" t="s">
        <v>1528</v>
      </c>
      <c r="G1581" s="670" t="s">
        <v>2156</v>
      </c>
      <c r="H1581" s="1024">
        <v>49</v>
      </c>
      <c r="I1581" s="1025" t="s">
        <v>2161</v>
      </c>
      <c r="J1581" s="670" t="s">
        <v>1454</v>
      </c>
      <c r="K1581" s="990" t="s">
        <v>8234</v>
      </c>
      <c r="L1581" s="990">
        <v>290771.20000000001</v>
      </c>
      <c r="M1581" s="634"/>
      <c r="N1581" s="990">
        <v>290771.20000000001</v>
      </c>
      <c r="O1581" s="991">
        <v>43070.625</v>
      </c>
      <c r="P1581" s="991">
        <v>43101.625</v>
      </c>
      <c r="Q1581" s="930" t="s">
        <v>108</v>
      </c>
      <c r="R1581" s="634" t="s">
        <v>112</v>
      </c>
      <c r="S1581" s="930" t="s">
        <v>1457</v>
      </c>
      <c r="T1581" s="990"/>
      <c r="U1581" s="634"/>
      <c r="V1581" s="634"/>
      <c r="W1581" s="637"/>
      <c r="X1581" s="638"/>
      <c r="Y1581" s="637"/>
      <c r="Z1581" s="636"/>
      <c r="AA1581" s="908" t="s">
        <v>1458</v>
      </c>
      <c r="AB1581" s="843" t="s">
        <v>263</v>
      </c>
      <c r="AC1581" s="652"/>
      <c r="AD1581" s="652"/>
      <c r="AE1581" s="877">
        <f t="shared" si="42"/>
        <v>12</v>
      </c>
    </row>
    <row r="1582" spans="1:31" ht="105" hidden="1" x14ac:dyDescent="0.25">
      <c r="A1582" s="960" t="s">
        <v>8244</v>
      </c>
      <c r="B1582" s="842" t="s">
        <v>1793</v>
      </c>
      <c r="C1582" s="842" t="s">
        <v>6896</v>
      </c>
      <c r="D1582" s="670" t="s">
        <v>8259</v>
      </c>
      <c r="E1582" s="1023" t="s">
        <v>2235</v>
      </c>
      <c r="F1582" s="620" t="s">
        <v>1528</v>
      </c>
      <c r="G1582" s="670" t="s">
        <v>2156</v>
      </c>
      <c r="H1582" s="1024">
        <v>2</v>
      </c>
      <c r="I1582" s="1025" t="s">
        <v>2161</v>
      </c>
      <c r="J1582" s="670" t="s">
        <v>1454</v>
      </c>
      <c r="K1582" s="990" t="s">
        <v>8235</v>
      </c>
      <c r="L1582" s="990">
        <v>28005</v>
      </c>
      <c r="M1582" s="634"/>
      <c r="N1582" s="990">
        <v>28005</v>
      </c>
      <c r="O1582" s="991">
        <v>43070.625</v>
      </c>
      <c r="P1582" s="991">
        <v>43101.625</v>
      </c>
      <c r="Q1582" s="930" t="s">
        <v>108</v>
      </c>
      <c r="R1582" s="634" t="s">
        <v>112</v>
      </c>
      <c r="S1582" s="930" t="s">
        <v>1457</v>
      </c>
      <c r="T1582" s="990"/>
      <c r="U1582" s="634"/>
      <c r="V1582" s="634"/>
      <c r="W1582" s="637"/>
      <c r="X1582" s="638"/>
      <c r="Y1582" s="637"/>
      <c r="Z1582" s="636"/>
      <c r="AA1582" s="908" t="s">
        <v>1458</v>
      </c>
      <c r="AB1582" s="843" t="s">
        <v>263</v>
      </c>
      <c r="AC1582" s="652"/>
      <c r="AD1582" s="652"/>
      <c r="AE1582" s="877">
        <f t="shared" si="42"/>
        <v>12</v>
      </c>
    </row>
    <row r="1583" spans="1:31" ht="105" hidden="1" x14ac:dyDescent="0.25">
      <c r="A1583" s="960" t="s">
        <v>8245</v>
      </c>
      <c r="B1583" s="842" t="s">
        <v>7730</v>
      </c>
      <c r="C1583" s="842" t="s">
        <v>7731</v>
      </c>
      <c r="D1583" s="670" t="s">
        <v>8258</v>
      </c>
      <c r="E1583" s="1023" t="s">
        <v>7732</v>
      </c>
      <c r="F1583" s="620" t="s">
        <v>1528</v>
      </c>
      <c r="G1583" s="670" t="s">
        <v>2156</v>
      </c>
      <c r="H1583" s="1024">
        <v>200</v>
      </c>
      <c r="I1583" s="1025" t="s">
        <v>2161</v>
      </c>
      <c r="J1583" s="670" t="s">
        <v>1454</v>
      </c>
      <c r="K1583" s="990" t="s">
        <v>8236</v>
      </c>
      <c r="L1583" s="990">
        <v>255177.5</v>
      </c>
      <c r="M1583" s="634"/>
      <c r="N1583" s="990">
        <v>255177.5</v>
      </c>
      <c r="O1583" s="991">
        <v>43070.625</v>
      </c>
      <c r="P1583" s="991">
        <v>43101.625</v>
      </c>
      <c r="Q1583" s="930" t="s">
        <v>108</v>
      </c>
      <c r="R1583" s="634" t="s">
        <v>112</v>
      </c>
      <c r="S1583" s="930" t="s">
        <v>1457</v>
      </c>
      <c r="T1583" s="990"/>
      <c r="U1583" s="634"/>
      <c r="V1583" s="634"/>
      <c r="W1583" s="637"/>
      <c r="X1583" s="638"/>
      <c r="Y1583" s="637"/>
      <c r="Z1583" s="636"/>
      <c r="AA1583" s="908" t="s">
        <v>1458</v>
      </c>
      <c r="AB1583" s="843" t="s">
        <v>263</v>
      </c>
      <c r="AC1583" s="652"/>
      <c r="AD1583" s="652"/>
      <c r="AE1583" s="877">
        <f t="shared" si="42"/>
        <v>12</v>
      </c>
    </row>
    <row r="1584" spans="1:31" ht="105" hidden="1" x14ac:dyDescent="0.25">
      <c r="A1584" s="960" t="s">
        <v>8246</v>
      </c>
      <c r="B1584" s="842" t="s">
        <v>1593</v>
      </c>
      <c r="C1584" s="842" t="s">
        <v>5027</v>
      </c>
      <c r="D1584" s="670" t="s">
        <v>8257</v>
      </c>
      <c r="E1584" s="1023" t="s">
        <v>4852</v>
      </c>
      <c r="F1584" s="620" t="s">
        <v>1528</v>
      </c>
      <c r="G1584" s="670" t="s">
        <v>2156</v>
      </c>
      <c r="H1584" s="1024">
        <v>4</v>
      </c>
      <c r="I1584" s="1025" t="s">
        <v>2161</v>
      </c>
      <c r="J1584" s="670" t="s">
        <v>1454</v>
      </c>
      <c r="K1584" s="990" t="s">
        <v>8237</v>
      </c>
      <c r="L1584" s="990">
        <v>120936</v>
      </c>
      <c r="M1584" s="634"/>
      <c r="N1584" s="990">
        <v>120936</v>
      </c>
      <c r="O1584" s="991">
        <v>43070.625</v>
      </c>
      <c r="P1584" s="991">
        <v>43101.625</v>
      </c>
      <c r="Q1584" s="930" t="s">
        <v>108</v>
      </c>
      <c r="R1584" s="634" t="s">
        <v>112</v>
      </c>
      <c r="S1584" s="930" t="s">
        <v>1457</v>
      </c>
      <c r="T1584" s="990"/>
      <c r="U1584" s="634"/>
      <c r="V1584" s="634"/>
      <c r="W1584" s="637"/>
      <c r="X1584" s="638"/>
      <c r="Y1584" s="637"/>
      <c r="Z1584" s="636"/>
      <c r="AA1584" s="908" t="s">
        <v>1458</v>
      </c>
      <c r="AB1584" s="843" t="s">
        <v>263</v>
      </c>
      <c r="AC1584" s="652"/>
      <c r="AD1584" s="652"/>
      <c r="AE1584" s="877">
        <f t="shared" si="42"/>
        <v>12</v>
      </c>
    </row>
    <row r="1585" spans="1:31" ht="105" hidden="1" x14ac:dyDescent="0.25">
      <c r="A1585" s="960" t="s">
        <v>8247</v>
      </c>
      <c r="B1585" s="842" t="s">
        <v>1468</v>
      </c>
      <c r="C1585" s="842" t="s">
        <v>8227</v>
      </c>
      <c r="D1585" s="670" t="s">
        <v>8256</v>
      </c>
      <c r="E1585" s="1023" t="s">
        <v>8228</v>
      </c>
      <c r="F1585" s="620" t="s">
        <v>1528</v>
      </c>
      <c r="G1585" s="670" t="s">
        <v>2156</v>
      </c>
      <c r="H1585" s="1024">
        <v>1</v>
      </c>
      <c r="I1585" s="1025" t="s">
        <v>2161</v>
      </c>
      <c r="J1585" s="670" t="s">
        <v>1454</v>
      </c>
      <c r="K1585" s="990" t="s">
        <v>8238</v>
      </c>
      <c r="L1585" s="990">
        <v>270486.67</v>
      </c>
      <c r="M1585" s="634"/>
      <c r="N1585" s="990">
        <v>270486.67</v>
      </c>
      <c r="O1585" s="991">
        <v>43070.625</v>
      </c>
      <c r="P1585" s="991">
        <v>43101.625</v>
      </c>
      <c r="Q1585" s="930" t="s">
        <v>108</v>
      </c>
      <c r="R1585" s="634" t="s">
        <v>112</v>
      </c>
      <c r="S1585" s="930" t="s">
        <v>1457</v>
      </c>
      <c r="T1585" s="990"/>
      <c r="U1585" s="634"/>
      <c r="V1585" s="634"/>
      <c r="W1585" s="637"/>
      <c r="X1585" s="638"/>
      <c r="Y1585" s="637"/>
      <c r="Z1585" s="636"/>
      <c r="AA1585" s="908" t="s">
        <v>1458</v>
      </c>
      <c r="AB1585" s="843" t="s">
        <v>263</v>
      </c>
      <c r="AC1585" s="652"/>
      <c r="AD1585" s="652"/>
      <c r="AE1585" s="877">
        <f t="shared" si="42"/>
        <v>12</v>
      </c>
    </row>
    <row r="1586" spans="1:31" ht="105" hidden="1" x14ac:dyDescent="0.25">
      <c r="A1586" s="960" t="s">
        <v>8248</v>
      </c>
      <c r="B1586" s="842" t="s">
        <v>1493</v>
      </c>
      <c r="C1586" s="842" t="s">
        <v>1494</v>
      </c>
      <c r="D1586" s="670" t="s">
        <v>8255</v>
      </c>
      <c r="E1586" s="1023" t="s">
        <v>1495</v>
      </c>
      <c r="F1586" s="620" t="s">
        <v>7725</v>
      </c>
      <c r="G1586" s="670" t="s">
        <v>1496</v>
      </c>
      <c r="H1586" s="1024">
        <v>872966</v>
      </c>
      <c r="I1586" s="1025" t="s">
        <v>2161</v>
      </c>
      <c r="J1586" s="670" t="s">
        <v>1454</v>
      </c>
      <c r="K1586" s="990" t="s">
        <v>8239</v>
      </c>
      <c r="L1586" s="990">
        <v>6319636.0300000003</v>
      </c>
      <c r="M1586" s="634"/>
      <c r="N1586" s="990">
        <v>6319636.0300000003</v>
      </c>
      <c r="O1586" s="991">
        <v>43070.625</v>
      </c>
      <c r="P1586" s="991">
        <v>43070.625</v>
      </c>
      <c r="Q1586" s="930" t="s">
        <v>110</v>
      </c>
      <c r="R1586" s="634" t="s">
        <v>113</v>
      </c>
      <c r="S1586" s="634"/>
      <c r="T1586" s="990"/>
      <c r="U1586" s="634"/>
      <c r="V1586" s="634"/>
      <c r="W1586" s="637" t="s">
        <v>66</v>
      </c>
      <c r="X1586" s="638" t="s">
        <v>5962</v>
      </c>
      <c r="Y1586" s="637" t="s">
        <v>5963</v>
      </c>
      <c r="Z1586" s="636">
        <v>6319636.0300000003</v>
      </c>
      <c r="AA1586" s="908" t="s">
        <v>1458</v>
      </c>
      <c r="AB1586" s="843" t="s">
        <v>263</v>
      </c>
      <c r="AC1586" s="652"/>
      <c r="AD1586" s="652"/>
      <c r="AE1586" s="877">
        <f t="shared" si="42"/>
        <v>12</v>
      </c>
    </row>
    <row r="1587" spans="1:31" ht="105" hidden="1" x14ac:dyDescent="0.25">
      <c r="A1587" s="960" t="s">
        <v>8249</v>
      </c>
      <c r="B1587" s="842" t="s">
        <v>8229</v>
      </c>
      <c r="C1587" s="842" t="s">
        <v>8229</v>
      </c>
      <c r="D1587" s="670" t="s">
        <v>8254</v>
      </c>
      <c r="E1587" s="1023" t="s">
        <v>7744</v>
      </c>
      <c r="F1587" s="620" t="s">
        <v>1528</v>
      </c>
      <c r="G1587" s="670" t="s">
        <v>2156</v>
      </c>
      <c r="H1587" s="1024">
        <v>1</v>
      </c>
      <c r="I1587" s="1025" t="s">
        <v>2161</v>
      </c>
      <c r="J1587" s="670" t="s">
        <v>1454</v>
      </c>
      <c r="K1587" s="990" t="s">
        <v>8240</v>
      </c>
      <c r="L1587" s="990">
        <v>8358400</v>
      </c>
      <c r="M1587" s="634"/>
      <c r="N1587" s="990">
        <v>8358400</v>
      </c>
      <c r="O1587" s="991">
        <v>43070.625</v>
      </c>
      <c r="P1587" s="991">
        <v>43435.625</v>
      </c>
      <c r="Q1587" s="634" t="s">
        <v>100</v>
      </c>
      <c r="R1587" s="634" t="s">
        <v>112</v>
      </c>
      <c r="S1587" s="930" t="s">
        <v>1457</v>
      </c>
      <c r="T1587" s="990"/>
      <c r="U1587" s="634"/>
      <c r="V1587" s="634"/>
      <c r="W1587" s="637"/>
      <c r="X1587" s="638"/>
      <c r="Y1587" s="637"/>
      <c r="Z1587" s="636"/>
      <c r="AA1587" s="908" t="s">
        <v>1458</v>
      </c>
      <c r="AB1587" s="843" t="s">
        <v>263</v>
      </c>
      <c r="AC1587" s="652"/>
      <c r="AD1587" s="652"/>
      <c r="AE1587" s="877">
        <f t="shared" si="42"/>
        <v>12</v>
      </c>
    </row>
    <row r="1588" spans="1:31" ht="105" hidden="1" x14ac:dyDescent="0.25">
      <c r="A1588" s="960" t="s">
        <v>8250</v>
      </c>
      <c r="B1588" s="842" t="s">
        <v>1687</v>
      </c>
      <c r="C1588" s="842" t="s">
        <v>3132</v>
      </c>
      <c r="D1588" s="670" t="s">
        <v>8253</v>
      </c>
      <c r="E1588" s="1023" t="s">
        <v>4944</v>
      </c>
      <c r="F1588" s="620" t="s">
        <v>1645</v>
      </c>
      <c r="G1588" s="670" t="s">
        <v>2259</v>
      </c>
      <c r="H1588" s="1024">
        <v>746.8</v>
      </c>
      <c r="I1588" s="1025" t="s">
        <v>2161</v>
      </c>
      <c r="J1588" s="670" t="s">
        <v>1454</v>
      </c>
      <c r="K1588" s="990" t="s">
        <v>7759</v>
      </c>
      <c r="L1588" s="990">
        <v>197753.91</v>
      </c>
      <c r="M1588" s="634"/>
      <c r="N1588" s="990">
        <v>197753.91</v>
      </c>
      <c r="O1588" s="991">
        <v>43070.625</v>
      </c>
      <c r="P1588" s="991">
        <v>43101.625</v>
      </c>
      <c r="Q1588" s="930" t="s">
        <v>110</v>
      </c>
      <c r="R1588" s="634" t="s">
        <v>113</v>
      </c>
      <c r="S1588" s="634"/>
      <c r="T1588" s="990"/>
      <c r="U1588" s="634"/>
      <c r="V1588" s="634"/>
      <c r="W1588" s="637"/>
      <c r="X1588" s="638"/>
      <c r="Y1588" s="637"/>
      <c r="Z1588" s="636"/>
      <c r="AA1588" s="908" t="s">
        <v>1458</v>
      </c>
      <c r="AB1588" s="843" t="s">
        <v>263</v>
      </c>
      <c r="AC1588" s="652"/>
      <c r="AD1588" s="652"/>
      <c r="AE1588" s="877">
        <f t="shared" si="42"/>
        <v>12</v>
      </c>
    </row>
    <row r="1589" spans="1:31" ht="105" hidden="1" x14ac:dyDescent="0.25">
      <c r="A1589" s="976" t="s">
        <v>8251</v>
      </c>
      <c r="B1589" s="1026" t="s">
        <v>8230</v>
      </c>
      <c r="C1589" s="1026" t="s">
        <v>8231</v>
      </c>
      <c r="D1589" s="988" t="s">
        <v>8252</v>
      </c>
      <c r="E1589" s="1027" t="s">
        <v>8232</v>
      </c>
      <c r="F1589" s="1028" t="s">
        <v>1528</v>
      </c>
      <c r="G1589" s="988" t="s">
        <v>2156</v>
      </c>
      <c r="H1589" s="1029">
        <v>50</v>
      </c>
      <c r="I1589" s="1030" t="s">
        <v>2161</v>
      </c>
      <c r="J1589" s="988" t="s">
        <v>1454</v>
      </c>
      <c r="K1589" s="990" t="s">
        <v>8241</v>
      </c>
      <c r="L1589" s="990">
        <v>1588800</v>
      </c>
      <c r="M1589" s="634"/>
      <c r="N1589" s="990">
        <v>1588800</v>
      </c>
      <c r="O1589" s="991">
        <v>43070.625</v>
      </c>
      <c r="P1589" s="991">
        <v>43465.625</v>
      </c>
      <c r="Q1589" s="930" t="s">
        <v>110</v>
      </c>
      <c r="R1589" s="634" t="s">
        <v>113</v>
      </c>
      <c r="S1589" s="963"/>
      <c r="T1589" s="990"/>
      <c r="U1589" s="963"/>
      <c r="V1589" s="963"/>
      <c r="W1589" s="677"/>
      <c r="X1589" s="1022"/>
      <c r="Y1589" s="677"/>
      <c r="Z1589" s="1031"/>
      <c r="AA1589" s="908" t="s">
        <v>1458</v>
      </c>
      <c r="AB1589" s="843" t="s">
        <v>263</v>
      </c>
      <c r="AC1589" s="1032"/>
      <c r="AD1589" s="1032"/>
      <c r="AE1589" s="678">
        <f t="shared" si="42"/>
        <v>12</v>
      </c>
    </row>
  </sheetData>
  <mergeCells count="35">
    <mergeCell ref="B2:R2"/>
    <mergeCell ref="B3:R3"/>
    <mergeCell ref="AB12:AB14"/>
    <mergeCell ref="M13:M14"/>
    <mergeCell ref="N13:N14"/>
    <mergeCell ref="O13:P13"/>
    <mergeCell ref="V12:V14"/>
    <mergeCell ref="AA12:AA14"/>
    <mergeCell ref="B4:C4"/>
    <mergeCell ref="B10:C10"/>
    <mergeCell ref="B5:C5"/>
    <mergeCell ref="B6:C6"/>
    <mergeCell ref="B7:C7"/>
    <mergeCell ref="B8:C8"/>
    <mergeCell ref="B9:C9"/>
    <mergeCell ref="A12:A14"/>
    <mergeCell ref="B12:B14"/>
    <mergeCell ref="Q12:Q14"/>
    <mergeCell ref="R12:R13"/>
    <mergeCell ref="D12:P12"/>
    <mergeCell ref="D13:D14"/>
    <mergeCell ref="E13:E14"/>
    <mergeCell ref="F13:G13"/>
    <mergeCell ref="I13:J13"/>
    <mergeCell ref="H13:H14"/>
    <mergeCell ref="L13:L14"/>
    <mergeCell ref="AE12:AE14"/>
    <mergeCell ref="AC12:AC14"/>
    <mergeCell ref="C12:C14"/>
    <mergeCell ref="U12:U13"/>
    <mergeCell ref="W12:Z13"/>
    <mergeCell ref="K13:K14"/>
    <mergeCell ref="T12:T13"/>
    <mergeCell ref="S12:S14"/>
    <mergeCell ref="AD12:AD13"/>
  </mergeCells>
  <conditionalFormatting sqref="AB395:AB920">
    <cfRule type="cellIs" dxfId="103" priority="44" operator="equal">
      <formula>0</formula>
    </cfRule>
  </conditionalFormatting>
  <conditionalFormatting sqref="AB16:AB394">
    <cfRule type="cellIs" dxfId="102" priority="45" operator="equal">
      <formula>0</formula>
    </cfRule>
  </conditionalFormatting>
  <conditionalFormatting sqref="AB921:AB1009">
    <cfRule type="cellIs" dxfId="101" priority="9" operator="equal">
      <formula>0</formula>
    </cfRule>
  </conditionalFormatting>
  <conditionalFormatting sqref="AB1010">
    <cfRule type="cellIs" dxfId="100" priority="8" operator="equal">
      <formula>0</formula>
    </cfRule>
  </conditionalFormatting>
  <conditionalFormatting sqref="AB1011:AB1104">
    <cfRule type="cellIs" dxfId="99" priority="7" operator="equal">
      <formula>0</formula>
    </cfRule>
  </conditionalFormatting>
  <conditionalFormatting sqref="AB1105:AB1221">
    <cfRule type="cellIs" dxfId="98" priority="6" operator="equal">
      <formula>0</formula>
    </cfRule>
  </conditionalFormatting>
  <conditionalFormatting sqref="AB1222:AB1273">
    <cfRule type="cellIs" dxfId="97" priority="5" operator="equal">
      <formula>0</formula>
    </cfRule>
  </conditionalFormatting>
  <conditionalFormatting sqref="AB1274:AB1396">
    <cfRule type="cellIs" dxfId="96" priority="4" operator="equal">
      <formula>0</formula>
    </cfRule>
  </conditionalFormatting>
  <conditionalFormatting sqref="AB1397:AB1484">
    <cfRule type="cellIs" dxfId="95" priority="3" operator="equal">
      <formula>0</formula>
    </cfRule>
  </conditionalFormatting>
  <conditionalFormatting sqref="AB1485:AB1579">
    <cfRule type="cellIs" dxfId="94" priority="2" operator="equal">
      <formula>0</formula>
    </cfRule>
  </conditionalFormatting>
  <conditionalFormatting sqref="AB1580:AB1589">
    <cfRule type="cellIs" dxfId="93" priority="1" operator="equal">
      <formula>0</formula>
    </cfRule>
  </conditionalFormatting>
  <dataValidations xWindow="1445" yWindow="666" count="28"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6:P116">
      <formula1>#REF!</formula1>
    </dataValidation>
    <dataValidation allowBlank="1" showInputMessage="1" showErrorMessage="1" promptTitle="Вручную НЕ ЗАПОЛНЯТЬ:" prompt="Поле заполняется автоматически в соответствии с выбранным кодом ОКЕИ." sqref="G328:G802 G803:H803 G804:G837 G841:G842 G902:G907 G909 G917:G1053 G1057:G1198 G1200 G1202:G1589"/>
    <dataValidation type="textLength" allowBlank="1" showInputMessage="1" showErrorMessage="1" errorTitle="Неверно заполнено поле:" error="Значение поля не должно превышать 3000 символов." promptTitle="Заполните поле:" prompt="Предмет договора." sqref="D837 D16:D830 D841:D842 D832:D835 D902:D907 D917:D1039 D1042:D1056 D1058:D1199 D1201:D1589">
      <formula1>1</formula1>
      <formula2>3000</formula2>
    </dataValidation>
    <dataValidation type="list" allowBlank="1" showInputMessage="1" showErrorMessage="1" errorTitle="Значение задано не верно:" error="Значение поля должно соответствовать справочнику кодов ОКЕИ." promptTitle="Заполните поле:" prompt="Код по ОКЕИ." sqref="F70:F107 F118:F312 F314:F837 F16:F29 F841:F842 F907 F921:F991 F994:F1048 F1057 F1059:F1091 F1093:F1096 F1098 F1100:F1101 F1104:F1194 F1200 F1203:F1204 F1206:F1210 F1212:F1273">
      <formula1>океи</formula1>
    </dataValidation>
    <dataValidation type="list" allowBlank="1" showInputMessage="1" showErrorMessage="1" errorTitle="Ошибка ввода:" error="Значение поля должно соответствовать таблице кодов ОКЕИ." promptTitle="Заполните поле:" prompt="Введите код из справочника ОКЕИ." sqref="F30:F69 F108:F117 F313 F902:F906 F917:F920 F992:F993 F1049:F1053 F1058 F1092 F1097 F1099 F1102:F1103 F1202 F1195:F1198 F1205 F1211">
      <formula1>океи</formula1>
    </dataValidation>
    <dataValidation type="textLength" allowBlank="1" showInputMessage="1" showErrorMessage="1" errorTitle="Неверно задано значение поля:" error="Значение должно быть в цифровом формате, количество знаков не более 25  с 5 знаками после запятой." promptTitle="Заполните поле:" prompt="Кол-во (объем)." sqref="H240:H269 H272:H334 H16:H235 H361:H802 H804:H837 H841:H842 H902:H907 H917:H993 H995:H1589">
      <formula1>1</formula1>
      <formula2>31</formula2>
    </dataValidation>
    <dataValidation type="textLength" allowBlank="1" showInputMessage="1" showErrorMessage="1" errorTitle="Неверно задано значение поля:" error="Значение должно быть в цифровом формате, количество зхнаков не более 25." promptTitle="Заполните поле:" prompt="Кол-во (объем)." sqref="H236:H239 H270:H271 H335:H360 H994">
      <formula1>1</formula1>
      <formula2>25</formula2>
    </dataValidation>
    <dataValidation type="textLength" allowBlank="1" showInputMessage="1" showErrorMessage="1" errorTitle="Неверно заполнено поле:" error="Значение поля не должно превышать 3000 символов." promptTitle="Заполните поле:" prompt="Минимальные требования к закупаемым товарам (работам, услугам)." sqref="E16:E837 E841:E842 E902:E907 E917 E919:E1053 E1055:E1101 E1104:E1200 E1202:E1204 E1206:E1210 E1214:E1589">
      <formula1>1</formula1>
      <formula2>3000</formula2>
    </dataValidation>
    <dataValidation operator="greaterThanOrEqual" allowBlank="1" showInputMessage="1" showErrorMessage="1" errorTitle="Неверно задано поле:" error="Значение должно быть в цифровом формате, количество знаков не более 20." promptTitle="Заполните поле:" prompt="Начальная цена договора в формате - ХХХ,ХХ валюта _x000a_" sqref="K16:L22 Z416:Z417 K101:K436 Z404:Z413 L101:L837 N841:N842 N101:N837 N16:N22 K841:L842 Z324:Z337 Z339:Z340 K556:K837 K902:L907 N902:N907 N917:N1048 K917:L1048 K1050:L1053 N1050:N1053 N1055:N1194 K1055:L1194 K1196:L1200 N1196:N1200 N1203:N1589 Z1477 K1203:L1589"/>
    <dataValidation type="date" allowBlank="1" showInputMessage="1" showErrorMessage="1" errorTitle="Неверно указана дата:" error="Формат ввода должен быть - Месяц Год, пример: Январь 2015._x000a_Указанная дата должна находиться в пределах между датой начала плана и датой окончания плана." promptTitle="Заполните поле:" prompt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sqref="P320 O334 O16:O328 O361:O837 P773:P774 O902:O915 P906:P907 O943:O991 O998:O1001 O1003:O1012 P1069:P1070 O1014:O1021 O1023:O1048 O1058:P1058 O1049:P1055 P1056 P1059:P1065 O1056:O1057 P1088:P1101 O1059:O1105 P1187 O1129 O1110:O1122 O1132:O1187 O1124:O1126 P1195:P1204 P1184 P1219 O917:O941 O1190:O1224 O1226:O1273 P1265 P1134">
      <formula1>$D$4</formula1>
      <formula2>$D$5</formula2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240:P319 P321:P327 P333:P334 P395:P772 P775:P837 P841:P842 P902:P905 P917:P995 O992:O997 O1002 P1028:P1029 O1013 O1022 P1057 P1032:P1039 P1042:P1043 O1106:O1109 P1185:P1186 O1188:O1189 O1123 P1129 P1104:P1126 O1127:P1128 O1130:P1131 P1188:P1194 P1206:P1210 P1266:P1273 P1214:P1218 P1220:P1224 P1226:P1264 P1132:P1133 P1135:P1183">
      <formula1>C230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84:P190">
      <formula1>D173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91:P200">
      <formula1>D179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201:P213 P215:P239">
      <formula1>D188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214">
      <formula1>D206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17:P183 P996:P1027 P1030:P1031 P1040:P1041 P1044:P1048 P1066:P1068 P1071:P1087">
      <formula1>D108</formula1>
    </dataValidation>
    <dataValidation allowBlank="1" showInputMessage="1" showErrorMessage="1" errorTitle="Ошибка ввода" error="Необходимо выбрать из выпадающего списка" sqref="U416:U630 U341:U343 U347:U348 U353:U354 U356 U361:U373 U376 U16:U334 U385:U394"/>
    <dataValidation allowBlank="1" showInputMessage="1" showErrorMessage="1" errorTitle="Ошибка ввода" error="Основание должно быть выбрано из выпадающего списка пунктов Положения о закупках" sqref="X637:X638 X385:X394 X24 X37 X39 X46 X54 X59 X63:X64 X66:X68 X74:X81 X85 X88 X94 X16:X22 X254 X260:X264 X266 X269:X274 X277:X280 X282:X289 X303:X304 X96:X179 X181 X187 X189 X194 X199 X202 X204:X231 X341:X343 X347:X348 X353:X354 X356 X361:X373 X376 X416:X634 X306:X319"/>
    <dataValidation allowBlank="1" showInputMessage="1" showErrorMessage="1" promptTitle="Вручную НЕ ЗАПОЛНЯТЬ:" prompt="Поле заполняется автоматически в соответствии с выбранным кодом ОКАТО." sqref="J1011:J1589"/>
    <dataValidation type="list" allowBlank="1" showInputMessage="1" showErrorMessage="1" errorTitle="Неверно задано значение поля:" error="Код ОКАТО должен соответствовать списку кодов." promptTitle="Заполните поле:" prompt="Код по ОКАТО." sqref="I1011:I1104 I1222:I1273">
      <formula1>Данные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102:P1103 P1205">
      <formula1>D1095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212:P1213">
      <formula1>#REF!</formula1>
    </dataValidation>
    <dataValidation type="date" operator="greaterThanOrEqual" allowBlank="1" showInputMessage="1" showErrorMessage="1" errorTitle="Неверно задано значение:" error="Указанная дата должна находиться в пределах между датой начала плана и датой окончания плана. Перед заполнение проверьте заполнени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 проверьте заполнение поле &quot;дата начала плана закупок&quot; и &quot;дата окончания плана закупок&quot;." sqref="P1211">
      <formula1>D1205</formula1>
    </dataValidation>
    <dataValidation type="list" allowBlank="1" showInputMessage="1" showErrorMessage="1" errorTitle="Неверно задано значение поля:" error="Код ОКАТО должен соответствовать списку кодов." promptTitle="Заполните поле:" prompt="Код по ОКАТО." sqref="I1105:I1221">
      <formula1>$I$1104</formula1>
    </dataValidation>
    <dataValidation type="list" allowBlank="1" showInputMessage="1" showErrorMessage="1" sqref="M1011:M1048576">
      <formula1>Источник_112</formula1>
    </dataValidation>
    <dataValidation type="date" operator="greaterThanOrEqual" allowBlank="1" showInputMessage="1" showErrorMessage="1" errorTitle="Неверно задано значение:" error="Указанная дата должна быть не ранее даты начала плана закупок. Перед заполнением проверьте поле &quot;дата начала плана закупок&quot; и &quot;дата окончания плана закупок&quot;." promptTitle="Заполните поле:" prompt="Указанная дата должна быть не ранее даты начала плана закупок. Перед заполнением проверьте поля &quot;дата начала плана закупок&quot; и &quot;дата окончания плана закупок&quot;." sqref="P1225 P1274:P1299 P1301:P1312 P1314:P1589">
      <formula1>$D$4</formula1>
    </dataValidation>
    <dataValidation type="date" allowBlank="1" showInputMessage="1" showErrorMessage="1" errorTitle="Неверно указана дата:" error="Формат ввода должен быть - Месяц Год, пример: Январь 2015._x000a_Указанная дата должна находиться в пределах между датой начала плана и датой окончания плана." promptTitle="Заполните поле:" prompt="Указанная дата должна находиться в пределах между датой начала плана и датой окончания плана. Перед заполнением проверьте поля &quot;дата начала плана закупок&quot; и &quot;дата окончания плана закупок&quot;." sqref="O1274:O1589 O942 O1225 P1300 P1313">
      <formula1>$D$4</formula1>
      <formula2>$D$5</formula2>
    </dataValidation>
    <dataValidation allowBlank="1" sqref="B413:C413 B423:C423"/>
  </dataValidations>
  <hyperlinks>
    <hyperlink ref="B7" r:id="rId1"/>
    <hyperlink ref="Y728" r:id="rId2" display="http://webcust.etprf.ru/orm.web.browser/Participant/id/17912"/>
  </hyperlinks>
  <pageMargins left="0.25" right="0.25" top="0.75" bottom="0.75" header="0.3" footer="0.3"/>
  <pageSetup paperSize="8" fitToWidth="0" orientation="landscape"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xWindow="1445" yWindow="666" count="72">
        <x14:dataValidation type="list" allowBlank="1" showInputMessage="1" showErrorMessage="1">
          <x14:formula1>
            <xm:f>Справочно!$E$21:$E$45</xm:f>
          </x14:formula1>
          <xm:sqref>AB16:AB394 AB413:AB1413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'C:\Users\USER\Downloads\[ПЗ-2017 (2).xlsx]код окдп 2'!#REF!</xm:f>
          </x14:formula1>
          <xm:sqref>C361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'C:\Users\USER\Downloads\[ПЗ-2017 (2).xlsx]оквэд 2'!#REF!</xm:f>
          </x14:formula1>
          <xm:sqref>B328:C334 B361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'C:\Users\USER\Downloads\[Отдел 700_ИПЗ на 2017 год (1).xlsx]код окдп 2'!#REF!</xm:f>
          </x14:formula1>
          <xm:sqref>C335:C360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'C:\Users\USER\Downloads\[Отдел 700_ИПЗ на 2017 год (1).xlsx]оквэд 2'!#REF!</xm:f>
          </x14:formula1>
          <xm:sqref>B335:B360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'C:\Users\USER\Downloads\[ПЗ-2017.xlsx]код окдп 2'!#REF!</xm:f>
          </x14:formula1>
          <xm:sqref>C240:C246 C248:C269 C272:C305 C307:C322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'C:\Users\USER\Downloads\[ПЗ-2017.xlsx]оквэд 2'!#REF!</xm:f>
          </x14:formula1>
          <xm:sqref>C247 B240:B269 B272:B305 C323:C327 B307:B327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'X:\РПЗ 2017\[ПЛАН_ЗАКУПОК_2017_гр.оборуд.xlsx]код окдп 2'!#REF!</xm:f>
          </x14:formula1>
          <xm:sqref>C101:C214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'X:\РПЗ 2017\[ПЛАН_ЗАКУПОК_2017_гр.оборуд.xlsx]оквэд 2'!#REF!</xm:f>
          </x14:formula1>
          <xm:sqref>B101:B214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'C:\Users\USER\Downloads\[ИПЗ_2017.xlsx]оквэд 2'!#REF!</xm:f>
          </x14:formula1>
          <xm:sqref>B215:B234 B16:B100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'C:\Users\USER\Downloads\[ИПЗ_2017.xlsx]код окдп 2'!#REF!</xm:f>
          </x14:formula1>
          <xm:sqref>C215:C234 C16:C100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'C:\Users\USER\Downloads\[План закупок_2017_360.xlsx]код окдп 2'!#REF!</xm:f>
          </x14:formula1>
          <xm:sqref>C235:C239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'C:\Users\USER\Downloads\[План закупок_2017_360.xlsx]оквэд 2'!#REF!</xm:f>
          </x14:formula1>
          <xm:sqref>B235:B239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'C:\Users\USER\Downloads\[План закупок 920-2017 Новая форма.xlsx]оквэд 2'!#REF!</xm:f>
          </x14:formula1>
          <xm:sqref>B306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'C:\Users\USER\Downloads\[План закупок 920-2017 Новая форма.xlsx]код окдп 2'!#REF!</xm:f>
          </x14:formula1>
          <xm:sqref>C306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'C:\Users\USER\Downloads\март\[вероятно 630.xlsx]код окдп 2'!#REF!</xm:f>
          </x14:formula1>
          <xm:sqref>C830:C836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'C:\Users\USER\Downloads\март\[вероятно 630.xlsx]оквэд 2'!#REF!</xm:f>
          </x14:formula1>
          <xm:sqref>B830:B836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'C:\Users\USER\Downloads\[План закупок 2017.xlsx]оквэд 2'!#REF!</xm:f>
          </x14:formula1>
          <xm:sqref>B841:B842 B837 B395:B412 B414:B422 B424:B829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'C:\Users\USER\Downloads\[План закупок 2017.xlsx]код окдп 2'!#REF!</xm:f>
          </x14:formula1>
          <xm:sqref>C841:C842 C837 C395:C412 C414:C422 C424:C829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'C:\Users\USER\Downloads\март-апрель\[ИПЗ АПРЕЛЬ 2017.xlsx]код окдп 2'!#REF!</xm:f>
          </x14:formula1>
          <xm:sqref>C917:C920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'C:\Users\USER\Downloads\март-апрель\[ИПЗ АПРЕЛЬ 2017.xlsx]оквэд 2'!#REF!</xm:f>
          </x14:formula1>
          <xm:sqref>B917:B920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'C:\Users\USER\Downloads\[Шаблон плана закупок Фононы (1).xlsx]код окдп 2'!#REF!</xm:f>
          </x14:formula1>
          <xm:sqref>C912 C905:C907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'C:\Users\USER\Downloads\[Шаблон плана закупок Фононы (1).xlsx]оквэд 2'!#REF!</xm:f>
          </x14:formula1>
          <xm:sqref>B912 B905:B907</xm:sqref>
        </x14:dataValidation>
        <x14:dataValidation type="list" allowBlank="1" showInputMessage="1" showErrorMessage="1">
          <x14:formula1>
            <xm:f>Справочно!$E$16:$E$17</xm:f>
          </x14:formula1>
          <xm:sqref>R650:R920 AD16:AD920 R400:R401 R997 R963 R994 AD1485:AD1048576 R1011:R1048576</xm:sqref>
        </x14:dataValidation>
        <x14:dataValidation type="list" allowBlank="1" showInputMessage="1" showErrorMessage="1">
          <x14:formula1>
            <xm:f>'C:\I.O.Aksenov\Рабочий стол\планирование-отчетность\Положение о порядке планирования\Правки 01.11.16\[Форма РПЗ формы отчетов.XLSX]Справочно'!#REF!</xm:f>
          </x14:formula1>
          <xm:sqref>R964:R993 R921:R962 R995:R996 R998:R1010 AD921:AD1484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'C:\Users\USER\Desktop\Новая папка (3)\2017\[План закупок 2017.xlsx]код окдп 2'!#REF!</xm:f>
          </x14:formula1>
          <xm:sqref>C921:C991 C995:C1048 C1064:C1066 C1069:C1093 C1096 C1098 C1100:C1101 C1104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(3)\2017\[План закупок 2017.xlsx]оквэд 2'!#REF!</xm:f>
          </x14:formula1>
          <xm:sqref>B921:B991 B995:B1048 B1064:B1066 B1069:B1093 B1096 B1098 B1100:B1101 B1104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'F:\тане ПЗ\[Шаблон плана закупок металлоорганика.xlsx]оквэд 2'!#REF!</xm:f>
          </x14:formula1>
          <xm:sqref>B992:B993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'F:\тане ПЗ\[Шаблон плана закупок металлоорганика.xlsx]код окдп 2'!#REF!</xm:f>
          </x14:formula1>
          <xm:sqref>C992:C993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'C:\Users\USER\Downloads\шаблоны\[9 ПЗ на май 2016г..xlsx]код окдп 2'!#REF!</xm:f>
          </x14:formula1>
          <xm:sqref>C994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'C:\Users\USER\Downloads\шаблоны\[9 ПЗ на май 2016г..xlsx]оквэд 2'!#REF!</xm:f>
          </x14:formula1>
          <xm:sqref>B994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(3)\2017\июль\к 26 числу\[ИПЗ ИЮНЬ 2017.xlsx]оквэд 2'!#REF!</xm:f>
          </x14:formula1>
          <xm:sqref>B1102:B1103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'C:\Users\USER\Desktop\Новая папка (3)\2017\июль\к 26 числу\[ИПЗ ИЮНЬ 2017.xlsx]код окдп 2'!#REF!</xm:f>
          </x14:formula1>
          <xm:sqref>C1102:C1103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'C:\Users\USER\Downloads\[ИПЗ ИЮНЬ 2017.xlsx]код окдп 2'!#REF!</xm:f>
          </x14:formula1>
          <xm:sqref>C1094:C1095 C1097 C1099 C1067:C1068 C1051:C1056 C1059:C1063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'C:\Users\USER\Downloads\[ИПЗ ИЮНЬ 2017.xlsx]оквэд 2'!#REF!</xm:f>
          </x14:formula1>
          <xm:sqref>B1094:B1095 B1097 B1099 B1067:B1068 C1050 B1050:B1056 B1058:B1063 C1058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'X:\ПЛАН ЗАКУПОК\2017\[ИПЗ МАРТ 2017.xlsx]оквэд 2'!#REF!</xm:f>
          </x14:formula1>
          <xm:sqref>B1057 B1200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'X:\ПЛАН ЗАКУПОК\2017\[ИПЗ МАРТ 2017.xlsx]код окдп 2'!#REF!</xm:f>
          </x14:formula1>
          <xm:sqref>C1057 C1200</xm:sqref>
        </x14:dataValidation>
        <x14:dataValidation type="list" allowBlank="1" showInputMessage="1" showErrorMessage="1">
          <x14:formula1>
            <xm:f>Справочно!$C$3:$C$9</xm:f>
          </x14:formula1>
          <xm:sqref>V424:V1104 V16:V412 V414:V420 V422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'X:\ПЛАН ЗАКУПОК\2017\[ИПЗ ИЮЛЬ 2017.xlsx]оквэд 2'!#REF!</xm:f>
          </x14:formula1>
          <xm:sqref>C1214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'\\bk556-3\ОБМЕН\В план\[ИПЗ Внесение.xlsx]оквэд 2'!#REF!</xm:f>
          </x14:formula1>
          <xm:sqref>B1211:B1213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'\\bk556-3\ОБМЕН\В план\[ИПЗ Внесение.xlsx]код окдп 2'!#REF!</xm:f>
          </x14:formula1>
          <xm:sqref>C1211:C1213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'\\bk556-3\ОБМЕН\В план\[ИПЗ Внесение ЕП.xlsx]оквэд 2'!#REF!</xm:f>
          </x14:formula1>
          <xm:sqref>B1205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'\\bk556-3\ОБМЕН\В план\[ИПЗ Внесение ЕП.xlsx]код окдп 2'!#REF!</xm:f>
          </x14:formula1>
          <xm:sqref>C1205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'\\bk556-3\ОБМЕН\В план\[ИПЗ АВГУСТ 2017.xlsx]код окдп 2'!#REF!</xm:f>
          </x14:formula1>
          <xm:sqref>C1197:C1198 C1203:C1204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'\\bk556-3\ОБМЕН\В план\[ИПЗ АВГУСТ 2017.xlsx]оквэд 2'!#REF!</xm:f>
          </x14:formula1>
          <xm:sqref>C1199 B1203:B1204 B1197:B1199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'X:\ПЛАН ЗАКУПОК\2017\[ИПЗ ИЮНЬ 2017.xlsx]оквэд 2'!#REF!</xm:f>
          </x14:formula1>
          <xm:sqref>B1201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'X:\ПЛАН ЗАКУПОК\2017\[ИПЗ ИЮНЬ 2017.xlsx]код окдп 2'!#REF!</xm:f>
          </x14:formula1>
          <xm:sqref>C1201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'X:\ПЛАН ЗАКУПОК\2017\[ИПЗ_2017.xlsx]оквэд 2'!#REF!</xm:f>
          </x14:formula1>
          <xm:sqref>B1202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'X:\ПЛАН ЗАКУПОК\2017\[ИПЗ_2017.xlsx]код окдп 2'!#REF!</xm:f>
          </x14:formula1>
          <xm:sqref>C1202</xm:sqref>
        </x14:dataValidation>
        <x14:dataValidation type="list" allowBlank="1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(3)\2017\[План закупок.xlsx]оквэд 2'!#REF!</xm:f>
          </x14:formula1>
          <xm:sqref>B1105:B1194 B1206:B1210 C1219 B1214:B1273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ДП2.">
          <x14:formula1>
            <xm:f>'C:\Users\USER\Desktop\Новая папка (3)\2017\[План закупок.xlsx]код окдп 2'!#REF!</xm:f>
          </x14:formula1>
          <xm:sqref>C1105:C1194 C1206:C1210 C1215:C1218 C1220:C1273</xm:sqref>
        </x14:dataValidation>
        <x14:dataValidation type="list" allowBlank="1" showInputMessage="1" showErrorMessage="1">
          <x14:formula1>
            <xm:f>Справочно!$K$3:$K$99</xm:f>
          </x14:formula1>
          <xm:sqref>M954 M739 M772:M773 M1004 M42:M43 M57:M58 M37 M406 M825 M951</xm:sqref>
        </x14:dataValidation>
        <x14:dataValidation type="list" allowBlank="1" showInputMessage="1" showErrorMessage="1">
          <x14:formula1>
            <xm:f>Справочно!$G$3:$G$54</xm:f>
          </x14:formula1>
          <xm:sqref>W16:W1048576</xm:sqref>
        </x14:dataValidation>
        <x14:dataValidation type="list" allowBlank="1" showInputMessage="1" showErrorMessage="1">
          <x14:formula1>
            <xm:f>Справочно!$C$3:$C$8</xm:f>
          </x14:formula1>
          <xm:sqref>V1105:V1048576 V423 V413 V421</xm:sqref>
        </x14:dataValidation>
        <x14:dataValidation type="list" allowBlank="1" showInputMessage="1" showErrorMessage="1">
          <x14:formula1>
            <xm:f>Справочно!$C$12:$C$33</xm:f>
          </x14:formula1>
          <xm:sqref>Q16:Q1048576</xm:sqref>
        </x14:dataValidation>
        <x14:dataValidation type="list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(3)\2017\[План закупок 2017.xlsx]оквэд 2'!#REF!</xm:f>
          </x14:formula1>
          <xm:sqref>B1274:B1396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'C:\Users\USER\Desktop\Новая папка (3)\2017\[План закупок 2017.xlsx]окпд 2'!#REF!</xm:f>
          </x14:formula1>
          <xm:sqref>C1274:C1396</xm:sqref>
        </x14:dataValidation>
        <x14:dataValidation type="list" allowBlank="1" showInputMessage="1" showErrorMessage="1" errorTitle="Неверно задано значение поля:" error="Код ОКАТО должен соответствовать списку кодов." promptTitle="Заполните поле:" prompt="Код по ОКАТО.">
          <x14:formula1>
            <xm:f>'C:\Users\USER\Desktop\Новая папка (3)\2017\[План закупок 2017.xlsx]регион'!#REF!</xm:f>
          </x14:formula1>
          <xm:sqref>I1274:I1396</xm:sqref>
        </x14:dataValidation>
        <x14:dataValidation type="list" allowBlank="1" showInputMessage="1" showErrorMessage="1" errorTitle="Значение задано не верно:" error="Значение поля должно соответствовать справочнику кодов ОКЕИ." promptTitle="Заполните поле:" prompt="Код по ОКЕИ.">
          <x14:formula1>
            <xm:f>'C:\Users\USER\Desktop\Новая папка (3)\2017\[План закупок 2017.xlsx]код океи'!#REF!</xm:f>
          </x14:formula1>
          <xm:sqref>F1274:F1396</xm:sqref>
        </x14:dataValidation>
        <x14:dataValidation type="list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(3)\2017\[План закупок 2017.xlsx]оквэд 2'!#REF!</xm:f>
          </x14:formula1>
          <xm:sqref>B1397:B1484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'C:\Users\USER\Desktop\Новая папка (3)\2017\[План закупок 2017.xlsx]окпд 2'!#REF!</xm:f>
          </x14:formula1>
          <xm:sqref>C1397:C1484</xm:sqref>
        </x14:dataValidation>
        <x14:dataValidation type="list" allowBlank="1" showInputMessage="1" showErrorMessage="1" errorTitle="Неверно задано значение поля:" error="Код ОКАТО должен соответствовать списку кодов." promptTitle="Заполните поле:" prompt="Код по ОКАТО.">
          <x14:formula1>
            <xm:f>'C:\Users\USER\Desktop\Новая папка (3)\2017\[План закупок 2017.xlsx]регион'!#REF!</xm:f>
          </x14:formula1>
          <xm:sqref>I1397:I1484</xm:sqref>
        </x14:dataValidation>
        <x14:dataValidation type="list" allowBlank="1" showInputMessage="1" showErrorMessage="1" errorTitle="Значение задано не верно:" error="Значение поля должно соответствовать справочнику кодов ОКЕИ." promptTitle="Заполните поле:" prompt="Код по ОКЕИ.">
          <x14:formula1>
            <xm:f>'C:\Users\USER\Desktop\Новая папка (3)\2017\[План закупок 2017.xlsx]код океи'!#REF!</xm:f>
          </x14:formula1>
          <xm:sqref>F1397:F1484</xm:sqref>
        </x14:dataValidation>
        <x14:dataValidation type="list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(3)\2017\[План закупок 2017.xlsx]оквэд 2'!#REF!</xm:f>
          </x14:formula1>
          <xm:sqref>B1485:B1579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'C:\Users\USER\Desktop\Новая папка (3)\2017\[План закупок 2017.xlsx]окпд 2'!#REF!</xm:f>
          </x14:formula1>
          <xm:sqref>C1485:C1579</xm:sqref>
        </x14:dataValidation>
        <x14:dataValidation type="list" allowBlank="1" showInputMessage="1" showErrorMessage="1" errorTitle="Неверно задано значение поля:" error="Код ОКАТО должен соответствовать списку кодов." promptTitle="Заполните поле:" prompt="Код по ОКАТО.">
          <x14:formula1>
            <xm:f>'C:\Users\USER\Desktop\Новая папка (3)\2017\[План закупок 2017.xlsx]регион'!#REF!</xm:f>
          </x14:formula1>
          <xm:sqref>I1485:I1579</xm:sqref>
        </x14:dataValidation>
        <x14:dataValidation type="list" allowBlank="1" showInputMessage="1" showErrorMessage="1" errorTitle="Значение задано не верно:" error="Значение поля должно соответствовать справочнику кодов ОКЕИ." promptTitle="Заполните поле:" prompt="Код по ОКЕИ.">
          <x14:formula1>
            <xm:f>'C:\Users\USER\Desktop\Новая папка (3)\2017\[План закупок 2017.xlsx]код океи'!#REF!</xm:f>
          </x14:formula1>
          <xm:sqref>F1485:F1579</xm:sqref>
        </x14:dataValidation>
        <x14:dataValidation type="list" showInputMessage="1" showErrorMessage="1" errorTitle="Не задано поле:" error="Значение поля должно соответствовать таблице кодов ОКВЭД2." promptTitle="Заполните поле:" prompt="Введите код из справочника ОКВЭД2.">
          <x14:formula1>
            <xm:f>'C:\Users\USER\Desktop\Новая папка (3)\2017\[План закупок 2017.xlsx]оквэд 2'!#REF!</xm:f>
          </x14:formula1>
          <xm:sqref>B1580:B1589</xm:sqref>
        </x14:dataValidation>
        <x14:dataValidation type="list" allowBlank="1" showInputMessage="1" showErrorMessage="1" errorTitle="Ошибка ввода:" error="Значение поля должно соответствовать таблице кодов ОКПД2." promptTitle="Заполните поле:" prompt="Введите код из справочника ОКПД2.">
          <x14:formula1>
            <xm:f>'C:\Users\USER\Desktop\Новая папка (3)\2017\[План закупок 2017.xlsx]окпд 2'!#REF!</xm:f>
          </x14:formula1>
          <xm:sqref>C1580:C1589</xm:sqref>
        </x14:dataValidation>
        <x14:dataValidation type="list" allowBlank="1" showInputMessage="1" showErrorMessage="1" errorTitle="Неверно задано значение поля:" error="Код ОКАТО должен соответствовать списку кодов." promptTitle="Заполните поле:" prompt="Код по ОКАТО.">
          <x14:formula1>
            <xm:f>'C:\Users\USER\Desktop\Новая папка (3)\2017\[План закупок 2017.xlsx]регион'!#REF!</xm:f>
          </x14:formula1>
          <xm:sqref>I1580:I1589</xm:sqref>
        </x14:dataValidation>
        <x14:dataValidation type="list" allowBlank="1" showInputMessage="1" showErrorMessage="1" errorTitle="Значение задано не верно:" error="Значение поля должно соответствовать справочнику кодов ОКЕИ." promptTitle="Заполните поле:" prompt="Код по ОКЕИ.">
          <x14:formula1>
            <xm:f>'C:\Users\USER\Desktop\Новая папка (3)\2017\[План закупок 2017.xlsx]код океи'!#REF!</xm:f>
          </x14:formula1>
          <xm:sqref>F1580:F1589</xm:sqref>
        </x14:dataValidation>
        <x14:dataValidation type="list" allowBlank="1" showInputMessage="1" showErrorMessage="1" errorTitle="Неверно указано значение:" error="Значение в поле должно соответствовать списку способов закупки." promptTitle="Заполните поле:" prompt="Выберите способ закупки из списка.">
          <x14:formula1>
            <xm:f>'C:\Users\USER\Desktop\Новая папка (3)\2017\[План закупок 2017.xlsx]тип извещения'!#REF!</xm:f>
          </x14:formula1>
          <xm:sqref>T1580:T1589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5"/>
  <sheetViews>
    <sheetView workbookViewId="0">
      <selection activeCell="W16" sqref="W16"/>
    </sheetView>
  </sheetViews>
  <sheetFormatPr defaultRowHeight="15" x14ac:dyDescent="0.25"/>
  <cols>
    <col min="1" max="1" width="18.5703125" customWidth="1"/>
    <col min="2" max="3" width="11.42578125" customWidth="1"/>
    <col min="4" max="4" width="26" customWidth="1"/>
    <col min="5" max="5" width="21.140625" customWidth="1"/>
    <col min="6" max="6" width="11.42578125" customWidth="1"/>
    <col min="7" max="7" width="13.7109375" customWidth="1"/>
    <col min="8" max="9" width="11.42578125" customWidth="1"/>
    <col min="10" max="10" width="13.5703125" customWidth="1"/>
    <col min="11" max="11" width="20" customWidth="1"/>
    <col min="12" max="12" width="23.140625" customWidth="1"/>
    <col min="13" max="13" width="15.140625" customWidth="1"/>
    <col min="14" max="14" width="16" customWidth="1"/>
    <col min="15" max="15" width="22" customWidth="1"/>
    <col min="16" max="18" width="12.42578125" customWidth="1"/>
    <col min="19" max="19" width="13.85546875" customWidth="1"/>
    <col min="20" max="20" width="22.5703125" customWidth="1"/>
    <col min="21" max="21" width="21.7109375" customWidth="1"/>
    <col min="22" max="22" width="12.42578125" customWidth="1"/>
    <col min="23" max="24" width="14.7109375" customWidth="1"/>
    <col min="25" max="27" width="13.85546875" customWidth="1"/>
    <col min="28" max="28" width="32.7109375" bestFit="1" customWidth="1"/>
    <col min="29" max="29" width="17.7109375" customWidth="1"/>
  </cols>
  <sheetData>
    <row r="2" spans="1:29" ht="15" customHeight="1" x14ac:dyDescent="0.25">
      <c r="A2" s="14"/>
      <c r="B2" s="1086" t="s">
        <v>604</v>
      </c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  <c r="Q2" s="1086"/>
      <c r="R2" s="1086"/>
      <c r="S2" s="14"/>
      <c r="T2" s="128"/>
      <c r="U2" s="128"/>
      <c r="V2" s="14"/>
      <c r="W2" s="14"/>
      <c r="X2" s="14"/>
      <c r="Y2" s="14"/>
      <c r="Z2" s="14"/>
      <c r="AA2" s="14"/>
      <c r="AB2" s="14"/>
      <c r="AC2" s="14"/>
    </row>
    <row r="3" spans="1:29" ht="15.75" customHeight="1" thickBot="1" x14ac:dyDescent="0.3">
      <c r="A3" s="14"/>
      <c r="B3" s="1086" t="s">
        <v>0</v>
      </c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4"/>
      <c r="T3" s="128"/>
      <c r="U3" s="128"/>
      <c r="V3" s="14"/>
      <c r="W3" s="14"/>
      <c r="X3" s="14"/>
      <c r="Y3" s="14"/>
      <c r="Z3" s="14"/>
      <c r="AA3" s="14"/>
      <c r="AB3" s="14"/>
      <c r="AC3" s="14"/>
    </row>
    <row r="4" spans="1:29" ht="27.75" customHeight="1" x14ac:dyDescent="0.25">
      <c r="A4" s="6" t="s">
        <v>1</v>
      </c>
      <c r="B4" s="1087"/>
      <c r="C4" s="1088"/>
    </row>
    <row r="5" spans="1:29" ht="38.25" x14ac:dyDescent="0.25">
      <c r="A5" s="7" t="s">
        <v>2</v>
      </c>
      <c r="B5" s="1082"/>
      <c r="C5" s="1083"/>
    </row>
    <row r="6" spans="1:29" ht="15" customHeight="1" x14ac:dyDescent="0.25">
      <c r="A6" s="7" t="s">
        <v>3</v>
      </c>
      <c r="B6" s="1082"/>
      <c r="C6" s="1083"/>
    </row>
    <row r="7" spans="1:29" ht="25.5" x14ac:dyDescent="0.25">
      <c r="A7" s="7" t="s">
        <v>4</v>
      </c>
      <c r="B7" s="1082"/>
      <c r="C7" s="1083"/>
    </row>
    <row r="8" spans="1:29" x14ac:dyDescent="0.25">
      <c r="A8" s="7" t="s">
        <v>5</v>
      </c>
      <c r="B8" s="1082"/>
      <c r="C8" s="1083"/>
    </row>
    <row r="9" spans="1:29" x14ac:dyDescent="0.25">
      <c r="A9" s="7" t="s">
        <v>6</v>
      </c>
      <c r="B9" s="1082"/>
      <c r="C9" s="1083"/>
    </row>
    <row r="10" spans="1:29" ht="15.75" thickBot="1" x14ac:dyDescent="0.3">
      <c r="A10" s="8" t="s">
        <v>7</v>
      </c>
      <c r="B10" s="1084"/>
      <c r="C10" s="1085"/>
    </row>
    <row r="11" spans="1:29" ht="15.75" thickBot="1" x14ac:dyDescent="0.3"/>
    <row r="12" spans="1:29" ht="15.75" customHeight="1" thickBot="1" x14ac:dyDescent="0.3">
      <c r="A12" s="1075" t="s">
        <v>213</v>
      </c>
      <c r="B12" s="1077" t="s">
        <v>613</v>
      </c>
      <c r="C12" s="1077" t="s">
        <v>612</v>
      </c>
      <c r="D12" s="1067" t="s">
        <v>8</v>
      </c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  <c r="O12" s="1079"/>
      <c r="P12" s="1068"/>
      <c r="Q12" s="1077" t="s">
        <v>9</v>
      </c>
      <c r="R12" s="1077" t="s">
        <v>10</v>
      </c>
      <c r="S12" s="1075" t="s">
        <v>11</v>
      </c>
      <c r="T12" s="1075" t="s">
        <v>262</v>
      </c>
      <c r="U12" s="1075" t="s">
        <v>156</v>
      </c>
      <c r="V12" s="1069" t="s">
        <v>12</v>
      </c>
      <c r="W12" s="1071" t="s">
        <v>109</v>
      </c>
      <c r="X12" s="1072"/>
      <c r="Y12" s="1072"/>
      <c r="Z12" s="1072"/>
      <c r="AA12" s="1075" t="s">
        <v>14</v>
      </c>
      <c r="AB12" s="1075" t="s">
        <v>263</v>
      </c>
      <c r="AC12" s="1075" t="s">
        <v>212</v>
      </c>
    </row>
    <row r="13" spans="1:29" ht="41.25" customHeight="1" thickBot="1" x14ac:dyDescent="0.3">
      <c r="A13" s="1076"/>
      <c r="B13" s="1078"/>
      <c r="C13" s="1078"/>
      <c r="D13" s="1077" t="s">
        <v>15</v>
      </c>
      <c r="E13" s="1077" t="s">
        <v>16</v>
      </c>
      <c r="F13" s="1067" t="s">
        <v>17</v>
      </c>
      <c r="G13" s="1068"/>
      <c r="H13" s="1077" t="s">
        <v>18</v>
      </c>
      <c r="I13" s="1067" t="s">
        <v>19</v>
      </c>
      <c r="J13" s="1068"/>
      <c r="K13" s="1077" t="s">
        <v>32</v>
      </c>
      <c r="L13" s="1075" t="s">
        <v>294</v>
      </c>
      <c r="M13" s="1075" t="s">
        <v>20</v>
      </c>
      <c r="N13" s="1075" t="s">
        <v>293</v>
      </c>
      <c r="O13" s="1067" t="s">
        <v>21</v>
      </c>
      <c r="P13" s="1068"/>
      <c r="Q13" s="1078"/>
      <c r="R13" s="1080"/>
      <c r="S13" s="1076"/>
      <c r="T13" s="1081"/>
      <c r="U13" s="1081"/>
      <c r="V13" s="1070"/>
      <c r="W13" s="1073"/>
      <c r="X13" s="1074"/>
      <c r="Y13" s="1074"/>
      <c r="Z13" s="1074"/>
      <c r="AA13" s="1076"/>
      <c r="AB13" s="1076"/>
      <c r="AC13" s="1076"/>
    </row>
    <row r="14" spans="1:29" ht="77.25" thickBot="1" x14ac:dyDescent="0.3">
      <c r="A14" s="1076"/>
      <c r="B14" s="1078"/>
      <c r="C14" s="1078"/>
      <c r="D14" s="1078"/>
      <c r="E14" s="1078"/>
      <c r="F14" s="10" t="s">
        <v>159</v>
      </c>
      <c r="G14" s="10" t="s">
        <v>22</v>
      </c>
      <c r="H14" s="1078"/>
      <c r="I14" s="10" t="s">
        <v>23</v>
      </c>
      <c r="J14" s="10" t="s">
        <v>22</v>
      </c>
      <c r="K14" s="1078"/>
      <c r="L14" s="1076"/>
      <c r="M14" s="1076"/>
      <c r="N14" s="1076"/>
      <c r="O14" s="10" t="s">
        <v>63</v>
      </c>
      <c r="P14" s="10" t="s">
        <v>24</v>
      </c>
      <c r="Q14" s="1078"/>
      <c r="R14" s="10" t="s">
        <v>25</v>
      </c>
      <c r="S14" s="1076"/>
      <c r="T14" s="127" t="s">
        <v>211</v>
      </c>
      <c r="U14" s="127" t="s">
        <v>228</v>
      </c>
      <c r="V14" s="1070"/>
      <c r="W14" s="126" t="s">
        <v>13</v>
      </c>
      <c r="X14" s="126" t="s">
        <v>207</v>
      </c>
      <c r="Y14" s="126" t="s">
        <v>206</v>
      </c>
      <c r="Z14" s="127" t="s">
        <v>26</v>
      </c>
      <c r="AA14" s="1076"/>
      <c r="AB14" s="1076"/>
      <c r="AC14" s="1076"/>
    </row>
    <row r="15" spans="1:29" ht="15.75" thickBot="1" x14ac:dyDescent="0.3">
      <c r="A15" s="11" t="s">
        <v>119</v>
      </c>
      <c r="B15" s="12" t="s">
        <v>120</v>
      </c>
      <c r="C15" s="12" t="s">
        <v>121</v>
      </c>
      <c r="D15" s="12" t="s">
        <v>122</v>
      </c>
      <c r="E15" s="12" t="s">
        <v>123</v>
      </c>
      <c r="F15" s="12" t="s">
        <v>124</v>
      </c>
      <c r="G15" s="12" t="s">
        <v>125</v>
      </c>
      <c r="H15" s="12" t="s">
        <v>126</v>
      </c>
      <c r="I15" s="12" t="s">
        <v>127</v>
      </c>
      <c r="J15" s="12" t="s">
        <v>128</v>
      </c>
      <c r="K15" s="12" t="s">
        <v>129</v>
      </c>
      <c r="L15" s="11" t="s">
        <v>27</v>
      </c>
      <c r="M15" s="11" t="s">
        <v>28</v>
      </c>
      <c r="N15" s="11" t="s">
        <v>165</v>
      </c>
      <c r="O15" s="12" t="s">
        <v>130</v>
      </c>
      <c r="P15" s="12" t="s">
        <v>131</v>
      </c>
      <c r="Q15" s="12" t="s">
        <v>132</v>
      </c>
      <c r="R15" s="12" t="s">
        <v>133</v>
      </c>
      <c r="S15" s="13" t="s">
        <v>141</v>
      </c>
      <c r="T15" s="11" t="s">
        <v>295</v>
      </c>
      <c r="U15" s="11" t="s">
        <v>142</v>
      </c>
      <c r="V15" s="25" t="s">
        <v>143</v>
      </c>
      <c r="W15" s="13" t="s">
        <v>296</v>
      </c>
      <c r="X15" s="13" t="s">
        <v>297</v>
      </c>
      <c r="Y15" s="13" t="s">
        <v>298</v>
      </c>
      <c r="Z15" s="13" t="s">
        <v>144</v>
      </c>
      <c r="AA15" s="13" t="s">
        <v>145</v>
      </c>
      <c r="AB15" s="13" t="s">
        <v>146</v>
      </c>
      <c r="AC15" s="13" t="s">
        <v>157</v>
      </c>
    </row>
    <row r="16" spans="1:29" ht="15" customHeight="1" thickBot="1" x14ac:dyDescent="0.3">
      <c r="A16" s="104"/>
      <c r="B16" s="26"/>
      <c r="C16" s="26"/>
      <c r="D16" s="27"/>
      <c r="E16" s="27"/>
      <c r="F16" s="26"/>
      <c r="G16" s="27"/>
      <c r="H16" s="26"/>
      <c r="I16" s="26"/>
      <c r="J16" s="26"/>
      <c r="K16" s="114"/>
      <c r="L16" s="113"/>
      <c r="M16" s="28"/>
      <c r="N16" s="113"/>
      <c r="O16" s="29"/>
      <c r="P16" s="26"/>
      <c r="Q16" s="30"/>
      <c r="R16" s="30"/>
      <c r="S16" s="28"/>
      <c r="T16" s="31"/>
      <c r="U16" s="32"/>
      <c r="V16" s="33"/>
      <c r="W16" s="31"/>
      <c r="X16" s="28"/>
      <c r="Y16" s="28"/>
      <c r="Z16" s="28"/>
      <c r="AA16" s="28"/>
      <c r="AB16" s="117"/>
      <c r="AC16" s="34"/>
    </row>
    <row r="17" spans="1:29" ht="15" customHeight="1" thickBot="1" x14ac:dyDescent="0.3">
      <c r="A17" s="104"/>
      <c r="B17" s="26"/>
      <c r="C17" s="26"/>
      <c r="D17" s="27"/>
      <c r="E17" s="27"/>
      <c r="F17" s="26"/>
      <c r="G17" s="27"/>
      <c r="H17" s="26"/>
      <c r="I17" s="26"/>
      <c r="J17" s="26"/>
      <c r="K17" s="114"/>
      <c r="L17" s="113"/>
      <c r="M17" s="28"/>
      <c r="N17" s="113"/>
      <c r="O17" s="29"/>
      <c r="P17" s="26"/>
      <c r="Q17" s="30"/>
      <c r="R17" s="30"/>
      <c r="S17" s="28"/>
      <c r="T17" s="31"/>
      <c r="U17" s="32"/>
      <c r="V17" s="33"/>
      <c r="W17" s="31"/>
      <c r="X17" s="28"/>
      <c r="Y17" s="28"/>
      <c r="Z17" s="28"/>
      <c r="AA17" s="28"/>
      <c r="AB17" s="117"/>
      <c r="AC17" s="34"/>
    </row>
    <row r="18" spans="1:29" ht="15" customHeight="1" thickBot="1" x14ac:dyDescent="0.3">
      <c r="A18" s="104"/>
      <c r="B18" s="26"/>
      <c r="C18" s="26"/>
      <c r="D18" s="27"/>
      <c r="E18" s="27"/>
      <c r="F18" s="26"/>
      <c r="G18" s="27"/>
      <c r="H18" s="26"/>
      <c r="I18" s="26"/>
      <c r="J18" s="26"/>
      <c r="K18" s="114"/>
      <c r="L18" s="113"/>
      <c r="M18" s="28"/>
      <c r="N18" s="113"/>
      <c r="O18" s="29"/>
      <c r="P18" s="26"/>
      <c r="Q18" s="30"/>
      <c r="R18" s="30"/>
      <c r="S18" s="28"/>
      <c r="T18" s="31"/>
      <c r="U18" s="32"/>
      <c r="V18" s="33"/>
      <c r="W18" s="31"/>
      <c r="X18" s="28"/>
      <c r="Y18" s="28"/>
      <c r="Z18" s="28"/>
      <c r="AA18" s="28"/>
      <c r="AB18" s="117"/>
      <c r="AC18" s="34"/>
    </row>
    <row r="19" spans="1:29" ht="15" customHeight="1" thickBot="1" x14ac:dyDescent="0.3">
      <c r="A19" s="104"/>
      <c r="B19" s="26"/>
      <c r="C19" s="26"/>
      <c r="D19" s="27"/>
      <c r="E19" s="27"/>
      <c r="F19" s="26"/>
      <c r="G19" s="27"/>
      <c r="H19" s="26"/>
      <c r="I19" s="26"/>
      <c r="J19" s="26"/>
      <c r="K19" s="114"/>
      <c r="L19" s="113"/>
      <c r="M19" s="28"/>
      <c r="N19" s="113"/>
      <c r="O19" s="29"/>
      <c r="P19" s="26"/>
      <c r="Q19" s="30"/>
      <c r="R19" s="30"/>
      <c r="S19" s="28"/>
      <c r="T19" s="31"/>
      <c r="U19" s="32"/>
      <c r="V19" s="33"/>
      <c r="W19" s="31"/>
      <c r="X19" s="28"/>
      <c r="Y19" s="28"/>
      <c r="Z19" s="28"/>
      <c r="AA19" s="28"/>
      <c r="AB19" s="117"/>
      <c r="AC19" s="34"/>
    </row>
    <row r="20" spans="1:29" ht="15" customHeight="1" thickBot="1" x14ac:dyDescent="0.3">
      <c r="A20" s="104"/>
      <c r="B20" s="26"/>
      <c r="C20" s="26"/>
      <c r="D20" s="27"/>
      <c r="E20" s="27"/>
      <c r="F20" s="26"/>
      <c r="G20" s="27"/>
      <c r="H20" s="26"/>
      <c r="I20" s="26"/>
      <c r="J20" s="26"/>
      <c r="K20" s="114"/>
      <c r="L20" s="113"/>
      <c r="M20" s="28"/>
      <c r="N20" s="113"/>
      <c r="O20" s="29"/>
      <c r="P20" s="26"/>
      <c r="Q20" s="30"/>
      <c r="R20" s="30"/>
      <c r="S20" s="28"/>
      <c r="T20" s="31"/>
      <c r="U20" s="32"/>
      <c r="V20" s="33"/>
      <c r="W20" s="31"/>
      <c r="X20" s="28"/>
      <c r="Y20" s="28"/>
      <c r="Z20" s="28"/>
      <c r="AA20" s="28"/>
      <c r="AB20" s="117"/>
      <c r="AC20" s="34"/>
    </row>
    <row r="21" spans="1:29" ht="15" customHeight="1" thickBot="1" x14ac:dyDescent="0.3">
      <c r="A21" s="104"/>
      <c r="B21" s="26"/>
      <c r="C21" s="26"/>
      <c r="D21" s="27"/>
      <c r="E21" s="27"/>
      <c r="F21" s="26"/>
      <c r="G21" s="27"/>
      <c r="H21" s="26"/>
      <c r="I21" s="26"/>
      <c r="J21" s="26"/>
      <c r="K21" s="114"/>
      <c r="L21" s="113"/>
      <c r="M21" s="28"/>
      <c r="N21" s="113"/>
      <c r="O21" s="29"/>
      <c r="P21" s="26"/>
      <c r="Q21" s="30"/>
      <c r="R21" s="30"/>
      <c r="S21" s="28"/>
      <c r="T21" s="31"/>
      <c r="U21" s="32"/>
      <c r="V21" s="33"/>
      <c r="W21" s="31"/>
      <c r="X21" s="28"/>
      <c r="Y21" s="28"/>
      <c r="Z21" s="28"/>
      <c r="AA21" s="28"/>
      <c r="AB21" s="117"/>
      <c r="AC21" s="34"/>
    </row>
    <row r="22" spans="1:29" ht="15" customHeight="1" thickBot="1" x14ac:dyDescent="0.3">
      <c r="A22" s="104"/>
      <c r="B22" s="26"/>
      <c r="C22" s="26"/>
      <c r="D22" s="27"/>
      <c r="E22" s="27"/>
      <c r="F22" s="26"/>
      <c r="G22" s="27"/>
      <c r="H22" s="26"/>
      <c r="I22" s="26"/>
      <c r="J22" s="26"/>
      <c r="K22" s="114"/>
      <c r="L22" s="113"/>
      <c r="M22" s="28"/>
      <c r="N22" s="113"/>
      <c r="O22" s="29"/>
      <c r="P22" s="26"/>
      <c r="Q22" s="30"/>
      <c r="R22" s="30"/>
      <c r="S22" s="28"/>
      <c r="T22" s="31"/>
      <c r="U22" s="32"/>
      <c r="V22" s="33"/>
      <c r="W22" s="31"/>
      <c r="X22" s="28"/>
      <c r="Y22" s="28"/>
      <c r="Z22" s="28"/>
      <c r="AA22" s="28"/>
      <c r="AB22" s="117"/>
      <c r="AC22" s="34"/>
    </row>
    <row r="23" spans="1:29" ht="15" customHeight="1" thickBot="1" x14ac:dyDescent="0.3">
      <c r="A23" s="104"/>
      <c r="B23" s="26"/>
      <c r="C23" s="26"/>
      <c r="D23" s="27"/>
      <c r="E23" s="27"/>
      <c r="F23" s="26"/>
      <c r="G23" s="27"/>
      <c r="H23" s="26"/>
      <c r="I23" s="26"/>
      <c r="J23" s="26"/>
      <c r="K23" s="114"/>
      <c r="L23" s="113"/>
      <c r="M23" s="28"/>
      <c r="N23" s="113"/>
      <c r="O23" s="29"/>
      <c r="P23" s="26"/>
      <c r="Q23" s="30"/>
      <c r="R23" s="30"/>
      <c r="S23" s="28"/>
      <c r="T23" s="31"/>
      <c r="U23" s="32"/>
      <c r="V23" s="33"/>
      <c r="W23" s="31"/>
      <c r="X23" s="28"/>
      <c r="Y23" s="28"/>
      <c r="Z23" s="28"/>
      <c r="AA23" s="28"/>
      <c r="AB23" s="117"/>
      <c r="AC23" s="34"/>
    </row>
    <row r="24" spans="1:29" ht="15" customHeight="1" thickBot="1" x14ac:dyDescent="0.3">
      <c r="A24" s="104"/>
      <c r="B24" s="26"/>
      <c r="C24" s="26"/>
      <c r="D24" s="27"/>
      <c r="E24" s="27"/>
      <c r="F24" s="26"/>
      <c r="G24" s="27"/>
      <c r="H24" s="26"/>
      <c r="I24" s="26"/>
      <c r="J24" s="26"/>
      <c r="K24" s="114"/>
      <c r="L24" s="113"/>
      <c r="M24" s="28"/>
      <c r="N24" s="113"/>
      <c r="O24" s="29"/>
      <c r="P24" s="26"/>
      <c r="Q24" s="30"/>
      <c r="R24" s="30"/>
      <c r="S24" s="28"/>
      <c r="T24" s="31"/>
      <c r="U24" s="32"/>
      <c r="V24" s="33"/>
      <c r="W24" s="31"/>
      <c r="X24" s="28"/>
      <c r="Y24" s="28"/>
      <c r="Z24" s="28"/>
      <c r="AA24" s="28"/>
      <c r="AB24" s="117"/>
      <c r="AC24" s="34"/>
    </row>
    <row r="25" spans="1:29" ht="15" customHeight="1" thickBot="1" x14ac:dyDescent="0.3">
      <c r="A25" s="104"/>
      <c r="B25" s="26"/>
      <c r="C25" s="26"/>
      <c r="D25" s="27"/>
      <c r="E25" s="27"/>
      <c r="F25" s="26"/>
      <c r="G25" s="27"/>
      <c r="H25" s="26"/>
      <c r="I25" s="26"/>
      <c r="J25" s="26"/>
      <c r="K25" s="114"/>
      <c r="L25" s="113"/>
      <c r="M25" s="28"/>
      <c r="N25" s="113"/>
      <c r="O25" s="29"/>
      <c r="P25" s="26"/>
      <c r="Q25" s="30"/>
      <c r="R25" s="30"/>
      <c r="S25" s="28"/>
      <c r="T25" s="31"/>
      <c r="U25" s="32"/>
      <c r="V25" s="33"/>
      <c r="W25" s="31"/>
      <c r="X25" s="28"/>
      <c r="Y25" s="28"/>
      <c r="Z25" s="28"/>
      <c r="AA25" s="28"/>
      <c r="AB25" s="117"/>
      <c r="AC25" s="34"/>
    </row>
    <row r="26" spans="1:29" ht="15" customHeight="1" thickBot="1" x14ac:dyDescent="0.3">
      <c r="A26" s="104"/>
      <c r="B26" s="26"/>
      <c r="C26" s="26"/>
      <c r="D26" s="27"/>
      <c r="E26" s="27"/>
      <c r="F26" s="26"/>
      <c r="G26" s="27"/>
      <c r="H26" s="26"/>
      <c r="I26" s="26"/>
      <c r="J26" s="26"/>
      <c r="K26" s="114"/>
      <c r="L26" s="113"/>
      <c r="M26" s="28"/>
      <c r="N26" s="113"/>
      <c r="O26" s="29"/>
      <c r="P26" s="26"/>
      <c r="Q26" s="30"/>
      <c r="R26" s="30"/>
      <c r="S26" s="28"/>
      <c r="T26" s="31"/>
      <c r="U26" s="32"/>
      <c r="V26" s="33"/>
      <c r="W26" s="31"/>
      <c r="X26" s="28"/>
      <c r="Y26" s="28"/>
      <c r="Z26" s="28"/>
      <c r="AA26" s="28"/>
      <c r="AB26" s="117"/>
      <c r="AC26" s="34"/>
    </row>
    <row r="27" spans="1:29" ht="15" customHeight="1" thickBot="1" x14ac:dyDescent="0.3">
      <c r="A27" s="104"/>
      <c r="B27" s="26"/>
      <c r="C27" s="26"/>
      <c r="D27" s="27"/>
      <c r="E27" s="27"/>
      <c r="F27" s="26"/>
      <c r="G27" s="27"/>
      <c r="H27" s="26"/>
      <c r="I27" s="26"/>
      <c r="J27" s="26"/>
      <c r="K27" s="114"/>
      <c r="L27" s="113"/>
      <c r="M27" s="28"/>
      <c r="N27" s="113"/>
      <c r="O27" s="29"/>
      <c r="P27" s="26"/>
      <c r="Q27" s="30"/>
      <c r="R27" s="30"/>
      <c r="S27" s="28"/>
      <c r="T27" s="31"/>
      <c r="U27" s="32"/>
      <c r="V27" s="33"/>
      <c r="W27" s="31"/>
      <c r="X27" s="28"/>
      <c r="Y27" s="28"/>
      <c r="Z27" s="28"/>
      <c r="AA27" s="28"/>
      <c r="AB27" s="117"/>
      <c r="AC27" s="34"/>
    </row>
    <row r="28" spans="1:29" ht="15" customHeight="1" thickBot="1" x14ac:dyDescent="0.3">
      <c r="A28" s="104"/>
      <c r="B28" s="26"/>
      <c r="C28" s="26"/>
      <c r="D28" s="27"/>
      <c r="E28" s="27"/>
      <c r="F28" s="26"/>
      <c r="G28" s="27"/>
      <c r="H28" s="26"/>
      <c r="I28" s="26"/>
      <c r="J28" s="26"/>
      <c r="K28" s="114"/>
      <c r="L28" s="113"/>
      <c r="M28" s="28"/>
      <c r="N28" s="113"/>
      <c r="O28" s="29"/>
      <c r="P28" s="26"/>
      <c r="Q28" s="30"/>
      <c r="R28" s="30"/>
      <c r="S28" s="28"/>
      <c r="T28" s="31"/>
      <c r="U28" s="32"/>
      <c r="V28" s="33"/>
      <c r="W28" s="31"/>
      <c r="X28" s="28"/>
      <c r="Y28" s="28"/>
      <c r="Z28" s="28"/>
      <c r="AA28" s="28"/>
      <c r="AB28" s="117"/>
      <c r="AC28" s="34"/>
    </row>
    <row r="29" spans="1:29" ht="15" customHeight="1" thickBot="1" x14ac:dyDescent="0.3">
      <c r="A29" s="104"/>
      <c r="B29" s="26"/>
      <c r="C29" s="26"/>
      <c r="D29" s="27"/>
      <c r="E29" s="27"/>
      <c r="F29" s="26"/>
      <c r="G29" s="27"/>
      <c r="H29" s="26"/>
      <c r="I29" s="26"/>
      <c r="J29" s="26"/>
      <c r="K29" s="114"/>
      <c r="L29" s="113"/>
      <c r="M29" s="28"/>
      <c r="N29" s="113"/>
      <c r="O29" s="29"/>
      <c r="P29" s="26"/>
      <c r="Q29" s="30"/>
      <c r="R29" s="30"/>
      <c r="S29" s="28"/>
      <c r="T29" s="31"/>
      <c r="U29" s="32"/>
      <c r="V29" s="33"/>
      <c r="W29" s="31"/>
      <c r="X29" s="28"/>
      <c r="Y29" s="28"/>
      <c r="Z29" s="28"/>
      <c r="AA29" s="28"/>
      <c r="AB29" s="117"/>
      <c r="AC29" s="34"/>
    </row>
    <row r="30" spans="1:29" ht="15" customHeight="1" thickBot="1" x14ac:dyDescent="0.3">
      <c r="A30" s="104"/>
      <c r="B30" s="26"/>
      <c r="C30" s="26"/>
      <c r="D30" s="27"/>
      <c r="E30" s="27"/>
      <c r="F30" s="26"/>
      <c r="G30" s="27"/>
      <c r="H30" s="26"/>
      <c r="I30" s="26"/>
      <c r="J30" s="26"/>
      <c r="K30" s="114"/>
      <c r="L30" s="113"/>
      <c r="M30" s="28"/>
      <c r="N30" s="113"/>
      <c r="O30" s="29"/>
      <c r="P30" s="26"/>
      <c r="Q30" s="30"/>
      <c r="R30" s="30"/>
      <c r="S30" s="28"/>
      <c r="T30" s="31"/>
      <c r="U30" s="32"/>
      <c r="V30" s="33"/>
      <c r="W30" s="31"/>
      <c r="X30" s="28"/>
      <c r="Y30" s="28"/>
      <c r="Z30" s="28"/>
      <c r="AA30" s="28"/>
      <c r="AB30" s="117"/>
      <c r="AC30" s="34"/>
    </row>
    <row r="31" spans="1:29" ht="15" customHeight="1" thickBot="1" x14ac:dyDescent="0.3">
      <c r="A31" s="104"/>
      <c r="B31" s="26"/>
      <c r="C31" s="26"/>
      <c r="D31" s="27"/>
      <c r="E31" s="27"/>
      <c r="F31" s="26"/>
      <c r="G31" s="27"/>
      <c r="H31" s="26"/>
      <c r="I31" s="26"/>
      <c r="J31" s="26"/>
      <c r="K31" s="114"/>
      <c r="L31" s="113"/>
      <c r="M31" s="28"/>
      <c r="N31" s="113"/>
      <c r="O31" s="29"/>
      <c r="P31" s="26"/>
      <c r="Q31" s="30"/>
      <c r="R31" s="30"/>
      <c r="S31" s="28"/>
      <c r="T31" s="31"/>
      <c r="U31" s="32"/>
      <c r="V31" s="33"/>
      <c r="W31" s="31"/>
      <c r="X31" s="28"/>
      <c r="Y31" s="28"/>
      <c r="Z31" s="28"/>
      <c r="AA31" s="28"/>
      <c r="AB31" s="117"/>
      <c r="AC31" s="34"/>
    </row>
    <row r="32" spans="1:29" ht="15" customHeight="1" thickBot="1" x14ac:dyDescent="0.3">
      <c r="A32" s="104"/>
      <c r="B32" s="26"/>
      <c r="C32" s="26"/>
      <c r="D32" s="27"/>
      <c r="E32" s="27"/>
      <c r="F32" s="26"/>
      <c r="G32" s="27"/>
      <c r="H32" s="26"/>
      <c r="I32" s="26"/>
      <c r="J32" s="26"/>
      <c r="K32" s="114"/>
      <c r="L32" s="113"/>
      <c r="M32" s="28"/>
      <c r="N32" s="113"/>
      <c r="O32" s="29"/>
      <c r="P32" s="26"/>
      <c r="Q32" s="30"/>
      <c r="R32" s="30"/>
      <c r="S32" s="28"/>
      <c r="T32" s="31"/>
      <c r="U32" s="32"/>
      <c r="V32" s="33"/>
      <c r="W32" s="31"/>
      <c r="X32" s="28"/>
      <c r="Y32" s="28"/>
      <c r="Z32" s="28"/>
      <c r="AA32" s="28"/>
      <c r="AB32" s="117"/>
      <c r="AC32" s="34"/>
    </row>
    <row r="33" spans="1:29" ht="15" customHeight="1" thickBot="1" x14ac:dyDescent="0.3">
      <c r="A33" s="104"/>
      <c r="B33" s="26"/>
      <c r="C33" s="26"/>
      <c r="D33" s="27"/>
      <c r="E33" s="27"/>
      <c r="F33" s="26"/>
      <c r="G33" s="27"/>
      <c r="H33" s="26"/>
      <c r="I33" s="26"/>
      <c r="J33" s="26"/>
      <c r="K33" s="114"/>
      <c r="L33" s="113"/>
      <c r="M33" s="28"/>
      <c r="N33" s="113"/>
      <c r="O33" s="29"/>
      <c r="P33" s="26"/>
      <c r="Q33" s="30"/>
      <c r="R33" s="30"/>
      <c r="S33" s="28"/>
      <c r="T33" s="31"/>
      <c r="U33" s="32"/>
      <c r="V33" s="33"/>
      <c r="W33" s="31"/>
      <c r="X33" s="28"/>
      <c r="Y33" s="28"/>
      <c r="Z33" s="28"/>
      <c r="AA33" s="28"/>
      <c r="AB33" s="117"/>
      <c r="AC33" s="34"/>
    </row>
    <row r="34" spans="1:29" ht="15" customHeight="1" thickBot="1" x14ac:dyDescent="0.3">
      <c r="A34" s="104"/>
      <c r="B34" s="26"/>
      <c r="C34" s="26"/>
      <c r="D34" s="27"/>
      <c r="E34" s="27"/>
      <c r="F34" s="26"/>
      <c r="G34" s="27"/>
      <c r="H34" s="26"/>
      <c r="I34" s="26"/>
      <c r="J34" s="26"/>
      <c r="K34" s="114"/>
      <c r="L34" s="113"/>
      <c r="M34" s="28"/>
      <c r="N34" s="113"/>
      <c r="O34" s="29"/>
      <c r="P34" s="26"/>
      <c r="Q34" s="30"/>
      <c r="R34" s="30"/>
      <c r="S34" s="28"/>
      <c r="T34" s="31"/>
      <c r="U34" s="32"/>
      <c r="V34" s="33"/>
      <c r="W34" s="31"/>
      <c r="X34" s="28"/>
      <c r="Y34" s="28"/>
      <c r="Z34" s="28"/>
      <c r="AA34" s="28"/>
      <c r="AB34" s="117"/>
      <c r="AC34" s="34"/>
    </row>
    <row r="35" spans="1:29" ht="15" customHeight="1" thickBot="1" x14ac:dyDescent="0.3">
      <c r="A35" s="28"/>
      <c r="B35" s="26"/>
      <c r="C35" s="26"/>
      <c r="D35" s="27"/>
      <c r="E35" s="27"/>
      <c r="F35" s="26"/>
      <c r="G35" s="27"/>
      <c r="H35" s="26"/>
      <c r="I35" s="26"/>
      <c r="J35" s="26"/>
      <c r="K35" s="114"/>
      <c r="L35" s="113"/>
      <c r="M35" s="28"/>
      <c r="N35" s="113"/>
      <c r="O35" s="29"/>
      <c r="P35" s="26"/>
      <c r="Q35" s="30"/>
      <c r="R35" s="30"/>
      <c r="S35" s="28"/>
      <c r="T35" s="31"/>
      <c r="U35" s="32"/>
      <c r="V35" s="33"/>
      <c r="W35" s="31"/>
      <c r="X35" s="28"/>
      <c r="Y35" s="28"/>
      <c r="Z35" s="28"/>
      <c r="AA35" s="28"/>
      <c r="AB35" s="117"/>
      <c r="AC35" s="34"/>
    </row>
    <row r="36" spans="1:29" ht="15" customHeight="1" thickBot="1" x14ac:dyDescent="0.3">
      <c r="A36" s="37"/>
      <c r="B36" s="35"/>
      <c r="C36" s="35"/>
      <c r="D36" s="36"/>
      <c r="E36" s="36"/>
      <c r="F36" s="35"/>
      <c r="G36" s="36"/>
      <c r="H36" s="35"/>
      <c r="I36" s="35"/>
      <c r="J36" s="35"/>
      <c r="K36" s="115"/>
      <c r="L36" s="116"/>
      <c r="M36" s="37"/>
      <c r="N36" s="110"/>
      <c r="O36" s="38"/>
      <c r="P36" s="35"/>
      <c r="Q36" s="39"/>
      <c r="R36" s="39"/>
      <c r="S36" s="37"/>
      <c r="T36" s="40"/>
      <c r="U36" s="41"/>
      <c r="V36" s="42"/>
      <c r="W36" s="40"/>
      <c r="X36" s="37"/>
      <c r="Y36" s="37"/>
      <c r="Z36" s="37"/>
      <c r="AA36" s="37"/>
      <c r="AB36" s="118"/>
      <c r="AC36" s="43"/>
    </row>
    <row r="41" spans="1:29" x14ac:dyDescent="0.25">
      <c r="A41" t="s">
        <v>29</v>
      </c>
    </row>
    <row r="43" spans="1:29" x14ac:dyDescent="0.25">
      <c r="A43" t="s">
        <v>30</v>
      </c>
    </row>
    <row r="45" spans="1:29" x14ac:dyDescent="0.25">
      <c r="A45" t="s">
        <v>31</v>
      </c>
    </row>
  </sheetData>
  <mergeCells count="33">
    <mergeCell ref="B7:C7"/>
    <mergeCell ref="B2:R2"/>
    <mergeCell ref="B3:R3"/>
    <mergeCell ref="B4:C4"/>
    <mergeCell ref="B5:C5"/>
    <mergeCell ref="B6:C6"/>
    <mergeCell ref="B8:C8"/>
    <mergeCell ref="B9:C9"/>
    <mergeCell ref="B10:C10"/>
    <mergeCell ref="A12:A14"/>
    <mergeCell ref="B12:B14"/>
    <mergeCell ref="C12:C14"/>
    <mergeCell ref="AC12:AC14"/>
    <mergeCell ref="D13:D14"/>
    <mergeCell ref="E13:E14"/>
    <mergeCell ref="F13:G13"/>
    <mergeCell ref="H13:H14"/>
    <mergeCell ref="I13:J13"/>
    <mergeCell ref="D12:P12"/>
    <mergeCell ref="Q12:Q14"/>
    <mergeCell ref="R12:R13"/>
    <mergeCell ref="S12:S14"/>
    <mergeCell ref="T12:T13"/>
    <mergeCell ref="U12:U13"/>
    <mergeCell ref="K13:K14"/>
    <mergeCell ref="L13:L14"/>
    <mergeCell ref="M13:M14"/>
    <mergeCell ref="N13:N14"/>
    <mergeCell ref="O13:P13"/>
    <mergeCell ref="V12:V14"/>
    <mergeCell ref="W12:Z13"/>
    <mergeCell ref="AA12:AA14"/>
    <mergeCell ref="AB12:AB14"/>
  </mergeCells>
  <dataValidations count="24">
    <dataValidation allowBlank="1" showInputMessage="1" showErrorMessage="1" promptTitle="Подсказка:" prompt="В случае, если проведение закупки планируется на официальной Электронной торговой площадке Государственной корпорации «Ростех» и ОАО «АК «Транснефть» (www.etprf.ru)  в данном поле указывается сокращение: etprf" sqref="S12:S14"/>
    <dataValidation allowBlank="1" showInputMessage="1" showErrorMessage="1" promptTitle="Пример:" prompt="45000000000 Москва_x000a_70000000000 Тульская область" sqref="I13:J13"/>
    <dataValidation allowBlank="1" showInputMessage="1" showErrorMessage="1" promptTitle="Подсказка:" prompt="Выбрать из выпадающего списка пункт Единого положения, на основании которого проводится закупка у единственного поставщика или указать: Не применимо._x000a__x000a_Перечень пунктов приведен во вкладке &quot;Справочно&quot;." sqref="W14"/>
    <dataValidation allowBlank="1" showInputMessage="1" showErrorMessage="1" promptTitle="Подсказка:" prompt="Выбрать из выпадающего списка или заполнить вручную._x000a__x000a_Перечень сокращений с расшифровками приведен во вкладке &quot;Справочно&quot;." sqref="V12:V14"/>
    <dataValidation allowBlank="1" showInputMessage="1" showErrorMessage="1" promptTitle="Подсказка:" prompt="Указывается перечень поставщиков, выбранных по результатам квалификационного отбора и/или для закрытых закупок." sqref="U14"/>
    <dataValidation allowBlank="1" showInputMessage="1" showErrorMessage="1" promptTitle="Подсказка:" prompt="Указать индивидуальный номер закупки (квалификационного отбора для серии закупок), по результатам которой проводится лот._x000a__x000a_Или указать: Не применимо" sqref="T14"/>
    <dataValidation allowBlank="1" showInputMessage="1" showErrorMessage="1" promptTitle="Пример:" prompt="Декабрь 2015" sqref="P14"/>
    <dataValidation allowBlank="1" showInputMessage="1" showErrorMessage="1" promptTitle="Пример:" prompt="Январь 2015" sqref="O14"/>
    <dataValidation allowBlank="1" showInputMessage="1" showErrorMessage="1" promptTitle="Подсказка:" prompt="Способ закупки выбирается из всплывающего списка или заполняется вручную" sqref="Q12:Q14"/>
    <dataValidation allowBlank="1" showInputMessage="1" showErrorMessage="1" promptTitle="Подсказка:" prompt="Пересчет на рубли осуществляется по курсу ЦБ РФ, установленному на день формирования НМЦ_x000a__x000a_Сведения о курсе пересчета указываются в столбце &quot;Примечание&quot;" sqref="L13:L14"/>
    <dataValidation allowBlank="1" showInputMessage="1" showErrorMessage="1" promptTitle="Пример:" prompt="Москва_x000a__x000a_Тульская область" sqref="J14"/>
    <dataValidation allowBlank="1" showInputMessage="1" showErrorMessage="1" promptTitle="Пример: " prompt="45000000000_x000a_для Москвы_x000a__x000a_70000000000_x000a_для Тульской области" sqref="I14"/>
    <dataValidation allowBlank="1" showInputMessage="1" showErrorMessage="1" promptTitle="Подсказка:" prompt="Указать количество (объем) закупаемой продукции._x000a__x000a_*При указании в поле «Единица измерения» признака «Не применимо», в поле «Сведения о количестве (объеме)» указывается:_x000a__x000a_Не применимо" sqref="H13:H14"/>
    <dataValidation allowBlank="1" showInputMessage="1" showErrorMessage="1" promptTitle="Пример: Килограмм" prompt="_x000a_*При отсутствии кода и наименования единицы изменения, предусмотренного ОКЕИ в соответствующем поле указать:_x000a__x000a_Не применимо" sqref="G14"/>
    <dataValidation allowBlank="1" showInputMessage="1" showErrorMessage="1" promptTitle="Пример: 166" prompt="_x000a_*При отсутствии кода и наименования единицы изменения, предусмотренного ОКЕИ в соответствующем поле указать:_x000a__x000a_Не применимо" sqref="F14"/>
    <dataValidation allowBlank="1" showInputMessage="1" showErrorMessage="1" promptTitle="Пример: F 4560234" prompt="Для газоснабжения" sqref="C12:C14"/>
    <dataValidation allowBlank="1" showInputMessage="1" showErrorMessage="1" promptTitle="Подсказка:" prompt="Предмет договора должен полно и четко описывать закупаемую продукцию._x000a__x000a_Примеры:_x000a_01-001-00001 Поставка канцелярских товаров_x000a__x000a_01-001-00002 Выполнение работ по строительству объекта &quot;...&quot;_x000a__x000a_01-001-00003 Оказание услуг по проведению конференции" sqref="D13:D14"/>
    <dataValidation allowBlank="1" showInputMessage="1" showErrorMessage="1" promptTitle="Пример: М.71.12.11 или 71.12.11" prompt="Для разработки проектов тепло-, водо-, газоснабжения" sqref="B12:B14"/>
    <dataValidation allowBlank="1" showInputMessage="1" showErrorMessage="1" promptTitle="Подсказка:" prompt="Указать не менее 2-х минимальных требований по предмету договора._x000a__x000a_Пример:_x000a_Закупаемая продукция должна соответствовать целевому назначению; быть своевременно предоставлена; соответствовать требованиям безопасности, надежности и экологичности" sqref="E13:E14"/>
    <dataValidation allowBlank="1" showInputMessage="1" showErrorMessage="1" promptTitle="Пример:" prompt="1 234 567,89 Российских рублей_x000a__x000a_2 000 000,00 долларов США_x000a__x000a_3 000 000,30 евро" sqref="K13:K14"/>
    <dataValidation allowBlank="1" showInputMessage="1" showErrorMessage="1" errorTitle="Ошибка ввода" error="Основание должно быть выбрано из выпадающего списка пунктов Положения о закупках" sqref="X16:X36"/>
    <dataValidation allowBlank="1" showInputMessage="1" showErrorMessage="1" errorTitle="Ошибка ввода" error="Необходимо выбрать из выпадающего списка" sqref="T16:U36"/>
    <dataValidation type="date" allowBlank="1" showInputMessage="1" showErrorMessage="1" errorTitle="Ошибка ввода" error="Дата должна быть в формате: &quot;Месяц год&quot;._x000a__x000a_Пример: Январь 2015" sqref="O16:P36">
      <formula1>1</formula1>
      <formula2>2958465</formula2>
    </dataValidation>
    <dataValidation allowBlank="1" showInputMessage="1" showErrorMessage="1" errorTitle="Ошибка ввода" error="Необходимо выбрать наименование из выпадающего списка" sqref="AB16:AB36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Ошибка ввода" error="Необходимо выбрать из выпадающего списка">
          <x14:formula1>
            <xm:f>Справочно!$E$16:$E$18</xm:f>
          </x14:formula1>
          <xm:sqref>R16:R36</xm:sqref>
        </x14:dataValidation>
        <x14:dataValidation type="list" allowBlank="1" showInputMessage="1" showErrorMessage="1" errorTitle="Ошибка ввода" error="Необходимо выбрать способ закупки из выпадающего списка">
          <x14:formula1>
            <xm:f>Справочно!$C$12:$C$34</xm:f>
          </x14:formula1>
          <xm:sqref>Q16:Q36</xm:sqref>
        </x14:dataValidation>
        <x14:dataValidation type="list" allowBlank="1" showInputMessage="1" showErrorMessage="1" errorTitle="Ошибка ввода" error="Основание должно быть выбрано из выпадающего списка пунктов Положения о закупках">
          <x14:formula1>
            <xm:f>Справочно!$G$3:$G$54</xm:f>
          </x14:formula1>
          <xm:sqref>W16:W36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87"/>
  <sheetViews>
    <sheetView zoomScaleNormal="100" workbookViewId="0">
      <selection activeCell="F63" sqref="F63"/>
    </sheetView>
  </sheetViews>
  <sheetFormatPr defaultRowHeight="12.75" x14ac:dyDescent="0.2"/>
  <cols>
    <col min="1" max="1" width="37.85546875" style="48" customWidth="1"/>
    <col min="2" max="2" width="17" style="48" customWidth="1"/>
    <col min="3" max="3" width="12.28515625" style="48" customWidth="1"/>
    <col min="4" max="4" width="23.5703125" style="48" customWidth="1"/>
    <col min="5" max="5" width="13.85546875" style="48" customWidth="1"/>
    <col min="6" max="6" width="9.140625" style="48"/>
    <col min="7" max="7" width="10.5703125" style="48" customWidth="1"/>
    <col min="8" max="8" width="17.85546875" style="48" customWidth="1"/>
    <col min="9" max="9" width="10.5703125" style="48" customWidth="1"/>
    <col min="10" max="10" width="19.28515625" style="48" customWidth="1"/>
    <col min="11" max="11" width="10.5703125" style="48" customWidth="1"/>
    <col min="12" max="12" width="19.5703125" style="48" customWidth="1"/>
    <col min="13" max="13" width="10.5703125" style="48" customWidth="1"/>
    <col min="14" max="14" width="20" style="48" customWidth="1"/>
    <col min="15" max="15" width="10.7109375" style="48" customWidth="1"/>
    <col min="16" max="16" width="22.5703125" style="48" customWidth="1"/>
    <col min="17" max="17" width="10.5703125" style="48" customWidth="1"/>
    <col min="18" max="18" width="21" style="48" customWidth="1"/>
    <col min="19" max="19" width="10.5703125" style="48" customWidth="1"/>
    <col min="20" max="20" width="19.85546875" style="48" customWidth="1"/>
    <col min="21" max="21" width="10.5703125" style="48" customWidth="1"/>
    <col min="22" max="22" width="22.140625" style="48" customWidth="1"/>
    <col min="23" max="23" width="10.5703125" style="48" customWidth="1"/>
    <col min="24" max="24" width="21.28515625" style="48" customWidth="1"/>
    <col min="25" max="25" width="10.5703125" style="48" customWidth="1"/>
    <col min="26" max="26" width="19.7109375" style="48" customWidth="1"/>
    <col min="27" max="27" width="10.5703125" style="48" customWidth="1"/>
    <col min="28" max="28" width="21.140625" style="48" customWidth="1"/>
    <col min="29" max="29" width="10.5703125" style="48" customWidth="1"/>
    <col min="30" max="30" width="26.5703125" style="48" customWidth="1"/>
    <col min="31" max="31" width="10.5703125" style="48" customWidth="1"/>
    <col min="32" max="32" width="20.42578125" style="48" customWidth="1"/>
    <col min="33" max="33" width="10.5703125" style="48" customWidth="1"/>
    <col min="34" max="34" width="27.28515625" style="48" customWidth="1"/>
    <col min="35" max="35" width="10.5703125" style="48" customWidth="1"/>
    <col min="36" max="36" width="20.42578125" style="48" customWidth="1"/>
    <col min="37" max="37" width="10.5703125" style="48" customWidth="1"/>
    <col min="38" max="38" width="21.7109375" style="48" customWidth="1"/>
    <col min="39" max="16384" width="9.140625" style="48"/>
  </cols>
  <sheetData>
    <row r="2" spans="1:38" ht="13.5" customHeight="1" x14ac:dyDescent="0.2">
      <c r="A2" s="1086" t="s">
        <v>114</v>
      </c>
      <c r="B2" s="1086"/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6"/>
      <c r="P2" s="1086"/>
    </row>
    <row r="3" spans="1:38" ht="15.75" customHeight="1" thickBot="1" x14ac:dyDescent="0.25">
      <c r="A3" s="14"/>
      <c r="B3" s="14"/>
      <c r="C3" s="14"/>
      <c r="F3" s="202" t="s">
        <v>303</v>
      </c>
      <c r="G3" s="204">
        <v>2017</v>
      </c>
      <c r="H3" s="203" t="s">
        <v>304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38" x14ac:dyDescent="0.2">
      <c r="A4" s="6" t="s">
        <v>1</v>
      </c>
      <c r="B4" s="1087" t="str">
        <f>РПЗ!B4</f>
        <v>АО"НИИ" Полюс" им. М.Ф. Стельмаха"</v>
      </c>
      <c r="C4" s="1088"/>
      <c r="D4" s="108"/>
      <c r="E4" s="108"/>
      <c r="F4" s="108"/>
      <c r="G4" s="458"/>
      <c r="H4" s="109"/>
      <c r="I4" s="108"/>
      <c r="J4" s="109"/>
      <c r="K4" s="109"/>
      <c r="L4" s="109"/>
      <c r="M4" s="109"/>
      <c r="N4" s="109"/>
    </row>
    <row r="5" spans="1:38" x14ac:dyDescent="0.2">
      <c r="A5" s="7" t="s">
        <v>2</v>
      </c>
      <c r="B5" s="1082" t="str">
        <f>РПЗ!B5</f>
        <v>г. Москва, ул. Введенского, д.3, корп.1</v>
      </c>
      <c r="C5" s="1083"/>
      <c r="D5" s="108"/>
      <c r="E5" s="108"/>
      <c r="F5" s="108"/>
      <c r="G5" s="458"/>
      <c r="H5" s="109"/>
      <c r="I5" s="108"/>
      <c r="J5" s="109"/>
      <c r="K5" s="109"/>
      <c r="L5" s="109"/>
      <c r="M5" s="109"/>
      <c r="N5" s="109"/>
    </row>
    <row r="6" spans="1:38" x14ac:dyDescent="0.2">
      <c r="A6" s="7" t="s">
        <v>3</v>
      </c>
      <c r="B6" s="1082" t="str">
        <f>РПЗ!B6</f>
        <v>8-495-333-05-02</v>
      </c>
      <c r="C6" s="1083"/>
      <c r="D6" s="108"/>
      <c r="E6" s="108"/>
      <c r="F6" s="108"/>
      <c r="G6" s="108"/>
      <c r="H6" s="109"/>
      <c r="I6" s="108"/>
      <c r="J6" s="109"/>
      <c r="K6" s="109"/>
      <c r="L6" s="109"/>
      <c r="M6" s="109"/>
      <c r="N6" s="109"/>
    </row>
    <row r="7" spans="1:38" x14ac:dyDescent="0.2">
      <c r="A7" s="7" t="s">
        <v>4</v>
      </c>
      <c r="B7" s="1082" t="str">
        <f>РПЗ!B7</f>
        <v>zakupki223fz@mail.ru</v>
      </c>
      <c r="C7" s="1083"/>
      <c r="D7" s="108"/>
      <c r="E7" s="108"/>
      <c r="F7" s="108"/>
      <c r="G7" s="108"/>
      <c r="H7" s="109"/>
      <c r="I7" s="108"/>
      <c r="J7" s="109"/>
      <c r="K7" s="109"/>
      <c r="L7" s="109"/>
      <c r="M7" s="109"/>
      <c r="N7" s="109"/>
    </row>
    <row r="8" spans="1:38" x14ac:dyDescent="0.2">
      <c r="A8" s="7" t="s">
        <v>5</v>
      </c>
      <c r="B8" s="1082">
        <f>РПЗ!B8</f>
        <v>7728816598</v>
      </c>
      <c r="C8" s="1083"/>
      <c r="D8" s="108"/>
      <c r="E8" s="108"/>
      <c r="F8" s="108"/>
      <c r="G8" s="108"/>
      <c r="H8" s="109"/>
      <c r="I8" s="108"/>
      <c r="J8" s="109"/>
      <c r="K8" s="109"/>
      <c r="L8" s="109"/>
      <c r="M8" s="109"/>
      <c r="N8" s="109"/>
    </row>
    <row r="9" spans="1:38" x14ac:dyDescent="0.2">
      <c r="A9" s="7" t="s">
        <v>6</v>
      </c>
      <c r="B9" s="1082">
        <f>РПЗ!B9</f>
        <v>772801001</v>
      </c>
      <c r="C9" s="1083"/>
      <c r="D9" s="108"/>
      <c r="E9" s="108"/>
      <c r="F9" s="108"/>
      <c r="G9" s="108"/>
      <c r="H9" s="109"/>
      <c r="I9" s="108"/>
      <c r="J9" s="109"/>
      <c r="K9" s="109"/>
      <c r="L9" s="109"/>
      <c r="M9" s="109"/>
      <c r="N9" s="109"/>
    </row>
    <row r="10" spans="1:38" ht="13.5" thickBot="1" x14ac:dyDescent="0.25">
      <c r="A10" s="8" t="s">
        <v>7</v>
      </c>
      <c r="B10" s="1084">
        <f>РПЗ!B10</f>
        <v>4593599</v>
      </c>
      <c r="C10" s="1085"/>
    </row>
    <row r="11" spans="1:38" ht="13.5" thickBot="1" x14ac:dyDescent="0.25">
      <c r="A11" s="20"/>
      <c r="B11" s="133"/>
      <c r="C11" s="133"/>
    </row>
    <row r="12" spans="1:38" ht="26.25" thickBot="1" x14ac:dyDescent="0.25">
      <c r="B12" s="58" t="s">
        <v>117</v>
      </c>
      <c r="C12" s="73" t="s">
        <v>116</v>
      </c>
      <c r="D12" s="62" t="s">
        <v>118</v>
      </c>
      <c r="E12" s="74" t="s">
        <v>116</v>
      </c>
      <c r="G12" s="1117" t="s">
        <v>281</v>
      </c>
      <c r="H12" s="1118"/>
      <c r="I12" s="1118"/>
      <c r="J12" s="1118"/>
      <c r="K12" s="1118"/>
      <c r="L12" s="1118"/>
      <c r="M12" s="1118"/>
      <c r="N12" s="1119"/>
      <c r="O12" s="1107" t="s">
        <v>282</v>
      </c>
      <c r="P12" s="1108"/>
      <c r="Q12" s="1108"/>
      <c r="R12" s="1108"/>
      <c r="S12" s="1108"/>
      <c r="T12" s="1108"/>
      <c r="U12" s="1108"/>
      <c r="V12" s="1109"/>
      <c r="W12" s="1101" t="s">
        <v>283</v>
      </c>
      <c r="X12" s="1102"/>
      <c r="Y12" s="1102"/>
      <c r="Z12" s="1102"/>
      <c r="AA12" s="1102"/>
      <c r="AB12" s="1102"/>
      <c r="AC12" s="1102"/>
      <c r="AD12" s="1103"/>
      <c r="AE12" s="1089" t="s">
        <v>284</v>
      </c>
      <c r="AF12" s="1090"/>
      <c r="AG12" s="1090"/>
      <c r="AH12" s="1090"/>
      <c r="AI12" s="1090"/>
      <c r="AJ12" s="1090"/>
      <c r="AK12" s="1090"/>
      <c r="AL12" s="1091"/>
    </row>
    <row r="13" spans="1:38" ht="15.75" customHeight="1" thickBot="1" x14ac:dyDescent="0.25">
      <c r="B13" s="75">
        <f>SUM(B16:B35)+B38</f>
        <v>1574</v>
      </c>
      <c r="C13" s="76">
        <v>1</v>
      </c>
      <c r="D13" s="394">
        <f>SUM(РПЗ!$L:$L)</f>
        <v>4891249574.7899876</v>
      </c>
      <c r="E13" s="77">
        <v>1</v>
      </c>
      <c r="G13" s="1120"/>
      <c r="H13" s="1121"/>
      <c r="I13" s="1121"/>
      <c r="J13" s="1121"/>
      <c r="K13" s="1121"/>
      <c r="L13" s="1121"/>
      <c r="M13" s="1121"/>
      <c r="N13" s="1122"/>
      <c r="O13" s="1110"/>
      <c r="P13" s="1111"/>
      <c r="Q13" s="1111"/>
      <c r="R13" s="1111"/>
      <c r="S13" s="1111"/>
      <c r="T13" s="1111"/>
      <c r="U13" s="1111"/>
      <c r="V13" s="1112"/>
      <c r="W13" s="1104"/>
      <c r="X13" s="1105"/>
      <c r="Y13" s="1105"/>
      <c r="Z13" s="1105"/>
      <c r="AA13" s="1105"/>
      <c r="AB13" s="1105"/>
      <c r="AC13" s="1105"/>
      <c r="AD13" s="1106"/>
      <c r="AE13" s="1092"/>
      <c r="AF13" s="1093"/>
      <c r="AG13" s="1093"/>
      <c r="AH13" s="1093"/>
      <c r="AI13" s="1093"/>
      <c r="AJ13" s="1093"/>
      <c r="AK13" s="1093"/>
      <c r="AL13" s="1094"/>
    </row>
    <row r="14" spans="1:38" ht="18.75" customHeight="1" thickBot="1" x14ac:dyDescent="0.25">
      <c r="G14" s="1095" t="str">
        <f>CONCATENATE(Справочно!$I3,ПП!$G$3)</f>
        <v>Январь 2017</v>
      </c>
      <c r="H14" s="1099"/>
      <c r="I14" s="1099" t="str">
        <f>CONCATENATE(Справочно!$I4,ПП!$G$3)</f>
        <v>Февраль 2017</v>
      </c>
      <c r="J14" s="1099"/>
      <c r="K14" s="1099" t="str">
        <f>CONCATENATE(Справочно!$I5,ПП!$G$3)</f>
        <v>Март 2017</v>
      </c>
      <c r="L14" s="1097"/>
      <c r="M14" s="1100" t="s">
        <v>285</v>
      </c>
      <c r="N14" s="1100"/>
      <c r="O14" s="1095" t="str">
        <f>CONCATENATE(Справочно!$I6,ПП!$G$3)</f>
        <v>Апрель 2017</v>
      </c>
      <c r="P14" s="1099"/>
      <c r="Q14" s="1095" t="str">
        <f>CONCATENATE(Справочно!$I7,ПП!$G$3)</f>
        <v>Май 2017</v>
      </c>
      <c r="R14" s="1099"/>
      <c r="S14" s="1095" t="str">
        <f>CONCATENATE(Справочно!$I8,ПП!$G$3)</f>
        <v>Июнь 2017</v>
      </c>
      <c r="T14" s="1099"/>
      <c r="U14" s="1100" t="s">
        <v>286</v>
      </c>
      <c r="V14" s="1100"/>
      <c r="W14" s="1095" t="str">
        <f>CONCATENATE(Справочно!$I9,ПП!$G$3)</f>
        <v>Июль 2017</v>
      </c>
      <c r="X14" s="1096"/>
      <c r="Y14" s="1095" t="str">
        <f>CONCATENATE(Справочно!$I10,ПП!$G$3)</f>
        <v>Август 2017</v>
      </c>
      <c r="Z14" s="1097"/>
      <c r="AA14" s="1095" t="str">
        <f>CONCATENATE(Справочно!$I11,ПП!$G$3)</f>
        <v>Сентябрь 2017</v>
      </c>
      <c r="AB14" s="1097"/>
      <c r="AC14" s="1100" t="s">
        <v>287</v>
      </c>
      <c r="AD14" s="1100"/>
      <c r="AE14" s="1095" t="str">
        <f>CONCATENATE(Справочно!$I12,ПП!$G$3)</f>
        <v>Октябрь 2017</v>
      </c>
      <c r="AF14" s="1096"/>
      <c r="AG14" s="1095" t="str">
        <f>CONCATENATE(Справочно!$I13,ПП!$G$3)</f>
        <v>Ноябрь 2017</v>
      </c>
      <c r="AH14" s="1097"/>
      <c r="AI14" s="1098" t="str">
        <f>CONCATENATE(Справочно!$I14,ПП!$G$3)</f>
        <v>Декабрь 2017</v>
      </c>
      <c r="AJ14" s="1099"/>
      <c r="AK14" s="1100" t="s">
        <v>288</v>
      </c>
      <c r="AL14" s="1100"/>
    </row>
    <row r="15" spans="1:38" ht="26.25" thickBot="1" x14ac:dyDescent="0.25">
      <c r="A15" s="57" t="s">
        <v>9</v>
      </c>
      <c r="B15" s="58" t="s">
        <v>290</v>
      </c>
      <c r="C15" s="59" t="s">
        <v>241</v>
      </c>
      <c r="D15" s="58" t="s">
        <v>289</v>
      </c>
      <c r="E15" s="59" t="s">
        <v>243</v>
      </c>
      <c r="G15" s="136" t="s">
        <v>290</v>
      </c>
      <c r="H15" s="137" t="s">
        <v>289</v>
      </c>
      <c r="I15" s="137" t="s">
        <v>290</v>
      </c>
      <c r="J15" s="137" t="s">
        <v>289</v>
      </c>
      <c r="K15" s="137" t="s">
        <v>290</v>
      </c>
      <c r="L15" s="188" t="s">
        <v>289</v>
      </c>
      <c r="M15" s="170" t="s">
        <v>290</v>
      </c>
      <c r="N15" s="170" t="s">
        <v>289</v>
      </c>
      <c r="O15" s="136" t="s">
        <v>290</v>
      </c>
      <c r="P15" s="137" t="s">
        <v>289</v>
      </c>
      <c r="Q15" s="137" t="s">
        <v>290</v>
      </c>
      <c r="R15" s="137" t="s">
        <v>289</v>
      </c>
      <c r="S15" s="137" t="s">
        <v>290</v>
      </c>
      <c r="T15" s="188" t="s">
        <v>289</v>
      </c>
      <c r="U15" s="170" t="s">
        <v>290</v>
      </c>
      <c r="V15" s="170" t="s">
        <v>289</v>
      </c>
      <c r="W15" s="136" t="s">
        <v>290</v>
      </c>
      <c r="X15" s="188" t="s">
        <v>289</v>
      </c>
      <c r="Y15" s="457" t="s">
        <v>290</v>
      </c>
      <c r="Z15" s="456" t="s">
        <v>289</v>
      </c>
      <c r="AA15" s="457" t="s">
        <v>290</v>
      </c>
      <c r="AB15" s="456" t="s">
        <v>289</v>
      </c>
      <c r="AC15" s="170" t="s">
        <v>290</v>
      </c>
      <c r="AD15" s="170" t="s">
        <v>289</v>
      </c>
      <c r="AE15" s="136" t="s">
        <v>290</v>
      </c>
      <c r="AF15" s="188" t="s">
        <v>289</v>
      </c>
      <c r="AG15" s="457" t="s">
        <v>290</v>
      </c>
      <c r="AH15" s="456" t="s">
        <v>289</v>
      </c>
      <c r="AI15" s="460" t="s">
        <v>290</v>
      </c>
      <c r="AJ15" s="188" t="s">
        <v>289</v>
      </c>
      <c r="AK15" s="170" t="s">
        <v>290</v>
      </c>
      <c r="AL15" s="170" t="s">
        <v>289</v>
      </c>
    </row>
    <row r="16" spans="1:38" ht="13.5" thickBot="1" x14ac:dyDescent="0.25">
      <c r="A16" s="82" t="s">
        <v>99</v>
      </c>
      <c r="B16" s="69">
        <f>COUNTIF(РПЗ!$Q:$Q,Справочно!$C12)</f>
        <v>132</v>
      </c>
      <c r="C16" s="345">
        <f t="shared" ref="C16:C35" si="0">$B16/$B$13</f>
        <v>8.3862770012706478E-2</v>
      </c>
      <c r="D16" s="346">
        <f>SUMIF(РПЗ!$Q:$Q,Справочно!$C12,РПЗ!$L:$L)</f>
        <v>1627733583.51</v>
      </c>
      <c r="E16" s="347">
        <f t="shared" ref="E16:E35" si="1">D16/$D$40</f>
        <v>0.33278481472290944</v>
      </c>
      <c r="G16" s="145">
        <f>COUNTIFS(РПЗ!$Q:$Q,Справочно!$C12,РПЗ!$AE:$AE,1)</f>
        <v>42</v>
      </c>
      <c r="H16" s="328">
        <f>SUMIFS(РПЗ!$L:$L,РПЗ!$Q:$Q,Справочно!$C12,РПЗ!$AE:$AE,1)</f>
        <v>184407645.18999997</v>
      </c>
      <c r="I16" s="145">
        <f>COUNTIFS(РПЗ!$Q:$Q,Справочно!$C12,РПЗ!$AE:$AE,2)</f>
        <v>16</v>
      </c>
      <c r="J16" s="328">
        <f>SUMIFS(РПЗ!$L:$L,РПЗ!$Q:$Q,Справочно!$C12,РПЗ!$AE:$AE,2)</f>
        <v>417672600</v>
      </c>
      <c r="K16" s="145">
        <f>COUNTIFS(РПЗ!$Q:$Q,Справочно!$C12,РПЗ!$AE:$AE,3)</f>
        <v>13</v>
      </c>
      <c r="L16" s="328">
        <f>SUMIFS(РПЗ!$L:$L,РПЗ!$Q:$Q,Справочно!$C12,РПЗ!$AE:$AE,3)</f>
        <v>78033105.200000003</v>
      </c>
      <c r="M16" s="189">
        <f>SUM($G16,$I16,$K16)</f>
        <v>71</v>
      </c>
      <c r="N16" s="329">
        <f>SUM($H16,$J16,$L16)</f>
        <v>680113350.38999999</v>
      </c>
      <c r="O16" s="149">
        <f>COUNTIFS(РПЗ!$Q:$Q,Справочно!$C12,РПЗ!$AE:$AE,4)</f>
        <v>5</v>
      </c>
      <c r="P16" s="330">
        <f>SUMIFS(РПЗ!$L:$L,РПЗ!$Q:$Q,Справочно!$C12,РПЗ!$AE:$AE,4)</f>
        <v>6220000</v>
      </c>
      <c r="Q16" s="149">
        <f>COUNTIFS(РПЗ!$Q:$Q,Справочно!$C12,РПЗ!$AE:$AE,5)</f>
        <v>7</v>
      </c>
      <c r="R16" s="330">
        <f>SUMIFS(РПЗ!$L:$L,РПЗ!$Q:$Q,Справочно!$C12,РПЗ!$AE:$AE,5)</f>
        <v>73799221.980000004</v>
      </c>
      <c r="S16" s="149">
        <f>COUNTIFS(РПЗ!$Q:$Q,Справочно!$C12,РПЗ!$AE:$AE,6)</f>
        <v>24</v>
      </c>
      <c r="T16" s="330">
        <f>SUMIFS(РПЗ!$L:$L,РПЗ!$Q:$Q,Справочно!$C12,РПЗ!$AE:$AE,6)</f>
        <v>663198989</v>
      </c>
      <c r="U16" s="193">
        <f>SUM($O16,$Q16,$S16)</f>
        <v>36</v>
      </c>
      <c r="V16" s="331">
        <f>SUM($P16,$R16,$T16)</f>
        <v>743218210.98000002</v>
      </c>
      <c r="W16" s="143">
        <f>COUNTIFS(РПЗ!$Q:$Q,Справочно!$C12,РПЗ!$AE:$AE,7)</f>
        <v>6</v>
      </c>
      <c r="X16" s="332">
        <f>SUMIFS(РПЗ!$L:$L,РПЗ!$Q:$Q,Справочно!$C12,РПЗ!$AE:$AE,7)</f>
        <v>19955166.670000002</v>
      </c>
      <c r="Y16" s="143">
        <f>COUNTIFS(РПЗ!$Q:$Q,Справочно!$C12,РПЗ!$AE:$AE,8)</f>
        <v>6</v>
      </c>
      <c r="Z16" s="332">
        <f>SUMIFS(РПЗ!$L:$L,РПЗ!$Q:$Q,Справочно!$C12,РПЗ!$AE:$AE,8)</f>
        <v>103913700.47</v>
      </c>
      <c r="AA16" s="143">
        <f>COUNTIFS(РПЗ!$Q:$Q,Справочно!$C12,РПЗ!$AE:$AE,9)</f>
        <v>2</v>
      </c>
      <c r="AB16" s="332">
        <f>SUMIFS(РПЗ!$L:$L,РПЗ!$Q:$Q,Справочно!$C12,РПЗ!$AE:$AE,9)</f>
        <v>3650000</v>
      </c>
      <c r="AC16" s="194">
        <f>SUM($W16,$Y16,$AA16)</f>
        <v>14</v>
      </c>
      <c r="AD16" s="333">
        <f>SUM($X16,$Z16,$AB16)</f>
        <v>127518867.14</v>
      </c>
      <c r="AE16" s="151">
        <f>COUNTIFS(РПЗ!$Q:$Q,Справочно!$C12,РПЗ!$AE:$AE,10)</f>
        <v>5</v>
      </c>
      <c r="AF16" s="334">
        <f>SUMIFS(РПЗ!$L:$L,РПЗ!$Q:$Q,Справочно!$C12,РПЗ!$AE:$AE,10)</f>
        <v>29261785.530000001</v>
      </c>
      <c r="AG16" s="151">
        <f>COUNTIFS(РПЗ!$Q:$Q,Справочно!$C12,РПЗ!$AE:$AE,11)</f>
        <v>4</v>
      </c>
      <c r="AH16" s="334">
        <f>SUMIFS(РПЗ!$L:$L,РПЗ!$Q:$Q,Справочно!$C12,РПЗ!$AE:$AE,11)</f>
        <v>36658997.57</v>
      </c>
      <c r="AI16" s="151">
        <f>COUNTIFS(РПЗ!$Q:$Q,Справочно!$C12,РПЗ!$AE:$AE,12)</f>
        <v>2</v>
      </c>
      <c r="AJ16" s="334">
        <f>SUMIFS(РПЗ!$L:$L,РПЗ!$Q:$Q,Справочно!$C12,РПЗ!$AE:$AE,12)</f>
        <v>10962371.9</v>
      </c>
      <c r="AK16" s="198">
        <f>SUM($AE16,$AG16,$AI16)</f>
        <v>11</v>
      </c>
      <c r="AL16" s="335">
        <f>SUM($AF16,$AH16,$AJ16)</f>
        <v>76883155</v>
      </c>
    </row>
    <row r="17" spans="1:38" ht="13.5" thickBot="1" x14ac:dyDescent="0.25">
      <c r="A17" s="83" t="s">
        <v>248</v>
      </c>
      <c r="B17" s="69">
        <f>COUNTIF(РПЗ!$Q:$Q,Справочно!$C13)</f>
        <v>0</v>
      </c>
      <c r="C17" s="345">
        <f t="shared" si="0"/>
        <v>0</v>
      </c>
      <c r="D17" s="348">
        <f>SUMIF(РПЗ!$Q:$Q,Справочно!$C13,РПЗ!$L:$L)</f>
        <v>0</v>
      </c>
      <c r="E17" s="347">
        <f t="shared" si="1"/>
        <v>0</v>
      </c>
      <c r="G17" s="146">
        <f>COUNTIFS(РПЗ!$Q:$Q,Справочно!$C13,РПЗ!$AE:$AE,1)</f>
        <v>0</v>
      </c>
      <c r="H17" s="336">
        <f>SUMIFS(РПЗ!$L:$L,РПЗ!$Q:$Q,Справочно!$C13,РПЗ!$AE:$AE,1)</f>
        <v>0</v>
      </c>
      <c r="I17" s="146">
        <f>COUNTIFS(РПЗ!$Q:$Q,Справочно!$C13,РПЗ!$AE:$AE,2)</f>
        <v>0</v>
      </c>
      <c r="J17" s="336">
        <f>SUMIFS(РПЗ!$L:$L,РПЗ!$Q:$Q,Справочно!$C13,РПЗ!$AE:$AE,2)</f>
        <v>0</v>
      </c>
      <c r="K17" s="146">
        <f>COUNTIFS(РПЗ!$Q:$Q,Справочно!$C13,РПЗ!$AE:$AE,3)</f>
        <v>0</v>
      </c>
      <c r="L17" s="336">
        <f>SUMIFS(РПЗ!$L:$L,РПЗ!$Q:$Q,Справочно!$C13,РПЗ!$AE:$AE,3)</f>
        <v>0</v>
      </c>
      <c r="M17" s="189">
        <f t="shared" ref="M17:M35" si="2">SUM($G17,$I17,$K17)</f>
        <v>0</v>
      </c>
      <c r="N17" s="329">
        <f t="shared" ref="N17:N35" si="3">SUM($H17,$J17,$L17)</f>
        <v>0</v>
      </c>
      <c r="O17" s="149">
        <f>COUNTIFS(РПЗ!$Q:$Q,Справочно!$C13,РПЗ!$AE:$AE,4)</f>
        <v>0</v>
      </c>
      <c r="P17" s="330">
        <f>SUMIFS(РПЗ!$L:$L,РПЗ!$Q:$Q,Справочно!$C13,РПЗ!$AE:$AE,4)</f>
        <v>0</v>
      </c>
      <c r="Q17" s="149">
        <f>COUNTIFS(РПЗ!$Q:$Q,Справочно!$C13,РПЗ!$AE:$AE,5)</f>
        <v>0</v>
      </c>
      <c r="R17" s="330">
        <f>SUMIFS(РПЗ!$L:$L,РПЗ!$Q:$Q,Справочно!$C13,РПЗ!$AE:$AE,5)</f>
        <v>0</v>
      </c>
      <c r="S17" s="149">
        <f>COUNTIFS(РПЗ!$Q:$Q,Справочно!$C13,РПЗ!$AE:$AE,6)</f>
        <v>0</v>
      </c>
      <c r="T17" s="330">
        <f>SUMIFS(РПЗ!$L:$L,РПЗ!$Q:$Q,Справочно!$C13,РПЗ!$AE:$AE,6)</f>
        <v>0</v>
      </c>
      <c r="U17" s="193">
        <f t="shared" ref="U17:U35" si="4">SUM($O17,$Q17,$S17)</f>
        <v>0</v>
      </c>
      <c r="V17" s="331">
        <f t="shared" ref="V17:V35" si="5">SUM($P17,$R17,$T17)</f>
        <v>0</v>
      </c>
      <c r="W17" s="143">
        <f>COUNTIFS(РПЗ!$Q:$Q,Справочно!$C13,РПЗ!$AE:$AE,7)</f>
        <v>0</v>
      </c>
      <c r="X17" s="332">
        <f>SUMIFS(РПЗ!$L:$L,РПЗ!$Q:$Q,Справочно!$C13,РПЗ!$AE:$AE,7)</f>
        <v>0</v>
      </c>
      <c r="Y17" s="143">
        <f>COUNTIFS(РПЗ!$Q:$Q,Справочно!$C13,РПЗ!$AE:$AE,8)</f>
        <v>0</v>
      </c>
      <c r="Z17" s="332">
        <f>SUMIFS(РПЗ!$L:$L,РПЗ!$Q:$Q,Справочно!$C13,РПЗ!$AE:$AE,8)</f>
        <v>0</v>
      </c>
      <c r="AA17" s="143">
        <f>COUNTIFS(РПЗ!$Q:$Q,Справочно!$C13,РПЗ!$AE:$AE,9)</f>
        <v>0</v>
      </c>
      <c r="AB17" s="332">
        <f>SUMIFS(РПЗ!$L:$L,РПЗ!$Q:$Q,Справочно!$C13,РПЗ!$AE:$AE,9)</f>
        <v>0</v>
      </c>
      <c r="AC17" s="194">
        <f t="shared" ref="AC17:AC35" si="6">SUM($W17,$Y17,$AA17)</f>
        <v>0</v>
      </c>
      <c r="AD17" s="333">
        <f t="shared" ref="AD17:AD35" si="7">SUM($X17,$Z17,$AB17)</f>
        <v>0</v>
      </c>
      <c r="AE17" s="151">
        <f>COUNTIFS(РПЗ!$Q:$Q,Справочно!$C13,РПЗ!$AE:$AE,10)</f>
        <v>0</v>
      </c>
      <c r="AF17" s="334">
        <f>SUMIFS(РПЗ!$L:$L,РПЗ!$Q:$Q,Справочно!$C13,РПЗ!$AE:$AE,10)</f>
        <v>0</v>
      </c>
      <c r="AG17" s="151">
        <f>COUNTIFS(РПЗ!$Q:$Q,Справочно!$C13,РПЗ!$AE:$AE,11)</f>
        <v>0</v>
      </c>
      <c r="AH17" s="334">
        <f>SUMIFS(РПЗ!$L:$L,РПЗ!$Q:$Q,Справочно!$C13,РПЗ!$AE:$AE,11)</f>
        <v>0</v>
      </c>
      <c r="AI17" s="151">
        <f>COUNTIFS(РПЗ!$Q:$Q,Справочно!$C13,РПЗ!$AE:$AE,12)</f>
        <v>0</v>
      </c>
      <c r="AJ17" s="334">
        <f>SUMIFS(РПЗ!$L:$L,РПЗ!$Q:$Q,Справочно!$C13,РПЗ!$AE:$AE,12)</f>
        <v>0</v>
      </c>
      <c r="AK17" s="198">
        <f t="shared" ref="AK17:AK35" si="8">SUM($AE17,$AG17,$AI17)</f>
        <v>0</v>
      </c>
      <c r="AL17" s="335">
        <f t="shared" ref="AL17:AL35" si="9">SUM($AF17,$AH17,$AJ17)</f>
        <v>0</v>
      </c>
    </row>
    <row r="18" spans="1:38" ht="12.75" customHeight="1" thickBot="1" x14ac:dyDescent="0.25">
      <c r="A18" s="83" t="s">
        <v>101</v>
      </c>
      <c r="B18" s="297">
        <f>COUNTIF(РПЗ!$Q:$Q,Справочно!$C14)</f>
        <v>1</v>
      </c>
      <c r="C18" s="345">
        <f t="shared" si="0"/>
        <v>6.3532401524777639E-4</v>
      </c>
      <c r="D18" s="348">
        <f>SUMIF(РПЗ!$Q:$Q,Справочно!$C14,РПЗ!$L:$L)</f>
        <v>20570892</v>
      </c>
      <c r="E18" s="347">
        <f t="shared" si="1"/>
        <v>4.205651681734761E-3</v>
      </c>
      <c r="G18" s="146">
        <f>COUNTIFS(РПЗ!$Q:$Q,Справочно!$C14,РПЗ!$AE:$AE,1)</f>
        <v>0</v>
      </c>
      <c r="H18" s="336">
        <f>SUMIFS(РПЗ!$L:$L,РПЗ!$Q:$Q,Справочно!$C14,РПЗ!$AE:$AE,1)</f>
        <v>0</v>
      </c>
      <c r="I18" s="146">
        <f>COUNTIFS(РПЗ!$Q:$Q,Справочно!$C14,РПЗ!$AE:$AE,2)</f>
        <v>0</v>
      </c>
      <c r="J18" s="336">
        <f>SUMIFS(РПЗ!$L:$L,РПЗ!$Q:$Q,Справочно!$C14,РПЗ!$AE:$AE,2)</f>
        <v>0</v>
      </c>
      <c r="K18" s="146">
        <f>COUNTIFS(РПЗ!$Q:$Q,Справочно!$C14,РПЗ!$AE:$AE,3)</f>
        <v>0</v>
      </c>
      <c r="L18" s="336">
        <f>SUMIFS(РПЗ!$L:$L,РПЗ!$Q:$Q,Справочно!$C14,РПЗ!$AE:$AE,3)</f>
        <v>0</v>
      </c>
      <c r="M18" s="189">
        <f t="shared" si="2"/>
        <v>0</v>
      </c>
      <c r="N18" s="329">
        <f t="shared" si="3"/>
        <v>0</v>
      </c>
      <c r="O18" s="149">
        <f>COUNTIFS(РПЗ!$Q:$Q,Справочно!$C14,РПЗ!$AE:$AE,4)</f>
        <v>0</v>
      </c>
      <c r="P18" s="330">
        <f>SUMIFS(РПЗ!$L:$L,РПЗ!$Q:$Q,Справочно!$C14,РПЗ!$AE:$AE,4)</f>
        <v>0</v>
      </c>
      <c r="Q18" s="149">
        <f>COUNTIFS(РПЗ!$Q:$Q,Справочно!$C14,РПЗ!$AE:$AE,5)</f>
        <v>0</v>
      </c>
      <c r="R18" s="330">
        <f>SUMIFS(РПЗ!$L:$L,РПЗ!$Q:$Q,Справочно!$C14,РПЗ!$AE:$AE,5)</f>
        <v>0</v>
      </c>
      <c r="S18" s="149">
        <f>COUNTIFS(РПЗ!$Q:$Q,Справочно!$C14,РПЗ!$AE:$AE,6)</f>
        <v>0</v>
      </c>
      <c r="T18" s="330">
        <f>SUMIFS(РПЗ!$L:$L,РПЗ!$Q:$Q,Справочно!$C14,РПЗ!$AE:$AE,6)</f>
        <v>0</v>
      </c>
      <c r="U18" s="193">
        <f t="shared" si="4"/>
        <v>0</v>
      </c>
      <c r="V18" s="331">
        <f t="shared" si="5"/>
        <v>0</v>
      </c>
      <c r="W18" s="143">
        <f>COUNTIFS(РПЗ!$Q:$Q,Справочно!$C14,РПЗ!$AE:$AE,7)</f>
        <v>0</v>
      </c>
      <c r="X18" s="332">
        <f>SUMIFS(РПЗ!$L:$L,РПЗ!$Q:$Q,Справочно!$C14,РПЗ!$AE:$AE,7)</f>
        <v>0</v>
      </c>
      <c r="Y18" s="143">
        <f>COUNTIFS(РПЗ!$Q:$Q,Справочно!$C14,РПЗ!$AE:$AE,8)</f>
        <v>0</v>
      </c>
      <c r="Z18" s="332">
        <f>SUMIFS(РПЗ!$L:$L,РПЗ!$Q:$Q,Справочно!$C14,РПЗ!$AE:$AE,8)</f>
        <v>0</v>
      </c>
      <c r="AA18" s="143">
        <f>COUNTIFS(РПЗ!$Q:$Q,Справочно!$C14,РПЗ!$AE:$AE,9)</f>
        <v>0</v>
      </c>
      <c r="AB18" s="332">
        <f>SUMIFS(РПЗ!$L:$L,РПЗ!$Q:$Q,Справочно!$C14,РПЗ!$AE:$AE,9)</f>
        <v>0</v>
      </c>
      <c r="AC18" s="194">
        <f t="shared" si="6"/>
        <v>0</v>
      </c>
      <c r="AD18" s="333">
        <f t="shared" si="7"/>
        <v>0</v>
      </c>
      <c r="AE18" s="151">
        <f>COUNTIFS(РПЗ!$Q:$Q,Справочно!$C14,РПЗ!$AE:$AE,10)</f>
        <v>0</v>
      </c>
      <c r="AF18" s="334">
        <f>SUMIFS(РПЗ!$L:$L,РПЗ!$Q:$Q,Справочно!$C14,РПЗ!$AE:$AE,10)</f>
        <v>0</v>
      </c>
      <c r="AG18" s="151">
        <f>COUNTIFS(РПЗ!$Q:$Q,Справочно!$C14,РПЗ!$AE:$AE,11)</f>
        <v>0</v>
      </c>
      <c r="AH18" s="334">
        <f>SUMIFS(РПЗ!$L:$L,РПЗ!$Q:$Q,Справочно!$C14,РПЗ!$AE:$AE,11)</f>
        <v>0</v>
      </c>
      <c r="AI18" s="151">
        <f>COUNTIFS(РПЗ!$Q:$Q,Справочно!$C14,РПЗ!$AE:$AE,12)</f>
        <v>1</v>
      </c>
      <c r="AJ18" s="334">
        <f>SUMIFS(РПЗ!$L:$L,РПЗ!$Q:$Q,Справочно!$C14,РПЗ!$AE:$AE,12)</f>
        <v>20570892</v>
      </c>
      <c r="AK18" s="198">
        <f t="shared" si="8"/>
        <v>1</v>
      </c>
      <c r="AL18" s="335">
        <f t="shared" si="9"/>
        <v>20570892</v>
      </c>
    </row>
    <row r="19" spans="1:38" ht="13.5" thickBot="1" x14ac:dyDescent="0.25">
      <c r="A19" s="83" t="s">
        <v>249</v>
      </c>
      <c r="B19" s="297">
        <f>COUNTIF(РПЗ!$Q:$Q,Справочно!$C15)</f>
        <v>0</v>
      </c>
      <c r="C19" s="345">
        <f t="shared" si="0"/>
        <v>0</v>
      </c>
      <c r="D19" s="348">
        <f>SUMIF(РПЗ!$Q:$Q,Справочно!$C15,РПЗ!$L:$L)</f>
        <v>0</v>
      </c>
      <c r="E19" s="347">
        <f t="shared" si="1"/>
        <v>0</v>
      </c>
      <c r="G19" s="146">
        <f>COUNTIFS(РПЗ!$Q:$Q,Справочно!$C15,РПЗ!$AE:$AE,1)</f>
        <v>0</v>
      </c>
      <c r="H19" s="336">
        <f>SUMIFS(РПЗ!$L:$L,РПЗ!$Q:$Q,Справочно!$C15,РПЗ!$AE:$AE,1)</f>
        <v>0</v>
      </c>
      <c r="I19" s="146">
        <f>COUNTIFS(РПЗ!$Q:$Q,Справочно!$C15,РПЗ!$AE:$AE,2)</f>
        <v>0</v>
      </c>
      <c r="J19" s="336">
        <f>SUMIFS(РПЗ!$L:$L,РПЗ!$Q:$Q,Справочно!$C15,РПЗ!$AE:$AE,2)</f>
        <v>0</v>
      </c>
      <c r="K19" s="146">
        <f>COUNTIFS(РПЗ!$Q:$Q,Справочно!$C15,РПЗ!$AE:$AE,3)</f>
        <v>0</v>
      </c>
      <c r="L19" s="336">
        <f>SUMIFS(РПЗ!$L:$L,РПЗ!$Q:$Q,Справочно!$C15,РПЗ!$AE:$AE,3)</f>
        <v>0</v>
      </c>
      <c r="M19" s="189">
        <f t="shared" si="2"/>
        <v>0</v>
      </c>
      <c r="N19" s="329">
        <f t="shared" si="3"/>
        <v>0</v>
      </c>
      <c r="O19" s="149">
        <f>COUNTIFS(РПЗ!$Q:$Q,Справочно!$C15,РПЗ!$AE:$AE,4)</f>
        <v>0</v>
      </c>
      <c r="P19" s="330">
        <f>SUMIFS(РПЗ!$L:$L,РПЗ!$Q:$Q,Справочно!$C15,РПЗ!$AE:$AE,4)</f>
        <v>0</v>
      </c>
      <c r="Q19" s="149">
        <f>COUNTIFS(РПЗ!$Q:$Q,Справочно!$C15,РПЗ!$AE:$AE,5)</f>
        <v>0</v>
      </c>
      <c r="R19" s="330">
        <f>SUMIFS(РПЗ!$L:$L,РПЗ!$Q:$Q,Справочно!$C15,РПЗ!$AE:$AE,5)</f>
        <v>0</v>
      </c>
      <c r="S19" s="149">
        <f>COUNTIFS(РПЗ!$Q:$Q,Справочно!$C15,РПЗ!$AE:$AE,6)</f>
        <v>0</v>
      </c>
      <c r="T19" s="330">
        <f>SUMIFS(РПЗ!$L:$L,РПЗ!$Q:$Q,Справочно!$C15,РПЗ!$AE:$AE,6)</f>
        <v>0</v>
      </c>
      <c r="U19" s="193">
        <f t="shared" si="4"/>
        <v>0</v>
      </c>
      <c r="V19" s="331">
        <f t="shared" si="5"/>
        <v>0</v>
      </c>
      <c r="W19" s="143">
        <f>COUNTIFS(РПЗ!$Q:$Q,Справочно!$C15,РПЗ!$AE:$AE,7)</f>
        <v>0</v>
      </c>
      <c r="X19" s="332">
        <f>SUMIFS(РПЗ!$L:$L,РПЗ!$Q:$Q,Справочно!$C15,РПЗ!$AE:$AE,7)</f>
        <v>0</v>
      </c>
      <c r="Y19" s="143">
        <f>COUNTIFS(РПЗ!$Q:$Q,Справочно!$C15,РПЗ!$AE:$AE,8)</f>
        <v>0</v>
      </c>
      <c r="Z19" s="332">
        <f>SUMIFS(РПЗ!$L:$L,РПЗ!$Q:$Q,Справочно!$C15,РПЗ!$AE:$AE,8)</f>
        <v>0</v>
      </c>
      <c r="AA19" s="143">
        <f>COUNTIFS(РПЗ!$Q:$Q,Справочно!$C15,РПЗ!$AE:$AE,9)</f>
        <v>0</v>
      </c>
      <c r="AB19" s="332">
        <f>SUMIFS(РПЗ!$L:$L,РПЗ!$Q:$Q,Справочно!$C15,РПЗ!$AE:$AE,9)</f>
        <v>0</v>
      </c>
      <c r="AC19" s="194">
        <f t="shared" si="6"/>
        <v>0</v>
      </c>
      <c r="AD19" s="333">
        <f t="shared" si="7"/>
        <v>0</v>
      </c>
      <c r="AE19" s="151">
        <f>COUNTIFS(РПЗ!$Q:$Q,Справочно!$C15,РПЗ!$AE:$AE,10)</f>
        <v>0</v>
      </c>
      <c r="AF19" s="334">
        <f>SUMIFS(РПЗ!$L:$L,РПЗ!$Q:$Q,Справочно!$C15,РПЗ!$AE:$AE,10)</f>
        <v>0</v>
      </c>
      <c r="AG19" s="151">
        <f>COUNTIFS(РПЗ!$Q:$Q,Справочно!$C15,РПЗ!$AE:$AE,11)</f>
        <v>0</v>
      </c>
      <c r="AH19" s="334">
        <f>SUMIFS(РПЗ!$L:$L,РПЗ!$Q:$Q,Справочно!$C15,РПЗ!$AE:$AE,11)</f>
        <v>0</v>
      </c>
      <c r="AI19" s="151">
        <f>COUNTIFS(РПЗ!$Q:$Q,Справочно!$C15,РПЗ!$AE:$AE,12)</f>
        <v>0</v>
      </c>
      <c r="AJ19" s="334">
        <f>SUMIFS(РПЗ!$L:$L,РПЗ!$Q:$Q,Справочно!$C15,РПЗ!$AE:$AE,12)</f>
        <v>0</v>
      </c>
      <c r="AK19" s="198">
        <f t="shared" si="8"/>
        <v>0</v>
      </c>
      <c r="AL19" s="335">
        <f t="shared" si="9"/>
        <v>0</v>
      </c>
    </row>
    <row r="20" spans="1:38" ht="13.5" thickBot="1" x14ac:dyDescent="0.25">
      <c r="A20" s="83" t="s">
        <v>103</v>
      </c>
      <c r="B20" s="297">
        <f>COUNTIF(РПЗ!$Q:$Q,Справочно!$C16)</f>
        <v>0</v>
      </c>
      <c r="C20" s="345">
        <f t="shared" si="0"/>
        <v>0</v>
      </c>
      <c r="D20" s="348">
        <f>SUMIF(РПЗ!$Q:$Q,Справочно!$C16,РПЗ!$L:$L)</f>
        <v>0</v>
      </c>
      <c r="E20" s="347">
        <f t="shared" si="1"/>
        <v>0</v>
      </c>
      <c r="G20" s="146">
        <f>COUNTIFS(РПЗ!$Q:$Q,Справочно!$C16,РПЗ!$AE:$AE,1)</f>
        <v>0</v>
      </c>
      <c r="H20" s="336">
        <f>SUMIFS(РПЗ!$L:$L,РПЗ!$Q:$Q,Справочно!$C16,РПЗ!$AE:$AE,1)</f>
        <v>0</v>
      </c>
      <c r="I20" s="146">
        <f>COUNTIFS(РПЗ!$Q:$Q,Справочно!$C16,РПЗ!$AE:$AE,2)</f>
        <v>0</v>
      </c>
      <c r="J20" s="336">
        <f>SUMIFS(РПЗ!$L:$L,РПЗ!$Q:$Q,Справочно!$C16,РПЗ!$AE:$AE,2)</f>
        <v>0</v>
      </c>
      <c r="K20" s="146">
        <f>COUNTIFS(РПЗ!$Q:$Q,Справочно!$C16,РПЗ!$AE:$AE,3)</f>
        <v>0</v>
      </c>
      <c r="L20" s="336">
        <f>SUMIFS(РПЗ!$L:$L,РПЗ!$Q:$Q,Справочно!$C16,РПЗ!$AE:$AE,3)</f>
        <v>0</v>
      </c>
      <c r="M20" s="189">
        <f t="shared" si="2"/>
        <v>0</v>
      </c>
      <c r="N20" s="329">
        <f t="shared" si="3"/>
        <v>0</v>
      </c>
      <c r="O20" s="149">
        <f>COUNTIFS(РПЗ!$Q:$Q,Справочно!$C16,РПЗ!$AE:$AE,4)</f>
        <v>0</v>
      </c>
      <c r="P20" s="330">
        <f>SUMIFS(РПЗ!$L:$L,РПЗ!$Q:$Q,Справочно!$C16,РПЗ!$AE:$AE,4)</f>
        <v>0</v>
      </c>
      <c r="Q20" s="149">
        <f>COUNTIFS(РПЗ!$Q:$Q,Справочно!$C16,РПЗ!$AE:$AE,5)</f>
        <v>0</v>
      </c>
      <c r="R20" s="330">
        <f>SUMIFS(РПЗ!$L:$L,РПЗ!$Q:$Q,Справочно!$C16,РПЗ!$AE:$AE,5)</f>
        <v>0</v>
      </c>
      <c r="S20" s="149">
        <f>COUNTIFS(РПЗ!$Q:$Q,Справочно!$C16,РПЗ!$AE:$AE,6)</f>
        <v>0</v>
      </c>
      <c r="T20" s="330">
        <f>SUMIFS(РПЗ!$L:$L,РПЗ!$Q:$Q,Справочно!$C16,РПЗ!$AE:$AE,6)</f>
        <v>0</v>
      </c>
      <c r="U20" s="193">
        <f t="shared" si="4"/>
        <v>0</v>
      </c>
      <c r="V20" s="331">
        <f t="shared" si="5"/>
        <v>0</v>
      </c>
      <c r="W20" s="143">
        <f>COUNTIFS(РПЗ!$Q:$Q,Справочно!$C16,РПЗ!$AE:$AE,7)</f>
        <v>0</v>
      </c>
      <c r="X20" s="332">
        <f>SUMIFS(РПЗ!$L:$L,РПЗ!$Q:$Q,Справочно!$C16,РПЗ!$AE:$AE,7)</f>
        <v>0</v>
      </c>
      <c r="Y20" s="143">
        <f>COUNTIFS(РПЗ!$Q:$Q,Справочно!$C16,РПЗ!$AE:$AE,8)</f>
        <v>0</v>
      </c>
      <c r="Z20" s="332">
        <f>SUMIFS(РПЗ!$L:$L,РПЗ!$Q:$Q,Справочно!$C16,РПЗ!$AE:$AE,8)</f>
        <v>0</v>
      </c>
      <c r="AA20" s="143">
        <f>COUNTIFS(РПЗ!$Q:$Q,Справочно!$C16,РПЗ!$AE:$AE,9)</f>
        <v>0</v>
      </c>
      <c r="AB20" s="332">
        <f>SUMIFS(РПЗ!$L:$L,РПЗ!$Q:$Q,Справочно!$C16,РПЗ!$AE:$AE,9)</f>
        <v>0</v>
      </c>
      <c r="AC20" s="194">
        <f t="shared" si="6"/>
        <v>0</v>
      </c>
      <c r="AD20" s="333">
        <f t="shared" si="7"/>
        <v>0</v>
      </c>
      <c r="AE20" s="151">
        <f>COUNTIFS(РПЗ!$Q:$Q,Справочно!$C16,РПЗ!$AE:$AE,10)</f>
        <v>0</v>
      </c>
      <c r="AF20" s="334">
        <f>SUMIFS(РПЗ!$L:$L,РПЗ!$Q:$Q,Справочно!$C16,РПЗ!$AE:$AE,10)</f>
        <v>0</v>
      </c>
      <c r="AG20" s="151">
        <f>COUNTIFS(РПЗ!$Q:$Q,Справочно!$C16,РПЗ!$AE:$AE,11)</f>
        <v>0</v>
      </c>
      <c r="AH20" s="334">
        <f>SUMIFS(РПЗ!$L:$L,РПЗ!$Q:$Q,Справочно!$C16,РПЗ!$AE:$AE,11)</f>
        <v>0</v>
      </c>
      <c r="AI20" s="151">
        <f>COUNTIFS(РПЗ!$Q:$Q,Справочно!$C16,РПЗ!$AE:$AE,12)</f>
        <v>0</v>
      </c>
      <c r="AJ20" s="334">
        <f>SUMIFS(РПЗ!$L:$L,РПЗ!$Q:$Q,Справочно!$C16,РПЗ!$AE:$AE,12)</f>
        <v>0</v>
      </c>
      <c r="AK20" s="198">
        <f t="shared" si="8"/>
        <v>0</v>
      </c>
      <c r="AL20" s="335">
        <f t="shared" si="9"/>
        <v>0</v>
      </c>
    </row>
    <row r="21" spans="1:38" ht="13.5" thickBot="1" x14ac:dyDescent="0.25">
      <c r="A21" s="83" t="s">
        <v>250</v>
      </c>
      <c r="B21" s="297">
        <f>COUNTIF(РПЗ!$Q:$Q,Справочно!$C17)</f>
        <v>0</v>
      </c>
      <c r="C21" s="345">
        <f t="shared" si="0"/>
        <v>0</v>
      </c>
      <c r="D21" s="348">
        <f>SUMIF(РПЗ!$Q:$Q,Справочно!$C17,РПЗ!$L:$L)</f>
        <v>0</v>
      </c>
      <c r="E21" s="347">
        <f t="shared" si="1"/>
        <v>0</v>
      </c>
      <c r="G21" s="146">
        <f>COUNTIFS(РПЗ!$Q:$Q,Справочно!$C17,РПЗ!$AE:$AE,1)</f>
        <v>0</v>
      </c>
      <c r="H21" s="336">
        <f>SUMIFS(РПЗ!$L:$L,РПЗ!$Q:$Q,Справочно!$C17,РПЗ!$AE:$AE,1)</f>
        <v>0</v>
      </c>
      <c r="I21" s="146">
        <f>COUNTIFS(РПЗ!$Q:$Q,Справочно!$C17,РПЗ!$AE:$AE,2)</f>
        <v>0</v>
      </c>
      <c r="J21" s="336">
        <f>SUMIFS(РПЗ!$L:$L,РПЗ!$Q:$Q,Справочно!$C17,РПЗ!$AE:$AE,2)</f>
        <v>0</v>
      </c>
      <c r="K21" s="146">
        <f>COUNTIFS(РПЗ!$Q:$Q,Справочно!$C17,РПЗ!$AE:$AE,3)</f>
        <v>0</v>
      </c>
      <c r="L21" s="336">
        <f>SUMIFS(РПЗ!$L:$L,РПЗ!$Q:$Q,Справочно!$C17,РПЗ!$AE:$AE,3)</f>
        <v>0</v>
      </c>
      <c r="M21" s="189">
        <f t="shared" si="2"/>
        <v>0</v>
      </c>
      <c r="N21" s="329">
        <f t="shared" si="3"/>
        <v>0</v>
      </c>
      <c r="O21" s="149">
        <f>COUNTIFS(РПЗ!$Q:$Q,Справочно!$C17,РПЗ!$AE:$AE,4)</f>
        <v>0</v>
      </c>
      <c r="P21" s="330">
        <f>SUMIFS(РПЗ!$L:$L,РПЗ!$Q:$Q,Справочно!$C17,РПЗ!$AE:$AE,4)</f>
        <v>0</v>
      </c>
      <c r="Q21" s="149">
        <f>COUNTIFS(РПЗ!$Q:$Q,Справочно!$C17,РПЗ!$AE:$AE,5)</f>
        <v>0</v>
      </c>
      <c r="R21" s="330">
        <f>SUMIFS(РПЗ!$L:$L,РПЗ!$Q:$Q,Справочно!$C17,РПЗ!$AE:$AE,5)</f>
        <v>0</v>
      </c>
      <c r="S21" s="149">
        <f>COUNTIFS(РПЗ!$Q:$Q,Справочно!$C17,РПЗ!$AE:$AE,6)</f>
        <v>0</v>
      </c>
      <c r="T21" s="330">
        <f>SUMIFS(РПЗ!$L:$L,РПЗ!$Q:$Q,Справочно!$C17,РПЗ!$AE:$AE,6)</f>
        <v>0</v>
      </c>
      <c r="U21" s="193">
        <f t="shared" si="4"/>
        <v>0</v>
      </c>
      <c r="V21" s="331">
        <f t="shared" si="5"/>
        <v>0</v>
      </c>
      <c r="W21" s="143">
        <f>COUNTIFS(РПЗ!$Q:$Q,Справочно!$C17,РПЗ!$AE:$AE,7)</f>
        <v>0</v>
      </c>
      <c r="X21" s="332">
        <f>SUMIFS(РПЗ!$L:$L,РПЗ!$Q:$Q,Справочно!$C17,РПЗ!$AE:$AE,7)</f>
        <v>0</v>
      </c>
      <c r="Y21" s="143">
        <f>COUNTIFS(РПЗ!$Q:$Q,Справочно!$C17,РПЗ!$AE:$AE,8)</f>
        <v>0</v>
      </c>
      <c r="Z21" s="332">
        <f>SUMIFS(РПЗ!$L:$L,РПЗ!$Q:$Q,Справочно!$C17,РПЗ!$AE:$AE,8)</f>
        <v>0</v>
      </c>
      <c r="AA21" s="143">
        <f>COUNTIFS(РПЗ!$Q:$Q,Справочно!$C17,РПЗ!$AE:$AE,9)</f>
        <v>0</v>
      </c>
      <c r="AB21" s="332">
        <f>SUMIFS(РПЗ!$L:$L,РПЗ!$Q:$Q,Справочно!$C17,РПЗ!$AE:$AE,9)</f>
        <v>0</v>
      </c>
      <c r="AC21" s="194">
        <f t="shared" si="6"/>
        <v>0</v>
      </c>
      <c r="AD21" s="333">
        <f t="shared" si="7"/>
        <v>0</v>
      </c>
      <c r="AE21" s="151">
        <f>COUNTIFS(РПЗ!$Q:$Q,Справочно!$C17,РПЗ!$AE:$AE,10)</f>
        <v>0</v>
      </c>
      <c r="AF21" s="334">
        <f>SUMIFS(РПЗ!$L:$L,РПЗ!$Q:$Q,Справочно!$C17,РПЗ!$AE:$AE,10)</f>
        <v>0</v>
      </c>
      <c r="AG21" s="151">
        <f>COUNTIFS(РПЗ!$Q:$Q,Справочно!$C17,РПЗ!$AE:$AE,11)</f>
        <v>0</v>
      </c>
      <c r="AH21" s="334">
        <f>SUMIFS(РПЗ!$L:$L,РПЗ!$Q:$Q,Справочно!$C17,РПЗ!$AE:$AE,11)</f>
        <v>0</v>
      </c>
      <c r="AI21" s="151">
        <f>COUNTIFS(РПЗ!$Q:$Q,Справочно!$C17,РПЗ!$AE:$AE,12)</f>
        <v>0</v>
      </c>
      <c r="AJ21" s="334">
        <f>SUMIFS(РПЗ!$L:$L,РПЗ!$Q:$Q,Справочно!$C17,РПЗ!$AE:$AE,12)</f>
        <v>0</v>
      </c>
      <c r="AK21" s="198">
        <f t="shared" si="8"/>
        <v>0</v>
      </c>
      <c r="AL21" s="335">
        <f t="shared" si="9"/>
        <v>0</v>
      </c>
    </row>
    <row r="22" spans="1:38" ht="13.5" thickBot="1" x14ac:dyDescent="0.25">
      <c r="A22" s="83" t="s">
        <v>105</v>
      </c>
      <c r="B22" s="297">
        <f>COUNTIF(РПЗ!$Q:$Q,Справочно!$C18)</f>
        <v>10</v>
      </c>
      <c r="C22" s="345">
        <f t="shared" si="0"/>
        <v>6.3532401524777635E-3</v>
      </c>
      <c r="D22" s="348">
        <f>SUMIF(РПЗ!$Q:$Q,Справочно!$C18,РПЗ!$L:$L)</f>
        <v>37414307.780000001</v>
      </c>
      <c r="E22" s="347">
        <f t="shared" si="1"/>
        <v>7.6492330247953733E-3</v>
      </c>
      <c r="G22" s="146">
        <f>COUNTIFS(РПЗ!$Q:$Q,Справочно!$C18,РПЗ!$AE:$AE,1)</f>
        <v>0</v>
      </c>
      <c r="H22" s="336">
        <f>SUMIFS(РПЗ!$L:$L,РПЗ!$Q:$Q,Справочно!$C18,РПЗ!$AE:$AE,1)</f>
        <v>0</v>
      </c>
      <c r="I22" s="146">
        <f>COUNTIFS(РПЗ!$Q:$Q,Справочно!$C18,РПЗ!$AE:$AE,2)</f>
        <v>0</v>
      </c>
      <c r="J22" s="336">
        <f>SUMIFS(РПЗ!$L:$L,РПЗ!$Q:$Q,Справочно!$C18,РПЗ!$AE:$AE,2)</f>
        <v>0</v>
      </c>
      <c r="K22" s="146">
        <f>COUNTIFS(РПЗ!$Q:$Q,Справочно!$C18,РПЗ!$AE:$AE,3)</f>
        <v>0</v>
      </c>
      <c r="L22" s="336">
        <f>SUMIFS(РПЗ!$L:$L,РПЗ!$Q:$Q,Справочно!$C18,РПЗ!$AE:$AE,3)</f>
        <v>0</v>
      </c>
      <c r="M22" s="189">
        <f t="shared" si="2"/>
        <v>0</v>
      </c>
      <c r="N22" s="329">
        <f t="shared" si="3"/>
        <v>0</v>
      </c>
      <c r="O22" s="149">
        <f>COUNTIFS(РПЗ!$Q:$Q,Справочно!$C18,РПЗ!$AE:$AE,4)</f>
        <v>1</v>
      </c>
      <c r="P22" s="330">
        <f>SUMIFS(РПЗ!$L:$L,РПЗ!$Q:$Q,Справочно!$C18,РПЗ!$AE:$AE,4)</f>
        <v>2700000</v>
      </c>
      <c r="Q22" s="149">
        <f>COUNTIFS(РПЗ!$Q:$Q,Справочно!$C18,РПЗ!$AE:$AE,5)</f>
        <v>1</v>
      </c>
      <c r="R22" s="330">
        <f>SUMIFS(РПЗ!$L:$L,РПЗ!$Q:$Q,Справочно!$C18,РПЗ!$AE:$AE,5)</f>
        <v>3100000</v>
      </c>
      <c r="S22" s="149">
        <f>COUNTIFS(РПЗ!$Q:$Q,Справочно!$C18,РПЗ!$AE:$AE,6)</f>
        <v>0</v>
      </c>
      <c r="T22" s="330">
        <f>SUMIFS(РПЗ!$L:$L,РПЗ!$Q:$Q,Справочно!$C18,РПЗ!$AE:$AE,6)</f>
        <v>0</v>
      </c>
      <c r="U22" s="193">
        <f t="shared" si="4"/>
        <v>2</v>
      </c>
      <c r="V22" s="331">
        <f t="shared" si="5"/>
        <v>5800000</v>
      </c>
      <c r="W22" s="143">
        <f>COUNTIFS(РПЗ!$Q:$Q,Справочно!$C18,РПЗ!$AE:$AE,7)</f>
        <v>0</v>
      </c>
      <c r="X22" s="332">
        <f>SUMIFS(РПЗ!$L:$L,РПЗ!$Q:$Q,Справочно!$C18,РПЗ!$AE:$AE,7)</f>
        <v>0</v>
      </c>
      <c r="Y22" s="143">
        <f>COUNTIFS(РПЗ!$Q:$Q,Справочно!$C18,РПЗ!$AE:$AE,8)</f>
        <v>2</v>
      </c>
      <c r="Z22" s="332">
        <f>SUMIFS(РПЗ!$L:$L,РПЗ!$Q:$Q,Справочно!$C18,РПЗ!$AE:$AE,8)</f>
        <v>2783515.7800000003</v>
      </c>
      <c r="AA22" s="143">
        <f>COUNTIFS(РПЗ!$Q:$Q,Справочно!$C18,РПЗ!$AE:$AE,9)</f>
        <v>0</v>
      </c>
      <c r="AB22" s="332">
        <f>SUMIFS(РПЗ!$L:$L,РПЗ!$Q:$Q,Справочно!$C18,РПЗ!$AE:$AE,9)</f>
        <v>0</v>
      </c>
      <c r="AC22" s="194">
        <f t="shared" si="6"/>
        <v>2</v>
      </c>
      <c r="AD22" s="333">
        <f t="shared" si="7"/>
        <v>2783515.7800000003</v>
      </c>
      <c r="AE22" s="151">
        <f>COUNTIFS(РПЗ!$Q:$Q,Справочно!$C18,РПЗ!$AE:$AE,10)</f>
        <v>2</v>
      </c>
      <c r="AF22" s="334">
        <f>SUMIFS(РПЗ!$L:$L,РПЗ!$Q:$Q,Справочно!$C18,РПЗ!$AE:$AE,10)</f>
        <v>19200000</v>
      </c>
      <c r="AG22" s="151">
        <f>COUNTIFS(РПЗ!$Q:$Q,Справочно!$C18,РПЗ!$AE:$AE,11)</f>
        <v>0</v>
      </c>
      <c r="AH22" s="334">
        <f>SUMIFS(РПЗ!$L:$L,РПЗ!$Q:$Q,Справочно!$C18,РПЗ!$AE:$AE,11)</f>
        <v>0</v>
      </c>
      <c r="AI22" s="151">
        <f>COUNTIFS(РПЗ!$Q:$Q,Справочно!$C18,РПЗ!$AE:$AE,12)</f>
        <v>4</v>
      </c>
      <c r="AJ22" s="334">
        <f>SUMIFS(РПЗ!$L:$L,РПЗ!$Q:$Q,Справочно!$C18,РПЗ!$AE:$AE,12)</f>
        <v>9630792</v>
      </c>
      <c r="AK22" s="198">
        <f t="shared" si="8"/>
        <v>6</v>
      </c>
      <c r="AL22" s="335">
        <f t="shared" si="9"/>
        <v>28830792</v>
      </c>
    </row>
    <row r="23" spans="1:38" ht="13.5" thickBot="1" x14ac:dyDescent="0.25">
      <c r="A23" s="83" t="s">
        <v>251</v>
      </c>
      <c r="B23" s="297">
        <f>COUNTIF(РПЗ!$Q:$Q,Справочно!$C19)</f>
        <v>0</v>
      </c>
      <c r="C23" s="345">
        <f t="shared" si="0"/>
        <v>0</v>
      </c>
      <c r="D23" s="348">
        <f>SUMIF(РПЗ!$Q:$Q,Справочно!$C19,РПЗ!$L:$L)</f>
        <v>0</v>
      </c>
      <c r="E23" s="347">
        <f t="shared" si="1"/>
        <v>0</v>
      </c>
      <c r="G23" s="146">
        <f>COUNTIFS(РПЗ!$Q:$Q,Справочно!$C19,РПЗ!$AE:$AE,1)</f>
        <v>0</v>
      </c>
      <c r="H23" s="336">
        <f>SUMIFS(РПЗ!$L:$L,РПЗ!$Q:$Q,Справочно!$C19,РПЗ!$AE:$AE,1)</f>
        <v>0</v>
      </c>
      <c r="I23" s="146">
        <f>COUNTIFS(РПЗ!$Q:$Q,Справочно!$C19,РПЗ!$AE:$AE,2)</f>
        <v>0</v>
      </c>
      <c r="J23" s="336">
        <f>SUMIFS(РПЗ!$L:$L,РПЗ!$Q:$Q,Справочно!$C19,РПЗ!$AE:$AE,2)</f>
        <v>0</v>
      </c>
      <c r="K23" s="146">
        <f>COUNTIFS(РПЗ!$Q:$Q,Справочно!$C19,РПЗ!$AE:$AE,3)</f>
        <v>0</v>
      </c>
      <c r="L23" s="336">
        <f>SUMIFS(РПЗ!$L:$L,РПЗ!$Q:$Q,Справочно!$C19,РПЗ!$AE:$AE,3)</f>
        <v>0</v>
      </c>
      <c r="M23" s="189">
        <f t="shared" si="2"/>
        <v>0</v>
      </c>
      <c r="N23" s="329">
        <f t="shared" si="3"/>
        <v>0</v>
      </c>
      <c r="O23" s="149">
        <f>COUNTIFS(РПЗ!$Q:$Q,Справочно!$C19,РПЗ!$AE:$AE,4)</f>
        <v>0</v>
      </c>
      <c r="P23" s="330">
        <f>SUMIFS(РПЗ!$L:$L,РПЗ!$Q:$Q,Справочно!$C19,РПЗ!$AE:$AE,4)</f>
        <v>0</v>
      </c>
      <c r="Q23" s="149">
        <f>COUNTIFS(РПЗ!$Q:$Q,Справочно!$C19,РПЗ!$AE:$AE,5)</f>
        <v>0</v>
      </c>
      <c r="R23" s="330">
        <f>SUMIFS(РПЗ!$L:$L,РПЗ!$Q:$Q,Справочно!$C19,РПЗ!$AE:$AE,5)</f>
        <v>0</v>
      </c>
      <c r="S23" s="149">
        <f>COUNTIFS(РПЗ!$Q:$Q,Справочно!$C19,РПЗ!$AE:$AE,6)</f>
        <v>0</v>
      </c>
      <c r="T23" s="330">
        <f>SUMIFS(РПЗ!$L:$L,РПЗ!$Q:$Q,Справочно!$C19,РПЗ!$AE:$AE,6)</f>
        <v>0</v>
      </c>
      <c r="U23" s="193">
        <f t="shared" si="4"/>
        <v>0</v>
      </c>
      <c r="V23" s="331">
        <f t="shared" si="5"/>
        <v>0</v>
      </c>
      <c r="W23" s="143">
        <f>COUNTIFS(РПЗ!$Q:$Q,Справочно!$C19,РПЗ!$AE:$AE,7)</f>
        <v>0</v>
      </c>
      <c r="X23" s="332">
        <f>SUMIFS(РПЗ!$L:$L,РПЗ!$Q:$Q,Справочно!$C19,РПЗ!$AE:$AE,7)</f>
        <v>0</v>
      </c>
      <c r="Y23" s="143">
        <f>COUNTIFS(РПЗ!$Q:$Q,Справочно!$C19,РПЗ!$AE:$AE,8)</f>
        <v>0</v>
      </c>
      <c r="Z23" s="332">
        <f>SUMIFS(РПЗ!$L:$L,РПЗ!$Q:$Q,Справочно!$C19,РПЗ!$AE:$AE,8)</f>
        <v>0</v>
      </c>
      <c r="AA23" s="143">
        <f>COUNTIFS(РПЗ!$Q:$Q,Справочно!$C19,РПЗ!$AE:$AE,9)</f>
        <v>0</v>
      </c>
      <c r="AB23" s="332">
        <f>SUMIFS(РПЗ!$L:$L,РПЗ!$Q:$Q,Справочно!$C19,РПЗ!$AE:$AE,9)</f>
        <v>0</v>
      </c>
      <c r="AC23" s="194">
        <f t="shared" si="6"/>
        <v>0</v>
      </c>
      <c r="AD23" s="333">
        <f t="shared" si="7"/>
        <v>0</v>
      </c>
      <c r="AE23" s="151">
        <f>COUNTIFS(РПЗ!$Q:$Q,Справочно!$C19,РПЗ!$AE:$AE,10)</f>
        <v>0</v>
      </c>
      <c r="AF23" s="334">
        <f>SUMIFS(РПЗ!$L:$L,РПЗ!$Q:$Q,Справочно!$C19,РПЗ!$AE:$AE,10)</f>
        <v>0</v>
      </c>
      <c r="AG23" s="151">
        <f>COUNTIFS(РПЗ!$Q:$Q,Справочно!$C19,РПЗ!$AE:$AE,11)</f>
        <v>0</v>
      </c>
      <c r="AH23" s="334">
        <f>SUMIFS(РПЗ!$L:$L,РПЗ!$Q:$Q,Справочно!$C19,РПЗ!$AE:$AE,11)</f>
        <v>0</v>
      </c>
      <c r="AI23" s="151">
        <f>COUNTIFS(РПЗ!$Q:$Q,Справочно!$C19,РПЗ!$AE:$AE,12)</f>
        <v>0</v>
      </c>
      <c r="AJ23" s="334">
        <f>SUMIFS(РПЗ!$L:$L,РПЗ!$Q:$Q,Справочно!$C19,РПЗ!$AE:$AE,12)</f>
        <v>0</v>
      </c>
      <c r="AK23" s="198">
        <f t="shared" si="8"/>
        <v>0</v>
      </c>
      <c r="AL23" s="335">
        <f t="shared" si="9"/>
        <v>0</v>
      </c>
    </row>
    <row r="24" spans="1:38" ht="13.5" thickBot="1" x14ac:dyDescent="0.25">
      <c r="A24" s="83" t="s">
        <v>107</v>
      </c>
      <c r="B24" s="297">
        <f>COUNTIF(РПЗ!$Q:$Q,Справочно!$C20)</f>
        <v>822</v>
      </c>
      <c r="C24" s="345">
        <f t="shared" si="0"/>
        <v>0.52223634053367218</v>
      </c>
      <c r="D24" s="348">
        <f>SUMIF(РПЗ!$Q:$Q,Справочно!$C20,РПЗ!$L:$L)</f>
        <v>1785428205.8600006</v>
      </c>
      <c r="E24" s="347">
        <f t="shared" si="1"/>
        <v>0.3650249652077211</v>
      </c>
      <c r="G24" s="146">
        <f>COUNTIFS(РПЗ!$Q:$Q,Справочно!$C20,РПЗ!$AE:$AE,1)</f>
        <v>166</v>
      </c>
      <c r="H24" s="336">
        <f>SUMIFS(РПЗ!$L:$L,РПЗ!$Q:$Q,Справочно!$C20,РПЗ!$AE:$AE,1)</f>
        <v>915547548.24000037</v>
      </c>
      <c r="I24" s="146">
        <f>COUNTIFS(РПЗ!$Q:$Q,Справочно!$C20,РПЗ!$AE:$AE,2)</f>
        <v>97</v>
      </c>
      <c r="J24" s="336">
        <f>SUMIFS(РПЗ!$L:$L,РПЗ!$Q:$Q,Справочно!$C20,РПЗ!$AE:$AE,2)</f>
        <v>99211512.439999968</v>
      </c>
      <c r="K24" s="146">
        <f>COUNTIFS(РПЗ!$Q:$Q,Справочно!$C20,РПЗ!$AE:$AE,3)</f>
        <v>71</v>
      </c>
      <c r="L24" s="336">
        <f>SUMIFS(РПЗ!$L:$L,РПЗ!$Q:$Q,Справочно!$C20,РПЗ!$AE:$AE,3)</f>
        <v>73620322.450000033</v>
      </c>
      <c r="M24" s="189">
        <f t="shared" si="2"/>
        <v>334</v>
      </c>
      <c r="N24" s="329">
        <f t="shared" si="3"/>
        <v>1088379383.1300004</v>
      </c>
      <c r="O24" s="149">
        <f>COUNTIFS(РПЗ!$Q:$Q,Справочно!$C20,РПЗ!$AE:$AE,4)</f>
        <v>44</v>
      </c>
      <c r="P24" s="330">
        <f>SUMIFS(РПЗ!$L:$L,РПЗ!$Q:$Q,Справочно!$C20,РПЗ!$AE:$AE,4)</f>
        <v>51302067.910000004</v>
      </c>
      <c r="Q24" s="149">
        <f>COUNTIFS(РПЗ!$Q:$Q,Справочно!$C20,РПЗ!$AE:$AE,5)</f>
        <v>53</v>
      </c>
      <c r="R24" s="330">
        <f>SUMIFS(РПЗ!$L:$L,РПЗ!$Q:$Q,Справочно!$C20,РПЗ!$AE:$AE,5)</f>
        <v>70139030.820000008</v>
      </c>
      <c r="S24" s="149">
        <f>COUNTIFS(РПЗ!$Q:$Q,Справочно!$C20,РПЗ!$AE:$AE,6)</f>
        <v>84</v>
      </c>
      <c r="T24" s="330">
        <f>SUMIFS(РПЗ!$L:$L,РПЗ!$Q:$Q,Справочно!$C20,РПЗ!$AE:$AE,6)</f>
        <v>344870078.6400001</v>
      </c>
      <c r="U24" s="193">
        <f t="shared" si="4"/>
        <v>181</v>
      </c>
      <c r="V24" s="331">
        <f t="shared" si="5"/>
        <v>466311177.37000012</v>
      </c>
      <c r="W24" s="143">
        <f>COUNTIFS(РПЗ!$Q:$Q,Справочно!$C20,РПЗ!$AE:$AE,7)</f>
        <v>64</v>
      </c>
      <c r="X24" s="332">
        <f>SUMIFS(РПЗ!$L:$L,РПЗ!$Q:$Q,Справочно!$C20,РПЗ!$AE:$AE,7)</f>
        <v>61084502.680000015</v>
      </c>
      <c r="Y24" s="143">
        <f>COUNTIFS(РПЗ!$Q:$Q,Справочно!$C20,РПЗ!$AE:$AE,8)</f>
        <v>43</v>
      </c>
      <c r="Z24" s="332">
        <f>SUMIFS(РПЗ!$L:$L,РПЗ!$Q:$Q,Справочно!$C20,РПЗ!$AE:$AE,8)</f>
        <v>43653673.829999991</v>
      </c>
      <c r="AA24" s="143">
        <f>COUNTIFS(РПЗ!$Q:$Q,Справочно!$C20,РПЗ!$AE:$AE,9)</f>
        <v>47</v>
      </c>
      <c r="AB24" s="332">
        <f>SUMIFS(РПЗ!$L:$L,РПЗ!$Q:$Q,Справочно!$C20,РПЗ!$AE:$AE,9)</f>
        <v>36909450.359999999</v>
      </c>
      <c r="AC24" s="194">
        <f t="shared" si="6"/>
        <v>154</v>
      </c>
      <c r="AD24" s="333">
        <f t="shared" si="7"/>
        <v>141647626.87</v>
      </c>
      <c r="AE24" s="151">
        <f>COUNTIFS(РПЗ!$Q:$Q,Справочно!$C20,РПЗ!$AE:$AE,10)</f>
        <v>46</v>
      </c>
      <c r="AF24" s="334">
        <f>SUMIFS(РПЗ!$L:$L,РПЗ!$Q:$Q,Справочно!$C20,РПЗ!$AE:$AE,10)</f>
        <v>27264106.180000003</v>
      </c>
      <c r="AG24" s="151">
        <f>COUNTIFS(РПЗ!$Q:$Q,Справочно!$C20,РПЗ!$AE:$AE,11)</f>
        <v>65</v>
      </c>
      <c r="AH24" s="334">
        <f>SUMIFS(РПЗ!$L:$L,РПЗ!$Q:$Q,Справочно!$C20,РПЗ!$AE:$AE,11)</f>
        <v>42539070.460000001</v>
      </c>
      <c r="AI24" s="151">
        <f>COUNTIFS(РПЗ!$Q:$Q,Справочно!$C20,РПЗ!$AE:$AE,12)</f>
        <v>42</v>
      </c>
      <c r="AJ24" s="334">
        <f>SUMIFS(РПЗ!$L:$L,РПЗ!$Q:$Q,Справочно!$C20,РПЗ!$AE:$AE,12)</f>
        <v>19286841.849999998</v>
      </c>
      <c r="AK24" s="198">
        <f t="shared" si="8"/>
        <v>153</v>
      </c>
      <c r="AL24" s="335">
        <f t="shared" si="9"/>
        <v>89090018.489999995</v>
      </c>
    </row>
    <row r="25" spans="1:38" ht="13.5" thickBot="1" x14ac:dyDescent="0.25">
      <c r="A25" s="83" t="s">
        <v>252</v>
      </c>
      <c r="B25" s="297">
        <f>COUNTIF(РПЗ!$Q:$Q,Справочно!$C21)</f>
        <v>0</v>
      </c>
      <c r="C25" s="345">
        <f t="shared" si="0"/>
        <v>0</v>
      </c>
      <c r="D25" s="348">
        <f>SUMIF(РПЗ!$Q:$Q,Справочно!$C21,РПЗ!$L:$L)</f>
        <v>0</v>
      </c>
      <c r="E25" s="347">
        <f t="shared" si="1"/>
        <v>0</v>
      </c>
      <c r="G25" s="146">
        <f>COUNTIFS(РПЗ!$Q:$Q,Справочно!$C21,РПЗ!$AE:$AE,1)</f>
        <v>0</v>
      </c>
      <c r="H25" s="336">
        <f>SUMIFS(РПЗ!$L:$L,РПЗ!$Q:$Q,Справочно!$C21,РПЗ!$AE:$AE,1)</f>
        <v>0</v>
      </c>
      <c r="I25" s="146">
        <f>COUNTIFS(РПЗ!$Q:$Q,Справочно!$C21,РПЗ!$AE:$AE,2)</f>
        <v>0</v>
      </c>
      <c r="J25" s="336">
        <f>SUMIFS(РПЗ!$L:$L,РПЗ!$Q:$Q,Справочно!$C21,РПЗ!$AE:$AE,2)</f>
        <v>0</v>
      </c>
      <c r="K25" s="146">
        <f>COUNTIFS(РПЗ!$Q:$Q,Справочно!$C21,РПЗ!$AE:$AE,3)</f>
        <v>0</v>
      </c>
      <c r="L25" s="336">
        <f>SUMIFS(РПЗ!$L:$L,РПЗ!$Q:$Q,Справочно!$C21,РПЗ!$AE:$AE,3)</f>
        <v>0</v>
      </c>
      <c r="M25" s="189">
        <f t="shared" si="2"/>
        <v>0</v>
      </c>
      <c r="N25" s="329">
        <f t="shared" si="3"/>
        <v>0</v>
      </c>
      <c r="O25" s="149">
        <f>COUNTIFS(РПЗ!$Q:$Q,Справочно!$C21,РПЗ!$AE:$AE,4)</f>
        <v>0</v>
      </c>
      <c r="P25" s="330">
        <f>SUMIFS(РПЗ!$L:$L,РПЗ!$Q:$Q,Справочно!$C21,РПЗ!$AE:$AE,4)</f>
        <v>0</v>
      </c>
      <c r="Q25" s="149">
        <f>COUNTIFS(РПЗ!$Q:$Q,Справочно!$C21,РПЗ!$AE:$AE,5)</f>
        <v>0</v>
      </c>
      <c r="R25" s="330">
        <f>SUMIFS(РПЗ!$L:$L,РПЗ!$Q:$Q,Справочно!$C21,РПЗ!$AE:$AE,5)</f>
        <v>0</v>
      </c>
      <c r="S25" s="149">
        <f>COUNTIFS(РПЗ!$Q:$Q,Справочно!$C21,РПЗ!$AE:$AE,6)</f>
        <v>0</v>
      </c>
      <c r="T25" s="330">
        <f>SUMIFS(РПЗ!$L:$L,РПЗ!$Q:$Q,Справочно!$C21,РПЗ!$AE:$AE,6)</f>
        <v>0</v>
      </c>
      <c r="U25" s="193">
        <f t="shared" si="4"/>
        <v>0</v>
      </c>
      <c r="V25" s="331">
        <f t="shared" si="5"/>
        <v>0</v>
      </c>
      <c r="W25" s="143">
        <f>COUNTIFS(РПЗ!$Q:$Q,Справочно!$C21,РПЗ!$AE:$AE,7)</f>
        <v>0</v>
      </c>
      <c r="X25" s="332">
        <f>SUMIFS(РПЗ!$L:$L,РПЗ!$Q:$Q,Справочно!$C21,РПЗ!$AE:$AE,7)</f>
        <v>0</v>
      </c>
      <c r="Y25" s="143">
        <f>COUNTIFS(РПЗ!$Q:$Q,Справочно!$C21,РПЗ!$AE:$AE,8)</f>
        <v>0</v>
      </c>
      <c r="Z25" s="332">
        <f>SUMIFS(РПЗ!$L:$L,РПЗ!$Q:$Q,Справочно!$C21,РПЗ!$AE:$AE,8)</f>
        <v>0</v>
      </c>
      <c r="AA25" s="143">
        <f>COUNTIFS(РПЗ!$Q:$Q,Справочно!$C21,РПЗ!$AE:$AE,9)</f>
        <v>0</v>
      </c>
      <c r="AB25" s="332">
        <f>SUMIFS(РПЗ!$L:$L,РПЗ!$Q:$Q,Справочно!$C21,РПЗ!$AE:$AE,9)</f>
        <v>0</v>
      </c>
      <c r="AC25" s="194">
        <f t="shared" si="6"/>
        <v>0</v>
      </c>
      <c r="AD25" s="333">
        <f t="shared" si="7"/>
        <v>0</v>
      </c>
      <c r="AE25" s="151">
        <f>COUNTIFS(РПЗ!$Q:$Q,Справочно!$C21,РПЗ!$AE:$AE,10)</f>
        <v>0</v>
      </c>
      <c r="AF25" s="334">
        <f>SUMIFS(РПЗ!$L:$L,РПЗ!$Q:$Q,Справочно!$C21,РПЗ!$AE:$AE,10)</f>
        <v>0</v>
      </c>
      <c r="AG25" s="151">
        <f>COUNTIFS(РПЗ!$Q:$Q,Справочно!$C21,РПЗ!$AE:$AE,11)</f>
        <v>0</v>
      </c>
      <c r="AH25" s="334">
        <f>SUMIFS(РПЗ!$L:$L,РПЗ!$Q:$Q,Справочно!$C21,РПЗ!$AE:$AE,11)</f>
        <v>0</v>
      </c>
      <c r="AI25" s="151">
        <f>COUNTIFS(РПЗ!$Q:$Q,Справочно!$C21,РПЗ!$AE:$AE,12)</f>
        <v>0</v>
      </c>
      <c r="AJ25" s="334">
        <f>SUMIFS(РПЗ!$L:$L,РПЗ!$Q:$Q,Справочно!$C21,РПЗ!$AE:$AE,7)</f>
        <v>0</v>
      </c>
      <c r="AK25" s="198">
        <f t="shared" si="8"/>
        <v>0</v>
      </c>
      <c r="AL25" s="335">
        <f t="shared" si="9"/>
        <v>0</v>
      </c>
    </row>
    <row r="26" spans="1:38" ht="13.5" thickBot="1" x14ac:dyDescent="0.25">
      <c r="A26" s="83" t="s">
        <v>166</v>
      </c>
      <c r="B26" s="297">
        <f>COUNTIF(РПЗ!$Q:$Q,Справочно!$C22)</f>
        <v>0</v>
      </c>
      <c r="C26" s="345">
        <f t="shared" si="0"/>
        <v>0</v>
      </c>
      <c r="D26" s="348">
        <f>SUMIF(РПЗ!$Q:$Q,Справочно!$C22,РПЗ!$L:$L)</f>
        <v>0</v>
      </c>
      <c r="E26" s="347">
        <f t="shared" si="1"/>
        <v>0</v>
      </c>
      <c r="G26" s="146">
        <f>COUNTIFS(РПЗ!$Q:$Q,Справочно!$C22,РПЗ!$AE:$AE,1)</f>
        <v>0</v>
      </c>
      <c r="H26" s="336">
        <f>SUMIFS(РПЗ!$L:$L,РПЗ!$Q:$Q,Справочно!$C22,РПЗ!$AE:$AE,1)</f>
        <v>0</v>
      </c>
      <c r="I26" s="146">
        <f>COUNTIFS(РПЗ!$Q:$Q,Справочно!$C22,РПЗ!$AE:$AE,2)</f>
        <v>0</v>
      </c>
      <c r="J26" s="336">
        <f>SUMIFS(РПЗ!$L:$L,РПЗ!$Q:$Q,Справочно!$C22,РПЗ!$AE:$AE,2)</f>
        <v>0</v>
      </c>
      <c r="K26" s="146">
        <f>COUNTIFS(РПЗ!$Q:$Q,Справочно!$C22,РПЗ!$AE:$AE,3)</f>
        <v>0</v>
      </c>
      <c r="L26" s="336">
        <f>SUMIFS(РПЗ!$L:$L,РПЗ!$Q:$Q,Справочно!$C22,РПЗ!$AE:$AE,3)</f>
        <v>0</v>
      </c>
      <c r="M26" s="189">
        <f t="shared" si="2"/>
        <v>0</v>
      </c>
      <c r="N26" s="329">
        <f t="shared" si="3"/>
        <v>0</v>
      </c>
      <c r="O26" s="149">
        <f>COUNTIFS(РПЗ!$Q:$Q,Справочно!$C22,РПЗ!$AE:$AE,4)</f>
        <v>0</v>
      </c>
      <c r="P26" s="330">
        <f>SUMIFS(РПЗ!$L:$L,РПЗ!$Q:$Q,Справочно!$C22,РПЗ!$AE:$AE,4)</f>
        <v>0</v>
      </c>
      <c r="Q26" s="149">
        <f>COUNTIFS(РПЗ!$Q:$Q,Справочно!$C22,РПЗ!$AE:$AE,5)</f>
        <v>0</v>
      </c>
      <c r="R26" s="330">
        <f>SUMIFS(РПЗ!$L:$L,РПЗ!$Q:$Q,Справочно!$C22,РПЗ!$AE:$AE,5)</f>
        <v>0</v>
      </c>
      <c r="S26" s="149">
        <f>COUNTIFS(РПЗ!$Q:$Q,Справочно!$C22,РПЗ!$AE:$AE,6)</f>
        <v>0</v>
      </c>
      <c r="T26" s="330">
        <f>SUMIFS(РПЗ!$L:$L,РПЗ!$Q:$Q,Справочно!$C22,РПЗ!$AE:$AE,6)</f>
        <v>0</v>
      </c>
      <c r="U26" s="193">
        <f t="shared" si="4"/>
        <v>0</v>
      </c>
      <c r="V26" s="331">
        <f t="shared" si="5"/>
        <v>0</v>
      </c>
      <c r="W26" s="143">
        <f>COUNTIFS(РПЗ!$Q:$Q,Справочно!$C22,РПЗ!$AE:$AE,7)</f>
        <v>0</v>
      </c>
      <c r="X26" s="332">
        <f>SUMIFS(РПЗ!$L:$L,РПЗ!$Q:$Q,Справочно!$C22,РПЗ!$AE:$AE,7)</f>
        <v>0</v>
      </c>
      <c r="Y26" s="143">
        <f>COUNTIFS(РПЗ!$Q:$Q,Справочно!$C22,РПЗ!$AE:$AE,8)</f>
        <v>0</v>
      </c>
      <c r="Z26" s="332">
        <f>SUMIFS(РПЗ!$L:$L,РПЗ!$Q:$Q,Справочно!$C22,РПЗ!$AE:$AE,8)</f>
        <v>0</v>
      </c>
      <c r="AA26" s="143">
        <f>COUNTIFS(РПЗ!$Q:$Q,Справочно!$C22,РПЗ!$AE:$AE,9)</f>
        <v>0</v>
      </c>
      <c r="AB26" s="332">
        <f>SUMIFS(РПЗ!$L:$L,РПЗ!$Q:$Q,Справочно!$C22,РПЗ!$AE:$AE,9)</f>
        <v>0</v>
      </c>
      <c r="AC26" s="194">
        <f t="shared" si="6"/>
        <v>0</v>
      </c>
      <c r="AD26" s="333">
        <f t="shared" si="7"/>
        <v>0</v>
      </c>
      <c r="AE26" s="151">
        <f>COUNTIFS(РПЗ!$Q:$Q,Справочно!$C22,РПЗ!$AE:$AE,10)</f>
        <v>0</v>
      </c>
      <c r="AF26" s="334">
        <f>SUMIFS(РПЗ!$L:$L,РПЗ!$Q:$Q,Справочно!$C22,РПЗ!$AE:$AE,10)</f>
        <v>0</v>
      </c>
      <c r="AG26" s="151">
        <f>COUNTIFS(РПЗ!$Q:$Q,Справочно!$C22,РПЗ!$AE:$AE,11)</f>
        <v>0</v>
      </c>
      <c r="AH26" s="334">
        <f>SUMIFS(РПЗ!$L:$L,РПЗ!$Q:$Q,Справочно!$C22,РПЗ!$AE:$AE,11)</f>
        <v>0</v>
      </c>
      <c r="AI26" s="151">
        <f>COUNTIFS(РПЗ!$Q:$Q,Справочно!$C22,РПЗ!$AE:$AE,12)</f>
        <v>0</v>
      </c>
      <c r="AJ26" s="334">
        <f>SUMIFS(РПЗ!$L:$L,РПЗ!$Q:$Q,Справочно!$C22,РПЗ!$AE:$AE,12)</f>
        <v>0</v>
      </c>
      <c r="AK26" s="198">
        <f t="shared" si="8"/>
        <v>0</v>
      </c>
      <c r="AL26" s="335">
        <f t="shared" si="9"/>
        <v>0</v>
      </c>
    </row>
    <row r="27" spans="1:38" ht="13.5" thickBot="1" x14ac:dyDescent="0.25">
      <c r="A27" s="83" t="s">
        <v>253</v>
      </c>
      <c r="B27" s="297">
        <f>COUNTIF(РПЗ!$Q:$Q,Справочно!$C23)</f>
        <v>0</v>
      </c>
      <c r="C27" s="345">
        <f t="shared" si="0"/>
        <v>0</v>
      </c>
      <c r="D27" s="348">
        <f>SUMIF(РПЗ!$Q:$Q,Справочно!$C23,РПЗ!$L:$L)</f>
        <v>0</v>
      </c>
      <c r="E27" s="347">
        <f t="shared" si="1"/>
        <v>0</v>
      </c>
      <c r="G27" s="146">
        <f>COUNTIFS(РПЗ!$Q:$Q,Справочно!$C23,РПЗ!$AE:$AE,1)</f>
        <v>0</v>
      </c>
      <c r="H27" s="336">
        <f>SUMIFS(РПЗ!$L:$L,РПЗ!$Q:$Q,Справочно!$C23,РПЗ!$AE:$AE,1)</f>
        <v>0</v>
      </c>
      <c r="I27" s="146">
        <f>COUNTIFS(РПЗ!$Q:$Q,Справочно!$C23,РПЗ!$AE:$AE,2)</f>
        <v>0</v>
      </c>
      <c r="J27" s="336">
        <f>SUMIFS(РПЗ!$L:$L,РПЗ!$Q:$Q,Справочно!$C23,РПЗ!$AE:$AE,2)</f>
        <v>0</v>
      </c>
      <c r="K27" s="146">
        <f>COUNTIFS(РПЗ!$Q:$Q,Справочно!$C23,РПЗ!$AE:$AE,3)</f>
        <v>0</v>
      </c>
      <c r="L27" s="336">
        <f>SUMIFS(РПЗ!$L:$L,РПЗ!$Q:$Q,Справочно!$C23,РПЗ!$AE:$AE,3)</f>
        <v>0</v>
      </c>
      <c r="M27" s="189">
        <f t="shared" si="2"/>
        <v>0</v>
      </c>
      <c r="N27" s="329">
        <f t="shared" si="3"/>
        <v>0</v>
      </c>
      <c r="O27" s="149">
        <f>COUNTIFS(РПЗ!$Q:$Q,Справочно!$C23,РПЗ!$AE:$AE,4)</f>
        <v>0</v>
      </c>
      <c r="P27" s="330">
        <f>SUMIFS(РПЗ!$L:$L,РПЗ!$Q:$Q,Справочно!$C23,РПЗ!$AE:$AE,4)</f>
        <v>0</v>
      </c>
      <c r="Q27" s="149">
        <f>COUNTIFS(РПЗ!$Q:$Q,Справочно!$C23,РПЗ!$AE:$AE,5)</f>
        <v>0</v>
      </c>
      <c r="R27" s="330">
        <f>SUMIFS(РПЗ!$L:$L,РПЗ!$Q:$Q,Справочно!$C23,РПЗ!$AE:$AE,5)</f>
        <v>0</v>
      </c>
      <c r="S27" s="149">
        <f>COUNTIFS(РПЗ!$Q:$Q,Справочно!$C23,РПЗ!$AE:$AE,6)</f>
        <v>0</v>
      </c>
      <c r="T27" s="330">
        <f>SUMIFS(РПЗ!$L:$L,РПЗ!$Q:$Q,Справочно!$C23,РПЗ!$AE:$AE,6)</f>
        <v>0</v>
      </c>
      <c r="U27" s="193">
        <f t="shared" si="4"/>
        <v>0</v>
      </c>
      <c r="V27" s="331">
        <f t="shared" si="5"/>
        <v>0</v>
      </c>
      <c r="W27" s="143">
        <f>COUNTIFS(РПЗ!$Q:$Q,Справочно!$C23,РПЗ!$AE:$AE,7)</f>
        <v>0</v>
      </c>
      <c r="X27" s="332">
        <f>SUMIFS(РПЗ!$L:$L,РПЗ!$Q:$Q,Справочно!$C23,РПЗ!$AE:$AE,7)</f>
        <v>0</v>
      </c>
      <c r="Y27" s="143">
        <f>COUNTIFS(РПЗ!$Q:$Q,Справочно!$C23,РПЗ!$AE:$AE,8)</f>
        <v>0</v>
      </c>
      <c r="Z27" s="332">
        <f>SUMIFS(РПЗ!$L:$L,РПЗ!$Q:$Q,Справочно!$C23,РПЗ!$AE:$AE,8)</f>
        <v>0</v>
      </c>
      <c r="AA27" s="143">
        <f>COUNTIFS(РПЗ!$Q:$Q,Справочно!$C23,РПЗ!$AE:$AE,9)</f>
        <v>0</v>
      </c>
      <c r="AB27" s="332">
        <f>SUMIFS(РПЗ!$L:$L,РПЗ!$Q:$Q,Справочно!$C23,РПЗ!$AE:$AE,9)</f>
        <v>0</v>
      </c>
      <c r="AC27" s="194">
        <f t="shared" si="6"/>
        <v>0</v>
      </c>
      <c r="AD27" s="333">
        <f t="shared" si="7"/>
        <v>0</v>
      </c>
      <c r="AE27" s="151">
        <f>COUNTIFS(РПЗ!$Q:$Q,Справочно!$C23,РПЗ!$AE:$AE,10)</f>
        <v>0</v>
      </c>
      <c r="AF27" s="334">
        <f>SUMIFS(РПЗ!$L:$L,РПЗ!$Q:$Q,Справочно!$C23,РПЗ!$AE:$AE,10)</f>
        <v>0</v>
      </c>
      <c r="AG27" s="151">
        <f>COUNTIFS(РПЗ!$Q:$Q,Справочно!$C23,РПЗ!$AE:$AE,11)</f>
        <v>0</v>
      </c>
      <c r="AH27" s="334">
        <f>SUMIFS(РПЗ!$L:$L,РПЗ!$Q:$Q,Справочно!$C23,РПЗ!$AE:$AE,11)</f>
        <v>0</v>
      </c>
      <c r="AI27" s="151">
        <f>COUNTIFS(РПЗ!$Q:$Q,Справочно!$C23,РПЗ!$AE:$AE,12)</f>
        <v>0</v>
      </c>
      <c r="AJ27" s="334">
        <f>SUMIFS(РПЗ!$L:$L,РПЗ!$Q:$Q,Справочно!$C23,РПЗ!$AE:$AE,12)</f>
        <v>0</v>
      </c>
      <c r="AK27" s="198">
        <f t="shared" si="8"/>
        <v>0</v>
      </c>
      <c r="AL27" s="335">
        <f t="shared" si="9"/>
        <v>0</v>
      </c>
    </row>
    <row r="28" spans="1:38" ht="13.5" thickBot="1" x14ac:dyDescent="0.25">
      <c r="A28" s="83" t="s">
        <v>167</v>
      </c>
      <c r="B28" s="297">
        <f>COUNTIF(РПЗ!$Q:$Q,Справочно!$C24)</f>
        <v>0</v>
      </c>
      <c r="C28" s="345">
        <f t="shared" si="0"/>
        <v>0</v>
      </c>
      <c r="D28" s="348">
        <f>SUMIF(РПЗ!$Q:$Q,Справочно!$C24,РПЗ!$L:$L)</f>
        <v>0</v>
      </c>
      <c r="E28" s="347">
        <f t="shared" si="1"/>
        <v>0</v>
      </c>
      <c r="G28" s="146">
        <f>COUNTIFS(РПЗ!$Q:$Q,Справочно!$C24,РПЗ!$AE:$AE,1)</f>
        <v>0</v>
      </c>
      <c r="H28" s="336">
        <f>SUMIFS(РПЗ!$L:$L,РПЗ!$Q:$Q,Справочно!$C24,РПЗ!$AE:$AE,1)</f>
        <v>0</v>
      </c>
      <c r="I28" s="146">
        <f>COUNTIFS(РПЗ!$Q:$Q,Справочно!$C24,РПЗ!$AE:$AE,2)</f>
        <v>0</v>
      </c>
      <c r="J28" s="336">
        <f>SUMIFS(РПЗ!$L:$L,РПЗ!$Q:$Q,Справочно!$C24,РПЗ!$AE:$AE,2)</f>
        <v>0</v>
      </c>
      <c r="K28" s="146">
        <f>COUNTIFS(РПЗ!$Q:$Q,Справочно!$C24,РПЗ!$AE:$AE,3)</f>
        <v>0</v>
      </c>
      <c r="L28" s="336">
        <f>SUMIFS(РПЗ!$L:$L,РПЗ!$Q:$Q,Справочно!$C24,РПЗ!$AE:$AE,3)</f>
        <v>0</v>
      </c>
      <c r="M28" s="189">
        <f t="shared" si="2"/>
        <v>0</v>
      </c>
      <c r="N28" s="329">
        <f t="shared" si="3"/>
        <v>0</v>
      </c>
      <c r="O28" s="149">
        <f>COUNTIFS(РПЗ!$Q:$Q,Справочно!$C24,РПЗ!$AE:$AE,4)</f>
        <v>0</v>
      </c>
      <c r="P28" s="330">
        <f>SUMIFS(РПЗ!$L:$L,РПЗ!$Q:$Q,Справочно!$C24,РПЗ!$AE:$AE,4)</f>
        <v>0</v>
      </c>
      <c r="Q28" s="149">
        <f>COUNTIFS(РПЗ!$Q:$Q,Справочно!$C24,РПЗ!$AE:$AE,5)</f>
        <v>0</v>
      </c>
      <c r="R28" s="330">
        <f>SUMIFS(РПЗ!$L:$L,РПЗ!$Q:$Q,Справочно!$C24,РПЗ!$AE:$AE,5)</f>
        <v>0</v>
      </c>
      <c r="S28" s="149">
        <f>COUNTIFS(РПЗ!$Q:$Q,Справочно!$C24,РПЗ!$AE:$AE,6)</f>
        <v>0</v>
      </c>
      <c r="T28" s="330">
        <f>SUMIFS(РПЗ!$L:$L,РПЗ!$Q:$Q,Справочно!$C24,РПЗ!$AE:$AE,6)</f>
        <v>0</v>
      </c>
      <c r="U28" s="193">
        <f t="shared" si="4"/>
        <v>0</v>
      </c>
      <c r="V28" s="331">
        <f t="shared" si="5"/>
        <v>0</v>
      </c>
      <c r="W28" s="143">
        <f>COUNTIFS(РПЗ!$Q:$Q,Справочно!$C24,РПЗ!$AE:$AE,7)</f>
        <v>0</v>
      </c>
      <c r="X28" s="332">
        <f>SUMIFS(РПЗ!$L:$L,РПЗ!$Q:$Q,Справочно!$C24,РПЗ!$AE:$AE,7)</f>
        <v>0</v>
      </c>
      <c r="Y28" s="143">
        <f>COUNTIFS(РПЗ!$Q:$Q,Справочно!$C24,РПЗ!$AE:$AE,8)</f>
        <v>0</v>
      </c>
      <c r="Z28" s="332">
        <f>SUMIFS(РПЗ!$L:$L,РПЗ!$Q:$Q,Справочно!$C24,РПЗ!$AE:$AE,8)</f>
        <v>0</v>
      </c>
      <c r="AA28" s="143">
        <f>COUNTIFS(РПЗ!$Q:$Q,Справочно!$C24,РПЗ!$AE:$AE,9)</f>
        <v>0</v>
      </c>
      <c r="AB28" s="332">
        <f>SUMIFS(РПЗ!$L:$L,РПЗ!$Q:$Q,Справочно!$C24,РПЗ!$AE:$AE,9)</f>
        <v>0</v>
      </c>
      <c r="AC28" s="194">
        <f t="shared" si="6"/>
        <v>0</v>
      </c>
      <c r="AD28" s="333">
        <f t="shared" si="7"/>
        <v>0</v>
      </c>
      <c r="AE28" s="151">
        <f>COUNTIFS(РПЗ!$Q:$Q,Справочно!$C24,РПЗ!$AE:$AE,10)</f>
        <v>0</v>
      </c>
      <c r="AF28" s="334">
        <f>SUMIFS(РПЗ!$L:$L,РПЗ!$Q:$Q,Справочно!$C24,РПЗ!$AE:$AE,10)</f>
        <v>0</v>
      </c>
      <c r="AG28" s="151">
        <f>COUNTIFS(РПЗ!$Q:$Q,Справочно!$C24,РПЗ!$AE:$AE,11)</f>
        <v>0</v>
      </c>
      <c r="AH28" s="334">
        <f>SUMIFS(РПЗ!$L:$L,РПЗ!$Q:$Q,Справочно!$C24,РПЗ!$AE:$AE,11)</f>
        <v>0</v>
      </c>
      <c r="AI28" s="151">
        <f>COUNTIFS(РПЗ!$Q:$Q,Справочно!$C24,РПЗ!$AE:$AE,12)</f>
        <v>0</v>
      </c>
      <c r="AJ28" s="334">
        <f>SUMIFS(РПЗ!$L:$L,РПЗ!$Q:$Q,Справочно!$C24,РПЗ!$AE:$AE,12)</f>
        <v>0</v>
      </c>
      <c r="AK28" s="198">
        <f t="shared" si="8"/>
        <v>0</v>
      </c>
      <c r="AL28" s="335">
        <f t="shared" si="9"/>
        <v>0</v>
      </c>
    </row>
    <row r="29" spans="1:38" ht="13.5" thickBot="1" x14ac:dyDescent="0.25">
      <c r="A29" s="83" t="s">
        <v>254</v>
      </c>
      <c r="B29" s="297">
        <f>COUNTIF(РПЗ!$Q:$Q,Справочно!$C25)</f>
        <v>0</v>
      </c>
      <c r="C29" s="345">
        <f t="shared" si="0"/>
        <v>0</v>
      </c>
      <c r="D29" s="348">
        <f>SUMIF(РПЗ!$Q:$Q,Справочно!$C25,РПЗ!$L:$L)</f>
        <v>0</v>
      </c>
      <c r="E29" s="347">
        <f t="shared" si="1"/>
        <v>0</v>
      </c>
      <c r="G29" s="146">
        <f>COUNTIFS(РПЗ!$Q:$Q,Справочно!$C25,РПЗ!$AE:$AE,1)</f>
        <v>0</v>
      </c>
      <c r="H29" s="336">
        <f>SUMIFS(РПЗ!$L:$L,РПЗ!$Q:$Q,Справочно!$C25,РПЗ!$AE:$AE,1)</f>
        <v>0</v>
      </c>
      <c r="I29" s="146">
        <f>COUNTIFS(РПЗ!$Q:$Q,Справочно!$C25,РПЗ!$AE:$AE,2)</f>
        <v>0</v>
      </c>
      <c r="J29" s="336">
        <f>SUMIFS(РПЗ!$L:$L,РПЗ!$Q:$Q,Справочно!$C25,РПЗ!$AE:$AE,2)</f>
        <v>0</v>
      </c>
      <c r="K29" s="146">
        <f>COUNTIFS(РПЗ!$Q:$Q,Справочно!$C25,РПЗ!$AE:$AE,3)</f>
        <v>0</v>
      </c>
      <c r="L29" s="336">
        <f>SUMIFS(РПЗ!$L:$L,РПЗ!$Q:$Q,Справочно!$C25,РПЗ!$AE:$AE,3)</f>
        <v>0</v>
      </c>
      <c r="M29" s="189">
        <f t="shared" si="2"/>
        <v>0</v>
      </c>
      <c r="N29" s="329">
        <f t="shared" si="3"/>
        <v>0</v>
      </c>
      <c r="O29" s="149">
        <f>COUNTIFS(РПЗ!$Q:$Q,Справочно!$C25,РПЗ!$AE:$AE,4)</f>
        <v>0</v>
      </c>
      <c r="P29" s="330">
        <f>SUMIFS(РПЗ!$L:$L,РПЗ!$Q:$Q,Справочно!$C25,РПЗ!$AE:$AE,4)</f>
        <v>0</v>
      </c>
      <c r="Q29" s="149">
        <f>COUNTIFS(РПЗ!$Q:$Q,Справочно!$C25,РПЗ!$AE:$AE,5)</f>
        <v>0</v>
      </c>
      <c r="R29" s="330">
        <f>SUMIFS(РПЗ!$L:$L,РПЗ!$Q:$Q,Справочно!$C25,РПЗ!$AE:$AE,5)</f>
        <v>0</v>
      </c>
      <c r="S29" s="149">
        <f>COUNTIFS(РПЗ!$Q:$Q,Справочно!$C25,РПЗ!$AE:$AE,6)</f>
        <v>0</v>
      </c>
      <c r="T29" s="330">
        <f>SUMIFS(РПЗ!$L:$L,РПЗ!$Q:$Q,Справочно!$C25,РПЗ!$AE:$AE,6)</f>
        <v>0</v>
      </c>
      <c r="U29" s="193">
        <f t="shared" si="4"/>
        <v>0</v>
      </c>
      <c r="V29" s="331">
        <f t="shared" si="5"/>
        <v>0</v>
      </c>
      <c r="W29" s="143">
        <f>COUNTIFS(РПЗ!$Q:$Q,Справочно!$C25,РПЗ!$AE:$AE,7)</f>
        <v>0</v>
      </c>
      <c r="X29" s="332">
        <f>SUMIFS(РПЗ!$L:$L,РПЗ!$Q:$Q,Справочно!$C25,РПЗ!$AE:$AE,7)</f>
        <v>0</v>
      </c>
      <c r="Y29" s="143">
        <f>COUNTIFS(РПЗ!$Q:$Q,Справочно!$C25,РПЗ!$AE:$AE,8)</f>
        <v>0</v>
      </c>
      <c r="Z29" s="332">
        <f>SUMIFS(РПЗ!$L:$L,РПЗ!$Q:$Q,Справочно!$C25,РПЗ!$AE:$AE,8)</f>
        <v>0</v>
      </c>
      <c r="AA29" s="143">
        <f>COUNTIFS(РПЗ!$Q:$Q,Справочно!$C25,РПЗ!$AE:$AE,9)</f>
        <v>0</v>
      </c>
      <c r="AB29" s="332">
        <f>SUMIFS(РПЗ!$L:$L,РПЗ!$Q:$Q,Справочно!$C25,РПЗ!$AE:$AE,9)</f>
        <v>0</v>
      </c>
      <c r="AC29" s="194">
        <f t="shared" si="6"/>
        <v>0</v>
      </c>
      <c r="AD29" s="333">
        <f t="shared" si="7"/>
        <v>0</v>
      </c>
      <c r="AE29" s="151">
        <f>COUNTIFS(РПЗ!$Q:$Q,Справочно!$C25,РПЗ!$AE:$AE,10)</f>
        <v>0</v>
      </c>
      <c r="AF29" s="334">
        <f>SUMIFS(РПЗ!$L:$L,РПЗ!$Q:$Q,Справочно!$C25,РПЗ!$AE:$AE,10)</f>
        <v>0</v>
      </c>
      <c r="AG29" s="151">
        <f>COUNTIFS(РПЗ!$Q:$Q,Справочно!$C25,РПЗ!$AE:$AE,11)</f>
        <v>0</v>
      </c>
      <c r="AH29" s="334">
        <f>SUMIFS(РПЗ!$L:$L,РПЗ!$Q:$Q,Справочно!$C25,РПЗ!$AE:$AE,11)</f>
        <v>0</v>
      </c>
      <c r="AI29" s="151">
        <f>COUNTIFS(РПЗ!$Q:$Q,Справочно!$C25,РПЗ!$AE:$AE,12)</f>
        <v>0</v>
      </c>
      <c r="AJ29" s="334">
        <f>SUMIFS(РПЗ!$L:$L,РПЗ!$Q:$Q,Справочно!$C25,РПЗ!$AE:$AE,12)</f>
        <v>0</v>
      </c>
      <c r="AK29" s="198">
        <f t="shared" si="8"/>
        <v>0</v>
      </c>
      <c r="AL29" s="335">
        <f t="shared" si="9"/>
        <v>0</v>
      </c>
    </row>
    <row r="30" spans="1:38" ht="13.5" thickBot="1" x14ac:dyDescent="0.25">
      <c r="A30" s="83" t="s">
        <v>168</v>
      </c>
      <c r="B30" s="297">
        <f>COUNTIF(РПЗ!$Q:$Q,Справочно!$C26)</f>
        <v>0</v>
      </c>
      <c r="C30" s="345">
        <f t="shared" si="0"/>
        <v>0</v>
      </c>
      <c r="D30" s="348">
        <f>SUMIF(РПЗ!$Q:$Q,Справочно!$C26,РПЗ!$L:$L)</f>
        <v>0</v>
      </c>
      <c r="E30" s="347">
        <f t="shared" si="1"/>
        <v>0</v>
      </c>
      <c r="G30" s="146">
        <f>COUNTIFS(РПЗ!$Q:$Q,Справочно!$C26,РПЗ!$AE:$AE,1)</f>
        <v>0</v>
      </c>
      <c r="H30" s="336">
        <f>SUMIFS(РПЗ!$L:$L,РПЗ!$Q:$Q,Справочно!$C26,РПЗ!$AE:$AE,1)</f>
        <v>0</v>
      </c>
      <c r="I30" s="146">
        <f>COUNTIFS(РПЗ!$Q:$Q,Справочно!$C26,РПЗ!$AE:$AE,2)</f>
        <v>0</v>
      </c>
      <c r="J30" s="336">
        <f>SUMIFS(РПЗ!$L:$L,РПЗ!$Q:$Q,Справочно!$C26,РПЗ!$AE:$AE,2)</f>
        <v>0</v>
      </c>
      <c r="K30" s="146">
        <f>COUNTIFS(РПЗ!$Q:$Q,Справочно!$C26,РПЗ!$AE:$AE,3)</f>
        <v>0</v>
      </c>
      <c r="L30" s="336">
        <f>SUMIFS(РПЗ!$L:$L,РПЗ!$Q:$Q,Справочно!$C26,РПЗ!$AE:$AE,3)</f>
        <v>0</v>
      </c>
      <c r="M30" s="189">
        <f t="shared" si="2"/>
        <v>0</v>
      </c>
      <c r="N30" s="329">
        <f t="shared" si="3"/>
        <v>0</v>
      </c>
      <c r="O30" s="149">
        <f>COUNTIFS(РПЗ!$Q:$Q,Справочно!$C26,РПЗ!$AE:$AE,4)</f>
        <v>0</v>
      </c>
      <c r="P30" s="330">
        <f>SUMIFS(РПЗ!$L:$L,РПЗ!$Q:$Q,Справочно!$C26,РПЗ!$AE:$AE,4)</f>
        <v>0</v>
      </c>
      <c r="Q30" s="149">
        <f>COUNTIFS(РПЗ!$Q:$Q,Справочно!$C26,РПЗ!$AE:$AE,5)</f>
        <v>0</v>
      </c>
      <c r="R30" s="330">
        <f>SUMIFS(РПЗ!$L:$L,РПЗ!$Q:$Q,Справочно!$C26,РПЗ!$AE:$AE,5)</f>
        <v>0</v>
      </c>
      <c r="S30" s="149">
        <f>COUNTIFS(РПЗ!$Q:$Q,Справочно!$C26,РПЗ!$AE:$AE,6)</f>
        <v>0</v>
      </c>
      <c r="T30" s="330">
        <f>SUMIFS(РПЗ!$L:$L,РПЗ!$Q:$Q,Справочно!$C26,РПЗ!$AE:$AE,6)</f>
        <v>0</v>
      </c>
      <c r="U30" s="193">
        <f t="shared" si="4"/>
        <v>0</v>
      </c>
      <c r="V30" s="331">
        <f t="shared" si="5"/>
        <v>0</v>
      </c>
      <c r="W30" s="143">
        <f>COUNTIFS(РПЗ!$Q:$Q,Справочно!$C26,РПЗ!$AE:$AE,7)</f>
        <v>0</v>
      </c>
      <c r="X30" s="332">
        <f>SUMIFS(РПЗ!$L:$L,РПЗ!$Q:$Q,Справочно!$C26,РПЗ!$AE:$AE,7)</f>
        <v>0</v>
      </c>
      <c r="Y30" s="143">
        <f>COUNTIFS(РПЗ!$Q:$Q,Справочно!$C26,РПЗ!$AE:$AE,8)</f>
        <v>0</v>
      </c>
      <c r="Z30" s="332">
        <f>SUMIFS(РПЗ!$L:$L,РПЗ!$Q:$Q,Справочно!$C26,РПЗ!$AE:$AE,8)</f>
        <v>0</v>
      </c>
      <c r="AA30" s="143">
        <f>COUNTIFS(РПЗ!$Q:$Q,Справочно!$C26,РПЗ!$AE:$AE,9)</f>
        <v>0</v>
      </c>
      <c r="AB30" s="332">
        <f>SUMIFS(РПЗ!$L:$L,РПЗ!$Q:$Q,Справочно!$C26,РПЗ!$AE:$AE,9)</f>
        <v>0</v>
      </c>
      <c r="AC30" s="194">
        <f t="shared" si="6"/>
        <v>0</v>
      </c>
      <c r="AD30" s="333">
        <f t="shared" si="7"/>
        <v>0</v>
      </c>
      <c r="AE30" s="151">
        <f>COUNTIFS(РПЗ!$Q:$Q,Справочно!$C26,РПЗ!$AE:$AE,10)</f>
        <v>0</v>
      </c>
      <c r="AF30" s="334">
        <f>SUMIFS(РПЗ!$L:$L,РПЗ!$Q:$Q,Справочно!$C26,РПЗ!$AE:$AE,10)</f>
        <v>0</v>
      </c>
      <c r="AG30" s="151">
        <f>COUNTIFS(РПЗ!$Q:$Q,Справочно!$C26,РПЗ!$AE:$AE,11)</f>
        <v>0</v>
      </c>
      <c r="AH30" s="334">
        <f>SUMIFS(РПЗ!$L:$L,РПЗ!$Q:$Q,Справочно!$C26,РПЗ!$AE:$AE,11)</f>
        <v>0</v>
      </c>
      <c r="AI30" s="151">
        <f>COUNTIFS(РПЗ!$Q:$Q,Справочно!$C26,РПЗ!$AE:$AE,12)</f>
        <v>0</v>
      </c>
      <c r="AJ30" s="334">
        <f>SUMIFS(РПЗ!$L:$L,РПЗ!$Q:$Q,Справочно!$C26,РПЗ!$AE:$AE,12)</f>
        <v>0</v>
      </c>
      <c r="AK30" s="198">
        <f t="shared" si="8"/>
        <v>0</v>
      </c>
      <c r="AL30" s="335">
        <f t="shared" si="9"/>
        <v>0</v>
      </c>
    </row>
    <row r="31" spans="1:38" ht="13.5" thickBot="1" x14ac:dyDescent="0.25">
      <c r="A31" s="83" t="s">
        <v>255</v>
      </c>
      <c r="B31" s="297">
        <f>COUNTIF(РПЗ!$Q:$Q,Справочно!$C27)</f>
        <v>0</v>
      </c>
      <c r="C31" s="345">
        <f t="shared" si="0"/>
        <v>0</v>
      </c>
      <c r="D31" s="348">
        <f>SUMIF(РПЗ!$Q:$Q,Справочно!$C27,РПЗ!$L:$L)</f>
        <v>0</v>
      </c>
      <c r="E31" s="347">
        <f t="shared" si="1"/>
        <v>0</v>
      </c>
      <c r="G31" s="146">
        <f>COUNTIFS(РПЗ!$Q:$Q,Справочно!$C27,РПЗ!$AE:$AE,1)</f>
        <v>0</v>
      </c>
      <c r="H31" s="336">
        <f>SUMIFS(РПЗ!$L:$L,РПЗ!$Q:$Q,Справочно!$C27,РПЗ!$AE:$AE,1)</f>
        <v>0</v>
      </c>
      <c r="I31" s="146">
        <f>COUNTIFS(РПЗ!$Q:$Q,Справочно!$C27,РПЗ!$AE:$AE,2)</f>
        <v>0</v>
      </c>
      <c r="J31" s="336">
        <f>SUMIFS(РПЗ!$L:$L,РПЗ!$Q:$Q,Справочно!$C27,РПЗ!$AE:$AE,2)</f>
        <v>0</v>
      </c>
      <c r="K31" s="146">
        <f>COUNTIFS(РПЗ!$Q:$Q,Справочно!$C27,РПЗ!$AE:$AE,3)</f>
        <v>0</v>
      </c>
      <c r="L31" s="336">
        <f>SUMIFS(РПЗ!$L:$L,РПЗ!$Q:$Q,Справочно!$C27,РПЗ!$AE:$AE,3)</f>
        <v>0</v>
      </c>
      <c r="M31" s="189">
        <f t="shared" si="2"/>
        <v>0</v>
      </c>
      <c r="N31" s="329">
        <f t="shared" si="3"/>
        <v>0</v>
      </c>
      <c r="O31" s="149">
        <f>COUNTIFS(РПЗ!$Q:$Q,Справочно!$C27,РПЗ!$AE:$AE,4)</f>
        <v>0</v>
      </c>
      <c r="P31" s="330">
        <f>SUMIFS(РПЗ!$L:$L,РПЗ!$Q:$Q,Справочно!$C27,РПЗ!$AE:$AE,4)</f>
        <v>0</v>
      </c>
      <c r="Q31" s="149">
        <f>COUNTIFS(РПЗ!$Q:$Q,Справочно!$C27,РПЗ!$AE:$AE,5)</f>
        <v>0</v>
      </c>
      <c r="R31" s="330">
        <f>SUMIFS(РПЗ!$L:$L,РПЗ!$Q:$Q,Справочно!$C27,РПЗ!$AE:$AE,5)</f>
        <v>0</v>
      </c>
      <c r="S31" s="149">
        <f>COUNTIFS(РПЗ!$Q:$Q,Справочно!$C27,РПЗ!$AE:$AE,6)</f>
        <v>0</v>
      </c>
      <c r="T31" s="330">
        <f>SUMIFS(РПЗ!$L:$L,РПЗ!$Q:$Q,Справочно!$C27,РПЗ!$AE:$AE,6)</f>
        <v>0</v>
      </c>
      <c r="U31" s="193">
        <f t="shared" si="4"/>
        <v>0</v>
      </c>
      <c r="V31" s="331">
        <f t="shared" si="5"/>
        <v>0</v>
      </c>
      <c r="W31" s="143">
        <f>COUNTIFS(РПЗ!$Q:$Q,Справочно!$C27,РПЗ!$AE:$AE,7)</f>
        <v>0</v>
      </c>
      <c r="X31" s="332">
        <f>SUMIFS(РПЗ!$L:$L,РПЗ!$Q:$Q,Справочно!$C27,РПЗ!$AE:$AE,7)</f>
        <v>0</v>
      </c>
      <c r="Y31" s="143">
        <f>COUNTIFS(РПЗ!$Q:$Q,Справочно!$C27,РПЗ!$AE:$AE,8)</f>
        <v>0</v>
      </c>
      <c r="Z31" s="332">
        <f>SUMIFS(РПЗ!$L:$L,РПЗ!$Q:$Q,Справочно!$C27,РПЗ!$AE:$AE,8)</f>
        <v>0</v>
      </c>
      <c r="AA31" s="143">
        <f>COUNTIFS(РПЗ!$Q:$Q,Справочно!$C27,РПЗ!$AE:$AE,9)</f>
        <v>0</v>
      </c>
      <c r="AB31" s="332">
        <f>SUMIFS(РПЗ!$L:$L,РПЗ!$Q:$Q,Справочно!$C27,РПЗ!$AE:$AE,9)</f>
        <v>0</v>
      </c>
      <c r="AC31" s="194">
        <f t="shared" si="6"/>
        <v>0</v>
      </c>
      <c r="AD31" s="333">
        <f t="shared" si="7"/>
        <v>0</v>
      </c>
      <c r="AE31" s="151">
        <f>COUNTIFS(РПЗ!$Q:$Q,Справочно!$C27,РПЗ!$AE:$AE,10)</f>
        <v>0</v>
      </c>
      <c r="AF31" s="334">
        <f>SUMIFS(РПЗ!$L:$L,РПЗ!$Q:$Q,Справочно!$C27,РПЗ!$AE:$AE,10)</f>
        <v>0</v>
      </c>
      <c r="AG31" s="151">
        <f>COUNTIFS(РПЗ!$Q:$Q,Справочно!$C27,РПЗ!$AE:$AE,11)</f>
        <v>0</v>
      </c>
      <c r="AH31" s="334">
        <f>SUMIFS(РПЗ!$L:$L,РПЗ!$Q:$Q,Справочно!$C27,РПЗ!$AE:$AE,11)</f>
        <v>0</v>
      </c>
      <c r="AI31" s="151">
        <f>COUNTIFS(РПЗ!$Q:$Q,Справочно!$C27,РПЗ!$AE:$AE,12)</f>
        <v>0</v>
      </c>
      <c r="AJ31" s="334">
        <f>SUMIFS(РПЗ!$L:$L,РПЗ!$Q:$Q,Справочно!$C27,РПЗ!$AE:$AE,12)</f>
        <v>0</v>
      </c>
      <c r="AK31" s="198">
        <f t="shared" si="8"/>
        <v>0</v>
      </c>
      <c r="AL31" s="335">
        <f t="shared" si="9"/>
        <v>0</v>
      </c>
    </row>
    <row r="32" spans="1:38" ht="13.5" thickBot="1" x14ac:dyDescent="0.25">
      <c r="A32" s="83" t="s">
        <v>169</v>
      </c>
      <c r="B32" s="297">
        <f>COUNTIF(РПЗ!$Q:$Q,Справочно!$C28)</f>
        <v>0</v>
      </c>
      <c r="C32" s="345">
        <f t="shared" si="0"/>
        <v>0</v>
      </c>
      <c r="D32" s="348">
        <f>SUMIF(РПЗ!$Q:$Q,Справочно!$C28,РПЗ!$L:$L)</f>
        <v>0</v>
      </c>
      <c r="E32" s="347">
        <f t="shared" si="1"/>
        <v>0</v>
      </c>
      <c r="G32" s="146">
        <f>COUNTIFS(РПЗ!$Q:$Q,Справочно!$C28,РПЗ!$AE:$AE,1)</f>
        <v>0</v>
      </c>
      <c r="H32" s="336">
        <f>SUMIFS(РПЗ!$L:$L,РПЗ!$Q:$Q,Справочно!$C28,РПЗ!$AE:$AE,1)</f>
        <v>0</v>
      </c>
      <c r="I32" s="146">
        <f>COUNTIFS(РПЗ!$Q:$Q,Справочно!$C28,РПЗ!$AE:$AE,2)</f>
        <v>0</v>
      </c>
      <c r="J32" s="336">
        <f>SUMIFS(РПЗ!$L:$L,РПЗ!$Q:$Q,Справочно!$C28,РПЗ!$AE:$AE,2)</f>
        <v>0</v>
      </c>
      <c r="K32" s="146">
        <f>COUNTIFS(РПЗ!$Q:$Q,Справочно!$C28,РПЗ!$AE:$AE,3)</f>
        <v>0</v>
      </c>
      <c r="L32" s="336">
        <f>SUMIFS(РПЗ!$L:$L,РПЗ!$Q:$Q,Справочно!$C28,РПЗ!$AE:$AE,3)</f>
        <v>0</v>
      </c>
      <c r="M32" s="189">
        <f t="shared" si="2"/>
        <v>0</v>
      </c>
      <c r="N32" s="329">
        <f t="shared" si="3"/>
        <v>0</v>
      </c>
      <c r="O32" s="149">
        <f>COUNTIFS(РПЗ!$Q:$Q,Справочно!$C28,РПЗ!$AE:$AE,4)</f>
        <v>0</v>
      </c>
      <c r="P32" s="330">
        <f>SUMIFS(РПЗ!$L:$L,РПЗ!$Q:$Q,Справочно!$C28,РПЗ!$AE:$AE,4)</f>
        <v>0</v>
      </c>
      <c r="Q32" s="149">
        <f>COUNTIFS(РПЗ!$Q:$Q,Справочно!$C28,РПЗ!$AE:$AE,5)</f>
        <v>0</v>
      </c>
      <c r="R32" s="330">
        <f>SUMIFS(РПЗ!$L:$L,РПЗ!$Q:$Q,Справочно!$C28,РПЗ!$AE:$AE,5)</f>
        <v>0</v>
      </c>
      <c r="S32" s="149">
        <f>COUNTIFS(РПЗ!$Q:$Q,Справочно!$C28,РПЗ!$AE:$AE,6)</f>
        <v>0</v>
      </c>
      <c r="T32" s="330">
        <f>SUMIFS(РПЗ!$L:$L,РПЗ!$Q:$Q,Справочно!$C28,РПЗ!$AE:$AE,6)</f>
        <v>0</v>
      </c>
      <c r="U32" s="193">
        <f t="shared" si="4"/>
        <v>0</v>
      </c>
      <c r="V32" s="331">
        <f t="shared" si="5"/>
        <v>0</v>
      </c>
      <c r="W32" s="143">
        <f>COUNTIFS(РПЗ!$Q:$Q,Справочно!$C28,РПЗ!$AE:$AE,7)</f>
        <v>0</v>
      </c>
      <c r="X32" s="332">
        <f>SUMIFS(РПЗ!$L:$L,РПЗ!$Q:$Q,Справочно!$C28,РПЗ!$AE:$AE,7)</f>
        <v>0</v>
      </c>
      <c r="Y32" s="143">
        <f>COUNTIFS(РПЗ!$Q:$Q,Справочно!$C28,РПЗ!$AE:$AE,8)</f>
        <v>0</v>
      </c>
      <c r="Z32" s="332">
        <f>SUMIFS(РПЗ!$L:$L,РПЗ!$Q:$Q,Справочно!$C28,РПЗ!$AE:$AE,8)</f>
        <v>0</v>
      </c>
      <c r="AA32" s="143">
        <f>COUNTIFS(РПЗ!$Q:$Q,Справочно!$C28,РПЗ!$AE:$AE,9)</f>
        <v>0</v>
      </c>
      <c r="AB32" s="332">
        <f>SUMIFS(РПЗ!$L:$L,РПЗ!$Q:$Q,Справочно!$C28,РПЗ!$AE:$AE,9)</f>
        <v>0</v>
      </c>
      <c r="AC32" s="194">
        <f t="shared" si="6"/>
        <v>0</v>
      </c>
      <c r="AD32" s="333">
        <f t="shared" si="7"/>
        <v>0</v>
      </c>
      <c r="AE32" s="151">
        <f>COUNTIFS(РПЗ!$Q:$Q,Справочно!$C28,РПЗ!$AE:$AE,10)</f>
        <v>0</v>
      </c>
      <c r="AF32" s="334">
        <f>SUMIFS(РПЗ!$L:$L,РПЗ!$Q:$Q,Справочно!$C28,РПЗ!$AE:$AE,10)</f>
        <v>0</v>
      </c>
      <c r="AG32" s="151">
        <f>COUNTIFS(РПЗ!$Q:$Q,Справочно!$C28,РПЗ!$AE:$AE,11)</f>
        <v>0</v>
      </c>
      <c r="AH32" s="334">
        <f>SUMIFS(РПЗ!$L:$L,РПЗ!$Q:$Q,Справочно!$C28,РПЗ!$AE:$AE,11)</f>
        <v>0</v>
      </c>
      <c r="AI32" s="151">
        <f>COUNTIFS(РПЗ!$Q:$Q,Справочно!$C28,РПЗ!$AE:$AE,12)</f>
        <v>0</v>
      </c>
      <c r="AJ32" s="334">
        <f>SUMIFS(РПЗ!$L:$L,РПЗ!$Q:$Q,Справочно!$C28,РПЗ!$AE:$AE,12)</f>
        <v>0</v>
      </c>
      <c r="AK32" s="198">
        <f t="shared" si="8"/>
        <v>0</v>
      </c>
      <c r="AL32" s="335">
        <f t="shared" si="9"/>
        <v>0</v>
      </c>
    </row>
    <row r="33" spans="1:38" ht="13.5" thickBot="1" x14ac:dyDescent="0.25">
      <c r="A33" s="83" t="s">
        <v>256</v>
      </c>
      <c r="B33" s="297">
        <f>COUNTIF(РПЗ!$Q:$Q,Справочно!$C29)</f>
        <v>0</v>
      </c>
      <c r="C33" s="345">
        <f t="shared" si="0"/>
        <v>0</v>
      </c>
      <c r="D33" s="348">
        <f>SUMIF(РПЗ!$Q:$Q,Справочно!$C29,РПЗ!$L:$L)</f>
        <v>0</v>
      </c>
      <c r="E33" s="347">
        <f t="shared" si="1"/>
        <v>0</v>
      </c>
      <c r="G33" s="146">
        <f>COUNTIFS(РПЗ!$Q:$Q,Справочно!$C29,РПЗ!$AE:$AE,1)</f>
        <v>0</v>
      </c>
      <c r="H33" s="336">
        <f>SUMIFS(РПЗ!$L:$L,РПЗ!$Q:$Q,Справочно!$C29,РПЗ!$AE:$AE,1)</f>
        <v>0</v>
      </c>
      <c r="I33" s="146">
        <f>COUNTIFS(РПЗ!$Q:$Q,Справочно!$C29,РПЗ!$AE:$AE,2)</f>
        <v>0</v>
      </c>
      <c r="J33" s="336">
        <f>SUMIFS(РПЗ!$L:$L,РПЗ!$Q:$Q,Справочно!$C29,РПЗ!$AE:$AE,2)</f>
        <v>0</v>
      </c>
      <c r="K33" s="146">
        <f>COUNTIFS(РПЗ!$Q:$Q,Справочно!$C29,РПЗ!$AE:$AE,3)</f>
        <v>0</v>
      </c>
      <c r="L33" s="336">
        <f>SUMIFS(РПЗ!$L:$L,РПЗ!$Q:$Q,Справочно!$C29,РПЗ!$AE:$AE,3)</f>
        <v>0</v>
      </c>
      <c r="M33" s="189">
        <f t="shared" si="2"/>
        <v>0</v>
      </c>
      <c r="N33" s="329">
        <f t="shared" si="3"/>
        <v>0</v>
      </c>
      <c r="O33" s="149">
        <f>COUNTIFS(РПЗ!$Q:$Q,Справочно!$C29,РПЗ!$AE:$AE,4)</f>
        <v>0</v>
      </c>
      <c r="P33" s="330">
        <f>SUMIFS(РПЗ!$L:$L,РПЗ!$Q:$Q,Справочно!$C29,РПЗ!$AE:$AE,4)</f>
        <v>0</v>
      </c>
      <c r="Q33" s="149">
        <f>COUNTIFS(РПЗ!$Q:$Q,Справочно!$C29,РПЗ!$AE:$AE,5)</f>
        <v>0</v>
      </c>
      <c r="R33" s="330">
        <f>SUMIFS(РПЗ!$L:$L,РПЗ!$Q:$Q,Справочно!$C29,РПЗ!$AE:$AE,5)</f>
        <v>0</v>
      </c>
      <c r="S33" s="149">
        <f>COUNTIFS(РПЗ!$Q:$Q,Справочно!$C29,РПЗ!$AE:$AE,6)</f>
        <v>0</v>
      </c>
      <c r="T33" s="330">
        <f>SUMIFS(РПЗ!$L:$L,РПЗ!$Q:$Q,Справочно!$C29,РПЗ!$AE:$AE,6)</f>
        <v>0</v>
      </c>
      <c r="U33" s="193">
        <f t="shared" si="4"/>
        <v>0</v>
      </c>
      <c r="V33" s="331">
        <f t="shared" si="5"/>
        <v>0</v>
      </c>
      <c r="W33" s="143">
        <f>COUNTIFS(РПЗ!$Q:$Q,Справочно!$C29,РПЗ!$AE:$AE,7)</f>
        <v>0</v>
      </c>
      <c r="X33" s="332">
        <f>SUMIFS(РПЗ!$L:$L,РПЗ!$Q:$Q,Справочно!$C29,РПЗ!$AE:$AE,7)</f>
        <v>0</v>
      </c>
      <c r="Y33" s="143">
        <f>COUNTIFS(РПЗ!$Q:$Q,Справочно!$C29,РПЗ!$AE:$AE,8)</f>
        <v>0</v>
      </c>
      <c r="Z33" s="332">
        <f>SUMIFS(РПЗ!$L:$L,РПЗ!$Q:$Q,Справочно!$C29,РПЗ!$AE:$AE,8)</f>
        <v>0</v>
      </c>
      <c r="AA33" s="143">
        <f>COUNTIFS(РПЗ!$Q:$Q,Справочно!$C29,РПЗ!$AE:$AE,9)</f>
        <v>0</v>
      </c>
      <c r="AB33" s="332">
        <f>SUMIFS(РПЗ!$L:$L,РПЗ!$Q:$Q,Справочно!$C29,РПЗ!$AE:$AE,9)</f>
        <v>0</v>
      </c>
      <c r="AC33" s="194">
        <f t="shared" si="6"/>
        <v>0</v>
      </c>
      <c r="AD33" s="333">
        <f t="shared" si="7"/>
        <v>0</v>
      </c>
      <c r="AE33" s="151">
        <f>COUNTIFS(РПЗ!$Q:$Q,Справочно!$C29,РПЗ!$AE:$AE,10)</f>
        <v>0</v>
      </c>
      <c r="AF33" s="334">
        <f>SUMIFS(РПЗ!$L:$L,РПЗ!$Q:$Q,Справочно!$C29,РПЗ!$AE:$AE,10)</f>
        <v>0</v>
      </c>
      <c r="AG33" s="151">
        <f>COUNTIFS(РПЗ!$Q:$Q,Справочно!$C29,РПЗ!$AE:$AE,11)</f>
        <v>0</v>
      </c>
      <c r="AH33" s="334">
        <f>SUMIFS(РПЗ!$L:$L,РПЗ!$Q:$Q,Справочно!$C29,РПЗ!$AE:$AE,11)</f>
        <v>0</v>
      </c>
      <c r="AI33" s="151">
        <f>COUNTIFS(РПЗ!$Q:$Q,Справочно!$C29,РПЗ!$AE:$AE,12)</f>
        <v>0</v>
      </c>
      <c r="AJ33" s="334">
        <f>SUMIFS(РПЗ!$L:$L,РПЗ!$Q:$Q,Справочно!$C29,РПЗ!$AE:$AE,12)</f>
        <v>0</v>
      </c>
      <c r="AK33" s="198">
        <f t="shared" si="8"/>
        <v>0</v>
      </c>
      <c r="AL33" s="335">
        <f t="shared" si="9"/>
        <v>0</v>
      </c>
    </row>
    <row r="34" spans="1:38" ht="13.5" thickBot="1" x14ac:dyDescent="0.25">
      <c r="A34" s="83" t="s">
        <v>170</v>
      </c>
      <c r="B34" s="297">
        <f>COUNTIF(РПЗ!$Q:$Q,Справочно!$C30)</f>
        <v>0</v>
      </c>
      <c r="C34" s="345">
        <f t="shared" si="0"/>
        <v>0</v>
      </c>
      <c r="D34" s="348">
        <f>SUMIF(РПЗ!$Q:$Q,Справочно!$C30,РПЗ!$L:$L)</f>
        <v>0</v>
      </c>
      <c r="E34" s="347">
        <f t="shared" si="1"/>
        <v>0</v>
      </c>
      <c r="G34" s="146">
        <f>COUNTIFS(РПЗ!$Q:$Q,Справочно!$C30,РПЗ!$AE:$AE,1)</f>
        <v>0</v>
      </c>
      <c r="H34" s="336">
        <f>SUMIFS(РПЗ!$L:$L,РПЗ!$Q:$Q,Справочно!$C30,РПЗ!$AE:$AE,1)</f>
        <v>0</v>
      </c>
      <c r="I34" s="146">
        <f>COUNTIFS(РПЗ!$Q:$Q,Справочно!$C30,РПЗ!$AE:$AE,2)</f>
        <v>0</v>
      </c>
      <c r="J34" s="336">
        <f>SUMIFS(РПЗ!$L:$L,РПЗ!$Q:$Q,Справочно!$C30,РПЗ!$AE:$AE,2)</f>
        <v>0</v>
      </c>
      <c r="K34" s="146">
        <f>COUNTIFS(РПЗ!$Q:$Q,Справочно!$C30,РПЗ!$AE:$AE,3)</f>
        <v>0</v>
      </c>
      <c r="L34" s="336">
        <f>SUMIFS(РПЗ!$L:$L,РПЗ!$Q:$Q,Справочно!$C30,РПЗ!$AE:$AE,3)</f>
        <v>0</v>
      </c>
      <c r="M34" s="189">
        <f t="shared" si="2"/>
        <v>0</v>
      </c>
      <c r="N34" s="329">
        <f t="shared" si="3"/>
        <v>0</v>
      </c>
      <c r="O34" s="149">
        <f>COUNTIFS(РПЗ!$Q:$Q,Справочно!$C30,РПЗ!$AE:$AE,4)</f>
        <v>0</v>
      </c>
      <c r="P34" s="330">
        <f>SUMIFS(РПЗ!$L:$L,РПЗ!$Q:$Q,Справочно!$C30,РПЗ!$AE:$AE,4)</f>
        <v>0</v>
      </c>
      <c r="Q34" s="149">
        <f>COUNTIFS(РПЗ!$Q:$Q,Справочно!$C30,РПЗ!$AE:$AE,5)</f>
        <v>0</v>
      </c>
      <c r="R34" s="330">
        <f>SUMIFS(РПЗ!$L:$L,РПЗ!$Q:$Q,Справочно!$C30,РПЗ!$AE:$AE,5)</f>
        <v>0</v>
      </c>
      <c r="S34" s="149">
        <f>COUNTIFS(РПЗ!$Q:$Q,Справочно!$C30,РПЗ!$AE:$AE,6)</f>
        <v>0</v>
      </c>
      <c r="T34" s="330">
        <f>SUMIFS(РПЗ!$L:$L,РПЗ!$Q:$Q,Справочно!$C30,РПЗ!$AE:$AE,6)</f>
        <v>0</v>
      </c>
      <c r="U34" s="193">
        <f t="shared" si="4"/>
        <v>0</v>
      </c>
      <c r="V34" s="331">
        <f t="shared" si="5"/>
        <v>0</v>
      </c>
      <c r="W34" s="143">
        <f>COUNTIFS(РПЗ!$Q:$Q,Справочно!$C30,РПЗ!$AE:$AE,7)</f>
        <v>0</v>
      </c>
      <c r="X34" s="332">
        <f>SUMIFS(РПЗ!$L:$L,РПЗ!$Q:$Q,Справочно!$C30,РПЗ!$AE:$AE,7)</f>
        <v>0</v>
      </c>
      <c r="Y34" s="143">
        <f>COUNTIFS(РПЗ!$Q:$Q,Справочно!$C30,РПЗ!$AE:$AE,8)</f>
        <v>0</v>
      </c>
      <c r="Z34" s="332">
        <f>SUMIFS(РПЗ!$L:$L,РПЗ!$Q:$Q,Справочно!$C30,РПЗ!$AE:$AE,8)</f>
        <v>0</v>
      </c>
      <c r="AA34" s="143">
        <f>COUNTIFS(РПЗ!$Q:$Q,Справочно!$C30,РПЗ!$AE:$AE,9)</f>
        <v>0</v>
      </c>
      <c r="AB34" s="332">
        <f>SUMIFS(РПЗ!$L:$L,РПЗ!$Q:$Q,Справочно!$C30,РПЗ!$AE:$AE,9)</f>
        <v>0</v>
      </c>
      <c r="AC34" s="194">
        <f t="shared" si="6"/>
        <v>0</v>
      </c>
      <c r="AD34" s="333">
        <f t="shared" si="7"/>
        <v>0</v>
      </c>
      <c r="AE34" s="151">
        <f>COUNTIFS(РПЗ!$Q:$Q,Справочно!$C30,РПЗ!$AE:$AE,10)</f>
        <v>0</v>
      </c>
      <c r="AF34" s="334">
        <f>SUMIFS(РПЗ!$L:$L,РПЗ!$Q:$Q,Справочно!$C30,РПЗ!$AE:$AE,10)</f>
        <v>0</v>
      </c>
      <c r="AG34" s="151">
        <f>COUNTIFS(РПЗ!$Q:$Q,Справочно!$C30,РПЗ!$AE:$AE,11)</f>
        <v>0</v>
      </c>
      <c r="AH34" s="334">
        <f>SUMIFS(РПЗ!$L:$L,РПЗ!$Q:$Q,Справочно!$C30,РПЗ!$AE:$AE,11)</f>
        <v>0</v>
      </c>
      <c r="AI34" s="151">
        <f>COUNTIFS(РПЗ!$Q:$Q,Справочно!$C30,РПЗ!$AE:$AE,12)</f>
        <v>0</v>
      </c>
      <c r="AJ34" s="334">
        <f>SUMIFS(РПЗ!$L:$L,РПЗ!$Q:$Q,Справочно!$C30,РПЗ!$AE:$AE,12)</f>
        <v>0</v>
      </c>
      <c r="AK34" s="198">
        <f t="shared" si="8"/>
        <v>0</v>
      </c>
      <c r="AL34" s="335">
        <f t="shared" si="9"/>
        <v>0</v>
      </c>
    </row>
    <row r="35" spans="1:38" ht="13.5" thickBot="1" x14ac:dyDescent="0.25">
      <c r="A35" s="83" t="s">
        <v>257</v>
      </c>
      <c r="B35" s="69">
        <f>COUNTIF(РПЗ!$Q:$Q,Справочно!$C31)</f>
        <v>0</v>
      </c>
      <c r="C35" s="345">
        <f t="shared" si="0"/>
        <v>0</v>
      </c>
      <c r="D35" s="349">
        <f>SUMIF(РПЗ!$Q:$Q,Справочно!$C31,РПЗ!$L:$L)</f>
        <v>0</v>
      </c>
      <c r="E35" s="347">
        <f t="shared" si="1"/>
        <v>0</v>
      </c>
      <c r="G35" s="148">
        <f>COUNTIFS(РПЗ!$Q:$Q,Справочно!$C31,РПЗ!$AE:$AE,1)</f>
        <v>0</v>
      </c>
      <c r="H35" s="337">
        <f>SUMIFS(РПЗ!$L:$L,РПЗ!$Q:$Q,Справочно!$C31,РПЗ!$AE:$AE,1)</f>
        <v>0</v>
      </c>
      <c r="I35" s="148">
        <f>COUNTIFS(РПЗ!$Q:$Q,Справочно!$C31,РПЗ!$AE:$AE,2)</f>
        <v>0</v>
      </c>
      <c r="J35" s="337">
        <f>SUMIFS(РПЗ!$L:$L,РПЗ!$Q:$Q,Справочно!$C31,РПЗ!$AE:$AE,2)</f>
        <v>0</v>
      </c>
      <c r="K35" s="148">
        <f>COUNTIFS(РПЗ!$Q:$Q,Справочно!$C31,РПЗ!$AE:$AE,3)</f>
        <v>0</v>
      </c>
      <c r="L35" s="337">
        <f>SUMIFS(РПЗ!$L:$L,РПЗ!$Q:$Q,Справочно!$C31,РПЗ!$AE:$AE,3)</f>
        <v>0</v>
      </c>
      <c r="M35" s="189">
        <f t="shared" si="2"/>
        <v>0</v>
      </c>
      <c r="N35" s="329">
        <f t="shared" si="3"/>
        <v>0</v>
      </c>
      <c r="O35" s="149">
        <f>COUNTIFS(РПЗ!$Q:$Q,Справочно!$C31,РПЗ!$AE:$AE,4)</f>
        <v>0</v>
      </c>
      <c r="P35" s="330">
        <f>SUMIFS(РПЗ!$L:$L,РПЗ!$Q:$Q,Справочно!$C31,РПЗ!$AE:$AE,4)</f>
        <v>0</v>
      </c>
      <c r="Q35" s="149">
        <f>COUNTIFS(РПЗ!$Q:$Q,Справочно!$C31,РПЗ!$AE:$AE,5)</f>
        <v>0</v>
      </c>
      <c r="R35" s="330">
        <f>SUMIFS(РПЗ!$L:$L,РПЗ!$Q:$Q,Справочно!$C31,РПЗ!$AE:$AE,5)</f>
        <v>0</v>
      </c>
      <c r="S35" s="149">
        <f>COUNTIFS(РПЗ!$Q:$Q,Справочно!$C31,РПЗ!$AE:$AE,6)</f>
        <v>0</v>
      </c>
      <c r="T35" s="330">
        <f>SUMIFS(РПЗ!$L:$L,РПЗ!$Q:$Q,Справочно!$C31,РПЗ!$AE:$AE,6)</f>
        <v>0</v>
      </c>
      <c r="U35" s="193">
        <f t="shared" si="4"/>
        <v>0</v>
      </c>
      <c r="V35" s="331">
        <f t="shared" si="5"/>
        <v>0</v>
      </c>
      <c r="W35" s="143">
        <f>COUNTIFS(РПЗ!$Q:$Q,Справочно!$C31,РПЗ!$AE:$AE,7)</f>
        <v>0</v>
      </c>
      <c r="X35" s="332">
        <f>SUMIFS(РПЗ!$L:$L,РПЗ!$Q:$Q,Справочно!$C31,РПЗ!$AE:$AE,7)</f>
        <v>0</v>
      </c>
      <c r="Y35" s="143">
        <f>COUNTIFS(РПЗ!$Q:$Q,Справочно!$C31,РПЗ!$AE:$AE,8)</f>
        <v>0</v>
      </c>
      <c r="Z35" s="332">
        <f>SUMIFS(РПЗ!$L:$L,РПЗ!$Q:$Q,Справочно!$C31,РПЗ!$AE:$AE,8)</f>
        <v>0</v>
      </c>
      <c r="AA35" s="143">
        <f>COUNTIFS(РПЗ!$Q:$Q,Справочно!$C31,РПЗ!$AE:$AE,9)</f>
        <v>0</v>
      </c>
      <c r="AB35" s="332">
        <f>SUMIFS(РПЗ!$L:$L,РПЗ!$Q:$Q,Справочно!$C31,РПЗ!$AE:$AE,7)</f>
        <v>0</v>
      </c>
      <c r="AC35" s="194">
        <f t="shared" si="6"/>
        <v>0</v>
      </c>
      <c r="AD35" s="333">
        <f t="shared" si="7"/>
        <v>0</v>
      </c>
      <c r="AE35" s="151">
        <f>COUNTIFS(РПЗ!$Q:$Q,Справочно!$C31,РПЗ!$AE:$AE,10)</f>
        <v>0</v>
      </c>
      <c r="AF35" s="334">
        <f>SUMIFS(РПЗ!$L:$L,РПЗ!$Q:$Q,Справочно!$C31,РПЗ!$AE:$AE,10)</f>
        <v>0</v>
      </c>
      <c r="AG35" s="151">
        <f>COUNTIFS(РПЗ!$Q:$Q,Справочно!$C31,РПЗ!$AE:$AE,11)</f>
        <v>0</v>
      </c>
      <c r="AH35" s="334">
        <f>SUMIFS(РПЗ!$L:$L,РПЗ!$Q:$Q,Справочно!$C31,РПЗ!$AE:$AE,11)</f>
        <v>0</v>
      </c>
      <c r="AI35" s="151">
        <f>COUNTIFS(РПЗ!$Q:$Q,Справочно!$C31,РПЗ!$AE:$AE,12)</f>
        <v>0</v>
      </c>
      <c r="AJ35" s="334">
        <f>SUMIFS(РПЗ!$L:$L,РПЗ!$Q:$Q,Справочно!$C31,РПЗ!$AE:$AE,12)</f>
        <v>0</v>
      </c>
      <c r="AK35" s="198">
        <f t="shared" si="8"/>
        <v>0</v>
      </c>
      <c r="AL35" s="335">
        <f t="shared" si="9"/>
        <v>0</v>
      </c>
    </row>
    <row r="36" spans="1:38" ht="13.5" thickBot="1" x14ac:dyDescent="0.25">
      <c r="A36" s="64" t="s">
        <v>239</v>
      </c>
      <c r="B36" s="93">
        <f>SUM(B16:B35)</f>
        <v>965</v>
      </c>
      <c r="C36" s="395">
        <f>SUM(C16:C35)</f>
        <v>0.61308767471410419</v>
      </c>
      <c r="D36" s="396">
        <f>SUM(D16:D35)</f>
        <v>3471146989.1500006</v>
      </c>
      <c r="E36" s="395">
        <f>SUM(E16:E35)</f>
        <v>0.70966466463716071</v>
      </c>
      <c r="G36" s="65">
        <f t="shared" ref="G36:N36" si="10">SUM(G16:G35)</f>
        <v>208</v>
      </c>
      <c r="H36" s="338">
        <f t="shared" si="10"/>
        <v>1099955193.4300003</v>
      </c>
      <c r="I36" s="135">
        <f t="shared" si="10"/>
        <v>113</v>
      </c>
      <c r="J36" s="338">
        <f t="shared" si="10"/>
        <v>516884112.43999994</v>
      </c>
      <c r="K36" s="135">
        <f t="shared" si="10"/>
        <v>84</v>
      </c>
      <c r="L36" s="339">
        <f t="shared" si="10"/>
        <v>151653427.65000004</v>
      </c>
      <c r="M36" s="269">
        <f t="shared" si="10"/>
        <v>405</v>
      </c>
      <c r="N36" s="401">
        <f t="shared" si="10"/>
        <v>1768492733.5200005</v>
      </c>
      <c r="O36" s="65">
        <f>SUM(O16:O35)</f>
        <v>50</v>
      </c>
      <c r="P36" s="338">
        <f t="shared" ref="P36:AL36" si="11">SUM(P16:P35)</f>
        <v>60222067.910000004</v>
      </c>
      <c r="Q36" s="135">
        <f t="shared" si="11"/>
        <v>61</v>
      </c>
      <c r="R36" s="338">
        <f t="shared" si="11"/>
        <v>147038252.80000001</v>
      </c>
      <c r="S36" s="135">
        <f t="shared" si="11"/>
        <v>108</v>
      </c>
      <c r="T36" s="339">
        <f t="shared" si="11"/>
        <v>1008069067.6400001</v>
      </c>
      <c r="U36" s="269">
        <f t="shared" si="11"/>
        <v>219</v>
      </c>
      <c r="V36" s="401">
        <f t="shared" si="11"/>
        <v>1215329388.3500001</v>
      </c>
      <c r="W36" s="65">
        <f t="shared" si="11"/>
        <v>70</v>
      </c>
      <c r="X36" s="338">
        <f t="shared" si="11"/>
        <v>81039669.350000024</v>
      </c>
      <c r="Y36" s="135">
        <f t="shared" si="11"/>
        <v>51</v>
      </c>
      <c r="Z36" s="338">
        <f t="shared" si="11"/>
        <v>150350890.07999998</v>
      </c>
      <c r="AA36" s="135">
        <f t="shared" si="11"/>
        <v>49</v>
      </c>
      <c r="AB36" s="339">
        <f t="shared" si="11"/>
        <v>40559450.359999999</v>
      </c>
      <c r="AC36" s="269">
        <f t="shared" si="11"/>
        <v>170</v>
      </c>
      <c r="AD36" s="401">
        <f t="shared" si="11"/>
        <v>271950009.79000002</v>
      </c>
      <c r="AE36" s="65">
        <f>SUM(AE16:AE35)</f>
        <v>53</v>
      </c>
      <c r="AF36" s="338">
        <f t="shared" si="11"/>
        <v>75725891.710000008</v>
      </c>
      <c r="AG36" s="135">
        <f t="shared" si="11"/>
        <v>69</v>
      </c>
      <c r="AH36" s="338">
        <f t="shared" si="11"/>
        <v>79198068.030000001</v>
      </c>
      <c r="AI36" s="135">
        <f>SUM(AI16:AI35)</f>
        <v>49</v>
      </c>
      <c r="AJ36" s="339">
        <f t="shared" si="11"/>
        <v>60450897.75</v>
      </c>
      <c r="AK36" s="269">
        <f t="shared" si="11"/>
        <v>171</v>
      </c>
      <c r="AL36" s="401">
        <f t="shared" si="11"/>
        <v>215374857.49000001</v>
      </c>
    </row>
    <row r="37" spans="1:38" ht="13.5" thickBot="1" x14ac:dyDescent="0.25">
      <c r="A37" s="80"/>
      <c r="B37" s="81"/>
      <c r="C37" s="350"/>
      <c r="D37" s="351"/>
      <c r="E37" s="350"/>
      <c r="G37" s="341"/>
      <c r="H37" s="342"/>
      <c r="I37" s="342"/>
      <c r="J37" s="342"/>
      <c r="K37" s="342"/>
      <c r="L37" s="342"/>
      <c r="M37" s="342"/>
      <c r="N37" s="343"/>
      <c r="O37" s="341"/>
      <c r="P37" s="342"/>
      <c r="Q37" s="342"/>
      <c r="R37" s="342"/>
      <c r="S37" s="342"/>
      <c r="T37" s="342"/>
      <c r="U37" s="342"/>
      <c r="V37" s="343"/>
      <c r="W37" s="341"/>
      <c r="X37" s="342"/>
      <c r="Y37" s="342"/>
      <c r="Z37" s="342"/>
      <c r="AA37" s="342"/>
      <c r="AB37" s="342"/>
      <c r="AC37" s="342"/>
      <c r="AD37" s="343"/>
      <c r="AE37" s="341"/>
      <c r="AF37" s="342"/>
      <c r="AG37" s="342"/>
      <c r="AH37" s="342"/>
      <c r="AI37" s="342"/>
      <c r="AJ37" s="342"/>
      <c r="AK37" s="342"/>
      <c r="AL37" s="343"/>
    </row>
    <row r="38" spans="1:38" ht="13.5" thickBot="1" x14ac:dyDescent="0.25">
      <c r="A38" s="71" t="s">
        <v>109</v>
      </c>
      <c r="B38" s="94">
        <f>COUNTIF(РПЗ!$Q:$Q,Справочно!$C33)</f>
        <v>609</v>
      </c>
      <c r="C38" s="397">
        <f>B38/$B$13</f>
        <v>0.38691232528589581</v>
      </c>
      <c r="D38" s="396">
        <f>SUMIF(РПЗ!$Q:$Q,Справочно!$C33,РПЗ!$L:$L)</f>
        <v>1420102585.6400001</v>
      </c>
      <c r="E38" s="397">
        <f>D38/$D$40</f>
        <v>0.29033533536283929</v>
      </c>
      <c r="G38" s="65">
        <f>COUNTIFS(РПЗ!$Q:$Q,Справочно!$C33,РПЗ!$AE:$AE,1)</f>
        <v>26</v>
      </c>
      <c r="H38" s="338">
        <f>SUMIFS(РПЗ!$L:$L,РПЗ!$Q:$Q,Справочно!$C33,РПЗ!$AE:$AE,1)</f>
        <v>70658317.910000011</v>
      </c>
      <c r="I38" s="135">
        <f>COUNTIFS(РПЗ!$Q:$Q,Справочно!$C33,РПЗ!$AE:$AE,2)</f>
        <v>75</v>
      </c>
      <c r="J38" s="338">
        <f>SUMIFS(РПЗ!$L:$L,РПЗ!$Q:$Q,Справочно!$C33,РПЗ!$AE:$AE,2)</f>
        <v>286697836.33000004</v>
      </c>
      <c r="K38" s="135">
        <f>COUNTIFS(РПЗ!$Q:$Q,Справочно!$C33,РПЗ!$AE:$AE,3)</f>
        <v>84</v>
      </c>
      <c r="L38" s="338">
        <f>SUMIFS(РПЗ!$L:$L,РПЗ!$Q:$Q,Справочно!$C33,РПЗ!$AE:$AE,3)</f>
        <v>191079168.62999997</v>
      </c>
      <c r="M38" s="402">
        <f>SUM(G38,I38,K38)</f>
        <v>185</v>
      </c>
      <c r="N38" s="401">
        <f>SUM(H38,J38,L38)</f>
        <v>548435322.87</v>
      </c>
      <c r="O38" s="135">
        <f>COUNTIFS(РПЗ!$Q:$Q,Справочно!$C33,РПЗ!$AE:$AE,4)</f>
        <v>45</v>
      </c>
      <c r="P38" s="338">
        <f>SUMIFS(РПЗ!$L:$L,РПЗ!$Q:$Q,Справочно!$C33,РПЗ!$AE:$AE,4)</f>
        <v>48421878.649999999</v>
      </c>
      <c r="Q38" s="135">
        <f>COUNTIFS(РПЗ!$Q:$Q,Справочно!$C33,РПЗ!$AE:$AE,5)</f>
        <v>30</v>
      </c>
      <c r="R38" s="338">
        <f>SUMIFS(РПЗ!$L:$L,РПЗ!$Q:$Q,Справочно!$C33,РПЗ!$AE:$AE,5)</f>
        <v>112594193.35000001</v>
      </c>
      <c r="S38" s="135">
        <f>COUNTIFS(РПЗ!$Q:$Q,Справочно!$C33,РПЗ!$AE:$AE,6)</f>
        <v>80</v>
      </c>
      <c r="T38" s="338">
        <f>SUMIFS(РПЗ!$L:$L,РПЗ!$Q:$Q,Справочно!$C33,РПЗ!$AE:$AE,6)</f>
        <v>134459440.38</v>
      </c>
      <c r="U38" s="402">
        <f>SUM(O38,Q38,S38)</f>
        <v>155</v>
      </c>
      <c r="V38" s="401">
        <f>SUM(P38,R38,T38)</f>
        <v>295475512.38</v>
      </c>
      <c r="W38" s="135">
        <f>COUNTIFS(РПЗ!$Q:$Q,Справочно!$C33,РПЗ!$AE:$AE,7)</f>
        <v>33</v>
      </c>
      <c r="X38" s="338">
        <f>SUMIFS(РПЗ!$L:$L,РПЗ!$Q:$Q,Справочно!$C33,РПЗ!$AE:$AE,7)</f>
        <v>15773535.23</v>
      </c>
      <c r="Y38" s="135">
        <f>COUNTIFS(РПЗ!$Q:$Q,Справочно!$C33,РПЗ!$AE:$AE,8)</f>
        <v>35</v>
      </c>
      <c r="Z38" s="338">
        <f>SUMIFS(РПЗ!$L:$L,РПЗ!$Q:$Q,Справочно!$C33,РПЗ!$AE:$AE,8)</f>
        <v>93213453.160000011</v>
      </c>
      <c r="AA38" s="135">
        <f>COUNTIFS(РПЗ!$Q:$Q,Справочно!$C33,РПЗ!$AE:$AE,9)</f>
        <v>43</v>
      </c>
      <c r="AB38" s="338">
        <f>SUMIFS(РПЗ!$L:$L,РПЗ!$Q:$Q,Справочно!$C33,РПЗ!$AE:$AE,9)</f>
        <v>103424679.47999999</v>
      </c>
      <c r="AC38" s="402">
        <f>SUM(W38,Y38,AA38)</f>
        <v>111</v>
      </c>
      <c r="AD38" s="401">
        <f>SUM(X38,Z38,AB38)</f>
        <v>212411667.87</v>
      </c>
      <c r="AE38" s="135">
        <f>COUNTIFS(РПЗ!$Q:$Q,Справочно!$C33,РПЗ!$AE:$AE,10)</f>
        <v>57</v>
      </c>
      <c r="AF38" s="338">
        <f>SUMIFS(РПЗ!$L:$L,РПЗ!$Q:$Q,Справочно!$C33,РПЗ!$AE:$AE,10)</f>
        <v>42412796.359999985</v>
      </c>
      <c r="AG38" s="135">
        <f>COUNTIFS(РПЗ!$Q:$Q,Справочно!$C33,РПЗ!$AE:$AE,11)</f>
        <v>46</v>
      </c>
      <c r="AH38" s="338">
        <f>SUMIFS(РПЗ!$L:$L,РПЗ!$Q:$Q,Справочно!$C33,РПЗ!$AE:$AE,11)</f>
        <v>104788986.16</v>
      </c>
      <c r="AI38" s="135">
        <f>COUNTIFS(РПЗ!$Q:$Q,Справочно!$C33,РПЗ!$AE:$AE,12)</f>
        <v>55</v>
      </c>
      <c r="AJ38" s="338">
        <f>SUMIFS(РПЗ!$L:$L,РПЗ!$Q:$Q,Справочно!$C33,РПЗ!$AE:$AE,7)</f>
        <v>15773535.23</v>
      </c>
      <c r="AK38" s="402">
        <f>SUM(AE38,AG38,AI38)</f>
        <v>158</v>
      </c>
      <c r="AL38" s="401">
        <f>SUM(AF38,AH38,AJ38)</f>
        <v>162975317.74999997</v>
      </c>
    </row>
    <row r="39" spans="1:38" ht="13.5" thickBot="1" x14ac:dyDescent="0.25">
      <c r="A39" s="78"/>
      <c r="B39" s="79"/>
      <c r="C39" s="352"/>
      <c r="D39" s="353"/>
      <c r="E39" s="352"/>
      <c r="G39" s="341"/>
      <c r="H39" s="342"/>
      <c r="I39" s="342"/>
      <c r="J39" s="342"/>
      <c r="K39" s="342"/>
      <c r="L39" s="342"/>
      <c r="M39" s="342"/>
      <c r="N39" s="343"/>
      <c r="O39" s="341"/>
      <c r="P39" s="342"/>
      <c r="Q39" s="342"/>
      <c r="R39" s="342"/>
      <c r="S39" s="342"/>
      <c r="T39" s="342"/>
      <c r="U39" s="342"/>
      <c r="V39" s="343"/>
      <c r="W39" s="341"/>
      <c r="X39" s="342"/>
      <c r="Y39" s="342"/>
      <c r="Z39" s="342"/>
      <c r="AA39" s="342"/>
      <c r="AB39" s="342"/>
      <c r="AC39" s="342"/>
      <c r="AD39" s="343"/>
      <c r="AE39" s="341"/>
      <c r="AF39" s="342"/>
      <c r="AG39" s="342"/>
      <c r="AH39" s="342"/>
      <c r="AI39" s="342"/>
      <c r="AJ39" s="342"/>
      <c r="AK39" s="342"/>
      <c r="AL39" s="343"/>
    </row>
    <row r="40" spans="1:38" ht="13.5" thickBot="1" x14ac:dyDescent="0.25">
      <c r="A40" s="70" t="s">
        <v>259</v>
      </c>
      <c r="B40" s="398">
        <f>B36+B38</f>
        <v>1574</v>
      </c>
      <c r="C40" s="399">
        <f>C36+C38</f>
        <v>1</v>
      </c>
      <c r="D40" s="396">
        <f>D36+D38</f>
        <v>4891249574.7900009</v>
      </c>
      <c r="E40" s="400">
        <f>E36+E38</f>
        <v>1</v>
      </c>
      <c r="G40" s="84">
        <f>SUM(G36,G38)</f>
        <v>234</v>
      </c>
      <c r="H40" s="338">
        <f t="shared" ref="H40:N40" si="12">SUM(H36,H38)</f>
        <v>1170613511.3400004</v>
      </c>
      <c r="I40" s="134">
        <f t="shared" si="12"/>
        <v>188</v>
      </c>
      <c r="J40" s="338">
        <f t="shared" si="12"/>
        <v>803581948.76999998</v>
      </c>
      <c r="K40" s="134">
        <f t="shared" si="12"/>
        <v>168</v>
      </c>
      <c r="L40" s="344">
        <f t="shared" si="12"/>
        <v>342732596.27999997</v>
      </c>
      <c r="M40" s="403">
        <f t="shared" si="12"/>
        <v>590</v>
      </c>
      <c r="N40" s="401">
        <f t="shared" si="12"/>
        <v>2316928056.3900003</v>
      </c>
      <c r="O40" s="84">
        <f>SUM(O36,O38)</f>
        <v>95</v>
      </c>
      <c r="P40" s="338">
        <f t="shared" ref="P40:V40" si="13">SUM(P36,P38)</f>
        <v>108643946.56</v>
      </c>
      <c r="Q40" s="134">
        <f t="shared" si="13"/>
        <v>91</v>
      </c>
      <c r="R40" s="338">
        <f t="shared" si="13"/>
        <v>259632446.15000004</v>
      </c>
      <c r="S40" s="134">
        <f t="shared" si="13"/>
        <v>188</v>
      </c>
      <c r="T40" s="339">
        <f t="shared" si="13"/>
        <v>1142528508.02</v>
      </c>
      <c r="U40" s="403">
        <f t="shared" si="13"/>
        <v>374</v>
      </c>
      <c r="V40" s="401">
        <f t="shared" si="13"/>
        <v>1510804900.73</v>
      </c>
      <c r="W40" s="84">
        <f>SUM(W36,W38)</f>
        <v>103</v>
      </c>
      <c r="X40" s="338">
        <f t="shared" ref="X40:AD40" si="14">SUM(X36,X38)</f>
        <v>96813204.580000028</v>
      </c>
      <c r="Y40" s="134">
        <f t="shared" si="14"/>
        <v>86</v>
      </c>
      <c r="Z40" s="338">
        <f t="shared" si="14"/>
        <v>243564343.24000001</v>
      </c>
      <c r="AA40" s="134">
        <f t="shared" si="14"/>
        <v>92</v>
      </c>
      <c r="AB40" s="339">
        <f t="shared" si="14"/>
        <v>143984129.83999997</v>
      </c>
      <c r="AC40" s="403">
        <f t="shared" si="14"/>
        <v>281</v>
      </c>
      <c r="AD40" s="401">
        <f t="shared" si="14"/>
        <v>484361677.66000003</v>
      </c>
      <c r="AE40" s="84">
        <f>SUM(AE36,AE38)</f>
        <v>110</v>
      </c>
      <c r="AF40" s="338">
        <f t="shared" ref="AF40:AL40" si="15">SUM(AF36,AF38)</f>
        <v>118138688.06999999</v>
      </c>
      <c r="AG40" s="134">
        <f t="shared" si="15"/>
        <v>115</v>
      </c>
      <c r="AH40" s="338">
        <f t="shared" si="15"/>
        <v>183987054.19</v>
      </c>
      <c r="AI40" s="134">
        <f t="shared" si="15"/>
        <v>104</v>
      </c>
      <c r="AJ40" s="339">
        <f t="shared" si="15"/>
        <v>76224432.980000004</v>
      </c>
      <c r="AK40" s="403">
        <f t="shared" si="15"/>
        <v>329</v>
      </c>
      <c r="AL40" s="401">
        <f t="shared" si="15"/>
        <v>378350175.24000001</v>
      </c>
    </row>
    <row r="41" spans="1:38" x14ac:dyDescent="0.2">
      <c r="G41" s="105"/>
      <c r="H41" s="106"/>
      <c r="I41" s="106"/>
      <c r="J41" s="106"/>
      <c r="K41" s="106"/>
      <c r="L41" s="106"/>
      <c r="M41" s="106"/>
      <c r="N41" s="142"/>
      <c r="O41" s="105"/>
      <c r="P41" s="106"/>
      <c r="Q41" s="106"/>
      <c r="R41" s="106"/>
      <c r="S41" s="106"/>
      <c r="T41" s="106"/>
      <c r="U41" s="106"/>
      <c r="V41" s="142"/>
      <c r="W41" s="105"/>
      <c r="X41" s="106"/>
      <c r="Y41" s="106"/>
      <c r="Z41" s="106"/>
      <c r="AA41" s="106"/>
      <c r="AB41" s="106"/>
      <c r="AC41" s="106"/>
      <c r="AD41" s="142"/>
      <c r="AE41" s="105"/>
      <c r="AF41" s="106"/>
      <c r="AG41" s="106"/>
      <c r="AH41" s="106"/>
      <c r="AI41" s="106"/>
      <c r="AJ41" s="106"/>
      <c r="AK41" s="106"/>
      <c r="AL41" s="142"/>
    </row>
    <row r="42" spans="1:38" ht="21" customHeight="1" thickBot="1" x14ac:dyDescent="0.25">
      <c r="A42" s="1114" t="s">
        <v>244</v>
      </c>
      <c r="B42" s="1114"/>
      <c r="C42" s="1114"/>
      <c r="D42" s="1114"/>
      <c r="E42" s="1114"/>
      <c r="G42" s="105"/>
      <c r="H42" s="106"/>
      <c r="I42" s="106"/>
      <c r="J42" s="106"/>
      <c r="K42" s="106"/>
      <c r="L42" s="106"/>
      <c r="M42" s="106"/>
      <c r="N42" s="142"/>
      <c r="O42" s="105"/>
      <c r="P42" s="106"/>
      <c r="Q42" s="106"/>
      <c r="R42" s="106"/>
      <c r="S42" s="106"/>
      <c r="T42" s="106"/>
      <c r="U42" s="106"/>
      <c r="V42" s="142"/>
      <c r="W42" s="105"/>
      <c r="X42" s="106"/>
      <c r="Y42" s="106"/>
      <c r="Z42" s="106"/>
      <c r="AA42" s="106"/>
      <c r="AB42" s="106"/>
      <c r="AC42" s="106"/>
      <c r="AD42" s="142"/>
      <c r="AE42" s="105"/>
      <c r="AF42" s="106"/>
      <c r="AG42" s="106"/>
      <c r="AH42" s="106"/>
      <c r="AI42" s="106"/>
      <c r="AJ42" s="106"/>
      <c r="AK42" s="106"/>
      <c r="AL42" s="142"/>
    </row>
    <row r="43" spans="1:38" ht="26.25" thickBot="1" x14ac:dyDescent="0.25">
      <c r="A43" s="57" t="s">
        <v>210</v>
      </c>
      <c r="B43" s="58" t="s">
        <v>290</v>
      </c>
      <c r="C43" s="59" t="s">
        <v>240</v>
      </c>
      <c r="D43" s="60" t="s">
        <v>289</v>
      </c>
      <c r="E43" s="59" t="s">
        <v>243</v>
      </c>
      <c r="G43" s="58" t="s">
        <v>290</v>
      </c>
      <c r="H43" s="62" t="s">
        <v>289</v>
      </c>
      <c r="I43" s="62" t="s">
        <v>290</v>
      </c>
      <c r="J43" s="62" t="s">
        <v>289</v>
      </c>
      <c r="K43" s="62" t="s">
        <v>290</v>
      </c>
      <c r="L43" s="141" t="s">
        <v>289</v>
      </c>
      <c r="M43" s="170" t="s">
        <v>290</v>
      </c>
      <c r="N43" s="170" t="s">
        <v>289</v>
      </c>
      <c r="O43" s="58" t="s">
        <v>290</v>
      </c>
      <c r="P43" s="62" t="s">
        <v>289</v>
      </c>
      <c r="Q43" s="62" t="s">
        <v>290</v>
      </c>
      <c r="R43" s="62" t="s">
        <v>289</v>
      </c>
      <c r="S43" s="62" t="s">
        <v>290</v>
      </c>
      <c r="T43" s="141" t="s">
        <v>289</v>
      </c>
      <c r="U43" s="170" t="s">
        <v>290</v>
      </c>
      <c r="V43" s="170" t="s">
        <v>289</v>
      </c>
      <c r="W43" s="58" t="s">
        <v>290</v>
      </c>
      <c r="X43" s="62" t="s">
        <v>289</v>
      </c>
      <c r="Y43" s="62" t="s">
        <v>290</v>
      </c>
      <c r="Z43" s="62" t="s">
        <v>289</v>
      </c>
      <c r="AA43" s="62" t="s">
        <v>290</v>
      </c>
      <c r="AB43" s="141" t="s">
        <v>289</v>
      </c>
      <c r="AC43" s="170" t="s">
        <v>290</v>
      </c>
      <c r="AD43" s="170" t="s">
        <v>289</v>
      </c>
      <c r="AE43" s="58" t="s">
        <v>290</v>
      </c>
      <c r="AF43" s="62" t="s">
        <v>289</v>
      </c>
      <c r="AG43" s="62" t="s">
        <v>290</v>
      </c>
      <c r="AH43" s="62" t="s">
        <v>289</v>
      </c>
      <c r="AI43" s="62" t="s">
        <v>290</v>
      </c>
      <c r="AJ43" s="141" t="s">
        <v>289</v>
      </c>
      <c r="AK43" s="170" t="s">
        <v>290</v>
      </c>
      <c r="AL43" s="170" t="s">
        <v>289</v>
      </c>
    </row>
    <row r="44" spans="1:38" ht="13.5" thickBot="1" x14ac:dyDescent="0.25">
      <c r="A44" s="89" t="str">
        <f>Справочно!E21</f>
        <v>ГК "Ростех"</v>
      </c>
      <c r="B44" s="69">
        <f>COUNTIF(РПЗ!$AB:$AB,Справочно!$E21)</f>
        <v>0</v>
      </c>
      <c r="C44" s="354">
        <f>B44/$B$13</f>
        <v>0</v>
      </c>
      <c r="D44" s="355">
        <f>SUMIF(РПЗ!$AB:$AB,Справочно!$E21,РПЗ!$L:$L)</f>
        <v>0</v>
      </c>
      <c r="E44" s="354">
        <f t="shared" ref="E44:E69" si="16">D44/$D$13</f>
        <v>0</v>
      </c>
      <c r="G44" s="186">
        <f>COUNTIFS(РПЗ!$AB:$AB,Справочно!$E21,РПЗ!$AE:$AE,1)</f>
        <v>0</v>
      </c>
      <c r="H44" s="336">
        <f>SUMIFS(РПЗ!$L:$L,РПЗ!$AB:$AB,Справочно!$E21,РПЗ!$AE:$AE,1)</f>
        <v>0</v>
      </c>
      <c r="I44" s="186">
        <f>COUNTIFS(РПЗ!$AB:$AB,Справочно!$E21,РПЗ!$AE:$AE,2)</f>
        <v>0</v>
      </c>
      <c r="J44" s="336">
        <f>SUMIFS(РПЗ!$L:$L,РПЗ!$AB:$AB,Справочно!$E21,РПЗ!$AE:$AE,2)</f>
        <v>0</v>
      </c>
      <c r="K44" s="186">
        <f>COUNTIFS(РПЗ!$AB:$AB,Справочно!$E21,РПЗ!$AE:$AE,3)</f>
        <v>0</v>
      </c>
      <c r="L44" s="336">
        <f>SUMIFS(РПЗ!$L:$L,РПЗ!$AB:$AB,Справочно!$E21,РПЗ!$AE:$AE,3)</f>
        <v>0</v>
      </c>
      <c r="M44" s="189">
        <f>SUM(G44,I44,K44)</f>
        <v>0</v>
      </c>
      <c r="N44" s="329">
        <f>SUM(H44,J44,L44)</f>
        <v>0</v>
      </c>
      <c r="O44" s="190">
        <f>COUNTIFS(РПЗ!$AB:$AB,Справочно!$E21,РПЗ!$AE:$AE,4)</f>
        <v>0</v>
      </c>
      <c r="P44" s="363">
        <f>SUMIFS(РПЗ!$L:$L,РПЗ!$AB:$AB,Справочно!$E21,РПЗ!$AE:$AE,4)</f>
        <v>0</v>
      </c>
      <c r="Q44" s="150">
        <f>COUNTIFS(РПЗ!$AB:$AB,Справочно!$E21,РПЗ!$AE:$AE,5)</f>
        <v>0</v>
      </c>
      <c r="R44" s="363">
        <f>SUMIFS(РПЗ!$L:$L,РПЗ!$AB:$AB,Справочно!$E21,РПЗ!$AE:$AE,5)</f>
        <v>0</v>
      </c>
      <c r="S44" s="150">
        <f>COUNTIFS(РПЗ!$AB:$AB,Справочно!$E21,РПЗ!$AE:$AE,6)</f>
        <v>0</v>
      </c>
      <c r="T44" s="363">
        <f>SUMIFS(РПЗ!$L:$L,РПЗ!$AB:$AB,Справочно!$E21,РПЗ!$AE:$AE,6)</f>
        <v>0</v>
      </c>
      <c r="U44" s="193">
        <f>SUM(O44,Q44,S44)</f>
        <v>0</v>
      </c>
      <c r="V44" s="331">
        <f>SUM(P44,R44,T44)</f>
        <v>0</v>
      </c>
      <c r="W44" s="195">
        <f>COUNTIFS(РПЗ!$AB:$AB,Справочно!$E21,РПЗ!$AE:$AE,7)</f>
        <v>0</v>
      </c>
      <c r="X44" s="365">
        <f>SUMIFS(РПЗ!$L:$L,РПЗ!$AB:$AB,Справочно!$E21,РПЗ!$AE:$AE,7)</f>
        <v>0</v>
      </c>
      <c r="Y44" s="195">
        <f>COUNTIFS(РПЗ!$AB:$AB,Справочно!$E21,РПЗ!$AE:$AE,8)</f>
        <v>0</v>
      </c>
      <c r="Z44" s="365">
        <f>SUMIFS(РПЗ!$L:$L,РПЗ!$AB:$AB,Справочно!$E21,РПЗ!$AE:$AE,8)</f>
        <v>0</v>
      </c>
      <c r="AA44" s="195">
        <f>COUNTIFS(РПЗ!$AB:$AB,Справочно!$E21,РПЗ!$AE:$AE,9)</f>
        <v>0</v>
      </c>
      <c r="AB44" s="365">
        <f>SUMIFS(РПЗ!$L:$L,РПЗ!$AB:$AB,Справочно!$E21,РПЗ!$AE:$AE,9)</f>
        <v>0</v>
      </c>
      <c r="AC44" s="194">
        <f>SUM(W44,Y44,AA44)</f>
        <v>0</v>
      </c>
      <c r="AD44" s="333">
        <f>SUM(X44,Z44,AB44)</f>
        <v>0</v>
      </c>
      <c r="AE44" s="199">
        <f>COUNTIFS(РПЗ!$AB:$AB,Справочно!$E21,РПЗ!$AE:$AE,10)</f>
        <v>0</v>
      </c>
      <c r="AF44" s="367">
        <f>SUMIFS(РПЗ!$L:$L,РПЗ!$AB:$AB,Справочно!$E21,РПЗ!$AE:$AE,10)</f>
        <v>0</v>
      </c>
      <c r="AG44" s="176">
        <f>COUNTIFS(РПЗ!$AB:$AB,Справочно!$E21,РПЗ!$AE:$AE,11)</f>
        <v>0</v>
      </c>
      <c r="AH44" s="367">
        <f>SUMIFS(РПЗ!$L:$L,РПЗ!$AB:$AB,Справочно!$E21,РПЗ!$AE:$AE,11)</f>
        <v>0</v>
      </c>
      <c r="AI44" s="176">
        <f>COUNTIFS(РПЗ!$AB:$AB,Справочно!$E21,РПЗ!$AE:$AE,12)</f>
        <v>0</v>
      </c>
      <c r="AJ44" s="367">
        <f>SUMIFS(РПЗ!$L:$L,РПЗ!$AB:$AB,Справочно!$E21,РПЗ!$AE:$AE,12)</f>
        <v>0</v>
      </c>
      <c r="AK44" s="198">
        <f>SUM(AE44,AG44,AI44)</f>
        <v>0</v>
      </c>
      <c r="AL44" s="335">
        <f>SUM(AF44,AH44,AJ44)</f>
        <v>0</v>
      </c>
    </row>
    <row r="45" spans="1:38" ht="15.75" customHeight="1" thickBot="1" x14ac:dyDescent="0.25">
      <c r="A45" s="90" t="str">
        <f>Справочно!E22</f>
        <v>ООО "РТ-Развитие бизнеса"</v>
      </c>
      <c r="B45" s="69">
        <f>COUNTIF(РПЗ!$AB:$AB,Справочно!$E22)</f>
        <v>0</v>
      </c>
      <c r="C45" s="354">
        <f t="shared" ref="C45:C68" si="17">B45/$B$13</f>
        <v>0</v>
      </c>
      <c r="D45" s="355">
        <f>SUMIF(РПЗ!$AB:$AB,Справочно!$E22,РПЗ!$L:$L)</f>
        <v>0</v>
      </c>
      <c r="E45" s="354">
        <f t="shared" si="16"/>
        <v>0</v>
      </c>
      <c r="G45" s="146">
        <f>COUNTIFS(РПЗ!$AB:$AB,Справочно!$E22,РПЗ!$AE:$AE,1)</f>
        <v>0</v>
      </c>
      <c r="H45" s="336">
        <f>SUMIFS(РПЗ!$L:$L,РПЗ!$AB:$AB,Справочно!$E22,РПЗ!$AE:$AE,1)</f>
        <v>0</v>
      </c>
      <c r="I45" s="146">
        <f>COUNTIFS(РПЗ!$AB:$AB,Справочно!$E22,РПЗ!$AE:$AE,2)</f>
        <v>0</v>
      </c>
      <c r="J45" s="336">
        <f>SUMIFS(РПЗ!$L:$L,РПЗ!$AB:$AB,Справочно!$E22,РПЗ!$AE:$AE,2)</f>
        <v>0</v>
      </c>
      <c r="K45" s="146">
        <f>COUNTIFS(РПЗ!$AB:$AB,Справочно!$E22,РПЗ!$AE:$AE,3)</f>
        <v>0</v>
      </c>
      <c r="L45" s="336">
        <f>SUMIFS(РПЗ!$L:$L,РПЗ!$AB:$AB,Справочно!$E22,РПЗ!$AE:$AE,3)</f>
        <v>0</v>
      </c>
      <c r="M45" s="189">
        <f t="shared" ref="M45:M66" si="18">SUM(G45,I45,K45)</f>
        <v>0</v>
      </c>
      <c r="N45" s="329">
        <f t="shared" ref="N45:N68" si="19">SUM(H45,J45,L45)</f>
        <v>0</v>
      </c>
      <c r="O45" s="191">
        <f>COUNTIFS(РПЗ!$AB:$AB,Справочно!$E22,РПЗ!$AE:$AE,4)</f>
        <v>0</v>
      </c>
      <c r="P45" s="370">
        <f>SUMIFS(РПЗ!$L:$L,РПЗ!$AB:$AB,Справочно!$E22,РПЗ!$AE:$AE,4)</f>
        <v>0</v>
      </c>
      <c r="Q45" s="183">
        <f>COUNTIFS(РПЗ!$AB:$AB,Справочно!$E22,РПЗ!$AE:$AE,5)</f>
        <v>0</v>
      </c>
      <c r="R45" s="370">
        <f>SUMIFS(РПЗ!$L:$L,РПЗ!$AB:$AB,Справочно!$E22,РПЗ!$AE:$AE,5)</f>
        <v>0</v>
      </c>
      <c r="S45" s="183">
        <f>COUNTIFS(РПЗ!$AB:$AB,Справочно!$E22,РПЗ!$AE:$AE,6)</f>
        <v>0</v>
      </c>
      <c r="T45" s="370">
        <f>SUMIFS(РПЗ!$L:$L,РПЗ!$AB:$AB,Справочно!$E22,РПЗ!$AE:$AE,6)</f>
        <v>0</v>
      </c>
      <c r="U45" s="193">
        <f t="shared" ref="U45:U68" si="20">SUM(O45,Q45,S45)</f>
        <v>0</v>
      </c>
      <c r="V45" s="331">
        <f t="shared" ref="V45:V55" si="21">SUM(P45,R45,T45)</f>
        <v>0</v>
      </c>
      <c r="W45" s="196">
        <f>COUNTIFS(РПЗ!$AB:$AB,Справочно!$E22,РПЗ!$AE:$AE,7)</f>
        <v>0</v>
      </c>
      <c r="X45" s="372">
        <f>SUMIFS(РПЗ!$L:$L,РПЗ!$AB:$AB,Справочно!$E22,РПЗ!$AE:$AE,7)</f>
        <v>0</v>
      </c>
      <c r="Y45" s="196">
        <f>COUNTIFS(РПЗ!$AB:$AB,Справочно!$E22,РПЗ!$AE:$AE,8)</f>
        <v>0</v>
      </c>
      <c r="Z45" s="372">
        <f>SUMIFS(РПЗ!$L:$L,РПЗ!$AB:$AB,Справочно!$E22,РПЗ!$AE:$AE,8)</f>
        <v>0</v>
      </c>
      <c r="AA45" s="196">
        <f>COUNTIFS(РПЗ!$AB:$AB,Справочно!$E22,РПЗ!$AE:$AE,9)</f>
        <v>0</v>
      </c>
      <c r="AB45" s="372">
        <f>SUMIFS(РПЗ!$L:$L,РПЗ!$AB:$AB,Справочно!$E22,РПЗ!$AE:$AE,9)</f>
        <v>0</v>
      </c>
      <c r="AC45" s="194">
        <f t="shared" ref="AC45:AC68" si="22">SUM(W45,Y45,AA45)</f>
        <v>0</v>
      </c>
      <c r="AD45" s="333">
        <f t="shared" ref="AD45:AD68" si="23">SUM(X45,Z45,AB45)</f>
        <v>0</v>
      </c>
      <c r="AE45" s="201">
        <f>COUNTIFS(РПЗ!$AB:$AB,Справочно!$E22,РПЗ!$AE:$AE,10)</f>
        <v>0</v>
      </c>
      <c r="AF45" s="374">
        <f>SUMIFS(РПЗ!$L:$L,РПЗ!$AB:$AB,Справочно!$E22,РПЗ!$AE:$AE,10)</f>
        <v>0</v>
      </c>
      <c r="AG45" s="177">
        <f>COUNTIFS(РПЗ!$AB:$AB,Справочно!$E22,РПЗ!$AE:$AE,11)</f>
        <v>0</v>
      </c>
      <c r="AH45" s="374">
        <f>SUMIFS(РПЗ!$L:$L,РПЗ!$AB:$AB,Справочно!$E22,РПЗ!$AE:$AE,11)</f>
        <v>0</v>
      </c>
      <c r="AI45" s="177">
        <f>COUNTIFS(РПЗ!$AB:$AB,Справочно!$E22,РПЗ!$AE:$AE,12)</f>
        <v>0</v>
      </c>
      <c r="AJ45" s="374">
        <f>SUMIFS(РПЗ!$L:$L,РПЗ!$AB:$AB,Справочно!$E22,РПЗ!$AE:$AE,12)</f>
        <v>0</v>
      </c>
      <c r="AK45" s="198">
        <f t="shared" ref="AK45:AK68" si="24">SUM(AE45,AG45,AI45)</f>
        <v>0</v>
      </c>
      <c r="AL45" s="335">
        <f t="shared" ref="AL45:AL68" si="25">SUM(AF45,AH45,AJ45)</f>
        <v>0</v>
      </c>
    </row>
    <row r="46" spans="1:38" ht="13.5" thickBot="1" x14ac:dyDescent="0.25">
      <c r="A46" s="90" t="str">
        <f>Справочно!E23</f>
        <v>АО "НПО "Сплав"</v>
      </c>
      <c r="B46" s="69">
        <f>COUNTIF(РПЗ!$AB:$AB,Справочно!$E23)</f>
        <v>0</v>
      </c>
      <c r="C46" s="354">
        <f t="shared" si="17"/>
        <v>0</v>
      </c>
      <c r="D46" s="355">
        <f>SUMIF(РПЗ!$AB:$AB,Справочно!$E23,РПЗ!$L:$L)</f>
        <v>0</v>
      </c>
      <c r="E46" s="354">
        <f t="shared" si="16"/>
        <v>0</v>
      </c>
      <c r="G46" s="146">
        <f>COUNTIFS(РПЗ!$AB:$AB,Справочно!$E23,РПЗ!$AE:$AE,1)</f>
        <v>0</v>
      </c>
      <c r="H46" s="336">
        <f>SUMIFS(РПЗ!$L:$L,РПЗ!$AB:$AB,Справочно!$E23,РПЗ!$AE:$AE,1)</f>
        <v>0</v>
      </c>
      <c r="I46" s="146">
        <f>COUNTIFS(РПЗ!$AB:$AB,Справочно!$E23,РПЗ!$AE:$AE,2)</f>
        <v>0</v>
      </c>
      <c r="J46" s="336">
        <f>SUMIFS(РПЗ!$L:$L,РПЗ!$AB:$AB,Справочно!$E23,РПЗ!$AE:$AE,2)</f>
        <v>0</v>
      </c>
      <c r="K46" s="146">
        <f>COUNTIFS(РПЗ!$AB:$AB,Справочно!$E23,РПЗ!$AE:$AE,3)</f>
        <v>0</v>
      </c>
      <c r="L46" s="336">
        <f>SUMIFS(РПЗ!$L:$L,РПЗ!$AB:$AB,Справочно!$E23,РПЗ!$AE:$AE,3)</f>
        <v>0</v>
      </c>
      <c r="M46" s="189">
        <f t="shared" si="18"/>
        <v>0</v>
      </c>
      <c r="N46" s="329">
        <f t="shared" si="19"/>
        <v>0</v>
      </c>
      <c r="O46" s="191">
        <f>COUNTIFS(РПЗ!$AB:$AB,Справочно!$E23,РПЗ!$AE:$AE,4)</f>
        <v>0</v>
      </c>
      <c r="P46" s="370">
        <f>SUMIFS(РПЗ!$L:$L,РПЗ!$AB:$AB,Справочно!$E23,РПЗ!$AE:$AE,4)</f>
        <v>0</v>
      </c>
      <c r="Q46" s="183">
        <f>COUNTIFS(РПЗ!$AB:$AB,Справочно!$E23,РПЗ!$AE:$AE,5)</f>
        <v>0</v>
      </c>
      <c r="R46" s="370">
        <f>SUMIFS(РПЗ!$L:$L,РПЗ!$AB:$AB,Справочно!$E23,РПЗ!$AE:$AE,5)</f>
        <v>0</v>
      </c>
      <c r="S46" s="183">
        <f>COUNTIFS(РПЗ!$AB:$AB,Справочно!$E23,РПЗ!$AE:$AE,6)</f>
        <v>0</v>
      </c>
      <c r="T46" s="370">
        <f>SUMIFS(РПЗ!$L:$L,РПЗ!$AB:$AB,Справочно!$E23,РПЗ!$AE:$AE,6)</f>
        <v>0</v>
      </c>
      <c r="U46" s="193">
        <f t="shared" si="20"/>
        <v>0</v>
      </c>
      <c r="V46" s="331">
        <f t="shared" si="21"/>
        <v>0</v>
      </c>
      <c r="W46" s="196">
        <f>COUNTIFS(РПЗ!$AB:$AB,Справочно!$E23,РПЗ!$AE:$AE,7)</f>
        <v>0</v>
      </c>
      <c r="X46" s="372">
        <f>SUMIFS(РПЗ!$L:$L,РПЗ!$AB:$AB,Справочно!$E23,РПЗ!$AE:$AE,7)</f>
        <v>0</v>
      </c>
      <c r="Y46" s="196">
        <f>COUNTIFS(РПЗ!$AB:$AB,Справочно!$E23,РПЗ!$AE:$AE,8)</f>
        <v>0</v>
      </c>
      <c r="Z46" s="372">
        <f>SUMIFS(РПЗ!$L:$L,РПЗ!$AB:$AB,Справочно!$E23,РПЗ!$AE:$AE,8)</f>
        <v>0</v>
      </c>
      <c r="AA46" s="196">
        <f>COUNTIFS(РПЗ!$AB:$AB,Справочно!$E23,РПЗ!$AE:$AE,9)</f>
        <v>0</v>
      </c>
      <c r="AB46" s="372">
        <f>SUMIFS(РПЗ!$L:$L,РПЗ!$AB:$AB,Справочно!$E23,РПЗ!$AE:$AE,9)</f>
        <v>0</v>
      </c>
      <c r="AC46" s="194">
        <f t="shared" si="22"/>
        <v>0</v>
      </c>
      <c r="AD46" s="333">
        <f t="shared" si="23"/>
        <v>0</v>
      </c>
      <c r="AE46" s="201">
        <f>COUNTIFS(РПЗ!$AB:$AB,Справочно!$E23,РПЗ!$AE:$AE,10)</f>
        <v>0</v>
      </c>
      <c r="AF46" s="374">
        <f>SUMIFS(РПЗ!$L:$L,РПЗ!$AB:$AB,Справочно!$E23,РПЗ!$AE:$AE,10)</f>
        <v>0</v>
      </c>
      <c r="AG46" s="177">
        <f>COUNTIFS(РПЗ!$AB:$AB,Справочно!$E23,РПЗ!$AE:$AE,11)</f>
        <v>0</v>
      </c>
      <c r="AH46" s="374">
        <f>SUMIFS(РПЗ!$L:$L,РПЗ!$AB:$AB,Справочно!$E23,РПЗ!$AE:$AE,11)</f>
        <v>0</v>
      </c>
      <c r="AI46" s="177">
        <f>COUNTIFS(РПЗ!$AB:$AB,Справочно!$E23,РПЗ!$AE:$AE,12)</f>
        <v>0</v>
      </c>
      <c r="AJ46" s="374">
        <f>SUMIFS(РПЗ!$L:$L,РПЗ!$AB:$AB,Справочно!$E23,РПЗ!$AE:$AE,12)</f>
        <v>0</v>
      </c>
      <c r="AK46" s="198">
        <f t="shared" si="24"/>
        <v>0</v>
      </c>
      <c r="AL46" s="335">
        <f t="shared" si="25"/>
        <v>0</v>
      </c>
    </row>
    <row r="47" spans="1:38" ht="13.5" thickBot="1" x14ac:dyDescent="0.25">
      <c r="A47" s="90" t="str">
        <f>Справочно!E24</f>
        <v>ОАО "РТ-Логистика"</v>
      </c>
      <c r="B47" s="69">
        <f>COUNTIF(РПЗ!$AB:$AB,Справочно!$E24)</f>
        <v>0</v>
      </c>
      <c r="C47" s="354">
        <f t="shared" si="17"/>
        <v>0</v>
      </c>
      <c r="D47" s="355">
        <f>SUMIF(РПЗ!$AB:$AB,Справочно!$E24,РПЗ!$L:$L)</f>
        <v>0</v>
      </c>
      <c r="E47" s="354">
        <f t="shared" si="16"/>
        <v>0</v>
      </c>
      <c r="G47" s="146">
        <f>COUNTIFS(РПЗ!$AB:$AB,Справочно!$E24,РПЗ!$AE:$AE,1)</f>
        <v>0</v>
      </c>
      <c r="H47" s="336">
        <f>SUMIFS(РПЗ!$L:$L,РПЗ!$AB:$AB,Справочно!$E24,РПЗ!$AE:$AE,1)</f>
        <v>0</v>
      </c>
      <c r="I47" s="146">
        <f>COUNTIFS(РПЗ!$AB:$AB,Справочно!$E24,РПЗ!$AE:$AE,2)</f>
        <v>0</v>
      </c>
      <c r="J47" s="336">
        <f>SUMIFS(РПЗ!$L:$L,РПЗ!$AB:$AB,Справочно!$E24,РПЗ!$AE:$AE,2)</f>
        <v>0</v>
      </c>
      <c r="K47" s="146">
        <f>COUNTIFS(РПЗ!$AB:$AB,Справочно!$E24,РПЗ!$AE:$AE,3)</f>
        <v>0</v>
      </c>
      <c r="L47" s="336">
        <f>SUMIFS(РПЗ!$L:$L,РПЗ!$AB:$AB,Справочно!$E24,РПЗ!$AE:$AE,3)</f>
        <v>0</v>
      </c>
      <c r="M47" s="189">
        <f t="shared" si="18"/>
        <v>0</v>
      </c>
      <c r="N47" s="329">
        <f t="shared" si="19"/>
        <v>0</v>
      </c>
      <c r="O47" s="191">
        <f>COUNTIFS(РПЗ!$AB:$AB,Справочно!$E24,РПЗ!$AE:$AE,4)</f>
        <v>0</v>
      </c>
      <c r="P47" s="370">
        <f>SUMIFS(РПЗ!$L:$L,РПЗ!$AB:$AB,Справочно!$E24,РПЗ!$AE:$AE,4)</f>
        <v>0</v>
      </c>
      <c r="Q47" s="183">
        <f>COUNTIFS(РПЗ!$AB:$AB,Справочно!$E24,РПЗ!$AE:$AE,5)</f>
        <v>0</v>
      </c>
      <c r="R47" s="370">
        <f>SUMIFS(РПЗ!$L:$L,РПЗ!$AB:$AB,Справочно!$E24,РПЗ!$AE:$AE,5)</f>
        <v>0</v>
      </c>
      <c r="S47" s="183">
        <f>COUNTIFS(РПЗ!$AB:$AB,Справочно!$E24,РПЗ!$AE:$AE,6)</f>
        <v>0</v>
      </c>
      <c r="T47" s="370">
        <f>SUMIFS(РПЗ!$L:$L,РПЗ!$AB:$AB,Справочно!$E24,РПЗ!$AE:$AE,6)</f>
        <v>0</v>
      </c>
      <c r="U47" s="193">
        <f t="shared" si="20"/>
        <v>0</v>
      </c>
      <c r="V47" s="331">
        <f t="shared" si="21"/>
        <v>0</v>
      </c>
      <c r="W47" s="196">
        <f>COUNTIFS(РПЗ!$AB:$AB,Справочно!$E24,РПЗ!$AE:$AE,7)</f>
        <v>0</v>
      </c>
      <c r="X47" s="372">
        <f>SUMIFS(РПЗ!$L:$L,РПЗ!$AB:$AB,Справочно!$E24,РПЗ!$AE:$AE,7)</f>
        <v>0</v>
      </c>
      <c r="Y47" s="196">
        <f>COUNTIFS(РПЗ!$AB:$AB,Справочно!$E24,РПЗ!$AE:$AE,8)</f>
        <v>0</v>
      </c>
      <c r="Z47" s="372">
        <f>SUMIFS(РПЗ!$L:$L,РПЗ!$AB:$AB,Справочно!$E24,РПЗ!$AE:$AE,8)</f>
        <v>0</v>
      </c>
      <c r="AA47" s="196">
        <f>COUNTIFS(РПЗ!$AB:$AB,Справочно!$E24,РПЗ!$AE:$AE,9)</f>
        <v>0</v>
      </c>
      <c r="AB47" s="372">
        <f>SUMIFS(РПЗ!$L:$L,РПЗ!$AB:$AB,Справочно!$E24,РПЗ!$AE:$AE,9)</f>
        <v>0</v>
      </c>
      <c r="AC47" s="194">
        <f t="shared" si="22"/>
        <v>0</v>
      </c>
      <c r="AD47" s="333">
        <f t="shared" si="23"/>
        <v>0</v>
      </c>
      <c r="AE47" s="201">
        <f>COUNTIFS(РПЗ!$AB:$AB,Справочно!$E24,РПЗ!$AE:$AE,10)</f>
        <v>0</v>
      </c>
      <c r="AF47" s="374">
        <f>SUMIFS(РПЗ!$L:$L,РПЗ!$AB:$AB,Справочно!$E24,РПЗ!$AE:$AE,10)</f>
        <v>0</v>
      </c>
      <c r="AG47" s="177">
        <f>COUNTIFS(РПЗ!$AB:$AB,Справочно!$E24,РПЗ!$AE:$AE,11)</f>
        <v>0</v>
      </c>
      <c r="AH47" s="374">
        <f>SUMIFS(РПЗ!$L:$L,РПЗ!$AB:$AB,Справочно!$E24,РПЗ!$AE:$AE,11)</f>
        <v>0</v>
      </c>
      <c r="AI47" s="177">
        <f>COUNTIFS(РПЗ!$AB:$AB,Справочно!$E24,РПЗ!$AE:$AE,12)</f>
        <v>0</v>
      </c>
      <c r="AJ47" s="374">
        <f>SUMIFS(РПЗ!$L:$L,РПЗ!$AB:$AB,Справочно!$E24,РПЗ!$AE:$AE,12)</f>
        <v>0</v>
      </c>
      <c r="AK47" s="198">
        <f t="shared" si="24"/>
        <v>0</v>
      </c>
      <c r="AL47" s="335">
        <f t="shared" si="25"/>
        <v>0</v>
      </c>
    </row>
    <row r="48" spans="1:38" ht="13.5" thickBot="1" x14ac:dyDescent="0.25">
      <c r="A48" s="90" t="str">
        <f>Справочно!E25</f>
        <v>ОАО "РТ-Медицина"</v>
      </c>
      <c r="B48" s="69">
        <f>COUNTIF(РПЗ!$AB:$AB,Справочно!$E25)</f>
        <v>0</v>
      </c>
      <c r="C48" s="354">
        <f t="shared" si="17"/>
        <v>0</v>
      </c>
      <c r="D48" s="355">
        <f>SUMIF(РПЗ!$AB:$AB,Справочно!$E25,РПЗ!$L:$L)</f>
        <v>0</v>
      </c>
      <c r="E48" s="354">
        <f t="shared" si="16"/>
        <v>0</v>
      </c>
      <c r="G48" s="146">
        <f>COUNTIFS(РПЗ!$AB:$AB,Справочно!$E25,РПЗ!$AE:$AE,1)</f>
        <v>0</v>
      </c>
      <c r="H48" s="336">
        <f>SUMIFS(РПЗ!$L:$L,РПЗ!$AB:$AB,Справочно!$E25,РПЗ!$AE:$AE,1)</f>
        <v>0</v>
      </c>
      <c r="I48" s="146">
        <f>COUNTIFS(РПЗ!$AB:$AB,Справочно!$E25,РПЗ!$AE:$AE,2)</f>
        <v>0</v>
      </c>
      <c r="J48" s="336">
        <f>SUMIFS(РПЗ!$L:$L,РПЗ!$AB:$AB,Справочно!$E25,РПЗ!$AE:$AE,2)</f>
        <v>0</v>
      </c>
      <c r="K48" s="146">
        <f>COUNTIFS(РПЗ!$AB:$AB,Справочно!$E25,РПЗ!$AE:$AE,3)</f>
        <v>0</v>
      </c>
      <c r="L48" s="336">
        <f>SUMIFS(РПЗ!$L:$L,РПЗ!$AB:$AB,Справочно!$E25,РПЗ!$AE:$AE,3)</f>
        <v>0</v>
      </c>
      <c r="M48" s="189">
        <f t="shared" si="18"/>
        <v>0</v>
      </c>
      <c r="N48" s="329">
        <f t="shared" si="19"/>
        <v>0</v>
      </c>
      <c r="O48" s="191">
        <f>COUNTIFS(РПЗ!$AB:$AB,Справочно!$E25,РПЗ!$AE:$AE,4)</f>
        <v>0</v>
      </c>
      <c r="P48" s="370">
        <f>SUMIFS(РПЗ!$L:$L,РПЗ!$AB:$AB,Справочно!$E25,РПЗ!$AE:$AE,4)</f>
        <v>0</v>
      </c>
      <c r="Q48" s="183">
        <f>COUNTIFS(РПЗ!$AB:$AB,Справочно!$E25,РПЗ!$AE:$AE,5)</f>
        <v>0</v>
      </c>
      <c r="R48" s="370">
        <f>SUMIFS(РПЗ!$L:$L,РПЗ!$AB:$AB,Справочно!$E25,РПЗ!$AE:$AE,5)</f>
        <v>0</v>
      </c>
      <c r="S48" s="183">
        <f>COUNTIFS(РПЗ!$AB:$AB,Справочно!$E25,РПЗ!$AE:$AE,6)</f>
        <v>0</v>
      </c>
      <c r="T48" s="370">
        <f>SUMIFS(РПЗ!$L:$L,РПЗ!$AB:$AB,Справочно!$E25,РПЗ!$AE:$AE,6)</f>
        <v>0</v>
      </c>
      <c r="U48" s="193">
        <f t="shared" si="20"/>
        <v>0</v>
      </c>
      <c r="V48" s="331">
        <f t="shared" si="21"/>
        <v>0</v>
      </c>
      <c r="W48" s="196">
        <f>COUNTIFS(РПЗ!$AB:$AB,Справочно!$E25,РПЗ!$AE:$AE,7)</f>
        <v>0</v>
      </c>
      <c r="X48" s="372">
        <f>SUMIFS(РПЗ!$L:$L,РПЗ!$AB:$AB,Справочно!$E25,РПЗ!$AE:$AE,7)</f>
        <v>0</v>
      </c>
      <c r="Y48" s="196">
        <f>COUNTIFS(РПЗ!$AB:$AB,Справочно!$E25,РПЗ!$AE:$AE,8)</f>
        <v>0</v>
      </c>
      <c r="Z48" s="372">
        <f>SUMIFS(РПЗ!$L:$L,РПЗ!$AB:$AB,Справочно!$E25,РПЗ!$AE:$AE,8)</f>
        <v>0</v>
      </c>
      <c r="AA48" s="196">
        <f>COUNTIFS(РПЗ!$AB:$AB,Справочно!$E25,РПЗ!$AE:$AE,9)</f>
        <v>0</v>
      </c>
      <c r="AB48" s="372">
        <f>SUMIFS(РПЗ!$L:$L,РПЗ!$AB:$AB,Справочно!$E25,РПЗ!$AE:$AE,9)</f>
        <v>0</v>
      </c>
      <c r="AC48" s="194">
        <f t="shared" si="22"/>
        <v>0</v>
      </c>
      <c r="AD48" s="333">
        <f t="shared" si="23"/>
        <v>0</v>
      </c>
      <c r="AE48" s="201">
        <f>COUNTIFS(РПЗ!$AB:$AB,Справочно!$E25,РПЗ!$AE:$AE,10)</f>
        <v>0</v>
      </c>
      <c r="AF48" s="374">
        <f>SUMIFS(РПЗ!$L:$L,РПЗ!$AB:$AB,Справочно!$E25,РПЗ!$AE:$AE,10)</f>
        <v>0</v>
      </c>
      <c r="AG48" s="177">
        <f>COUNTIFS(РПЗ!$AB:$AB,Справочно!$E25,РПЗ!$AE:$AE,11)</f>
        <v>0</v>
      </c>
      <c r="AH48" s="374">
        <f>SUMIFS(РПЗ!$L:$L,РПЗ!$AB:$AB,Справочно!$E25,РПЗ!$AE:$AE,11)</f>
        <v>0</v>
      </c>
      <c r="AI48" s="177">
        <f>COUNTIFS(РПЗ!$AB:$AB,Справочно!$E25,РПЗ!$AE:$AE,12)</f>
        <v>0</v>
      </c>
      <c r="AJ48" s="374">
        <f>SUMIFS(РПЗ!$L:$L,РПЗ!$AB:$AB,Справочно!$E25,РПЗ!$AE:$AE,12)</f>
        <v>0</v>
      </c>
      <c r="AK48" s="198">
        <f t="shared" si="24"/>
        <v>0</v>
      </c>
      <c r="AL48" s="335">
        <f t="shared" si="25"/>
        <v>0</v>
      </c>
    </row>
    <row r="49" spans="1:38" ht="13.5" thickBot="1" x14ac:dyDescent="0.25">
      <c r="A49" s="90" t="str">
        <f>Справочно!E26</f>
        <v>АО "Концерн "Автоматика"</v>
      </c>
      <c r="B49" s="69">
        <f>COUNTIF(РПЗ!$AB:$AB,Справочно!$E26)</f>
        <v>0</v>
      </c>
      <c r="C49" s="354">
        <f t="shared" si="17"/>
        <v>0</v>
      </c>
      <c r="D49" s="355">
        <f>SUMIF(РПЗ!$AB:$AB,Справочно!$E26,РПЗ!$L:$L)</f>
        <v>0</v>
      </c>
      <c r="E49" s="354">
        <f t="shared" si="16"/>
        <v>0</v>
      </c>
      <c r="G49" s="146">
        <f>COUNTIFS(РПЗ!$AB:$AB,Справочно!$E26,РПЗ!$AE:$AE,1)</f>
        <v>0</v>
      </c>
      <c r="H49" s="336">
        <f>SUMIFS(РПЗ!$L:$L,РПЗ!$AB:$AB,Справочно!$E26,РПЗ!$AE:$AE,1)</f>
        <v>0</v>
      </c>
      <c r="I49" s="146">
        <f>COUNTIFS(РПЗ!$AB:$AB,Справочно!$E26,РПЗ!$AE:$AE,2)</f>
        <v>0</v>
      </c>
      <c r="J49" s="336">
        <f>SUMIFS(РПЗ!$L:$L,РПЗ!$AB:$AB,Справочно!$E26,РПЗ!$AE:$AE,2)</f>
        <v>0</v>
      </c>
      <c r="K49" s="146">
        <f>COUNTIFS(РПЗ!$AB:$AB,Справочно!$E26,РПЗ!$AE:$AE,3)</f>
        <v>0</v>
      </c>
      <c r="L49" s="336">
        <f>SUMIFS(РПЗ!$L:$L,РПЗ!$AB:$AB,Справочно!$E26,РПЗ!$AE:$AE,3)</f>
        <v>0</v>
      </c>
      <c r="M49" s="189">
        <f t="shared" si="18"/>
        <v>0</v>
      </c>
      <c r="N49" s="329">
        <f t="shared" si="19"/>
        <v>0</v>
      </c>
      <c r="O49" s="191">
        <f>COUNTIFS(РПЗ!$AB:$AB,Справочно!$E26,РПЗ!$AE:$AE,4)</f>
        <v>0</v>
      </c>
      <c r="P49" s="370">
        <f>SUMIFS(РПЗ!$L:$L,РПЗ!$AB:$AB,Справочно!$E26,РПЗ!$AE:$AE,4)</f>
        <v>0</v>
      </c>
      <c r="Q49" s="183">
        <f>COUNTIFS(РПЗ!$AB:$AB,Справочно!$E26,РПЗ!$AE:$AE,5)</f>
        <v>0</v>
      </c>
      <c r="R49" s="370">
        <f>SUMIFS(РПЗ!$L:$L,РПЗ!$AB:$AB,Справочно!$E26,РПЗ!$AE:$AE,5)</f>
        <v>0</v>
      </c>
      <c r="S49" s="183">
        <f>COUNTIFS(РПЗ!$AB:$AB,Справочно!$E26,РПЗ!$AE:$AE,6)</f>
        <v>0</v>
      </c>
      <c r="T49" s="370">
        <f>SUMIFS(РПЗ!$L:$L,РПЗ!$AB:$AB,Справочно!$E26,РПЗ!$AE:$AE,6)</f>
        <v>0</v>
      </c>
      <c r="U49" s="193">
        <f t="shared" si="20"/>
        <v>0</v>
      </c>
      <c r="V49" s="331">
        <f t="shared" si="21"/>
        <v>0</v>
      </c>
      <c r="W49" s="196">
        <f>COUNTIFS(РПЗ!$AB:$AB,Справочно!$E26,РПЗ!$AE:$AE,7)</f>
        <v>0</v>
      </c>
      <c r="X49" s="372">
        <f>SUMIFS(РПЗ!$L:$L,РПЗ!$AB:$AB,Справочно!$E26,РПЗ!$AE:$AE,7)</f>
        <v>0</v>
      </c>
      <c r="Y49" s="196">
        <f>COUNTIFS(РПЗ!$AB:$AB,Справочно!$E26,РПЗ!$AE:$AE,8)</f>
        <v>0</v>
      </c>
      <c r="Z49" s="372">
        <f>SUMIFS(РПЗ!$L:$L,РПЗ!$AB:$AB,Справочно!$E26,РПЗ!$AE:$AE,8)</f>
        <v>0</v>
      </c>
      <c r="AA49" s="196">
        <f>COUNTIFS(РПЗ!$AB:$AB,Справочно!$E26,РПЗ!$AE:$AE,9)</f>
        <v>0</v>
      </c>
      <c r="AB49" s="372">
        <f>SUMIFS(РПЗ!$L:$L,РПЗ!$AB:$AB,Справочно!$E26,РПЗ!$AE:$AE,9)</f>
        <v>0</v>
      </c>
      <c r="AC49" s="194">
        <f t="shared" si="22"/>
        <v>0</v>
      </c>
      <c r="AD49" s="333">
        <f t="shared" si="23"/>
        <v>0</v>
      </c>
      <c r="AE49" s="201">
        <f>COUNTIFS(РПЗ!$AB:$AB,Справочно!$E26,РПЗ!$AE:$AE,10)</f>
        <v>0</v>
      </c>
      <c r="AF49" s="374">
        <f>SUMIFS(РПЗ!$L:$L,РПЗ!$AB:$AB,Справочно!$E26,РПЗ!$AE:$AE,10)</f>
        <v>0</v>
      </c>
      <c r="AG49" s="177">
        <f>COUNTIFS(РПЗ!$AB:$AB,Справочно!$E26,РПЗ!$AE:$AE,11)</f>
        <v>0</v>
      </c>
      <c r="AH49" s="374">
        <f>SUMIFS(РПЗ!$L:$L,РПЗ!$AB:$AB,Справочно!$E26,РПЗ!$AE:$AE,11)</f>
        <v>0</v>
      </c>
      <c r="AI49" s="177">
        <f>COUNTIFS(РПЗ!$AB:$AB,Справочно!$E26,РПЗ!$AE:$AE,12)</f>
        <v>0</v>
      </c>
      <c r="AJ49" s="374">
        <f>SUMIFS(РПЗ!$L:$L,РПЗ!$AB:$AB,Справочно!$E26,РПЗ!$AE:$AE,12)</f>
        <v>0</v>
      </c>
      <c r="AK49" s="198">
        <f t="shared" si="24"/>
        <v>0</v>
      </c>
      <c r="AL49" s="335">
        <f t="shared" si="25"/>
        <v>0</v>
      </c>
    </row>
    <row r="50" spans="1:38" ht="13.5" thickBot="1" x14ac:dyDescent="0.25">
      <c r="A50" s="90" t="str">
        <f>Справочно!E27</f>
        <v>АО "Станкопром"</v>
      </c>
      <c r="B50" s="69">
        <f>COUNTIF(РПЗ!$AB:$AB,Справочно!$E27)</f>
        <v>0</v>
      </c>
      <c r="C50" s="354">
        <f t="shared" si="17"/>
        <v>0</v>
      </c>
      <c r="D50" s="355">
        <f>SUMIF(РПЗ!$AB:$AB,Справочно!$E27,РПЗ!$L:$L)</f>
        <v>0</v>
      </c>
      <c r="E50" s="354">
        <f t="shared" si="16"/>
        <v>0</v>
      </c>
      <c r="G50" s="146">
        <f>COUNTIFS(РПЗ!$AB:$AB,Справочно!$E27,РПЗ!$AE:$AE,1)</f>
        <v>0</v>
      </c>
      <c r="H50" s="336">
        <f>SUMIFS(РПЗ!$L:$L,РПЗ!$AB:$AB,Справочно!$E27,РПЗ!$AE:$AE,1)</f>
        <v>0</v>
      </c>
      <c r="I50" s="146">
        <f>COUNTIFS(РПЗ!$AB:$AB,Справочно!$E27,РПЗ!$AE:$AE,2)</f>
        <v>0</v>
      </c>
      <c r="J50" s="336">
        <f>SUMIFS(РПЗ!$L:$L,РПЗ!$AB:$AB,Справочно!$E27,РПЗ!$AE:$AE,2)</f>
        <v>0</v>
      </c>
      <c r="K50" s="146">
        <f>COUNTIFS(РПЗ!$AB:$AB,Справочно!$E27,РПЗ!$AE:$AE,3)</f>
        <v>0</v>
      </c>
      <c r="L50" s="336">
        <f>SUMIFS(РПЗ!$L:$L,РПЗ!$AB:$AB,Справочно!$E27,РПЗ!$AE:$AE,3)</f>
        <v>0</v>
      </c>
      <c r="M50" s="189">
        <f t="shared" si="18"/>
        <v>0</v>
      </c>
      <c r="N50" s="329">
        <f t="shared" si="19"/>
        <v>0</v>
      </c>
      <c r="O50" s="191">
        <f>COUNTIFS(РПЗ!$AB:$AB,Справочно!$E27,РПЗ!$AE:$AE,4)</f>
        <v>0</v>
      </c>
      <c r="P50" s="370">
        <f>SUMIFS(РПЗ!$L:$L,РПЗ!$AB:$AB,Справочно!$E27,РПЗ!$AE:$AE,4)</f>
        <v>0</v>
      </c>
      <c r="Q50" s="183">
        <f>COUNTIFS(РПЗ!$AB:$AB,Справочно!$E27,РПЗ!$AE:$AE,5)</f>
        <v>0</v>
      </c>
      <c r="R50" s="370">
        <f>SUMIFS(РПЗ!$L:$L,РПЗ!$AB:$AB,Справочно!$E27,РПЗ!$AE:$AE,5)</f>
        <v>0</v>
      </c>
      <c r="S50" s="183">
        <f>COUNTIFS(РПЗ!$AB:$AB,Справочно!$E27,РПЗ!$AE:$AE,6)</f>
        <v>0</v>
      </c>
      <c r="T50" s="370">
        <f>SUMIFS(РПЗ!$L:$L,РПЗ!$AB:$AB,Справочно!$E27,РПЗ!$AE:$AE,6)</f>
        <v>0</v>
      </c>
      <c r="U50" s="193">
        <f t="shared" si="20"/>
        <v>0</v>
      </c>
      <c r="V50" s="331">
        <f t="shared" si="21"/>
        <v>0</v>
      </c>
      <c r="W50" s="196">
        <f>COUNTIFS(РПЗ!$AB:$AB,Справочно!$E27,РПЗ!$AE:$AE,7)</f>
        <v>0</v>
      </c>
      <c r="X50" s="372">
        <f>SUMIFS(РПЗ!$L:$L,РПЗ!$AB:$AB,Справочно!$E27,РПЗ!$AE:$AE,7)</f>
        <v>0</v>
      </c>
      <c r="Y50" s="196">
        <f>COUNTIFS(РПЗ!$AB:$AB,Справочно!$E27,РПЗ!$AE:$AE,8)</f>
        <v>0</v>
      </c>
      <c r="Z50" s="372">
        <f>SUMIFS(РПЗ!$L:$L,РПЗ!$AB:$AB,Справочно!$E27,РПЗ!$AE:$AE,8)</f>
        <v>0</v>
      </c>
      <c r="AA50" s="196">
        <f>COUNTIFS(РПЗ!$AB:$AB,Справочно!$E27,РПЗ!$AE:$AE,9)</f>
        <v>0</v>
      </c>
      <c r="AB50" s="372">
        <f>SUMIFS(РПЗ!$L:$L,РПЗ!$AB:$AB,Справочно!$E27,РПЗ!$AE:$AE,9)</f>
        <v>0</v>
      </c>
      <c r="AC50" s="194">
        <f t="shared" si="22"/>
        <v>0</v>
      </c>
      <c r="AD50" s="333">
        <f t="shared" si="23"/>
        <v>0</v>
      </c>
      <c r="AE50" s="201">
        <f>COUNTIFS(РПЗ!$AB:$AB,Справочно!$E27,РПЗ!$AE:$AE,10)</f>
        <v>0</v>
      </c>
      <c r="AF50" s="374">
        <f>SUMIFS(РПЗ!$L:$L,РПЗ!$AB:$AB,Справочно!$E27,РПЗ!$AE:$AE,10)</f>
        <v>0</v>
      </c>
      <c r="AG50" s="177">
        <f>COUNTIFS(РПЗ!$AB:$AB,Справочно!$E27,РПЗ!$AE:$AE,11)</f>
        <v>0</v>
      </c>
      <c r="AH50" s="374">
        <f>SUMIFS(РПЗ!$L:$L,РПЗ!$AB:$AB,Справочно!$E27,РПЗ!$AE:$AE,11)</f>
        <v>0</v>
      </c>
      <c r="AI50" s="177">
        <f>COUNTIFS(РПЗ!$AB:$AB,Справочно!$E27,РПЗ!$AE:$AE,12)</f>
        <v>0</v>
      </c>
      <c r="AJ50" s="374">
        <f>SUMIFS(РПЗ!$L:$L,РПЗ!$AB:$AB,Справочно!$E27,РПЗ!$AE:$AE,12)</f>
        <v>0</v>
      </c>
      <c r="AK50" s="198">
        <f t="shared" si="24"/>
        <v>0</v>
      </c>
      <c r="AL50" s="335">
        <f t="shared" si="25"/>
        <v>0</v>
      </c>
    </row>
    <row r="51" spans="1:38" ht="13.5" thickBot="1" x14ac:dyDescent="0.25">
      <c r="A51" s="90" t="str">
        <f>Справочно!E28</f>
        <v>АО "СИБЕР"</v>
      </c>
      <c r="B51" s="69">
        <f>COUNTIF(РПЗ!$AB:$AB,Справочно!$E28)</f>
        <v>0</v>
      </c>
      <c r="C51" s="354">
        <f t="shared" si="17"/>
        <v>0</v>
      </c>
      <c r="D51" s="355">
        <f>SUMIF(РПЗ!$AB:$AB,Справочно!$E28,РПЗ!$L:$L)</f>
        <v>0</v>
      </c>
      <c r="E51" s="354">
        <f t="shared" si="16"/>
        <v>0</v>
      </c>
      <c r="G51" s="146">
        <f>COUNTIFS(РПЗ!$AB:$AB,Справочно!$E28,РПЗ!$AE:$AE,1)</f>
        <v>0</v>
      </c>
      <c r="H51" s="336">
        <f>SUMIFS(РПЗ!$L:$L,РПЗ!$AB:$AB,Справочно!$E28,РПЗ!$AE:$AE,1)</f>
        <v>0</v>
      </c>
      <c r="I51" s="146">
        <f>COUNTIFS(РПЗ!$AB:$AB,Справочно!$E28,РПЗ!$AE:$AE,2)</f>
        <v>0</v>
      </c>
      <c r="J51" s="336">
        <f>SUMIFS(РПЗ!$L:$L,РПЗ!$AB:$AB,Справочно!$E28,РПЗ!$AE:$AE,2)</f>
        <v>0</v>
      </c>
      <c r="K51" s="146">
        <f>COUNTIFS(РПЗ!$AB:$AB,Справочно!$E28,РПЗ!$AE:$AE,3)</f>
        <v>0</v>
      </c>
      <c r="L51" s="336">
        <f>SUMIFS(РПЗ!$L:$L,РПЗ!$AB:$AB,Справочно!$E28,РПЗ!$AE:$AE,3)</f>
        <v>0</v>
      </c>
      <c r="M51" s="189">
        <f t="shared" si="18"/>
        <v>0</v>
      </c>
      <c r="N51" s="329">
        <f t="shared" si="19"/>
        <v>0</v>
      </c>
      <c r="O51" s="191">
        <f>COUNTIFS(РПЗ!$AB:$AB,Справочно!$E28,РПЗ!$AE:$AE,4)</f>
        <v>0</v>
      </c>
      <c r="P51" s="370">
        <f>SUMIFS(РПЗ!$L:$L,РПЗ!$AB:$AB,Справочно!$E28,РПЗ!$AE:$AE,4)</f>
        <v>0</v>
      </c>
      <c r="Q51" s="183">
        <f>COUNTIFS(РПЗ!$AB:$AB,Справочно!$E28,РПЗ!$AE:$AE,5)</f>
        <v>0</v>
      </c>
      <c r="R51" s="370">
        <f>SUMIFS(РПЗ!$L:$L,РПЗ!$AB:$AB,Справочно!$E28,РПЗ!$AE:$AE,5)</f>
        <v>0</v>
      </c>
      <c r="S51" s="183">
        <f>COUNTIFS(РПЗ!$AB:$AB,Справочно!$E28,РПЗ!$AE:$AE,6)</f>
        <v>0</v>
      </c>
      <c r="T51" s="370">
        <f>SUMIFS(РПЗ!$L:$L,РПЗ!$AB:$AB,Справочно!$E28,РПЗ!$AE:$AE,6)</f>
        <v>0</v>
      </c>
      <c r="U51" s="193">
        <f t="shared" si="20"/>
        <v>0</v>
      </c>
      <c r="V51" s="331">
        <f t="shared" si="21"/>
        <v>0</v>
      </c>
      <c r="W51" s="196">
        <f>COUNTIFS(РПЗ!$AB:$AB,Справочно!$E28,РПЗ!$AE:$AE,7)</f>
        <v>0</v>
      </c>
      <c r="X51" s="372">
        <f>SUMIFS(РПЗ!$L:$L,РПЗ!$AB:$AB,Справочно!$E28,РПЗ!$AE:$AE,7)</f>
        <v>0</v>
      </c>
      <c r="Y51" s="196">
        <f>COUNTIFS(РПЗ!$AB:$AB,Справочно!$E28,РПЗ!$AE:$AE,8)</f>
        <v>0</v>
      </c>
      <c r="Z51" s="372">
        <f>SUMIFS(РПЗ!$L:$L,РПЗ!$AB:$AB,Справочно!$E28,РПЗ!$AE:$AE,8)</f>
        <v>0</v>
      </c>
      <c r="AA51" s="196">
        <f>COUNTIFS(РПЗ!$AB:$AB,Справочно!$E28,РПЗ!$AE:$AE,9)</f>
        <v>0</v>
      </c>
      <c r="AB51" s="372">
        <f>SUMIFS(РПЗ!$L:$L,РПЗ!$AB:$AB,Справочно!$E28,РПЗ!$AE:$AE,9)</f>
        <v>0</v>
      </c>
      <c r="AC51" s="194">
        <f t="shared" si="22"/>
        <v>0</v>
      </c>
      <c r="AD51" s="333">
        <f t="shared" si="23"/>
        <v>0</v>
      </c>
      <c r="AE51" s="201">
        <f>COUNTIFS(РПЗ!$AB:$AB,Справочно!$E28,РПЗ!$AE:$AE,10)</f>
        <v>0</v>
      </c>
      <c r="AF51" s="374">
        <f>SUMIFS(РПЗ!$L:$L,РПЗ!$AB:$AB,Справочно!$E28,РПЗ!$AE:$AE,10)</f>
        <v>0</v>
      </c>
      <c r="AG51" s="177">
        <f>COUNTIFS(РПЗ!$AB:$AB,Справочно!$E28,РПЗ!$AE:$AE,11)</f>
        <v>0</v>
      </c>
      <c r="AH51" s="374">
        <f>SUMIFS(РПЗ!$L:$L,РПЗ!$AB:$AB,Справочно!$E28,РПЗ!$AE:$AE,11)</f>
        <v>0</v>
      </c>
      <c r="AI51" s="177">
        <f>COUNTIFS(РПЗ!$AB:$AB,Справочно!$E28,РПЗ!$AE:$AE,12)</f>
        <v>0</v>
      </c>
      <c r="AJ51" s="374">
        <f>SUMIFS(РПЗ!$L:$L,РПЗ!$AB:$AB,Справочно!$E28,РПЗ!$AE:$AE,12)</f>
        <v>0</v>
      </c>
      <c r="AK51" s="198">
        <f t="shared" si="24"/>
        <v>0</v>
      </c>
      <c r="AL51" s="335">
        <f t="shared" si="25"/>
        <v>0</v>
      </c>
    </row>
    <row r="52" spans="1:38" ht="26.25" thickBot="1" x14ac:dyDescent="0.25">
      <c r="A52" s="90" t="str">
        <f>Справочно!E29</f>
        <v>АО "Объединенная двигателестроительная корпорация"</v>
      </c>
      <c r="B52" s="69">
        <f>COUNTIF(РПЗ!$AB:$AB,Справочно!$E29)</f>
        <v>0</v>
      </c>
      <c r="C52" s="345">
        <f t="shared" si="17"/>
        <v>0</v>
      </c>
      <c r="D52" s="355">
        <f>SUMIF(РПЗ!$AB:$AB,Справочно!$E29,РПЗ!$L:$L)</f>
        <v>0</v>
      </c>
      <c r="E52" s="345">
        <f t="shared" si="16"/>
        <v>0</v>
      </c>
      <c r="F52" s="45"/>
      <c r="G52" s="146">
        <f>COUNTIFS(РПЗ!$AB:$AB,Справочно!$E29,РПЗ!$AE:$AE,1)</f>
        <v>0</v>
      </c>
      <c r="H52" s="336">
        <f>SUMIFS(РПЗ!$L:$L,РПЗ!$AB:$AB,Справочно!$E29,РПЗ!$AE:$AE,1)</f>
        <v>0</v>
      </c>
      <c r="I52" s="146">
        <f>COUNTIFS(РПЗ!$AB:$AB,Справочно!$E29,РПЗ!$AE:$AE,2)</f>
        <v>0</v>
      </c>
      <c r="J52" s="336">
        <f>SUMIFS(РПЗ!$L:$L,РПЗ!$AB:$AB,Справочно!$E29,РПЗ!$AE:$AE,2)</f>
        <v>0</v>
      </c>
      <c r="K52" s="146">
        <f>COUNTIFS(РПЗ!$AB:$AB,Справочно!$E29,РПЗ!$AE:$AE,3)</f>
        <v>0</v>
      </c>
      <c r="L52" s="336">
        <f>SUMIFS(РПЗ!$L:$L,РПЗ!$AB:$AB,Справочно!$E29,РПЗ!$AE:$AE,3)</f>
        <v>0</v>
      </c>
      <c r="M52" s="189">
        <f t="shared" si="18"/>
        <v>0</v>
      </c>
      <c r="N52" s="329">
        <f t="shared" si="19"/>
        <v>0</v>
      </c>
      <c r="O52" s="191">
        <f>COUNTIFS(РПЗ!$AB:$AB,Справочно!$E29,РПЗ!$AE:$AE,4)</f>
        <v>0</v>
      </c>
      <c r="P52" s="370">
        <f>SUMIFS(РПЗ!$L:$L,РПЗ!$AB:$AB,Справочно!$E29,РПЗ!$AE:$AE,4)</f>
        <v>0</v>
      </c>
      <c r="Q52" s="183">
        <f>COUNTIFS(РПЗ!$AB:$AB,Справочно!$E29,РПЗ!$AE:$AE,5)</f>
        <v>0</v>
      </c>
      <c r="R52" s="370">
        <f>SUMIFS(РПЗ!$L:$L,РПЗ!$AB:$AB,Справочно!$E29,РПЗ!$AE:$AE,5)</f>
        <v>0</v>
      </c>
      <c r="S52" s="183">
        <f>COUNTIFS(РПЗ!$AB:$AB,Справочно!$E29,РПЗ!$AE:$AE,6)</f>
        <v>0</v>
      </c>
      <c r="T52" s="370">
        <f>SUMIFS(РПЗ!$L:$L,РПЗ!$AB:$AB,Справочно!$E29,РПЗ!$AE:$AE,6)</f>
        <v>0</v>
      </c>
      <c r="U52" s="193">
        <f t="shared" si="20"/>
        <v>0</v>
      </c>
      <c r="V52" s="331">
        <f t="shared" si="21"/>
        <v>0</v>
      </c>
      <c r="W52" s="196">
        <f>COUNTIFS(РПЗ!$AB:$AB,Справочно!$E29,РПЗ!$AE:$AE,7)</f>
        <v>0</v>
      </c>
      <c r="X52" s="372">
        <f>SUMIFS(РПЗ!$L:$L,РПЗ!$AB:$AB,Справочно!$E29,РПЗ!$AE:$AE,7)</f>
        <v>0</v>
      </c>
      <c r="Y52" s="196">
        <f>COUNTIFS(РПЗ!$AB:$AB,Справочно!$E29,РПЗ!$AE:$AE,8)</f>
        <v>0</v>
      </c>
      <c r="Z52" s="372">
        <f>SUMIFS(РПЗ!$L:$L,РПЗ!$AB:$AB,Справочно!$E29,РПЗ!$AE:$AE,8)</f>
        <v>0</v>
      </c>
      <c r="AA52" s="196">
        <f>COUNTIFS(РПЗ!$AB:$AB,Справочно!$E29,РПЗ!$AE:$AE,9)</f>
        <v>0</v>
      </c>
      <c r="AB52" s="372">
        <f>SUMIFS(РПЗ!$L:$L,РПЗ!$AB:$AB,Справочно!$E29,РПЗ!$AE:$AE,9)</f>
        <v>0</v>
      </c>
      <c r="AC52" s="194">
        <f t="shared" si="22"/>
        <v>0</v>
      </c>
      <c r="AD52" s="333">
        <f t="shared" si="23"/>
        <v>0</v>
      </c>
      <c r="AE52" s="201">
        <f>COUNTIFS(РПЗ!$AB:$AB,Справочно!$E29,РПЗ!$AE:$AE,10)</f>
        <v>0</v>
      </c>
      <c r="AF52" s="374">
        <f>SUMIFS(РПЗ!$L:$L,РПЗ!$AB:$AB,Справочно!$E29,РПЗ!$AE:$AE,10)</f>
        <v>0</v>
      </c>
      <c r="AG52" s="177">
        <f>COUNTIFS(РПЗ!$AB:$AB,Справочно!$E29,РПЗ!$AE:$AE,11)</f>
        <v>0</v>
      </c>
      <c r="AH52" s="374">
        <f>SUMIFS(РПЗ!$L:$L,РПЗ!$AB:$AB,Справочно!$E29,РПЗ!$AE:$AE,11)</f>
        <v>0</v>
      </c>
      <c r="AI52" s="177">
        <f>COUNTIFS(РПЗ!$AB:$AB,Справочно!$E29,РПЗ!$AE:$AE,12)</f>
        <v>0</v>
      </c>
      <c r="AJ52" s="374">
        <f>SUMIFS(РПЗ!$L:$L,РПЗ!$AB:$AB,Справочно!$E29,РПЗ!$AE:$AE,12)</f>
        <v>0</v>
      </c>
      <c r="AK52" s="198">
        <f t="shared" si="24"/>
        <v>0</v>
      </c>
      <c r="AL52" s="335">
        <f t="shared" si="25"/>
        <v>0</v>
      </c>
    </row>
    <row r="53" spans="1:38" ht="13.5" thickBot="1" x14ac:dyDescent="0.25">
      <c r="A53" s="90" t="str">
        <f>Справочно!E30</f>
        <v>ООО "РТ-Информ"</v>
      </c>
      <c r="B53" s="69">
        <f>COUNTIF(РПЗ!$AB:$AB,Справочно!$E30)</f>
        <v>0</v>
      </c>
      <c r="C53" s="354">
        <f t="shared" si="17"/>
        <v>0</v>
      </c>
      <c r="D53" s="355">
        <f>SUMIF(РПЗ!$AB:$AB,Справочно!$E30,РПЗ!$L:$L)</f>
        <v>0</v>
      </c>
      <c r="E53" s="354">
        <f t="shared" si="16"/>
        <v>0</v>
      </c>
      <c r="G53" s="146">
        <f>COUNTIFS(РПЗ!$AB:$AB,Справочно!$E30,РПЗ!$AE:$AE,1)</f>
        <v>0</v>
      </c>
      <c r="H53" s="336">
        <f>SUMIFS(РПЗ!$L:$L,РПЗ!$AB:$AB,Справочно!$E30,РПЗ!$AE:$AE,1)</f>
        <v>0</v>
      </c>
      <c r="I53" s="146">
        <f>COUNTIFS(РПЗ!$AB:$AB,Справочно!$E30,РПЗ!$AE:$AE,2)</f>
        <v>0</v>
      </c>
      <c r="J53" s="336">
        <f>SUMIFS(РПЗ!$L:$L,РПЗ!$AB:$AB,Справочно!$E30,РПЗ!$AE:$AE,2)</f>
        <v>0</v>
      </c>
      <c r="K53" s="146">
        <f>COUNTIFS(РПЗ!$AB:$AB,Справочно!$E30,РПЗ!$AE:$AE,3)</f>
        <v>0</v>
      </c>
      <c r="L53" s="336">
        <f>SUMIFS(РПЗ!$L:$L,РПЗ!$AB:$AB,Справочно!$E30,РПЗ!$AE:$AE,3)</f>
        <v>0</v>
      </c>
      <c r="M53" s="189">
        <f t="shared" si="18"/>
        <v>0</v>
      </c>
      <c r="N53" s="329">
        <f t="shared" si="19"/>
        <v>0</v>
      </c>
      <c r="O53" s="191">
        <f>COUNTIFS(РПЗ!$AB:$AB,Справочно!$E30,РПЗ!$AE:$AE,4)</f>
        <v>0</v>
      </c>
      <c r="P53" s="370">
        <f>SUMIFS(РПЗ!$L:$L,РПЗ!$AB:$AB,Справочно!$E30,РПЗ!$AE:$AE,4)</f>
        <v>0</v>
      </c>
      <c r="Q53" s="183">
        <f>COUNTIFS(РПЗ!$AB:$AB,Справочно!$E30,РПЗ!$AE:$AE,5)</f>
        <v>0</v>
      </c>
      <c r="R53" s="370">
        <f>SUMIFS(РПЗ!$L:$L,РПЗ!$AB:$AB,Справочно!$E30,РПЗ!$AE:$AE,5)</f>
        <v>0</v>
      </c>
      <c r="S53" s="183">
        <f>COUNTIFS(РПЗ!$AB:$AB,Справочно!$E30,РПЗ!$AE:$AE,6)</f>
        <v>0</v>
      </c>
      <c r="T53" s="370">
        <f>SUMIFS(РПЗ!$L:$L,РПЗ!$AB:$AB,Справочно!$E30,РПЗ!$AE:$AE,6)</f>
        <v>0</v>
      </c>
      <c r="U53" s="193">
        <f t="shared" si="20"/>
        <v>0</v>
      </c>
      <c r="V53" s="331">
        <f t="shared" si="21"/>
        <v>0</v>
      </c>
      <c r="W53" s="196">
        <f>COUNTIFS(РПЗ!$AB:$AB,Справочно!$E30,РПЗ!$AE:$AE,7)</f>
        <v>0</v>
      </c>
      <c r="X53" s="372">
        <f>SUMIFS(РПЗ!$L:$L,РПЗ!$AB:$AB,Справочно!$E30,РПЗ!$AE:$AE,7)</f>
        <v>0</v>
      </c>
      <c r="Y53" s="196">
        <f>COUNTIFS(РПЗ!$AB:$AB,Справочно!$E30,РПЗ!$AE:$AE,8)</f>
        <v>0</v>
      </c>
      <c r="Z53" s="372">
        <f>SUMIFS(РПЗ!$L:$L,РПЗ!$AB:$AB,Справочно!$E30,РПЗ!$AE:$AE,8)</f>
        <v>0</v>
      </c>
      <c r="AA53" s="196">
        <f>COUNTIFS(РПЗ!$AB:$AB,Справочно!$E30,РПЗ!$AE:$AE,9)</f>
        <v>0</v>
      </c>
      <c r="AB53" s="372">
        <f>SUMIFS(РПЗ!$L:$L,РПЗ!$AB:$AB,Справочно!$E30,РПЗ!$AE:$AE,9)</f>
        <v>0</v>
      </c>
      <c r="AC53" s="194">
        <f t="shared" si="22"/>
        <v>0</v>
      </c>
      <c r="AD53" s="333">
        <f t="shared" si="23"/>
        <v>0</v>
      </c>
      <c r="AE53" s="201">
        <f>COUNTIFS(РПЗ!$AB:$AB,Справочно!$E30,РПЗ!$AE:$AE,10)</f>
        <v>0</v>
      </c>
      <c r="AF53" s="374">
        <f>SUMIFS(РПЗ!$L:$L,РПЗ!$AB:$AB,Справочно!$E30,РПЗ!$AE:$AE,10)</f>
        <v>0</v>
      </c>
      <c r="AG53" s="177">
        <f>COUNTIFS(РПЗ!$AB:$AB,Справочно!$E30,РПЗ!$AE:$AE,11)</f>
        <v>0</v>
      </c>
      <c r="AH53" s="374">
        <f>SUMIFS(РПЗ!$L:$L,РПЗ!$AB:$AB,Справочно!$E30,РПЗ!$AE:$AE,11)</f>
        <v>0</v>
      </c>
      <c r="AI53" s="177">
        <f>COUNTIFS(РПЗ!$AB:$AB,Справочно!$E30,РПЗ!$AE:$AE,12)</f>
        <v>0</v>
      </c>
      <c r="AJ53" s="374">
        <f>SUMIFS(РПЗ!$L:$L,РПЗ!$AB:$AB,Справочно!$E30,РПЗ!$AE:$AE,12)</f>
        <v>0</v>
      </c>
      <c r="AK53" s="198">
        <f t="shared" si="24"/>
        <v>0</v>
      </c>
      <c r="AL53" s="335">
        <f t="shared" si="25"/>
        <v>0</v>
      </c>
    </row>
    <row r="54" spans="1:38" ht="13.5" thickBot="1" x14ac:dyDescent="0.25">
      <c r="A54" s="90" t="str">
        <f>Справочно!E31</f>
        <v>ООО "РТ-Комплектимпекс"</v>
      </c>
      <c r="B54" s="69">
        <f>COUNTIF(РПЗ!$AB:$AB,Справочно!$E31)</f>
        <v>0</v>
      </c>
      <c r="C54" s="354">
        <f t="shared" si="17"/>
        <v>0</v>
      </c>
      <c r="D54" s="355">
        <f>SUMIF(РПЗ!$AB:$AB,Справочно!$E31,РПЗ!$L:$L)</f>
        <v>0</v>
      </c>
      <c r="E54" s="354">
        <f t="shared" si="16"/>
        <v>0</v>
      </c>
      <c r="G54" s="146">
        <f>COUNTIFS(РПЗ!$AB:$AB,Справочно!$E31,РПЗ!$AE:$AE,1)</f>
        <v>0</v>
      </c>
      <c r="H54" s="336">
        <f>SUMIFS(РПЗ!$L:$L,РПЗ!$AB:$AB,Справочно!$E31,РПЗ!$AE:$AE,1)</f>
        <v>0</v>
      </c>
      <c r="I54" s="146">
        <f>COUNTIFS(РПЗ!$AB:$AB,Справочно!$E31,РПЗ!$AE:$AE,2)</f>
        <v>0</v>
      </c>
      <c r="J54" s="336">
        <f>SUMIFS(РПЗ!$L:$L,РПЗ!$AB:$AB,Справочно!$E31,РПЗ!$AE:$AE,2)</f>
        <v>0</v>
      </c>
      <c r="K54" s="146">
        <f>COUNTIFS(РПЗ!$AB:$AB,Справочно!$E31,РПЗ!$AE:$AE,3)</f>
        <v>0</v>
      </c>
      <c r="L54" s="336">
        <f>SUMIFS(РПЗ!$L:$L,РПЗ!$AB:$AB,Справочно!$E31,РПЗ!$AE:$AE,3)</f>
        <v>0</v>
      </c>
      <c r="M54" s="189">
        <f t="shared" si="18"/>
        <v>0</v>
      </c>
      <c r="N54" s="329">
        <f t="shared" si="19"/>
        <v>0</v>
      </c>
      <c r="O54" s="191">
        <f>COUNTIFS(РПЗ!$AB:$AB,Справочно!$E31,РПЗ!$AE:$AE,4)</f>
        <v>0</v>
      </c>
      <c r="P54" s="370">
        <f>SUMIFS(РПЗ!$L:$L,РПЗ!$AB:$AB,Справочно!$E31,РПЗ!$AE:$AE,4)</f>
        <v>0</v>
      </c>
      <c r="Q54" s="183">
        <f>COUNTIFS(РПЗ!$AB:$AB,Справочно!$E31,РПЗ!$AE:$AE,5)</f>
        <v>0</v>
      </c>
      <c r="R54" s="370">
        <f>SUMIFS(РПЗ!$L:$L,РПЗ!$AB:$AB,Справочно!$E31,РПЗ!$AE:$AE,5)</f>
        <v>0</v>
      </c>
      <c r="S54" s="183">
        <f>COUNTIFS(РПЗ!$AB:$AB,Справочно!$E31,РПЗ!$AE:$AE,6)</f>
        <v>0</v>
      </c>
      <c r="T54" s="370">
        <f>SUMIFS(РПЗ!$L:$L,РПЗ!$AB:$AB,Справочно!$E31,РПЗ!$AE:$AE,6)</f>
        <v>0</v>
      </c>
      <c r="U54" s="193">
        <f t="shared" si="20"/>
        <v>0</v>
      </c>
      <c r="V54" s="331">
        <f t="shared" si="21"/>
        <v>0</v>
      </c>
      <c r="W54" s="196">
        <f>COUNTIFS(РПЗ!$AB:$AB,Справочно!$E31,РПЗ!$AE:$AE,7)</f>
        <v>0</v>
      </c>
      <c r="X54" s="372">
        <f>SUMIFS(РПЗ!$L:$L,РПЗ!$AB:$AB,Справочно!$E31,РПЗ!$AE:$AE,7)</f>
        <v>0</v>
      </c>
      <c r="Y54" s="196">
        <f>COUNTIFS(РПЗ!$AB:$AB,Справочно!$E31,РПЗ!$AE:$AE,8)</f>
        <v>0</v>
      </c>
      <c r="Z54" s="372">
        <f>SUMIFS(РПЗ!$L:$L,РПЗ!$AB:$AB,Справочно!$E31,РПЗ!$AE:$AE,8)</f>
        <v>0</v>
      </c>
      <c r="AA54" s="196">
        <f>COUNTIFS(РПЗ!$AB:$AB,Справочно!$E31,РПЗ!$AE:$AE,9)</f>
        <v>0</v>
      </c>
      <c r="AB54" s="372">
        <f>SUMIFS(РПЗ!$L:$L,РПЗ!$AB:$AB,Справочно!$E31,РПЗ!$AE:$AE,9)</f>
        <v>0</v>
      </c>
      <c r="AC54" s="194">
        <f t="shared" si="22"/>
        <v>0</v>
      </c>
      <c r="AD54" s="333">
        <f t="shared" si="23"/>
        <v>0</v>
      </c>
      <c r="AE54" s="201">
        <f>COUNTIFS(РПЗ!$AB:$AB,Справочно!$E31,РПЗ!$AE:$AE,10)</f>
        <v>0</v>
      </c>
      <c r="AF54" s="374">
        <f>SUMIFS(РПЗ!$L:$L,РПЗ!$AB:$AB,Справочно!$E31,РПЗ!$AE:$AE,10)</f>
        <v>0</v>
      </c>
      <c r="AG54" s="177">
        <f>COUNTIFS(РПЗ!$AB:$AB,Справочно!$E31,РПЗ!$AE:$AE,11)</f>
        <v>0</v>
      </c>
      <c r="AH54" s="374">
        <f>SUMIFS(РПЗ!$L:$L,РПЗ!$AB:$AB,Справочно!$E31,РПЗ!$AE:$AE,11)</f>
        <v>0</v>
      </c>
      <c r="AI54" s="177">
        <f>COUNTIFS(РПЗ!$AB:$AB,Справочно!$E31,РПЗ!$AE:$AE,12)</f>
        <v>0</v>
      </c>
      <c r="AJ54" s="374">
        <f>SUMIFS(РПЗ!$L:$L,РПЗ!$AB:$AB,Справочно!$E31,РПЗ!$AE:$AE,12)</f>
        <v>0</v>
      </c>
      <c r="AK54" s="198">
        <f t="shared" si="24"/>
        <v>0</v>
      </c>
      <c r="AL54" s="335">
        <f t="shared" si="25"/>
        <v>0</v>
      </c>
    </row>
    <row r="55" spans="1:38" ht="13.5" thickBot="1" x14ac:dyDescent="0.25">
      <c r="A55" s="90" t="str">
        <f>Справочно!E32</f>
        <v>ООО "РТ-Экспо"</v>
      </c>
      <c r="B55" s="69">
        <f>COUNTIF(РПЗ!$AB:$AB,Справочно!$E32)</f>
        <v>0</v>
      </c>
      <c r="C55" s="354">
        <f t="shared" si="17"/>
        <v>0</v>
      </c>
      <c r="D55" s="355">
        <f>SUMIF(РПЗ!$AB:$AB,Справочно!$E32,РПЗ!$L:$L)</f>
        <v>0</v>
      </c>
      <c r="E55" s="354">
        <f t="shared" si="16"/>
        <v>0</v>
      </c>
      <c r="G55" s="146">
        <f>COUNTIFS(РПЗ!$AB:$AB,Справочно!$E32,РПЗ!$AE:$AE,1)</f>
        <v>0</v>
      </c>
      <c r="H55" s="336">
        <f>SUMIFS(РПЗ!$L:$L,РПЗ!$AB:$AB,Справочно!$E32,РПЗ!$AE:$AE,1)</f>
        <v>0</v>
      </c>
      <c r="I55" s="146">
        <f>COUNTIFS(РПЗ!$AB:$AB,Справочно!$E32,РПЗ!$AE:$AE,2)</f>
        <v>0</v>
      </c>
      <c r="J55" s="336">
        <f>SUMIFS(РПЗ!$L:$L,РПЗ!$AB:$AB,Справочно!$E32,РПЗ!$AE:$AE,2)</f>
        <v>0</v>
      </c>
      <c r="K55" s="146">
        <f>COUNTIFS(РПЗ!$AB:$AB,Справочно!$E32,РПЗ!$AE:$AE,3)</f>
        <v>0</v>
      </c>
      <c r="L55" s="336">
        <f>SUMIFS(РПЗ!$L:$L,РПЗ!$AB:$AB,Справочно!$E32,РПЗ!$AE:$AE,3)</f>
        <v>0</v>
      </c>
      <c r="M55" s="189">
        <f t="shared" si="18"/>
        <v>0</v>
      </c>
      <c r="N55" s="329">
        <f t="shared" si="19"/>
        <v>0</v>
      </c>
      <c r="O55" s="191">
        <f>COUNTIFS(РПЗ!$AB:$AB,Справочно!$E32,РПЗ!$AE:$AE,4)</f>
        <v>0</v>
      </c>
      <c r="P55" s="370">
        <f>SUMIFS(РПЗ!$L:$L,РПЗ!$AB:$AB,Справочно!$E32,РПЗ!$AE:$AE,4)</f>
        <v>0</v>
      </c>
      <c r="Q55" s="183">
        <f>COUNTIFS(РПЗ!$AB:$AB,Справочно!$E32,РПЗ!$AE:$AE,5)</f>
        <v>0</v>
      </c>
      <c r="R55" s="370">
        <f>SUMIFS(РПЗ!$L:$L,РПЗ!$AB:$AB,Справочно!$E32,РПЗ!$AE:$AE,5)</f>
        <v>0</v>
      </c>
      <c r="S55" s="183">
        <f>COUNTIFS(РПЗ!$AB:$AB,Справочно!$E32,РПЗ!$AE:$AE,6)</f>
        <v>0</v>
      </c>
      <c r="T55" s="370">
        <f>SUMIFS(РПЗ!$L:$L,РПЗ!$AB:$AB,Справочно!$E32,РПЗ!$AE:$AE,6)</f>
        <v>0</v>
      </c>
      <c r="U55" s="193">
        <f t="shared" si="20"/>
        <v>0</v>
      </c>
      <c r="V55" s="331">
        <f t="shared" si="21"/>
        <v>0</v>
      </c>
      <c r="W55" s="196">
        <f>COUNTIFS(РПЗ!$AB:$AB,Справочно!$E32,РПЗ!$AE:$AE,7)</f>
        <v>0</v>
      </c>
      <c r="X55" s="372">
        <f>SUMIFS(РПЗ!$L:$L,РПЗ!$AB:$AB,Справочно!$E32,РПЗ!$AE:$AE,7)</f>
        <v>0</v>
      </c>
      <c r="Y55" s="196">
        <f>COUNTIFS(РПЗ!$AB:$AB,Справочно!$E32,РПЗ!$AE:$AE,8)</f>
        <v>0</v>
      </c>
      <c r="Z55" s="372">
        <f>SUMIFS(РПЗ!$L:$L,РПЗ!$AB:$AB,Справочно!$E32,РПЗ!$AE:$AE,8)</f>
        <v>0</v>
      </c>
      <c r="AA55" s="196">
        <f>COUNTIFS(РПЗ!$AB:$AB,Справочно!$E32,РПЗ!$AE:$AE,9)</f>
        <v>0</v>
      </c>
      <c r="AB55" s="372">
        <f>SUMIFS(РПЗ!$L:$L,РПЗ!$AB:$AB,Справочно!$E32,РПЗ!$AE:$AE,9)</f>
        <v>0</v>
      </c>
      <c r="AC55" s="194">
        <f t="shared" si="22"/>
        <v>0</v>
      </c>
      <c r="AD55" s="333">
        <f t="shared" si="23"/>
        <v>0</v>
      </c>
      <c r="AE55" s="201">
        <f>COUNTIFS(РПЗ!$AB:$AB,Справочно!$E32,РПЗ!$AE:$AE,10)</f>
        <v>0</v>
      </c>
      <c r="AF55" s="374">
        <f>SUMIFS(РПЗ!$L:$L,РПЗ!$AB:$AB,Справочно!$E32,РПЗ!$AE:$AE,10)</f>
        <v>0</v>
      </c>
      <c r="AG55" s="177">
        <f>COUNTIFS(РПЗ!$AB:$AB,Справочно!$E32,РПЗ!$AE:$AE,11)</f>
        <v>0</v>
      </c>
      <c r="AH55" s="374">
        <f>SUMIFS(РПЗ!$L:$L,РПЗ!$AB:$AB,Справочно!$E32,РПЗ!$AE:$AE,11)</f>
        <v>0</v>
      </c>
      <c r="AI55" s="177">
        <f>COUNTIFS(РПЗ!$AB:$AB,Справочно!$E32,РПЗ!$AE:$AE,12)</f>
        <v>0</v>
      </c>
      <c r="AJ55" s="374">
        <f>SUMIFS(РПЗ!$L:$L,РПЗ!$AB:$AB,Справочно!$E32,РПЗ!$AE:$AE,12)</f>
        <v>0</v>
      </c>
      <c r="AK55" s="198">
        <f t="shared" si="24"/>
        <v>0</v>
      </c>
      <c r="AL55" s="335">
        <f t="shared" si="25"/>
        <v>0</v>
      </c>
    </row>
    <row r="56" spans="1:38" ht="13.5" thickBot="1" x14ac:dyDescent="0.25">
      <c r="A56" s="90" t="str">
        <f>Справочно!E33</f>
        <v>ООО "РТ-Страхование"</v>
      </c>
      <c r="B56" s="69">
        <f>COUNTIF(РПЗ!$AB:$AB,Справочно!$E33)</f>
        <v>3</v>
      </c>
      <c r="C56" s="354">
        <f t="shared" si="17"/>
        <v>1.9059720457433292E-3</v>
      </c>
      <c r="D56" s="355">
        <f>SUMIF(РПЗ!$AB:$AB,Справочно!$E33,РПЗ!$L:$L)</f>
        <v>972206</v>
      </c>
      <c r="E56" s="354">
        <f t="shared" si="16"/>
        <v>1.9876434132718387E-4</v>
      </c>
      <c r="G56" s="146">
        <f>COUNTIFS(РПЗ!$AB:$AB,Справочно!$E33,РПЗ!$AE:$AE,1)</f>
        <v>0</v>
      </c>
      <c r="H56" s="336">
        <f>SUMIFS(РПЗ!$L:$L,РПЗ!$AB:$AB,Справочно!$E33,РПЗ!$AE:$AE,1)</f>
        <v>0</v>
      </c>
      <c r="I56" s="146">
        <f>COUNTIFS(РПЗ!$AB:$AB,Справочно!$E33,РПЗ!$AE:$AE,2)</f>
        <v>0</v>
      </c>
      <c r="J56" s="336">
        <f>SUMIFS(РПЗ!$L:$L,РПЗ!$AB:$AB,Справочно!$E33,РПЗ!$AE:$AE,2)</f>
        <v>0</v>
      </c>
      <c r="K56" s="146">
        <f>COUNTIFS(РПЗ!$AB:$AB,Справочно!$E33,РПЗ!$AE:$AE,3)</f>
        <v>0</v>
      </c>
      <c r="L56" s="336">
        <f>SUMIFS(РПЗ!$L:$L,РПЗ!$AB:$AB,Справочно!$E33,РПЗ!$AE:$AE,3)</f>
        <v>0</v>
      </c>
      <c r="M56" s="189">
        <f t="shared" si="18"/>
        <v>0</v>
      </c>
      <c r="N56" s="329">
        <f t="shared" si="19"/>
        <v>0</v>
      </c>
      <c r="O56" s="191">
        <f>COUNTIFS(РПЗ!$AB:$AB,Справочно!$E33,РПЗ!$AE:$AE,4)</f>
        <v>0</v>
      </c>
      <c r="P56" s="370">
        <f>SUMIFS(РПЗ!$L:$L,РПЗ!$AB:$AB,Справочно!$E33,РПЗ!$AE:$AE,4)</f>
        <v>0</v>
      </c>
      <c r="Q56" s="183">
        <f>COUNTIFS(РПЗ!$AB:$AB,Справочно!$E33,РПЗ!$AE:$AE,5)</f>
        <v>0</v>
      </c>
      <c r="R56" s="370">
        <f>SUMIFS(РПЗ!$L:$L,РПЗ!$AB:$AB,Справочно!$E33,РПЗ!$AE:$AE,5)</f>
        <v>0</v>
      </c>
      <c r="S56" s="183">
        <f>COUNTIFS(РПЗ!$AB:$AB,Справочно!$E33,РПЗ!$AE:$AE,6)</f>
        <v>0</v>
      </c>
      <c r="T56" s="370">
        <f>SUMIFS(РПЗ!$L:$L,РПЗ!$AB:$AB,Справочно!$E33,РПЗ!$AE:$AE,6)</f>
        <v>0</v>
      </c>
      <c r="U56" s="193">
        <f t="shared" si="20"/>
        <v>0</v>
      </c>
      <c r="V56" s="331">
        <f t="shared" ref="V56:V68" si="26">SUM(P56,R56,T56)</f>
        <v>0</v>
      </c>
      <c r="W56" s="196">
        <f>COUNTIFS(РПЗ!$AB:$AB,Справочно!$E33,РПЗ!$AE:$AE,7)</f>
        <v>0</v>
      </c>
      <c r="X56" s="372">
        <f>SUMIFS(РПЗ!$L:$L,РПЗ!$AB:$AB,Справочно!$E33,РПЗ!$AE:$AE,7)</f>
        <v>0</v>
      </c>
      <c r="Y56" s="196">
        <f>COUNTIFS(РПЗ!$AB:$AB,Справочно!$E33,РПЗ!$AE:$AE,8)</f>
        <v>1</v>
      </c>
      <c r="Z56" s="372">
        <f>SUMIFS(РПЗ!$L:$L,РПЗ!$AB:$AB,Справочно!$E33,РПЗ!$AE:$AE,8)</f>
        <v>382853</v>
      </c>
      <c r="AA56" s="196">
        <f>COUNTIFS(РПЗ!$AB:$AB,Справочно!$E33,РПЗ!$AE:$AE,9)</f>
        <v>1</v>
      </c>
      <c r="AB56" s="372">
        <f>SUMIFS(РПЗ!$L:$L,РПЗ!$AB:$AB,Справочно!$E33,РПЗ!$AE:$AE,9)</f>
        <v>382853</v>
      </c>
      <c r="AC56" s="194">
        <f t="shared" si="22"/>
        <v>2</v>
      </c>
      <c r="AD56" s="333">
        <f t="shared" si="23"/>
        <v>765706</v>
      </c>
      <c r="AE56" s="201">
        <f>COUNTIFS(РПЗ!$AB:$AB,Справочно!$E33,РПЗ!$AE:$AE,10)</f>
        <v>1</v>
      </c>
      <c r="AF56" s="374">
        <f>SUMIFS(РПЗ!$L:$L,РПЗ!$AB:$AB,Справочно!$E33,РПЗ!$AE:$AE,10)</f>
        <v>206500</v>
      </c>
      <c r="AG56" s="177">
        <f>COUNTIFS(РПЗ!$AB:$AB,Справочно!$E33,РПЗ!$AE:$AE,11)</f>
        <v>0</v>
      </c>
      <c r="AH56" s="374">
        <f>SUMIFS(РПЗ!$L:$L,РПЗ!$AB:$AB,Справочно!$E33,РПЗ!$AE:$AE,11)</f>
        <v>0</v>
      </c>
      <c r="AI56" s="177">
        <f>COUNTIFS(РПЗ!$AB:$AB,Справочно!$E33,РПЗ!$AE:$AE,12)</f>
        <v>0</v>
      </c>
      <c r="AJ56" s="374">
        <f>SUMIFS(РПЗ!$L:$L,РПЗ!$AB:$AB,Справочно!$E33,РПЗ!$AE:$AE,12)</f>
        <v>0</v>
      </c>
      <c r="AK56" s="198">
        <f t="shared" si="24"/>
        <v>1</v>
      </c>
      <c r="AL56" s="335">
        <f t="shared" si="25"/>
        <v>206500</v>
      </c>
    </row>
    <row r="57" spans="1:38" ht="26.25" thickBot="1" x14ac:dyDescent="0.25">
      <c r="A57" s="90" t="str">
        <f>Справочно!E34</f>
        <v>АО "Концерн Радиоэлектронные технологии"</v>
      </c>
      <c r="B57" s="69">
        <f>COUNTIF(РПЗ!$AB:$AB,Справочно!$E34)</f>
        <v>0</v>
      </c>
      <c r="C57" s="354">
        <f t="shared" si="17"/>
        <v>0</v>
      </c>
      <c r="D57" s="355">
        <f>SUMIF(РПЗ!$AB:$AB,Справочно!$E34,РПЗ!$L:$L)</f>
        <v>0</v>
      </c>
      <c r="E57" s="354">
        <f t="shared" si="16"/>
        <v>0</v>
      </c>
      <c r="G57" s="146">
        <f>COUNTIFS(РПЗ!$AB:$AB,Справочно!$E34,РПЗ!$AE:$AE,1)</f>
        <v>0</v>
      </c>
      <c r="H57" s="336">
        <f>SUMIFS(РПЗ!$L:$L,РПЗ!$AB:$AB,Справочно!$E34,РПЗ!$AE:$AE,1)</f>
        <v>0</v>
      </c>
      <c r="I57" s="146">
        <f>COUNTIFS(РПЗ!$AB:$AB,Справочно!$E34,РПЗ!$AE:$AE,2)</f>
        <v>0</v>
      </c>
      <c r="J57" s="336">
        <f>SUMIFS(РПЗ!$L:$L,РПЗ!$AB:$AB,Справочно!$E34,РПЗ!$AE:$AE,2)</f>
        <v>0</v>
      </c>
      <c r="K57" s="146">
        <f>COUNTIFS(РПЗ!$AB:$AB,Справочно!$E34,РПЗ!$AE:$AE,3)</f>
        <v>0</v>
      </c>
      <c r="L57" s="336">
        <f>SUMIFS(РПЗ!$L:$L,РПЗ!$AB:$AB,Справочно!$E34,РПЗ!$AE:$AE,3)</f>
        <v>0</v>
      </c>
      <c r="M57" s="189">
        <f t="shared" si="18"/>
        <v>0</v>
      </c>
      <c r="N57" s="329">
        <f t="shared" si="19"/>
        <v>0</v>
      </c>
      <c r="O57" s="191">
        <f>COUNTIFS(РПЗ!$AB:$AB,Справочно!$E34,РПЗ!$AE:$AE,4)</f>
        <v>0</v>
      </c>
      <c r="P57" s="370">
        <f>SUMIFS(РПЗ!$L:$L,РПЗ!$AB:$AB,Справочно!$E34,РПЗ!$AE:$AE,4)</f>
        <v>0</v>
      </c>
      <c r="Q57" s="183">
        <f>COUNTIFS(РПЗ!$AB:$AB,Справочно!$E34,РПЗ!$AE:$AE,5)</f>
        <v>0</v>
      </c>
      <c r="R57" s="370">
        <f>SUMIFS(РПЗ!$L:$L,РПЗ!$AB:$AB,Справочно!$E34,РПЗ!$AE:$AE,5)</f>
        <v>0</v>
      </c>
      <c r="S57" s="183">
        <f>COUNTIFS(РПЗ!$AB:$AB,Справочно!$E34,РПЗ!$AE:$AE,6)</f>
        <v>0</v>
      </c>
      <c r="T57" s="370">
        <f>SUMIFS(РПЗ!$L:$L,РПЗ!$AB:$AB,Справочно!$E34,РПЗ!$AE:$AE,6)</f>
        <v>0</v>
      </c>
      <c r="U57" s="193">
        <f t="shared" si="20"/>
        <v>0</v>
      </c>
      <c r="V57" s="331">
        <f t="shared" si="26"/>
        <v>0</v>
      </c>
      <c r="W57" s="196">
        <f>COUNTIFS(РПЗ!$AB:$AB,Справочно!$E34,РПЗ!$AE:$AE,7)</f>
        <v>0</v>
      </c>
      <c r="X57" s="372">
        <f>SUMIFS(РПЗ!$L:$L,РПЗ!$AB:$AB,Справочно!$E34,РПЗ!$AE:$AE,7)</f>
        <v>0</v>
      </c>
      <c r="Y57" s="196">
        <f>COUNTIFS(РПЗ!$AB:$AB,Справочно!$E34,РПЗ!$AE:$AE,8)</f>
        <v>0</v>
      </c>
      <c r="Z57" s="372">
        <f>SUMIFS(РПЗ!$L:$L,РПЗ!$AB:$AB,Справочно!$E34,РПЗ!$AE:$AE,8)</f>
        <v>0</v>
      </c>
      <c r="AA57" s="196">
        <f>COUNTIFS(РПЗ!$AB:$AB,Справочно!$E34,РПЗ!$AE:$AE,9)</f>
        <v>0</v>
      </c>
      <c r="AB57" s="372">
        <f>SUMIFS(РПЗ!$L:$L,РПЗ!$AB:$AB,Справочно!$E34,РПЗ!$AE:$AE,9)</f>
        <v>0</v>
      </c>
      <c r="AC57" s="194">
        <f t="shared" si="22"/>
        <v>0</v>
      </c>
      <c r="AD57" s="333">
        <f t="shared" si="23"/>
        <v>0</v>
      </c>
      <c r="AE57" s="201">
        <f>COUNTIFS(РПЗ!$AB:$AB,Справочно!$E34,РПЗ!$AE:$AE,10)</f>
        <v>0</v>
      </c>
      <c r="AF57" s="374">
        <f>SUMIFS(РПЗ!$L:$L,РПЗ!$AB:$AB,Справочно!$E34,РПЗ!$AE:$AE,10)</f>
        <v>0</v>
      </c>
      <c r="AG57" s="177">
        <f>COUNTIFS(РПЗ!$AB:$AB,Справочно!$E34,РПЗ!$AE:$AE,11)</f>
        <v>0</v>
      </c>
      <c r="AH57" s="374">
        <f>SUMIFS(РПЗ!$L:$L,РПЗ!$AB:$AB,Справочно!$E34,РПЗ!$AE:$AE,11)</f>
        <v>0</v>
      </c>
      <c r="AI57" s="177">
        <f>COUNTIFS(РПЗ!$AB:$AB,Справочно!$E34,РПЗ!$AE:$AE,12)</f>
        <v>0</v>
      </c>
      <c r="AJ57" s="374">
        <f>SUMIFS(РПЗ!$L:$L,РПЗ!$AB:$AB,Справочно!$E34,РПЗ!$AE:$AE,12)</f>
        <v>0</v>
      </c>
      <c r="AK57" s="198">
        <f t="shared" si="24"/>
        <v>0</v>
      </c>
      <c r="AL57" s="335">
        <f t="shared" si="25"/>
        <v>0</v>
      </c>
    </row>
    <row r="58" spans="1:38" ht="13.5" thickBot="1" x14ac:dyDescent="0.25">
      <c r="A58" s="90" t="str">
        <f>Справочно!E35</f>
        <v>АО "НПК "Технологии машиностроения"</v>
      </c>
      <c r="B58" s="69">
        <f>COUNTIF(РПЗ!$AB:$AB,Справочно!$E35)</f>
        <v>0</v>
      </c>
      <c r="C58" s="354">
        <f t="shared" si="17"/>
        <v>0</v>
      </c>
      <c r="D58" s="355">
        <f>SUMIF(РПЗ!$AB:$AB,Справочно!$E35,РПЗ!$L:$L)</f>
        <v>0</v>
      </c>
      <c r="E58" s="354">
        <f t="shared" si="16"/>
        <v>0</v>
      </c>
      <c r="G58" s="146">
        <f>COUNTIFS(РПЗ!$AB:$AB,Справочно!$E35,РПЗ!$AE:$AE,1)</f>
        <v>0</v>
      </c>
      <c r="H58" s="336">
        <f>SUMIFS(РПЗ!$L:$L,РПЗ!$AB:$AB,Справочно!$E35,РПЗ!$AE:$AE,1)</f>
        <v>0</v>
      </c>
      <c r="I58" s="146">
        <f>COUNTIFS(РПЗ!$AB:$AB,Справочно!$E35,РПЗ!$AE:$AE,2)</f>
        <v>0</v>
      </c>
      <c r="J58" s="336">
        <f>SUMIFS(РПЗ!$L:$L,РПЗ!$AB:$AB,Справочно!$E35,РПЗ!$AE:$AE,2)</f>
        <v>0</v>
      </c>
      <c r="K58" s="146">
        <f>COUNTIFS(РПЗ!$AB:$AB,Справочно!$E35,РПЗ!$AE:$AE,3)</f>
        <v>0</v>
      </c>
      <c r="L58" s="336">
        <f>SUMIFS(РПЗ!$L:$L,РПЗ!$AB:$AB,Справочно!$E35,РПЗ!$AE:$AE,3)</f>
        <v>0</v>
      </c>
      <c r="M58" s="189">
        <f t="shared" si="18"/>
        <v>0</v>
      </c>
      <c r="N58" s="329">
        <f t="shared" si="19"/>
        <v>0</v>
      </c>
      <c r="O58" s="191">
        <f>COUNTIFS(РПЗ!$AB:$AB,Справочно!$E35,РПЗ!$AE:$AE,4)</f>
        <v>0</v>
      </c>
      <c r="P58" s="370">
        <f>SUMIFS(РПЗ!$L:$L,РПЗ!$AB:$AB,Справочно!$E35,РПЗ!$AE:$AE,4)</f>
        <v>0</v>
      </c>
      <c r="Q58" s="183">
        <f>COUNTIFS(РПЗ!$AB:$AB,Справочно!$E35,РПЗ!$AE:$AE,5)</f>
        <v>0</v>
      </c>
      <c r="R58" s="370">
        <f>SUMIFS(РПЗ!$L:$L,РПЗ!$AB:$AB,Справочно!$E35,РПЗ!$AE:$AE,5)</f>
        <v>0</v>
      </c>
      <c r="S58" s="183">
        <f>COUNTIFS(РПЗ!$AB:$AB,Справочно!$E35,РПЗ!$AE:$AE,6)</f>
        <v>0</v>
      </c>
      <c r="T58" s="370">
        <f>SUMIFS(РПЗ!$L:$L,РПЗ!$AB:$AB,Справочно!$E35,РПЗ!$AE:$AE,6)</f>
        <v>0</v>
      </c>
      <c r="U58" s="193">
        <f t="shared" si="20"/>
        <v>0</v>
      </c>
      <c r="V58" s="331">
        <f t="shared" si="26"/>
        <v>0</v>
      </c>
      <c r="W58" s="196">
        <f>COUNTIFS(РПЗ!$AB:$AB,Справочно!$E35,РПЗ!$AE:$AE,7)</f>
        <v>0</v>
      </c>
      <c r="X58" s="372">
        <f>SUMIFS(РПЗ!$L:$L,РПЗ!$AB:$AB,Справочно!$E35,РПЗ!$AE:$AE,7)</f>
        <v>0</v>
      </c>
      <c r="Y58" s="196">
        <f>COUNTIFS(РПЗ!$AB:$AB,Справочно!$E35,РПЗ!$AE:$AE,8)</f>
        <v>0</v>
      </c>
      <c r="Z58" s="372">
        <f>SUMIFS(РПЗ!$L:$L,РПЗ!$AB:$AB,Справочно!$E35,РПЗ!$AE:$AE,8)</f>
        <v>0</v>
      </c>
      <c r="AA58" s="196">
        <f>COUNTIFS(РПЗ!$AB:$AB,Справочно!$E35,РПЗ!$AE:$AE,9)</f>
        <v>0</v>
      </c>
      <c r="AB58" s="372">
        <f>SUMIFS(РПЗ!$L:$L,РПЗ!$AB:$AB,Справочно!$E35,РПЗ!$AE:$AE,9)</f>
        <v>0</v>
      </c>
      <c r="AC58" s="194">
        <f t="shared" si="22"/>
        <v>0</v>
      </c>
      <c r="AD58" s="333">
        <f t="shared" si="23"/>
        <v>0</v>
      </c>
      <c r="AE58" s="201">
        <f>COUNTIFS(РПЗ!$AB:$AB,Справочно!$E35,РПЗ!$AE:$AE,10)</f>
        <v>0</v>
      </c>
      <c r="AF58" s="374">
        <f>SUMIFS(РПЗ!$L:$L,РПЗ!$AB:$AB,Справочно!$E35,РПЗ!$AE:$AE,10)</f>
        <v>0</v>
      </c>
      <c r="AG58" s="177">
        <f>COUNTIFS(РПЗ!$AB:$AB,Справочно!$E35,РПЗ!$AE:$AE,11)</f>
        <v>0</v>
      </c>
      <c r="AH58" s="374">
        <f>SUMIFS(РПЗ!$L:$L,РПЗ!$AB:$AB,Справочно!$E35,РПЗ!$AE:$AE,11)</f>
        <v>0</v>
      </c>
      <c r="AI58" s="177">
        <f>COUNTIFS(РПЗ!$AB:$AB,Справочно!$E35,РПЗ!$AE:$AE,12)</f>
        <v>0</v>
      </c>
      <c r="AJ58" s="374">
        <f>SUMIFS(РПЗ!$L:$L,РПЗ!$AB:$AB,Справочно!$E35,РПЗ!$AE:$AE,12)</f>
        <v>0</v>
      </c>
      <c r="AK58" s="198">
        <f t="shared" si="24"/>
        <v>0</v>
      </c>
      <c r="AL58" s="335">
        <f t="shared" si="25"/>
        <v>0</v>
      </c>
    </row>
    <row r="59" spans="1:38" ht="12.75" customHeight="1" thickBot="1" x14ac:dyDescent="0.25">
      <c r="A59" s="90" t="str">
        <f>Справочно!E36</f>
        <v>АО "НПО "Высокоточные комплексы"</v>
      </c>
      <c r="B59" s="69">
        <f>COUNTIF(РПЗ!$AB:$AB,Справочно!$E36)</f>
        <v>0</v>
      </c>
      <c r="C59" s="354">
        <f t="shared" si="17"/>
        <v>0</v>
      </c>
      <c r="D59" s="355">
        <f>SUMIF(РПЗ!$AB:$AB,Справочно!$E36,РПЗ!$L:$L)</f>
        <v>0</v>
      </c>
      <c r="E59" s="354">
        <f t="shared" si="16"/>
        <v>0</v>
      </c>
      <c r="G59" s="146">
        <f>COUNTIFS(РПЗ!$AB:$AB,Справочно!$E36,РПЗ!$AE:$AE,1)</f>
        <v>0</v>
      </c>
      <c r="H59" s="336">
        <f>SUMIFS(РПЗ!$L:$L,РПЗ!$AB:$AB,Справочно!$E36,РПЗ!$AE:$AE,1)</f>
        <v>0</v>
      </c>
      <c r="I59" s="146">
        <f>COUNTIFS(РПЗ!$AB:$AB,Справочно!$E36,РПЗ!$AE:$AE,2)</f>
        <v>0</v>
      </c>
      <c r="J59" s="336">
        <f>SUMIFS(РПЗ!$L:$L,РПЗ!$AB:$AB,Справочно!$E36,РПЗ!$AE:$AE,2)</f>
        <v>0</v>
      </c>
      <c r="K59" s="146">
        <f>COUNTIFS(РПЗ!$AB:$AB,Справочно!$E36,РПЗ!$AE:$AE,3)</f>
        <v>0</v>
      </c>
      <c r="L59" s="336">
        <f>SUMIFS(РПЗ!$L:$L,РПЗ!$AB:$AB,Справочно!$E36,РПЗ!$AE:$AE,3)</f>
        <v>0</v>
      </c>
      <c r="M59" s="189">
        <f t="shared" si="18"/>
        <v>0</v>
      </c>
      <c r="N59" s="329">
        <f t="shared" si="19"/>
        <v>0</v>
      </c>
      <c r="O59" s="191">
        <f>COUNTIFS(РПЗ!$AB:$AB,Справочно!$E36,РПЗ!$AE:$AE,4)</f>
        <v>0</v>
      </c>
      <c r="P59" s="370">
        <f>SUMIFS(РПЗ!$L:$L,РПЗ!$AB:$AB,Справочно!$E36,РПЗ!$AE:$AE,4)</f>
        <v>0</v>
      </c>
      <c r="Q59" s="183">
        <f>COUNTIFS(РПЗ!$AB:$AB,Справочно!$E36,РПЗ!$AE:$AE,5)</f>
        <v>0</v>
      </c>
      <c r="R59" s="370">
        <f>SUMIFS(РПЗ!$L:$L,РПЗ!$AB:$AB,Справочно!$E36,РПЗ!$AE:$AE,5)</f>
        <v>0</v>
      </c>
      <c r="S59" s="183">
        <f>COUNTIFS(РПЗ!$AB:$AB,Справочно!$E36,РПЗ!$AE:$AE,6)</f>
        <v>0</v>
      </c>
      <c r="T59" s="370">
        <f>SUMIFS(РПЗ!$L:$L,РПЗ!$AB:$AB,Справочно!$E36,РПЗ!$AE:$AE,6)</f>
        <v>0</v>
      </c>
      <c r="U59" s="193">
        <f t="shared" si="20"/>
        <v>0</v>
      </c>
      <c r="V59" s="331">
        <f t="shared" si="26"/>
        <v>0</v>
      </c>
      <c r="W59" s="196">
        <f>COUNTIFS(РПЗ!$AB:$AB,Справочно!$E36,РПЗ!$AE:$AE,7)</f>
        <v>0</v>
      </c>
      <c r="X59" s="372">
        <f>SUMIFS(РПЗ!$L:$L,РПЗ!$AB:$AB,Справочно!$E36,РПЗ!$AE:$AE,7)</f>
        <v>0</v>
      </c>
      <c r="Y59" s="196">
        <f>COUNTIFS(РПЗ!$AB:$AB,Справочно!$E36,РПЗ!$AE:$AE,8)</f>
        <v>0</v>
      </c>
      <c r="Z59" s="372">
        <f>SUMIFS(РПЗ!$L:$L,РПЗ!$AB:$AB,Справочно!$E36,РПЗ!$AE:$AE,8)</f>
        <v>0</v>
      </c>
      <c r="AA59" s="196">
        <f>COUNTIFS(РПЗ!$AB:$AB,Справочно!$E36,РПЗ!$AE:$AE,9)</f>
        <v>0</v>
      </c>
      <c r="AB59" s="372">
        <f>SUMIFS(РПЗ!$L:$L,РПЗ!$AB:$AB,Справочно!$E36,РПЗ!$AE:$AE,9)</f>
        <v>0</v>
      </c>
      <c r="AC59" s="194">
        <f t="shared" si="22"/>
        <v>0</v>
      </c>
      <c r="AD59" s="333">
        <f t="shared" si="23"/>
        <v>0</v>
      </c>
      <c r="AE59" s="201">
        <f>COUNTIFS(РПЗ!$AB:$AB,Справочно!$E36,РПЗ!$AE:$AE,10)</f>
        <v>0</v>
      </c>
      <c r="AF59" s="374">
        <f>SUMIFS(РПЗ!$L:$L,РПЗ!$AB:$AB,Справочно!$E36,РПЗ!$AE:$AE,10)</f>
        <v>0</v>
      </c>
      <c r="AG59" s="177">
        <f>COUNTIFS(РПЗ!$AB:$AB,Справочно!$E36,РПЗ!$AE:$AE,11)</f>
        <v>0</v>
      </c>
      <c r="AH59" s="374">
        <f>SUMIFS(РПЗ!$L:$L,РПЗ!$AB:$AB,Справочно!$E36,РПЗ!$AE:$AE,11)</f>
        <v>0</v>
      </c>
      <c r="AI59" s="177">
        <f>COUNTIFS(РПЗ!$AB:$AB,Справочно!$E36,РПЗ!$AE:$AE,12)</f>
        <v>0</v>
      </c>
      <c r="AJ59" s="374">
        <f>SUMIFS(РПЗ!$L:$L,РПЗ!$AB:$AB,Справочно!$E36,РПЗ!$AE:$AE,12)</f>
        <v>0</v>
      </c>
      <c r="AK59" s="198">
        <f t="shared" si="24"/>
        <v>0</v>
      </c>
      <c r="AL59" s="335">
        <f t="shared" si="25"/>
        <v>0</v>
      </c>
    </row>
    <row r="60" spans="1:38" ht="26.25" thickBot="1" x14ac:dyDescent="0.25">
      <c r="A60" s="90" t="str">
        <f>Справочно!E37</f>
        <v>АО "Объединенная приборостроительная компания"</v>
      </c>
      <c r="B60" s="69">
        <f>COUNTIF(РПЗ!$AB:$AB,Справочно!$E37)</f>
        <v>0</v>
      </c>
      <c r="C60" s="354">
        <f t="shared" si="17"/>
        <v>0</v>
      </c>
      <c r="D60" s="355">
        <f>SUMIF(РПЗ!$AB:$AB,Справочно!$E37,РПЗ!$L:$L)</f>
        <v>0</v>
      </c>
      <c r="E60" s="354">
        <f t="shared" si="16"/>
        <v>0</v>
      </c>
      <c r="G60" s="146">
        <f>COUNTIFS(РПЗ!$AB:$AB,Справочно!$E37,РПЗ!$AE:$AE,1)</f>
        <v>0</v>
      </c>
      <c r="H60" s="336">
        <f>SUMIFS(РПЗ!$L:$L,РПЗ!$AB:$AB,Справочно!$E37,РПЗ!$AE:$AE,1)</f>
        <v>0</v>
      </c>
      <c r="I60" s="146">
        <f>COUNTIFS(РПЗ!$AB:$AB,Справочно!$E37,РПЗ!$AE:$AE,2)</f>
        <v>0</v>
      </c>
      <c r="J60" s="336">
        <f>SUMIFS(РПЗ!$L:$L,РПЗ!$AB:$AB,Справочно!$E37,РПЗ!$AE:$AE,2)</f>
        <v>0</v>
      </c>
      <c r="K60" s="146">
        <f>COUNTIFS(РПЗ!$AB:$AB,Справочно!$E37,РПЗ!$AE:$AE,3)</f>
        <v>0</v>
      </c>
      <c r="L60" s="336">
        <f>SUMIFS(РПЗ!$L:$L,РПЗ!$AB:$AB,Справочно!$E37,РПЗ!$AE:$AE,3)</f>
        <v>0</v>
      </c>
      <c r="M60" s="189">
        <f t="shared" si="18"/>
        <v>0</v>
      </c>
      <c r="N60" s="329">
        <f t="shared" si="19"/>
        <v>0</v>
      </c>
      <c r="O60" s="191">
        <f>COUNTIFS(РПЗ!$AB:$AB,Справочно!$E37,РПЗ!$AE:$AE,4)</f>
        <v>0</v>
      </c>
      <c r="P60" s="370">
        <f>SUMIFS(РПЗ!$L:$L,РПЗ!$AB:$AB,Справочно!$E37,РПЗ!$AE:$AE,4)</f>
        <v>0</v>
      </c>
      <c r="Q60" s="183">
        <f>COUNTIFS(РПЗ!$AB:$AB,Справочно!$E37,РПЗ!$AE:$AE,5)</f>
        <v>0</v>
      </c>
      <c r="R60" s="370">
        <f>SUMIFS(РПЗ!$L:$L,РПЗ!$AB:$AB,Справочно!$E37,РПЗ!$AE:$AE,5)</f>
        <v>0</v>
      </c>
      <c r="S60" s="183">
        <f>COUNTIFS(РПЗ!$AB:$AB,Справочно!$E37,РПЗ!$AE:$AE,6)</f>
        <v>0</v>
      </c>
      <c r="T60" s="370">
        <f>SUMIFS(РПЗ!$L:$L,РПЗ!$AB:$AB,Справочно!$E37,РПЗ!$AE:$AE,6)</f>
        <v>0</v>
      </c>
      <c r="U60" s="193">
        <f t="shared" si="20"/>
        <v>0</v>
      </c>
      <c r="V60" s="331">
        <f t="shared" si="26"/>
        <v>0</v>
      </c>
      <c r="W60" s="196">
        <f>COUNTIFS(РПЗ!$AB:$AB,Справочно!$E37,РПЗ!$AE:$AE,7)</f>
        <v>0</v>
      </c>
      <c r="X60" s="372">
        <f>SUMIFS(РПЗ!$L:$L,РПЗ!$AB:$AB,Справочно!$E37,РПЗ!$AE:$AE,7)</f>
        <v>0</v>
      </c>
      <c r="Y60" s="196">
        <f>COUNTIFS(РПЗ!$AB:$AB,Справочно!$E37,РПЗ!$AE:$AE,8)</f>
        <v>0</v>
      </c>
      <c r="Z60" s="372">
        <f>SUMIFS(РПЗ!$L:$L,РПЗ!$AB:$AB,Справочно!$E37,РПЗ!$AE:$AE,8)</f>
        <v>0</v>
      </c>
      <c r="AA60" s="196">
        <f>COUNTIFS(РПЗ!$AB:$AB,Справочно!$E37,РПЗ!$AE:$AE,9)</f>
        <v>0</v>
      </c>
      <c r="AB60" s="372">
        <f>SUMIFS(РПЗ!$L:$L,РПЗ!$AB:$AB,Справочно!$E37,РПЗ!$AE:$AE,9)</f>
        <v>0</v>
      </c>
      <c r="AC60" s="194">
        <f t="shared" si="22"/>
        <v>0</v>
      </c>
      <c r="AD60" s="333">
        <f t="shared" si="23"/>
        <v>0</v>
      </c>
      <c r="AE60" s="201">
        <f>COUNTIFS(РПЗ!$AB:$AB,Справочно!$E37,РПЗ!$AE:$AE,10)</f>
        <v>0</v>
      </c>
      <c r="AF60" s="374">
        <f>SUMIFS(РПЗ!$L:$L,РПЗ!$AB:$AB,Справочно!$E37,РПЗ!$AE:$AE,10)</f>
        <v>0</v>
      </c>
      <c r="AG60" s="177">
        <f>COUNTIFS(РПЗ!$AB:$AB,Справочно!$E37,РПЗ!$AE:$AE,11)</f>
        <v>0</v>
      </c>
      <c r="AH60" s="374">
        <f>SUMIFS(РПЗ!$L:$L,РПЗ!$AB:$AB,Справочно!$E37,РПЗ!$AE:$AE,11)</f>
        <v>0</v>
      </c>
      <c r="AI60" s="177">
        <f>COUNTIFS(РПЗ!$AB:$AB,Справочно!$E37,РПЗ!$AE:$AE,12)</f>
        <v>0</v>
      </c>
      <c r="AJ60" s="374">
        <f>SUMIFS(РПЗ!$L:$L,РПЗ!$AB:$AB,Справочно!$E37,РПЗ!$AE:$AE,12)</f>
        <v>0</v>
      </c>
      <c r="AK60" s="198">
        <f t="shared" si="24"/>
        <v>0</v>
      </c>
      <c r="AL60" s="335">
        <f t="shared" si="25"/>
        <v>0</v>
      </c>
    </row>
    <row r="61" spans="1:38" ht="13.5" thickBot="1" x14ac:dyDescent="0.25">
      <c r="A61" s="227" t="s">
        <v>626</v>
      </c>
      <c r="B61" s="69">
        <f>COUNTIF(РПЗ!$AB:$AB,Справочно!$E38)</f>
        <v>0</v>
      </c>
      <c r="C61" s="354">
        <f t="shared" si="17"/>
        <v>0</v>
      </c>
      <c r="D61" s="355">
        <f>SUMIF(РПЗ!$AB:$AB,Справочно!$E38,РПЗ!$L:$L)</f>
        <v>0</v>
      </c>
      <c r="E61" s="354">
        <f t="shared" si="16"/>
        <v>0</v>
      </c>
      <c r="G61" s="146">
        <f>COUNTIFS(РПЗ!$AB:$AB,Справочно!$E38,РПЗ!$AE:$AE,1)</f>
        <v>0</v>
      </c>
      <c r="H61" s="336">
        <f>SUMIFS(РПЗ!$L:$L,РПЗ!$AB:$AB,Справочно!$E38,РПЗ!$AE:$AE,1)</f>
        <v>0</v>
      </c>
      <c r="I61" s="146">
        <f>COUNTIFS(РПЗ!$AB:$AB,Справочно!$E38,РПЗ!$AE:$AE,2)</f>
        <v>0</v>
      </c>
      <c r="J61" s="336">
        <f>SUMIFS(РПЗ!$L:$L,РПЗ!$AB:$AB,Справочно!$E38,РПЗ!$AE:$AE,2)</f>
        <v>0</v>
      </c>
      <c r="K61" s="146">
        <f>COUNTIFS(РПЗ!$AB:$AB,Справочно!$E38,РПЗ!$AE:$AE,3)</f>
        <v>0</v>
      </c>
      <c r="L61" s="336">
        <f>SUMIFS(РПЗ!$L:$L,РПЗ!$AB:$AB,Справочно!$E38,РПЗ!$AE:$AE,3)</f>
        <v>0</v>
      </c>
      <c r="M61" s="189">
        <f t="shared" si="18"/>
        <v>0</v>
      </c>
      <c r="N61" s="329">
        <f t="shared" si="19"/>
        <v>0</v>
      </c>
      <c r="O61" s="191">
        <f>COUNTIFS(РПЗ!$AB:$AB,Справочно!$E38,РПЗ!$AE:$AE,4)</f>
        <v>0</v>
      </c>
      <c r="P61" s="370">
        <f>SUMIFS(РПЗ!$L:$L,РПЗ!$AB:$AB,Справочно!$E38,РПЗ!$AE:$AE,4)</f>
        <v>0</v>
      </c>
      <c r="Q61" s="183">
        <f>COUNTIFS(РПЗ!$AB:$AB,Справочно!$E38,РПЗ!$AE:$AE,5)</f>
        <v>0</v>
      </c>
      <c r="R61" s="370">
        <f>SUMIFS(РПЗ!$L:$L,РПЗ!$AB:$AB,Справочно!$E38,РПЗ!$AE:$AE,5)</f>
        <v>0</v>
      </c>
      <c r="S61" s="183">
        <f>COUNTIFS(РПЗ!$AB:$AB,Справочно!$E38,РПЗ!$AE:$AE,6)</f>
        <v>0</v>
      </c>
      <c r="T61" s="370">
        <f>SUMIFS(РПЗ!$L:$L,РПЗ!$AB:$AB,Справочно!$E38,РПЗ!$AE:$AE,6)</f>
        <v>0</v>
      </c>
      <c r="U61" s="193">
        <f t="shared" si="20"/>
        <v>0</v>
      </c>
      <c r="V61" s="331">
        <f t="shared" si="26"/>
        <v>0</v>
      </c>
      <c r="W61" s="196">
        <f>COUNTIFS(РПЗ!$AB:$AB,Справочно!$E38,РПЗ!$AE:$AE,7)</f>
        <v>0</v>
      </c>
      <c r="X61" s="372">
        <f>SUMIFS(РПЗ!$L:$L,РПЗ!$AB:$AB,Справочно!$E38,РПЗ!$AE:$AE,7)</f>
        <v>0</v>
      </c>
      <c r="Y61" s="196">
        <f>COUNTIFS(РПЗ!$AB:$AB,Справочно!$E38,РПЗ!$AE:$AE,8)</f>
        <v>0</v>
      </c>
      <c r="Z61" s="372">
        <f>SUMIFS(РПЗ!$L:$L,РПЗ!$AB:$AB,Справочно!$E38,РПЗ!$AE:$AE,8)</f>
        <v>0</v>
      </c>
      <c r="AA61" s="196">
        <f>COUNTIFS(РПЗ!$AB:$AB,Справочно!$E38,РПЗ!$AE:$AE,9)</f>
        <v>0</v>
      </c>
      <c r="AB61" s="372">
        <f>SUMIFS(РПЗ!$L:$L,РПЗ!$AB:$AB,Справочно!$E38,РПЗ!$AE:$AE,9)</f>
        <v>0</v>
      </c>
      <c r="AC61" s="194">
        <f t="shared" si="22"/>
        <v>0</v>
      </c>
      <c r="AD61" s="333">
        <f t="shared" si="23"/>
        <v>0</v>
      </c>
      <c r="AE61" s="201">
        <f>COUNTIFS(РПЗ!$AB:$AB,Справочно!$E38,РПЗ!$AE:$AE,10)</f>
        <v>0</v>
      </c>
      <c r="AF61" s="374">
        <f>SUMIFS(РПЗ!$L:$L,РПЗ!$AB:$AB,Справочно!$E38,РПЗ!$AE:$AE,10)</f>
        <v>0</v>
      </c>
      <c r="AG61" s="177">
        <f>COUNTIFS(РПЗ!$AB:$AB,Справочно!$E38,РПЗ!$AE:$AE,11)</f>
        <v>0</v>
      </c>
      <c r="AH61" s="374">
        <f>SUMIFS(РПЗ!$L:$L,РПЗ!$AB:$AB,Справочно!$E38,РПЗ!$AE:$AE,11)</f>
        <v>0</v>
      </c>
      <c r="AI61" s="177">
        <f>COUNTIFS(РПЗ!$AB:$AB,Справочно!$E38,РПЗ!$AE:$AE,12)</f>
        <v>0</v>
      </c>
      <c r="AJ61" s="374">
        <f>SUMIFS(РПЗ!$L:$L,РПЗ!$AB:$AB,Справочно!$E38,РПЗ!$AE:$AE,12)</f>
        <v>0</v>
      </c>
      <c r="AK61" s="198">
        <f t="shared" si="24"/>
        <v>0</v>
      </c>
      <c r="AL61" s="335">
        <f t="shared" si="25"/>
        <v>0</v>
      </c>
    </row>
    <row r="62" spans="1:38" ht="13.5" thickBot="1" x14ac:dyDescent="0.25">
      <c r="A62" s="90" t="str">
        <f>Справочно!E39</f>
        <v>АО "РТ-Авто"</v>
      </c>
      <c r="B62" s="69">
        <f>COUNTIF(РПЗ!$AB:$AB,Справочно!$E39)</f>
        <v>0</v>
      </c>
      <c r="C62" s="354">
        <f t="shared" si="17"/>
        <v>0</v>
      </c>
      <c r="D62" s="355">
        <f>SUMIF(РПЗ!$AB:$AB,Справочно!$E39,РПЗ!$L:$L)</f>
        <v>0</v>
      </c>
      <c r="E62" s="354">
        <f t="shared" si="16"/>
        <v>0</v>
      </c>
      <c r="G62" s="146">
        <f>COUNTIFS(РПЗ!$AB:$AB,Справочно!$E39,РПЗ!$AE:$AE,1)</f>
        <v>0</v>
      </c>
      <c r="H62" s="336">
        <f>SUMIFS(РПЗ!$L:$L,РПЗ!$AB:$AB,Справочно!$E39,РПЗ!$AE:$AE,1)</f>
        <v>0</v>
      </c>
      <c r="I62" s="146">
        <f>COUNTIFS(РПЗ!$AB:$AB,Справочно!$E39,РПЗ!$AE:$AE,2)</f>
        <v>0</v>
      </c>
      <c r="J62" s="336">
        <f>SUMIFS(РПЗ!$L:$L,РПЗ!$AB:$AB,Справочно!$E39,РПЗ!$AE:$AE,2)</f>
        <v>0</v>
      </c>
      <c r="K62" s="146">
        <f>COUNTIFS(РПЗ!$AB:$AB,Справочно!$E39,РПЗ!$AE:$AE,3)</f>
        <v>0</v>
      </c>
      <c r="L62" s="336">
        <f>SUMIFS(РПЗ!$L:$L,РПЗ!$AB:$AB,Справочно!$E39,РПЗ!$AE:$AE,3)</f>
        <v>0</v>
      </c>
      <c r="M62" s="189">
        <f t="shared" si="18"/>
        <v>0</v>
      </c>
      <c r="N62" s="329">
        <f t="shared" si="19"/>
        <v>0</v>
      </c>
      <c r="O62" s="191">
        <f>COUNTIFS(РПЗ!$AB:$AB,Справочно!$E39,РПЗ!$AE:$AE,4)</f>
        <v>0</v>
      </c>
      <c r="P62" s="370">
        <f>SUMIFS(РПЗ!$L:$L,РПЗ!$AB:$AB,Справочно!$E39,РПЗ!$AE:$AE,4)</f>
        <v>0</v>
      </c>
      <c r="Q62" s="183">
        <f>COUNTIFS(РПЗ!$AB:$AB,Справочно!$E39,РПЗ!$AE:$AE,5)</f>
        <v>0</v>
      </c>
      <c r="R62" s="370">
        <f>SUMIFS(РПЗ!$L:$L,РПЗ!$AB:$AB,Справочно!$E39,РПЗ!$AE:$AE,5)</f>
        <v>0</v>
      </c>
      <c r="S62" s="183">
        <f>COUNTIFS(РПЗ!$AB:$AB,Справочно!$E39,РПЗ!$AE:$AE,6)</f>
        <v>0</v>
      </c>
      <c r="T62" s="370">
        <f>SUMIFS(РПЗ!$L:$L,РПЗ!$AB:$AB,Справочно!$E39,РПЗ!$AE:$AE,6)</f>
        <v>0</v>
      </c>
      <c r="U62" s="193">
        <f t="shared" si="20"/>
        <v>0</v>
      </c>
      <c r="V62" s="331">
        <f t="shared" si="26"/>
        <v>0</v>
      </c>
      <c r="W62" s="196">
        <f>COUNTIFS(РПЗ!$AB:$AB,Справочно!$E39,РПЗ!$AE:$AE,7)</f>
        <v>0</v>
      </c>
      <c r="X62" s="372">
        <f>SUMIFS(РПЗ!$L:$L,РПЗ!$AB:$AB,Справочно!$E39,РПЗ!$AE:$AE,7)</f>
        <v>0</v>
      </c>
      <c r="Y62" s="196">
        <f>COUNTIFS(РПЗ!$AB:$AB,Справочно!$E39,РПЗ!$AE:$AE,8)</f>
        <v>0</v>
      </c>
      <c r="Z62" s="372">
        <f>SUMIFS(РПЗ!$L:$L,РПЗ!$AB:$AB,Справочно!$E39,РПЗ!$AE:$AE,8)</f>
        <v>0</v>
      </c>
      <c r="AA62" s="196">
        <f>COUNTIFS(РПЗ!$AB:$AB,Справочно!$E39,РПЗ!$AE:$AE,9)</f>
        <v>0</v>
      </c>
      <c r="AB62" s="372">
        <f>SUMIFS(РПЗ!$L:$L,РПЗ!$AB:$AB,Справочно!$E39,РПЗ!$AE:$AE,9)</f>
        <v>0</v>
      </c>
      <c r="AC62" s="194">
        <f t="shared" si="22"/>
        <v>0</v>
      </c>
      <c r="AD62" s="333">
        <f t="shared" si="23"/>
        <v>0</v>
      </c>
      <c r="AE62" s="201">
        <f>COUNTIFS(РПЗ!$AB:$AB,Справочно!$E39,РПЗ!$AE:$AE,10)</f>
        <v>0</v>
      </c>
      <c r="AF62" s="374">
        <f>SUMIFS(РПЗ!$L:$L,РПЗ!$AB:$AB,Справочно!$E39,РПЗ!$AE:$AE,10)</f>
        <v>0</v>
      </c>
      <c r="AG62" s="177">
        <f>COUNTIFS(РПЗ!$AB:$AB,Справочно!$E39,РПЗ!$AE:$AE,11)</f>
        <v>0</v>
      </c>
      <c r="AH62" s="374">
        <f>SUMIFS(РПЗ!$L:$L,РПЗ!$AB:$AB,Справочно!$E39,РПЗ!$AE:$AE,11)</f>
        <v>0</v>
      </c>
      <c r="AI62" s="177">
        <f>COUNTIFS(РПЗ!$AB:$AB,Справочно!$E39,РПЗ!$AE:$AE,12)</f>
        <v>0</v>
      </c>
      <c r="AJ62" s="374">
        <f>SUMIFS(РПЗ!$L:$L,РПЗ!$AB:$AB,Справочно!$E39,РПЗ!$AE:$AE,12)</f>
        <v>0</v>
      </c>
      <c r="AK62" s="198">
        <f t="shared" si="24"/>
        <v>0</v>
      </c>
      <c r="AL62" s="335">
        <f t="shared" si="25"/>
        <v>0</v>
      </c>
    </row>
    <row r="63" spans="1:38" ht="26.25" thickBot="1" x14ac:dyDescent="0.25">
      <c r="A63" s="90" t="str">
        <f>Справочно!E40</f>
        <v>АО "Национальная иммунобиологическая компания"</v>
      </c>
      <c r="B63" s="69">
        <f>COUNTIF(РПЗ!$AB:$AB,Справочно!$E40)</f>
        <v>0</v>
      </c>
      <c r="C63" s="354">
        <f t="shared" si="17"/>
        <v>0</v>
      </c>
      <c r="D63" s="355">
        <f>SUMIF(РПЗ!$AB:$AB,Справочно!$E40,РПЗ!$L:$L)</f>
        <v>0</v>
      </c>
      <c r="E63" s="354">
        <f t="shared" si="16"/>
        <v>0</v>
      </c>
      <c r="G63" s="146">
        <f>COUNTIFS(РПЗ!$AB:$AB,Справочно!$E40,РПЗ!$AE:$AE,1)</f>
        <v>0</v>
      </c>
      <c r="H63" s="336">
        <f>SUMIFS(РПЗ!$L:$L,РПЗ!$AB:$AB,Справочно!$E40,РПЗ!$AE:$AE,1)</f>
        <v>0</v>
      </c>
      <c r="I63" s="146">
        <f>COUNTIFS(РПЗ!$AB:$AB,Справочно!$E40,РПЗ!$AE:$AE,2)</f>
        <v>0</v>
      </c>
      <c r="J63" s="336">
        <f>SUMIFS(РПЗ!$L:$L,РПЗ!$AB:$AB,Справочно!$E40,РПЗ!$AE:$AE,2)</f>
        <v>0</v>
      </c>
      <c r="K63" s="146">
        <f>COUNTIFS(РПЗ!$AB:$AB,Справочно!$E40,РПЗ!$AE:$AE,3)</f>
        <v>0</v>
      </c>
      <c r="L63" s="336">
        <f>SUMIFS(РПЗ!$L:$L,РПЗ!$AB:$AB,Справочно!$E40,РПЗ!$AE:$AE,3)</f>
        <v>0</v>
      </c>
      <c r="M63" s="189">
        <f t="shared" si="18"/>
        <v>0</v>
      </c>
      <c r="N63" s="329">
        <f t="shared" si="19"/>
        <v>0</v>
      </c>
      <c r="O63" s="191">
        <f>COUNTIFS(РПЗ!$AB:$AB,Справочно!$E40,РПЗ!$AE:$AE,4)</f>
        <v>0</v>
      </c>
      <c r="P63" s="370">
        <f>SUMIFS(РПЗ!$L:$L,РПЗ!$AB:$AB,Справочно!$E40,РПЗ!$AE:$AE,4)</f>
        <v>0</v>
      </c>
      <c r="Q63" s="183">
        <f>COUNTIFS(РПЗ!$AB:$AB,Справочно!$E40,РПЗ!$AE:$AE,5)</f>
        <v>0</v>
      </c>
      <c r="R63" s="370">
        <f>SUMIFS(РПЗ!$L:$L,РПЗ!$AB:$AB,Справочно!$E40,РПЗ!$AE:$AE,5)</f>
        <v>0</v>
      </c>
      <c r="S63" s="183">
        <f>COUNTIFS(РПЗ!$AB:$AB,Справочно!$E40,РПЗ!$AE:$AE,6)</f>
        <v>0</v>
      </c>
      <c r="T63" s="370">
        <f>SUMIFS(РПЗ!$L:$L,РПЗ!$AB:$AB,Справочно!$E40,РПЗ!$AE:$AE,6)</f>
        <v>0</v>
      </c>
      <c r="U63" s="193">
        <f t="shared" si="20"/>
        <v>0</v>
      </c>
      <c r="V63" s="331">
        <f t="shared" si="26"/>
        <v>0</v>
      </c>
      <c r="W63" s="196">
        <f>COUNTIFS(РПЗ!$AB:$AB,Справочно!$E40,РПЗ!$AE:$AE,7)</f>
        <v>0</v>
      </c>
      <c r="X63" s="372">
        <f>SUMIFS(РПЗ!$L:$L,РПЗ!$AB:$AB,Справочно!$E40,РПЗ!$AE:$AE,7)</f>
        <v>0</v>
      </c>
      <c r="Y63" s="196">
        <f>COUNTIFS(РПЗ!$AB:$AB,Справочно!$E40,РПЗ!$AE:$AE,8)</f>
        <v>0</v>
      </c>
      <c r="Z63" s="372">
        <f>SUMIFS(РПЗ!$L:$L,РПЗ!$AB:$AB,Справочно!$E40,РПЗ!$AE:$AE,8)</f>
        <v>0</v>
      </c>
      <c r="AA63" s="196">
        <f>COUNTIFS(РПЗ!$AB:$AB,Справочно!$E40,РПЗ!$AE:$AE,9)</f>
        <v>0</v>
      </c>
      <c r="AB63" s="372">
        <f>SUMIFS(РПЗ!$L:$L,РПЗ!$AB:$AB,Справочно!$E40,РПЗ!$AE:$AE,9)</f>
        <v>0</v>
      </c>
      <c r="AC63" s="194">
        <f t="shared" si="22"/>
        <v>0</v>
      </c>
      <c r="AD63" s="333">
        <f t="shared" si="23"/>
        <v>0</v>
      </c>
      <c r="AE63" s="201">
        <f>COUNTIFS(РПЗ!$AB:$AB,Справочно!$E40,РПЗ!$AE:$AE,10)</f>
        <v>0</v>
      </c>
      <c r="AF63" s="374">
        <f>SUMIFS(РПЗ!$L:$L,РПЗ!$AB:$AB,Справочно!$E40,РПЗ!$AE:$AE,10)</f>
        <v>0</v>
      </c>
      <c r="AG63" s="177">
        <f>COUNTIFS(РПЗ!$AB:$AB,Справочно!$E40,РПЗ!$AE:$AE,11)</f>
        <v>0</v>
      </c>
      <c r="AH63" s="374">
        <f>SUMIFS(РПЗ!$L:$L,РПЗ!$AB:$AB,Справочно!$E40,РПЗ!$AE:$AE,11)</f>
        <v>0</v>
      </c>
      <c r="AI63" s="177">
        <f>COUNTIFS(РПЗ!$AB:$AB,Справочно!$E40,РПЗ!$AE:$AE,12)</f>
        <v>0</v>
      </c>
      <c r="AJ63" s="374">
        <f>SUMIFS(РПЗ!$L:$L,РПЗ!$AB:$AB,Справочно!$E40,РПЗ!$AE:$AE,12)</f>
        <v>0</v>
      </c>
      <c r="AK63" s="198">
        <f t="shared" si="24"/>
        <v>0</v>
      </c>
      <c r="AL63" s="335">
        <f t="shared" si="25"/>
        <v>0</v>
      </c>
    </row>
    <row r="64" spans="1:38" ht="26.25" thickBot="1" x14ac:dyDescent="0.25">
      <c r="A64" s="90" t="str">
        <f>Справочно!E41</f>
        <v>АО "РТ-Химические технологии и композиционные материалы"</v>
      </c>
      <c r="B64" s="69">
        <f>COUNTIF(РПЗ!$AB:$AB,Справочно!$E41)</f>
        <v>0</v>
      </c>
      <c r="C64" s="354">
        <f t="shared" si="17"/>
        <v>0</v>
      </c>
      <c r="D64" s="355">
        <f>SUMIF(РПЗ!$AB:$AB,Справочно!$E41,РПЗ!$L:$L)</f>
        <v>0</v>
      </c>
      <c r="E64" s="354">
        <f t="shared" si="16"/>
        <v>0</v>
      </c>
      <c r="G64" s="146">
        <f>COUNTIFS(РПЗ!$AB:$AB,Справочно!$E41,РПЗ!$AE:$AE,1)</f>
        <v>0</v>
      </c>
      <c r="H64" s="336">
        <f>SUMIFS(РПЗ!$L:$L,РПЗ!$AB:$AB,Справочно!$E41,РПЗ!$AE:$AE,1)</f>
        <v>0</v>
      </c>
      <c r="I64" s="146">
        <f>COUNTIFS(РПЗ!$AB:$AB,Справочно!$E41,РПЗ!$AE:$AE,2)</f>
        <v>0</v>
      </c>
      <c r="J64" s="336">
        <f>SUMIFS(РПЗ!$L:$L,РПЗ!$AB:$AB,Справочно!$E41,РПЗ!$AE:$AE,2)</f>
        <v>0</v>
      </c>
      <c r="K64" s="146">
        <f>COUNTIFS(РПЗ!$AB:$AB,Справочно!$E41,РПЗ!$AE:$AE,3)</f>
        <v>0</v>
      </c>
      <c r="L64" s="336">
        <f>SUMIFS(РПЗ!$L:$L,РПЗ!$AB:$AB,Справочно!$E41,РПЗ!$AE:$AE,3)</f>
        <v>0</v>
      </c>
      <c r="M64" s="189">
        <f t="shared" si="18"/>
        <v>0</v>
      </c>
      <c r="N64" s="329">
        <f t="shared" si="19"/>
        <v>0</v>
      </c>
      <c r="O64" s="191">
        <f>COUNTIFS(РПЗ!$AB:$AB,Справочно!$E41,РПЗ!$AE:$AE,4)</f>
        <v>0</v>
      </c>
      <c r="P64" s="370">
        <f>SUMIFS(РПЗ!$L:$L,РПЗ!$AB:$AB,Справочно!$E41,РПЗ!$AE:$AE,4)</f>
        <v>0</v>
      </c>
      <c r="Q64" s="183">
        <f>COUNTIFS(РПЗ!$AB:$AB,Справочно!$E41,РПЗ!$AE:$AE,5)</f>
        <v>0</v>
      </c>
      <c r="R64" s="370">
        <f>SUMIFS(РПЗ!$L:$L,РПЗ!$AB:$AB,Справочно!$E41,РПЗ!$AE:$AE,5)</f>
        <v>0</v>
      </c>
      <c r="S64" s="183">
        <f>COUNTIFS(РПЗ!$AB:$AB,Справочно!$E41,РПЗ!$AE:$AE,6)</f>
        <v>0</v>
      </c>
      <c r="T64" s="370">
        <f>SUMIFS(РПЗ!$L:$L,РПЗ!$AB:$AB,Справочно!$E41,РПЗ!$AE:$AE,6)</f>
        <v>0</v>
      </c>
      <c r="U64" s="193">
        <f t="shared" si="20"/>
        <v>0</v>
      </c>
      <c r="V64" s="331">
        <f t="shared" si="26"/>
        <v>0</v>
      </c>
      <c r="W64" s="196">
        <f>COUNTIFS(РПЗ!$AB:$AB,Справочно!$E41,РПЗ!$AE:$AE,7)</f>
        <v>0</v>
      </c>
      <c r="X64" s="372">
        <f>SUMIFS(РПЗ!$L:$L,РПЗ!$AB:$AB,Справочно!$E41,РПЗ!$AE:$AE,7)</f>
        <v>0</v>
      </c>
      <c r="Y64" s="196">
        <f>COUNTIFS(РПЗ!$AB:$AB,Справочно!$E41,РПЗ!$AE:$AE,8)</f>
        <v>0</v>
      </c>
      <c r="Z64" s="372">
        <f>SUMIFS(РПЗ!$L:$L,РПЗ!$AB:$AB,Справочно!$E41,РПЗ!$AE:$AE,8)</f>
        <v>0</v>
      </c>
      <c r="AA64" s="196">
        <f>COUNTIFS(РПЗ!$AB:$AB,Справочно!$E41,РПЗ!$AE:$AE,9)</f>
        <v>0</v>
      </c>
      <c r="AB64" s="372">
        <f>SUMIFS(РПЗ!$L:$L,РПЗ!$AB:$AB,Справочно!$E41,РПЗ!$AE:$AE,9)</f>
        <v>0</v>
      </c>
      <c r="AC64" s="194">
        <f t="shared" si="22"/>
        <v>0</v>
      </c>
      <c r="AD64" s="333">
        <f t="shared" si="23"/>
        <v>0</v>
      </c>
      <c r="AE64" s="201">
        <f>COUNTIFS(РПЗ!$AB:$AB,Справочно!$E41,РПЗ!$AE:$AE,10)</f>
        <v>0</v>
      </c>
      <c r="AF64" s="374">
        <f>SUMIFS(РПЗ!$L:$L,РПЗ!$AB:$AB,Справочно!$E41,РПЗ!$AE:$AE,10)</f>
        <v>0</v>
      </c>
      <c r="AG64" s="177">
        <f>COUNTIFS(РПЗ!$AB:$AB,Справочно!$E41,РПЗ!$AE:$AE,11)</f>
        <v>0</v>
      </c>
      <c r="AH64" s="374">
        <f>SUMIFS(РПЗ!$L:$L,РПЗ!$AB:$AB,Справочно!$E41,РПЗ!$AE:$AE,11)</f>
        <v>0</v>
      </c>
      <c r="AI64" s="177">
        <f>COUNTIFS(РПЗ!$AB:$AB,Справочно!$E41,РПЗ!$AE:$AE,12)</f>
        <v>0</v>
      </c>
      <c r="AJ64" s="374">
        <f>SUMIFS(РПЗ!$L:$L,РПЗ!$AB:$AB,Справочно!$E41,РПЗ!$AE:$AE,12)</f>
        <v>0</v>
      </c>
      <c r="AK64" s="198">
        <f t="shared" si="24"/>
        <v>0</v>
      </c>
      <c r="AL64" s="335">
        <f t="shared" si="25"/>
        <v>0</v>
      </c>
    </row>
    <row r="65" spans="1:38" ht="13.5" thickBot="1" x14ac:dyDescent="0.25">
      <c r="A65" s="90" t="str">
        <f>Справочно!E42</f>
        <v>АО "Технодинамика"</v>
      </c>
      <c r="B65" s="69">
        <f>COUNTIF(РПЗ!$AB:$AB,Справочно!$E42)</f>
        <v>0</v>
      </c>
      <c r="C65" s="354">
        <f t="shared" si="17"/>
        <v>0</v>
      </c>
      <c r="D65" s="355">
        <f>SUMIF(РПЗ!$AB:$AB,Справочно!$E42,РПЗ!$L:$L)</f>
        <v>0</v>
      </c>
      <c r="E65" s="354">
        <f t="shared" si="16"/>
        <v>0</v>
      </c>
      <c r="G65" s="146">
        <f>COUNTIFS(РПЗ!$AB:$AB,Справочно!$E42,РПЗ!$AE:$AE,1)</f>
        <v>0</v>
      </c>
      <c r="H65" s="336">
        <f>SUMIFS(РПЗ!$L:$L,РПЗ!$AB:$AB,Справочно!$E42,РПЗ!$AE:$AE,1)</f>
        <v>0</v>
      </c>
      <c r="I65" s="146">
        <f>COUNTIFS(РПЗ!$AB:$AB,Справочно!$E42,РПЗ!$AE:$AE,2)</f>
        <v>0</v>
      </c>
      <c r="J65" s="336">
        <f>SUMIFS(РПЗ!$L:$L,РПЗ!$AB:$AB,Справочно!$E42,РПЗ!$AE:$AE,2)</f>
        <v>0</v>
      </c>
      <c r="K65" s="146">
        <f>COUNTIFS(РПЗ!$AB:$AB,Справочно!$E42,РПЗ!$AE:$AE,3)</f>
        <v>0</v>
      </c>
      <c r="L65" s="336">
        <f>SUMIFS(РПЗ!$L:$L,РПЗ!$AB:$AB,Справочно!$E42,РПЗ!$AE:$AE,3)</f>
        <v>0</v>
      </c>
      <c r="M65" s="189">
        <f t="shared" si="18"/>
        <v>0</v>
      </c>
      <c r="N65" s="329">
        <f t="shared" si="19"/>
        <v>0</v>
      </c>
      <c r="O65" s="191">
        <f>COUNTIFS(РПЗ!$AB:$AB,Справочно!$E42,РПЗ!$AE:$AE,4)</f>
        <v>0</v>
      </c>
      <c r="P65" s="370">
        <f>SUMIFS(РПЗ!$L:$L,РПЗ!$AB:$AB,Справочно!$E42,РПЗ!$AE:$AE,4)</f>
        <v>0</v>
      </c>
      <c r="Q65" s="183">
        <f>COUNTIFS(РПЗ!$AB:$AB,Справочно!$E42,РПЗ!$AE:$AE,5)</f>
        <v>0</v>
      </c>
      <c r="R65" s="370">
        <f>SUMIFS(РПЗ!$L:$L,РПЗ!$AB:$AB,Справочно!$E42,РПЗ!$AE:$AE,5)</f>
        <v>0</v>
      </c>
      <c r="S65" s="183">
        <f>COUNTIFS(РПЗ!$AB:$AB,Справочно!$E42,РПЗ!$AE:$AE,6)</f>
        <v>0</v>
      </c>
      <c r="T65" s="370">
        <f>SUMIFS(РПЗ!$L:$L,РПЗ!$AB:$AB,Справочно!$E42,РПЗ!$AE:$AE,6)</f>
        <v>0</v>
      </c>
      <c r="U65" s="193">
        <f t="shared" si="20"/>
        <v>0</v>
      </c>
      <c r="V65" s="331">
        <f t="shared" si="26"/>
        <v>0</v>
      </c>
      <c r="W65" s="196">
        <f>COUNTIFS(РПЗ!$AB:$AB,Справочно!$E42,РПЗ!$AE:$AE,7)</f>
        <v>0</v>
      </c>
      <c r="X65" s="372">
        <f>SUMIFS(РПЗ!$L:$L,РПЗ!$AB:$AB,Справочно!$E42,РПЗ!$AE:$AE,7)</f>
        <v>0</v>
      </c>
      <c r="Y65" s="196">
        <f>COUNTIFS(РПЗ!$AB:$AB,Справочно!$E42,РПЗ!$AE:$AE,8)</f>
        <v>0</v>
      </c>
      <c r="Z65" s="372">
        <f>SUMIFS(РПЗ!$L:$L,РПЗ!$AB:$AB,Справочно!$E42,РПЗ!$AE:$AE,8)</f>
        <v>0</v>
      </c>
      <c r="AA65" s="196">
        <f>COUNTIFS(РПЗ!$AB:$AB,Справочно!$E42,РПЗ!$AE:$AE,9)</f>
        <v>0</v>
      </c>
      <c r="AB65" s="372">
        <f>SUMIFS(РПЗ!$L:$L,РПЗ!$AB:$AB,Справочно!$E42,РПЗ!$AE:$AE,9)</f>
        <v>0</v>
      </c>
      <c r="AC65" s="194">
        <f t="shared" si="22"/>
        <v>0</v>
      </c>
      <c r="AD65" s="333">
        <f t="shared" si="23"/>
        <v>0</v>
      </c>
      <c r="AE65" s="201">
        <f>COUNTIFS(РПЗ!$AB:$AB,Справочно!$E42,РПЗ!$AE:$AE,10)</f>
        <v>0</v>
      </c>
      <c r="AF65" s="374">
        <f>SUMIFS(РПЗ!$L:$L,РПЗ!$AB:$AB,Справочно!$E42,РПЗ!$AE:$AE,10)</f>
        <v>0</v>
      </c>
      <c r="AG65" s="177">
        <f>COUNTIFS(РПЗ!$AB:$AB,Справочно!$E42,РПЗ!$AE:$AE,11)</f>
        <v>0</v>
      </c>
      <c r="AH65" s="374">
        <f>SUMIFS(РПЗ!$L:$L,РПЗ!$AB:$AB,Справочно!$E42,РПЗ!$AE:$AE,11)</f>
        <v>0</v>
      </c>
      <c r="AI65" s="177">
        <f>COUNTIFS(РПЗ!$AB:$AB,Справочно!$E42,РПЗ!$AE:$AE,12)</f>
        <v>0</v>
      </c>
      <c r="AJ65" s="374">
        <f>SUMIFS(РПЗ!$L:$L,РПЗ!$AB:$AB,Справочно!$E42,РПЗ!$AE:$AE,12)</f>
        <v>0</v>
      </c>
      <c r="AK65" s="198">
        <f t="shared" si="24"/>
        <v>0</v>
      </c>
      <c r="AL65" s="335">
        <f t="shared" si="25"/>
        <v>0</v>
      </c>
    </row>
    <row r="66" spans="1:38" ht="13.5" thickBot="1" x14ac:dyDescent="0.25">
      <c r="A66" s="90" t="str">
        <f>Справочно!E43</f>
        <v>АО "Швабе"</v>
      </c>
      <c r="B66" s="69">
        <f>COUNTIF(РПЗ!$AB:$AB,Справочно!$E43)</f>
        <v>7</v>
      </c>
      <c r="C66" s="354">
        <f t="shared" si="17"/>
        <v>4.4472681067344345E-3</v>
      </c>
      <c r="D66" s="355">
        <f>SUMIF(РПЗ!$AB:$AB,Справочно!$E43,РПЗ!$L:$L)</f>
        <v>10926704.300000001</v>
      </c>
      <c r="E66" s="354">
        <f t="shared" si="16"/>
        <v>2.2339290058551457E-3</v>
      </c>
      <c r="G66" s="146">
        <f>COUNTIFS(РПЗ!$AB:$AB,Справочно!$E43,РПЗ!$AE:$AE,1)</f>
        <v>3</v>
      </c>
      <c r="H66" s="336">
        <f>SUMIFS(РПЗ!$L:$L,РПЗ!$AB:$AB,Справочно!$E43,РПЗ!$AE:$AE,1)</f>
        <v>10011696</v>
      </c>
      <c r="I66" s="146">
        <f>COUNTIFS(РПЗ!$AB:$AB,Справочно!$E43,РПЗ!$AE:$AE,2)</f>
        <v>1</v>
      </c>
      <c r="J66" s="336">
        <f>SUMIFS(РПЗ!$L:$L,РПЗ!$AB:$AB,Справочно!$E43,РПЗ!$AE:$AE,2)</f>
        <v>158000</v>
      </c>
      <c r="K66" s="146">
        <f>COUNTIFS(РПЗ!$AB:$AB,Справочно!$E43,РПЗ!$AE:$AE,3)</f>
        <v>2</v>
      </c>
      <c r="L66" s="336">
        <f>SUMIFS(РПЗ!$L:$L,РПЗ!$AB:$AB,Справочно!$E43,РПЗ!$AE:$AE,3)</f>
        <v>603211.9</v>
      </c>
      <c r="M66" s="189">
        <f t="shared" si="18"/>
        <v>6</v>
      </c>
      <c r="N66" s="329">
        <f t="shared" si="19"/>
        <v>10772907.9</v>
      </c>
      <c r="O66" s="191">
        <f>COUNTIFS(РПЗ!$AB:$AB,Справочно!$E43,РПЗ!$AE:$AE,4)</f>
        <v>1</v>
      </c>
      <c r="P66" s="370">
        <f>SUMIFS(РПЗ!$L:$L,РПЗ!$AB:$AB,Справочно!$E43,РПЗ!$AE:$AE,4)</f>
        <v>153796.4</v>
      </c>
      <c r="Q66" s="183">
        <f>COUNTIFS(РПЗ!$AB:$AB,Справочно!$E43,РПЗ!$AE:$AE,5)</f>
        <v>0</v>
      </c>
      <c r="R66" s="370">
        <f>SUMIFS(РПЗ!$L:$L,РПЗ!$AB:$AB,Справочно!$E43,РПЗ!$AE:$AE,5)</f>
        <v>0</v>
      </c>
      <c r="S66" s="183">
        <f>COUNTIFS(РПЗ!$AB:$AB,Справочно!$E43,РПЗ!$AE:$AE,6)</f>
        <v>0</v>
      </c>
      <c r="T66" s="370">
        <f>SUMIFS(РПЗ!$L:$L,РПЗ!$AB:$AB,Справочно!$E43,РПЗ!$AE:$AE,6)</f>
        <v>0</v>
      </c>
      <c r="U66" s="193">
        <f t="shared" si="20"/>
        <v>1</v>
      </c>
      <c r="V66" s="331">
        <f t="shared" si="26"/>
        <v>153796.4</v>
      </c>
      <c r="W66" s="196">
        <f>COUNTIFS(РПЗ!$AB:$AB,Справочно!$E43,РПЗ!$AE:$AE,7)</f>
        <v>0</v>
      </c>
      <c r="X66" s="372">
        <f>SUMIFS(РПЗ!$L:$L,РПЗ!$AB:$AB,Справочно!$E43,РПЗ!$AE:$AE,7)</f>
        <v>0</v>
      </c>
      <c r="Y66" s="196">
        <f>COUNTIFS(РПЗ!$AB:$AB,Справочно!$E43,РПЗ!$AE:$AE,8)</f>
        <v>0</v>
      </c>
      <c r="Z66" s="372">
        <f>SUMIFS(РПЗ!$L:$L,РПЗ!$AB:$AB,Справочно!$E43,РПЗ!$AE:$AE,8)</f>
        <v>0</v>
      </c>
      <c r="AA66" s="196">
        <f>COUNTIFS(РПЗ!$AB:$AB,Справочно!$E43,РПЗ!$AE:$AE,9)</f>
        <v>0</v>
      </c>
      <c r="AB66" s="372">
        <f>SUMIFS(РПЗ!$L:$L,РПЗ!$AB:$AB,Справочно!$E43,РПЗ!$AE:$AE,9)</f>
        <v>0</v>
      </c>
      <c r="AC66" s="194">
        <f t="shared" si="22"/>
        <v>0</v>
      </c>
      <c r="AD66" s="333">
        <f t="shared" si="23"/>
        <v>0</v>
      </c>
      <c r="AE66" s="201">
        <f>COUNTIFS(РПЗ!$AB:$AB,Справочно!$E43,РПЗ!$AE:$AE,10)</f>
        <v>0</v>
      </c>
      <c r="AF66" s="374">
        <f>SUMIFS(РПЗ!$L:$L,РПЗ!$AB:$AB,Справочно!$E43,РПЗ!$AE:$AE,10)</f>
        <v>0</v>
      </c>
      <c r="AG66" s="177">
        <f>COUNTIFS(РПЗ!$AB:$AB,Справочно!$E43,РПЗ!$AE:$AE,11)</f>
        <v>0</v>
      </c>
      <c r="AH66" s="374">
        <f>SUMIFS(РПЗ!$L:$L,РПЗ!$AB:$AB,Справочно!$E43,РПЗ!$AE:$AE,11)</f>
        <v>0</v>
      </c>
      <c r="AI66" s="177">
        <f>COUNTIFS(РПЗ!$AB:$AB,Справочно!$E43,РПЗ!$AE:$AE,12)</f>
        <v>0</v>
      </c>
      <c r="AJ66" s="374">
        <f>SUMIFS(РПЗ!$L:$L,РПЗ!$AB:$AB,Справочно!$E43,РПЗ!$AE:$AE,12)</f>
        <v>0</v>
      </c>
      <c r="AK66" s="198">
        <f t="shared" si="24"/>
        <v>0</v>
      </c>
      <c r="AL66" s="335">
        <f t="shared" si="25"/>
        <v>0</v>
      </c>
    </row>
    <row r="67" spans="1:38" ht="13.5" thickBot="1" x14ac:dyDescent="0.25">
      <c r="A67" s="90" t="str">
        <f>Справочно!E44</f>
        <v>АО "Вертолеты России"</v>
      </c>
      <c r="B67" s="226">
        <f>COUNTIF(РПЗ!$AB:$AB,Справочно!$E44)</f>
        <v>0</v>
      </c>
      <c r="C67" s="356">
        <f t="shared" si="17"/>
        <v>0</v>
      </c>
      <c r="D67" s="357">
        <f>SUMIF(РПЗ!$AB:$AB,Справочно!$E44,РПЗ!$L:$L)</f>
        <v>0</v>
      </c>
      <c r="E67" s="356">
        <f t="shared" si="16"/>
        <v>0</v>
      </c>
      <c r="G67" s="148">
        <f>COUNTIFS(РПЗ!$AB:$AB,Справочно!$E44,РПЗ!$AE:$AE,1)</f>
        <v>0</v>
      </c>
      <c r="H67" s="337">
        <f>SUMIFS(РПЗ!$L:$L,РПЗ!$AB:$AB,Справочно!$E44,РПЗ!$AE:$AE,1)</f>
        <v>0</v>
      </c>
      <c r="I67" s="148">
        <f>COUNTIFS(РПЗ!$AB:$AB,Справочно!$E44,РПЗ!$AE:$AE,2)</f>
        <v>0</v>
      </c>
      <c r="J67" s="337">
        <f>SUMIFS(РПЗ!$L:$L,РПЗ!$AB:$AB,Справочно!$E44,РПЗ!$AE:$AE,2)</f>
        <v>0</v>
      </c>
      <c r="K67" s="148">
        <f>COUNTIFS(РПЗ!$AB:$AB,Справочно!$E44,РПЗ!$AE:$AE,3)</f>
        <v>0</v>
      </c>
      <c r="L67" s="337">
        <f>SUMIFS(РПЗ!$L:$L,РПЗ!$AB:$AB,Справочно!$E44,РПЗ!$AE:$AE,3)</f>
        <v>0</v>
      </c>
      <c r="M67" s="189">
        <f>SUM(G67,I67,K67)</f>
        <v>0</v>
      </c>
      <c r="N67" s="329">
        <f t="shared" si="19"/>
        <v>0</v>
      </c>
      <c r="O67" s="224">
        <f>COUNTIFS(РПЗ!$AB:$AB,Справочно!$E44,РПЗ!$AE:$AE,4)</f>
        <v>0</v>
      </c>
      <c r="P67" s="376">
        <f>SUMIFS(РПЗ!$L:$L,РПЗ!$AB:$AB,Справочно!$E44,РПЗ!$AE:$AE,4)</f>
        <v>0</v>
      </c>
      <c r="Q67" s="225">
        <f>COUNTIFS(РПЗ!$AB:$AB,Справочно!$E44,РПЗ!$AE:$AE,5)</f>
        <v>0</v>
      </c>
      <c r="R67" s="376">
        <f>SUMIFS(РПЗ!$L:$L,РПЗ!$AB:$AB,Справочно!$E44,РПЗ!$AE:$AE,5)</f>
        <v>0</v>
      </c>
      <c r="S67" s="225">
        <f>COUNTIFS(РПЗ!$AB:$AB,Справочно!$E44,РПЗ!$AE:$AE,6)</f>
        <v>0</v>
      </c>
      <c r="T67" s="376">
        <f>SUMIFS(РПЗ!$L:$L,РПЗ!$AB:$AB,Справочно!$E44,РПЗ!$AE:$AE,6)</f>
        <v>0</v>
      </c>
      <c r="U67" s="193">
        <f t="shared" si="20"/>
        <v>0</v>
      </c>
      <c r="V67" s="331">
        <f t="shared" si="26"/>
        <v>0</v>
      </c>
      <c r="W67" s="221">
        <f>COUNTIFS(РПЗ!$AB:$AB,Справочно!$E44,РПЗ!$AE:$AE,7)</f>
        <v>0</v>
      </c>
      <c r="X67" s="377">
        <f>SUMIFS(РПЗ!$L:$L,РПЗ!$AB:$AB,Справочно!$E44,РПЗ!$AE:$AE,7)</f>
        <v>0</v>
      </c>
      <c r="Y67" s="221">
        <f>COUNTIFS(РПЗ!$AB:$AB,Справочно!$E44,РПЗ!$AE:$AE,8)</f>
        <v>0</v>
      </c>
      <c r="Z67" s="377">
        <f>SUMIFS(РПЗ!$L:$L,РПЗ!$AB:$AB,Справочно!$E44,РПЗ!$AE:$AE,8)</f>
        <v>0</v>
      </c>
      <c r="AA67" s="221">
        <f>COUNTIFS(РПЗ!$AB:$AB,Справочно!$E44,РПЗ!$AE:$AE,9)</f>
        <v>0</v>
      </c>
      <c r="AB67" s="377">
        <f>SUMIFS(РПЗ!$L:$L,РПЗ!$AB:$AB,Справочно!$E44,РПЗ!$AE:$AE,9)</f>
        <v>0</v>
      </c>
      <c r="AC67" s="194">
        <f t="shared" si="22"/>
        <v>0</v>
      </c>
      <c r="AD67" s="333">
        <f t="shared" si="23"/>
        <v>0</v>
      </c>
      <c r="AE67" s="222">
        <f>COUNTIFS(РПЗ!$AB:$AB,Справочно!$E44,РПЗ!$AE:$AE,10)</f>
        <v>0</v>
      </c>
      <c r="AF67" s="378">
        <f>SUMIFS(РПЗ!$L:$L,РПЗ!$AB:$AB,Справочно!$E44,РПЗ!$AE:$AE,10)</f>
        <v>0</v>
      </c>
      <c r="AG67" s="223">
        <f>COUNTIFS(РПЗ!$AB:$AB,Справочно!$E44,РПЗ!$AE:$AE,11)</f>
        <v>0</v>
      </c>
      <c r="AH67" s="378">
        <f>SUMIFS(РПЗ!$L:$L,РПЗ!$AB:$AB,Справочно!$E44,РПЗ!$AE:$AE,11)</f>
        <v>0</v>
      </c>
      <c r="AI67" s="223">
        <f>COUNTIFS(РПЗ!$AB:$AB,Справочно!$E44,РПЗ!$AE:$AE,12)</f>
        <v>0</v>
      </c>
      <c r="AJ67" s="378">
        <f>SUMIFS(РПЗ!$L:$L,РПЗ!$AB:$AB,Справочно!$E44,РПЗ!$AE:$AE,12)</f>
        <v>0</v>
      </c>
      <c r="AK67" s="198">
        <f t="shared" si="24"/>
        <v>0</v>
      </c>
      <c r="AL67" s="335">
        <f t="shared" si="25"/>
        <v>0</v>
      </c>
    </row>
    <row r="68" spans="1:38" ht="13.5" thickBot="1" x14ac:dyDescent="0.25">
      <c r="A68" s="90" t="str">
        <f>Справочно!E45</f>
        <v>Заказчик</v>
      </c>
      <c r="B68" s="86">
        <f>COUNTIF(РПЗ!$AB:$AB,Справочно!$E45)</f>
        <v>1558</v>
      </c>
      <c r="C68" s="358">
        <f t="shared" si="17"/>
        <v>0.9898348157560356</v>
      </c>
      <c r="D68" s="359">
        <f>SUMIF(РПЗ!$AB:$AB,Справочно!$E45,РПЗ!$L:$L)</f>
        <v>4866616343.5099888</v>
      </c>
      <c r="E68" s="358">
        <f t="shared" si="16"/>
        <v>0.99496381632068809</v>
      </c>
      <c r="G68" s="187">
        <f>COUNTIFS(РПЗ!$AB:$AB,Справочно!$E45,РПЗ!$AE:$AE,1)</f>
        <v>231</v>
      </c>
      <c r="H68" s="379">
        <f>SUMIFS(РПЗ!$L:$L,РПЗ!$AB:$AB,Справочно!$E45,РПЗ!$AE:$AE,1)</f>
        <v>1160601815.3400004</v>
      </c>
      <c r="I68" s="187">
        <f>COUNTIFS(РПЗ!$AB:$AB,Справочно!$E45,РПЗ!$AE:$AE,2)</f>
        <v>187</v>
      </c>
      <c r="J68" s="379">
        <f>SUMIFS(РПЗ!$L:$L,РПЗ!$AB:$AB,Справочно!$E45,РПЗ!$AE:$AE,2)</f>
        <v>803423948.7700001</v>
      </c>
      <c r="K68" s="187">
        <f>COUNTIFS(РПЗ!$AB:$AB,Справочно!$E45,РПЗ!$AE:$AE,3)</f>
        <v>165</v>
      </c>
      <c r="L68" s="379">
        <f>SUMIFS(РПЗ!$L:$L,РПЗ!$AB:$AB,Справочно!$E45,РПЗ!$AE:$AE,3)</f>
        <v>342019384.38000011</v>
      </c>
      <c r="M68" s="189">
        <f>SUM(G68,I68,K68)</f>
        <v>583</v>
      </c>
      <c r="N68" s="329">
        <f t="shared" si="19"/>
        <v>2306045148.4900007</v>
      </c>
      <c r="O68" s="192">
        <f>COUNTIFS(РПЗ!$AB:$AB,Справочно!$E45,РПЗ!$AE:$AE,4)</f>
        <v>93</v>
      </c>
      <c r="P68" s="381">
        <f>SUMIFS(РПЗ!$L:$L,РПЗ!$AB:$AB,Справочно!$E45,РПЗ!$AE:$AE,4)</f>
        <v>104891766.01000001</v>
      </c>
      <c r="Q68" s="184">
        <f>COUNTIFS(РПЗ!$AB:$AB,Справочно!$E45,РПЗ!$AE:$AE,5)</f>
        <v>91</v>
      </c>
      <c r="R68" s="381">
        <f>SUMIFS(РПЗ!$L:$L,РПЗ!$AB:$AB,Справочно!$E45,РПЗ!$AE:$AE,5)</f>
        <v>259632446.14999995</v>
      </c>
      <c r="S68" s="184">
        <f>COUNTIFS(РПЗ!$AB:$AB,Справочно!$E45,РПЗ!$AE:$AE,6)</f>
        <v>188</v>
      </c>
      <c r="T68" s="381">
        <f>SUMIFS(РПЗ!$L:$L,РПЗ!$AB:$AB,Справочно!$E45,РПЗ!$AE:$AE,6)</f>
        <v>1142528508.0200002</v>
      </c>
      <c r="U68" s="193">
        <f t="shared" si="20"/>
        <v>372</v>
      </c>
      <c r="V68" s="331">
        <f t="shared" si="26"/>
        <v>1507052720.1800003</v>
      </c>
      <c r="W68" s="197">
        <f>COUNTIFS(РПЗ!$AB:$AB,Справочно!$E45,РПЗ!$AE:$AE,7)</f>
        <v>102</v>
      </c>
      <c r="X68" s="383">
        <f>SUMIFS(РПЗ!$L:$L,РПЗ!$AB:$AB,Справочно!$E45,РПЗ!$AE:$AE,7)</f>
        <v>92579270.579999983</v>
      </c>
      <c r="Y68" s="197">
        <f>COUNTIFS(РПЗ!$AB:$AB,Справочно!$E45,РПЗ!$AE:$AE,8)</f>
        <v>83</v>
      </c>
      <c r="Z68" s="383">
        <f>SUMIFS(РПЗ!$L:$L,РПЗ!$AB:$AB,Справочно!$E45,РПЗ!$AE:$AE,8)</f>
        <v>241688838.20999998</v>
      </c>
      <c r="AA68" s="197">
        <f>COUNTIFS(РПЗ!$AB:$AB,Справочно!$E45,РПЗ!$AE:$AE,9)</f>
        <v>90</v>
      </c>
      <c r="AB68" s="383">
        <f>SUMIFS(РПЗ!$L:$L,РПЗ!$AB:$AB,Справочно!$E45,РПЗ!$AE:$AE,9)</f>
        <v>140301926.04000002</v>
      </c>
      <c r="AC68" s="194">
        <f t="shared" si="22"/>
        <v>275</v>
      </c>
      <c r="AD68" s="333">
        <f t="shared" si="23"/>
        <v>474570034.82999998</v>
      </c>
      <c r="AE68" s="200">
        <f>COUNTIFS(РПЗ!$AB:$AB,Справочно!$E45,РПЗ!$AE:$AE,10)</f>
        <v>109</v>
      </c>
      <c r="AF68" s="385">
        <f>SUMIFS(РПЗ!$L:$L,РПЗ!$AB:$AB,Справочно!$E45,РПЗ!$AE:$AE,10)</f>
        <v>117932188.07000002</v>
      </c>
      <c r="AG68" s="178">
        <f>COUNTIFS(РПЗ!$AB:$AB,Справочно!$E45,РПЗ!$AE:$AE,11)</f>
        <v>115</v>
      </c>
      <c r="AH68" s="385">
        <f>SUMIFS(РПЗ!$L:$L,РПЗ!$AB:$AB,Справочно!$E45,РПЗ!$AE:$AE,11)</f>
        <v>183987054.19</v>
      </c>
      <c r="AI68" s="178">
        <f>COUNTIFS(РПЗ!$AB:$AB,Справочно!$E45,РПЗ!$AE:$AE,12)</f>
        <v>104</v>
      </c>
      <c r="AJ68" s="385">
        <f>SUMIFS(РПЗ!$L:$L,РПЗ!$AB:$AB,Справочно!$E45,РПЗ!$AE:$AE,12)</f>
        <v>277029197.75</v>
      </c>
      <c r="AK68" s="198">
        <f t="shared" si="24"/>
        <v>328</v>
      </c>
      <c r="AL68" s="335">
        <f t="shared" si="25"/>
        <v>578948440.00999999</v>
      </c>
    </row>
    <row r="69" spans="1:38" ht="13.5" thickBot="1" x14ac:dyDescent="0.25">
      <c r="A69" s="70" t="s">
        <v>242</v>
      </c>
      <c r="B69" s="404">
        <f>SUM(B44:B68)</f>
        <v>1568</v>
      </c>
      <c r="C69" s="405">
        <f>B69/$B$13</f>
        <v>0.99618805590851334</v>
      </c>
      <c r="D69" s="406">
        <f>SUM(D44:D68)</f>
        <v>4878515253.809989</v>
      </c>
      <c r="E69" s="405">
        <f t="shared" si="16"/>
        <v>0.99739650966787041</v>
      </c>
      <c r="G69" s="85">
        <f t="shared" ref="G69:AL69" si="27">SUM(G44:G68)</f>
        <v>234</v>
      </c>
      <c r="H69" s="387">
        <f t="shared" si="27"/>
        <v>1170613511.3400004</v>
      </c>
      <c r="I69" s="139">
        <f t="shared" si="27"/>
        <v>188</v>
      </c>
      <c r="J69" s="387">
        <f>SUM(J44:J68)</f>
        <v>803581948.7700001</v>
      </c>
      <c r="K69" s="139">
        <f t="shared" si="27"/>
        <v>167</v>
      </c>
      <c r="L69" s="388">
        <f t="shared" si="27"/>
        <v>342622596.28000009</v>
      </c>
      <c r="M69" s="175">
        <f t="shared" si="27"/>
        <v>589</v>
      </c>
      <c r="N69" s="389">
        <f t="shared" si="27"/>
        <v>2316818056.3900008</v>
      </c>
      <c r="O69" s="85">
        <f>SUM(O44:O68)</f>
        <v>94</v>
      </c>
      <c r="P69" s="387">
        <f>SUM(P44:P68)</f>
        <v>105045562.41000001</v>
      </c>
      <c r="Q69" s="139">
        <f>SUM(Q44:Q68)</f>
        <v>91</v>
      </c>
      <c r="R69" s="387">
        <f>SUM(R44:R68)</f>
        <v>259632446.14999995</v>
      </c>
      <c r="S69" s="139">
        <f t="shared" si="27"/>
        <v>188</v>
      </c>
      <c r="T69" s="388">
        <f t="shared" si="27"/>
        <v>1142528508.0200002</v>
      </c>
      <c r="U69" s="175">
        <f t="shared" si="27"/>
        <v>373</v>
      </c>
      <c r="V69" s="389">
        <f t="shared" si="27"/>
        <v>1507206516.5800004</v>
      </c>
      <c r="W69" s="85">
        <f>SUM(W44:W68)</f>
        <v>102</v>
      </c>
      <c r="X69" s="360">
        <f t="shared" si="27"/>
        <v>92579270.579999983</v>
      </c>
      <c r="Y69" s="85">
        <f t="shared" si="27"/>
        <v>84</v>
      </c>
      <c r="Z69" s="360">
        <f t="shared" si="27"/>
        <v>242071691.20999998</v>
      </c>
      <c r="AA69" s="85">
        <f>SUM(AA44:AA68)</f>
        <v>91</v>
      </c>
      <c r="AB69" s="390">
        <f t="shared" si="27"/>
        <v>140684779.04000002</v>
      </c>
      <c r="AC69" s="175">
        <f t="shared" si="27"/>
        <v>277</v>
      </c>
      <c r="AD69" s="389">
        <f t="shared" si="27"/>
        <v>475335740.82999998</v>
      </c>
      <c r="AE69" s="85">
        <f t="shared" si="27"/>
        <v>110</v>
      </c>
      <c r="AF69" s="387">
        <f>SUM(AF44:AF68)</f>
        <v>118138688.07000002</v>
      </c>
      <c r="AG69" s="139">
        <f>SUM(AG44:AG68)</f>
        <v>115</v>
      </c>
      <c r="AH69" s="387">
        <f t="shared" si="27"/>
        <v>183987054.19</v>
      </c>
      <c r="AI69" s="139">
        <f>SUM(AI44:AI68)</f>
        <v>104</v>
      </c>
      <c r="AJ69" s="388">
        <f t="shared" si="27"/>
        <v>277029197.75</v>
      </c>
      <c r="AK69" s="175">
        <f t="shared" si="27"/>
        <v>329</v>
      </c>
      <c r="AL69" s="389">
        <f t="shared" si="27"/>
        <v>579154940.00999999</v>
      </c>
    </row>
    <row r="70" spans="1:38" x14ac:dyDescent="0.2">
      <c r="G70" s="105"/>
      <c r="H70" s="106"/>
      <c r="I70" s="106"/>
      <c r="J70" s="106"/>
      <c r="K70" s="106"/>
      <c r="L70" s="106"/>
      <c r="M70" s="106"/>
      <c r="N70" s="142"/>
      <c r="O70" s="105"/>
      <c r="P70" s="106"/>
      <c r="Q70" s="106"/>
      <c r="R70" s="106"/>
      <c r="S70" s="106"/>
      <c r="T70" s="106"/>
      <c r="U70" s="106"/>
      <c r="V70" s="142"/>
      <c r="W70" s="105"/>
      <c r="X70" s="106"/>
      <c r="Y70" s="106"/>
      <c r="Z70" s="106"/>
      <c r="AA70" s="106"/>
      <c r="AB70" s="106"/>
      <c r="AC70" s="106"/>
      <c r="AD70" s="142"/>
      <c r="AE70" s="105"/>
      <c r="AF70" s="106"/>
      <c r="AG70" s="106"/>
      <c r="AH70" s="106"/>
      <c r="AI70" s="106"/>
      <c r="AJ70" s="106"/>
      <c r="AK70" s="106"/>
      <c r="AL70" s="142"/>
    </row>
    <row r="71" spans="1:38" ht="25.5" customHeight="1" thickBot="1" x14ac:dyDescent="0.25">
      <c r="A71" s="1114" t="s">
        <v>994</v>
      </c>
      <c r="B71" s="1114"/>
      <c r="C71" s="1114"/>
      <c r="D71" s="1114"/>
      <c r="E71" s="1114"/>
      <c r="G71" s="105"/>
      <c r="H71" s="106"/>
      <c r="I71" s="106"/>
      <c r="J71" s="106"/>
      <c r="K71" s="106"/>
      <c r="L71" s="106"/>
      <c r="M71" s="106"/>
      <c r="N71" s="142"/>
      <c r="O71" s="105"/>
      <c r="P71" s="106"/>
      <c r="Q71" s="106"/>
      <c r="R71" s="106"/>
      <c r="S71" s="106"/>
      <c r="T71" s="106"/>
      <c r="U71" s="106"/>
      <c r="V71" s="142"/>
      <c r="W71" s="105"/>
      <c r="X71" s="106"/>
      <c r="Y71" s="106"/>
      <c r="Z71" s="106"/>
      <c r="AA71" s="106"/>
      <c r="AB71" s="106"/>
      <c r="AC71" s="106"/>
      <c r="AD71" s="142"/>
      <c r="AE71" s="105"/>
      <c r="AF71" s="106"/>
      <c r="AG71" s="106"/>
      <c r="AH71" s="106"/>
      <c r="AI71" s="106"/>
      <c r="AJ71" s="106"/>
      <c r="AK71" s="106"/>
      <c r="AL71" s="142"/>
    </row>
    <row r="72" spans="1:38" ht="26.25" thickBot="1" x14ac:dyDescent="0.25">
      <c r="A72" s="260" t="s">
        <v>245</v>
      </c>
      <c r="B72" s="58" t="s">
        <v>290</v>
      </c>
      <c r="C72" s="59" t="s">
        <v>240</v>
      </c>
      <c r="D72" s="60" t="s">
        <v>289</v>
      </c>
      <c r="E72" s="59" t="s">
        <v>243</v>
      </c>
      <c r="G72" s="58" t="s">
        <v>290</v>
      </c>
      <c r="H72" s="62" t="s">
        <v>289</v>
      </c>
      <c r="I72" s="62" t="s">
        <v>290</v>
      </c>
      <c r="J72" s="62" t="s">
        <v>289</v>
      </c>
      <c r="K72" s="62" t="s">
        <v>290</v>
      </c>
      <c r="L72" s="141" t="s">
        <v>289</v>
      </c>
      <c r="M72" s="170" t="s">
        <v>290</v>
      </c>
      <c r="N72" s="170" t="s">
        <v>289</v>
      </c>
      <c r="O72" s="58" t="s">
        <v>290</v>
      </c>
      <c r="P72" s="62" t="s">
        <v>289</v>
      </c>
      <c r="Q72" s="62" t="s">
        <v>290</v>
      </c>
      <c r="R72" s="62" t="s">
        <v>289</v>
      </c>
      <c r="S72" s="62" t="s">
        <v>290</v>
      </c>
      <c r="T72" s="141" t="s">
        <v>289</v>
      </c>
      <c r="U72" s="170" t="s">
        <v>290</v>
      </c>
      <c r="V72" s="170" t="s">
        <v>289</v>
      </c>
      <c r="W72" s="58" t="s">
        <v>290</v>
      </c>
      <c r="X72" s="62" t="s">
        <v>289</v>
      </c>
      <c r="Y72" s="62" t="s">
        <v>290</v>
      </c>
      <c r="Z72" s="62" t="s">
        <v>289</v>
      </c>
      <c r="AA72" s="62" t="s">
        <v>290</v>
      </c>
      <c r="AB72" s="141" t="s">
        <v>289</v>
      </c>
      <c r="AC72" s="170" t="s">
        <v>290</v>
      </c>
      <c r="AD72" s="170" t="s">
        <v>289</v>
      </c>
      <c r="AE72" s="58" t="s">
        <v>290</v>
      </c>
      <c r="AF72" s="62" t="s">
        <v>289</v>
      </c>
      <c r="AG72" s="62" t="s">
        <v>290</v>
      </c>
      <c r="AH72" s="62" t="s">
        <v>289</v>
      </c>
      <c r="AI72" s="62" t="s">
        <v>290</v>
      </c>
      <c r="AJ72" s="141" t="s">
        <v>289</v>
      </c>
      <c r="AK72" s="170" t="s">
        <v>290</v>
      </c>
      <c r="AL72" s="170" t="s">
        <v>289</v>
      </c>
    </row>
    <row r="73" spans="1:38" ht="13.5" thickBot="1" x14ac:dyDescent="0.25">
      <c r="A73" s="87" t="s">
        <v>246</v>
      </c>
      <c r="B73" s="69">
        <f>COUNTIF(РПЗ!$R:$R,Справочно!$E16)</f>
        <v>966</v>
      </c>
      <c r="C73" s="393">
        <f>B73/$B$13</f>
        <v>0.61372299872935199</v>
      </c>
      <c r="D73" s="355">
        <f>SUMIF(РПЗ!$R:$R,Справочно!$E16,РПЗ!$L:$L)</f>
        <v>3471273893.8199973</v>
      </c>
      <c r="E73" s="393">
        <f>D73/$D$13</f>
        <v>0.70969060988245347</v>
      </c>
      <c r="G73" s="186">
        <f>COUNTIFS(РПЗ!$R:$R,Справочно!$E16,РПЗ!$AE:$AE,1)</f>
        <v>208</v>
      </c>
      <c r="H73" s="361">
        <f>SUMIFS(РПЗ!$L:$L,РПЗ!$R:$R,Справочно!$E16,РПЗ!$AE:$AE,1)</f>
        <v>1099955193.4300005</v>
      </c>
      <c r="I73" s="186">
        <f>COUNTIFS(РПЗ!$R:$R,Справочно!$E16,РПЗ!$AE:$AE,2)</f>
        <v>113</v>
      </c>
      <c r="J73" s="361">
        <f>SUMIFS(РПЗ!$L:$L,РПЗ!$R:$R,Справочно!$E16,РПЗ!$AE:$AE,2)</f>
        <v>516884112.44000006</v>
      </c>
      <c r="K73" s="186">
        <f>COUNTIFS(РПЗ!$R:$R,Справочно!$E16,РПЗ!$AE:$AE,3)</f>
        <v>84</v>
      </c>
      <c r="L73" s="361">
        <f>SUMIFS(РПЗ!$L:$L,РПЗ!$R:$R,Справочно!$E16,РПЗ!$AE:$AE,3)</f>
        <v>151653427.64999998</v>
      </c>
      <c r="M73" s="189">
        <f>SUM($G73,$I73,$K73)</f>
        <v>405</v>
      </c>
      <c r="N73" s="329">
        <f>SUM($H73,$J73,$L73)</f>
        <v>1768492733.5200005</v>
      </c>
      <c r="O73" s="190">
        <f>COUNTIFS(РПЗ!$R:$R,Справочно!$E16,РПЗ!$AE:$AE,4)</f>
        <v>50</v>
      </c>
      <c r="P73" s="363">
        <f>SUMIFS(РПЗ!$L:$L,РПЗ!$R:$R,Справочно!$E16,РПЗ!$AE:$AE,4)</f>
        <v>60222067.910000004</v>
      </c>
      <c r="Q73" s="190">
        <f>COUNTIFS(РПЗ!$R:$R,Справочно!$E16,РПЗ!$AE:$AE,5)</f>
        <v>61</v>
      </c>
      <c r="R73" s="363">
        <f>SUMIFS(РПЗ!$L:$L,РПЗ!$R:$R,Справочно!$E16,РПЗ!$AE:$AE,5)</f>
        <v>147038252.79999995</v>
      </c>
      <c r="S73" s="190">
        <f>COUNTIFS(РПЗ!$R:$R,Справочно!$E16,РПЗ!$AE:$AE,6)</f>
        <v>108</v>
      </c>
      <c r="T73" s="391">
        <f>SUMIFS(РПЗ!$L:$L,РПЗ!$R:$R,Справочно!$E16,РПЗ!$AE:$AE,6)</f>
        <v>1008069067.6399999</v>
      </c>
      <c r="U73" s="193">
        <f>SUM($O73,$Q73,$S73)</f>
        <v>219</v>
      </c>
      <c r="V73" s="331">
        <f>SUM($P73,$R73,$T73)</f>
        <v>1215329388.3499999</v>
      </c>
      <c r="W73" s="195">
        <f>COUNTIFS(РПЗ!$R:$R,Справочно!$E16,РПЗ!$AE:$AE,7)</f>
        <v>70</v>
      </c>
      <c r="X73" s="365">
        <f>SUMIFS(РПЗ!$L:$L,РПЗ!$R:$R,Справочно!$E16,РПЗ!$AE:$AE,7)</f>
        <v>81039669.350000009</v>
      </c>
      <c r="Y73" s="195">
        <f>COUNTIFS(РПЗ!$R:$R,Справочно!$E16,РПЗ!$AE:$AE,8)</f>
        <v>51</v>
      </c>
      <c r="Z73" s="365">
        <f>SUMIFS(РПЗ!$L:$L,РПЗ!$R:$R,Справочно!$E16,РПЗ!$AE:$AE,8)</f>
        <v>150350890.07999998</v>
      </c>
      <c r="AA73" s="195">
        <f>COUNTIFS(РПЗ!$R:$R,Справочно!$E16,РПЗ!$AE:$AE,9)</f>
        <v>50</v>
      </c>
      <c r="AB73" s="365">
        <f>SUMIFS(РПЗ!$L:$L,РПЗ!$R:$R,Справочно!$E16,РПЗ!$AE:$AE,9)</f>
        <v>40686355.030000009</v>
      </c>
      <c r="AC73" s="194">
        <f>SUM($W73,$Y73,$AA73)</f>
        <v>171</v>
      </c>
      <c r="AD73" s="333">
        <f>SUM($X73,$Z73,$AB73)</f>
        <v>272076914.46000004</v>
      </c>
      <c r="AE73" s="199">
        <f>COUNTIFS(РПЗ!$R:$R,Справочно!$E16,РПЗ!$AE:$AE,10)</f>
        <v>53</v>
      </c>
      <c r="AF73" s="367">
        <f>SUMIFS(РПЗ!$L:$L,РПЗ!$R:$R,Справочно!$E16,РПЗ!$AE:$AE,10)</f>
        <v>75725891.710000008</v>
      </c>
      <c r="AG73" s="199">
        <f>COUNTIFS(РПЗ!$R:$R,Справочно!$E16,РПЗ!$AE:$AE,11)</f>
        <v>69</v>
      </c>
      <c r="AH73" s="367">
        <f>SUMIFS(РПЗ!$L:$L,РПЗ!$R:$R,Справочно!$E16,РПЗ!$AE:$AE,11)</f>
        <v>79198068.029999986</v>
      </c>
      <c r="AI73" s="199">
        <f>COUNTIFS(РПЗ!$R:$R,Справочно!$E16,РПЗ!$AE:$AE,12)</f>
        <v>49</v>
      </c>
      <c r="AJ73" s="367">
        <f>SUMIFS(РПЗ!$L:$L,РПЗ!$R:$R,Справочно!$E16,РПЗ!$AE:$AE,12)</f>
        <v>60450897.75</v>
      </c>
      <c r="AK73" s="198">
        <f>SUM($AE73,$AG73,$AI73)</f>
        <v>171</v>
      </c>
      <c r="AL73" s="335">
        <f>SUM($AF73,$AH73,$AJ73)</f>
        <v>215374857.49000001</v>
      </c>
    </row>
    <row r="74" spans="1:38" ht="13.5" thickBot="1" x14ac:dyDescent="0.25">
      <c r="A74" s="88" t="s">
        <v>978</v>
      </c>
      <c r="B74" s="86">
        <f>COUNTIF(РПЗ!$R:$R,Справочно!$E17)</f>
        <v>605</v>
      </c>
      <c r="C74" s="358">
        <f>B74/$B$13</f>
        <v>0.38437102922490468</v>
      </c>
      <c r="D74" s="355">
        <f>SUMIF(РПЗ!$R:$R,Справочно!$E17,РПЗ!$L:$L)</f>
        <v>1383352791.8099999</v>
      </c>
      <c r="E74" s="354">
        <f>D74/$D$13</f>
        <v>0.28282196004471843</v>
      </c>
      <c r="G74" s="187">
        <f>COUNTIFS(РПЗ!$R:$R,Справочно!$E17,РПЗ!$AE:$AE,1)</f>
        <v>26</v>
      </c>
      <c r="H74" s="379">
        <f>SUMIFS(РПЗ!$L:$L,РПЗ!$R:$R,Справочно!$E17,РПЗ!$AE:$AE,1)</f>
        <v>70658317.910000011</v>
      </c>
      <c r="I74" s="187">
        <f>COUNTIFS(РПЗ!$R:$R,Справочно!$E17,РПЗ!$AE:$AE,2)</f>
        <v>75</v>
      </c>
      <c r="J74" s="379">
        <f>SUMIFS(РПЗ!$L:$L,РПЗ!$R:$R,Справочно!$E17,РПЗ!$AE:$AE,2)</f>
        <v>286697836.33000004</v>
      </c>
      <c r="K74" s="187">
        <f>COUNTIFS(РПЗ!$R:$R,Справочно!$E17,РПЗ!$AE:$AE,3)</f>
        <v>84</v>
      </c>
      <c r="L74" s="379">
        <f>SUMIFS(РПЗ!$L:$L,РПЗ!$R:$R,Справочно!$E17,РПЗ!$AE:$AE,3)</f>
        <v>191079168.62999997</v>
      </c>
      <c r="M74" s="189">
        <f>SUM($G74,$I74,$K74)</f>
        <v>185</v>
      </c>
      <c r="N74" s="329">
        <f>SUM($H74,$J74,$L74)</f>
        <v>548435322.87</v>
      </c>
      <c r="O74" s="192">
        <f>COUNTIFS(РПЗ!$R:$R,Справочно!$E17,РПЗ!$AE:$AE,4)</f>
        <v>45</v>
      </c>
      <c r="P74" s="381">
        <f>SUMIFS(РПЗ!$L:$L,РПЗ!$R:$R,Справочно!$E17,РПЗ!$AE:$AE,4)</f>
        <v>48421878.649999999</v>
      </c>
      <c r="Q74" s="192">
        <f>COUNTIFS(РПЗ!$R:$R,Справочно!$E17,РПЗ!$AE:$AE,5)</f>
        <v>30</v>
      </c>
      <c r="R74" s="381">
        <f>SUMIFS(РПЗ!$L:$L,РПЗ!$R:$R,Справочно!$E17,РПЗ!$AE:$AE,5)</f>
        <v>112594193.35000001</v>
      </c>
      <c r="S74" s="192">
        <f>COUNTIFS(РПЗ!$R:$R,Справочно!$E17,РПЗ!$AE:$AE,6)</f>
        <v>80</v>
      </c>
      <c r="T74" s="392">
        <f>SUMIFS(РПЗ!$L:$L,РПЗ!$R:$R,Справочно!$E17,РПЗ!$AE:$AE,6)</f>
        <v>134459440.38</v>
      </c>
      <c r="U74" s="193">
        <f>SUM($O74,$Q74,$S74)</f>
        <v>155</v>
      </c>
      <c r="V74" s="331">
        <f>SUM($P74,$R74,$T74)</f>
        <v>295475512.38</v>
      </c>
      <c r="W74" s="197">
        <f>COUNTIFS(РПЗ!$R:$R,Справочно!$E17,РПЗ!$AE:$AE,7)</f>
        <v>33</v>
      </c>
      <c r="X74" s="383">
        <f>SUMIFS(РПЗ!$L:$L,РПЗ!$R:$R,Справочно!$E17,РПЗ!$AE:$AE,7)</f>
        <v>15773535.23</v>
      </c>
      <c r="Y74" s="197">
        <f>COUNTIFS(РПЗ!$R:$R,Справочно!$E17,РПЗ!$AE:$AE,8)</f>
        <v>35</v>
      </c>
      <c r="Z74" s="383">
        <f>SUMIFS(РПЗ!$L:$L,РПЗ!$R:$R,Справочно!$E17,РПЗ!$AE:$AE,8)</f>
        <v>93213453.160000011</v>
      </c>
      <c r="AA74" s="197">
        <f>COUNTIFS(РПЗ!$R:$R,Справочно!$E17,РПЗ!$AE:$AE,9)</f>
        <v>42</v>
      </c>
      <c r="AB74" s="383">
        <f>SUMIFS(РПЗ!$L:$L,РПЗ!$R:$R,Справочно!$E17,РПЗ!$AE:$AE,9)</f>
        <v>103297774.81</v>
      </c>
      <c r="AC74" s="194">
        <f>SUM($W74,$Y74,$AA74)</f>
        <v>110</v>
      </c>
      <c r="AD74" s="333">
        <f>SUM($X74,$Z74,$AB74)</f>
        <v>212284763.20000002</v>
      </c>
      <c r="AE74" s="200">
        <f>COUNTIFS(РПЗ!$R:$R,Справочно!$E17,РПЗ!$AE:$AE,10)</f>
        <v>57</v>
      </c>
      <c r="AF74" s="385">
        <f>SUMIFS(РПЗ!$L:$L,РПЗ!$R:$R,Справочно!$E17,РПЗ!$AE:$AE,10)</f>
        <v>42412796.359999985</v>
      </c>
      <c r="AG74" s="200">
        <f>COUNTIFS(РПЗ!$R:$R,Справочно!$E17,РПЗ!$AE:$AE,11)</f>
        <v>44</v>
      </c>
      <c r="AH74" s="385">
        <f>SUMIFS(РПЗ!$L:$L,РПЗ!$R:$R,Справочно!$E17,РПЗ!$AE:$AE,11)</f>
        <v>68273097</v>
      </c>
      <c r="AI74" s="200">
        <f>COUNTIFS(РПЗ!$R:$R,Справочно!$E17,РПЗ!$AE:$AE,12)</f>
        <v>54</v>
      </c>
      <c r="AJ74" s="385">
        <f>SUMIFS(РПЗ!$L:$L,РПЗ!$R:$R,Справочно!$E17,РПЗ!$AE:$AE,12)</f>
        <v>216471299.99999994</v>
      </c>
      <c r="AK74" s="198">
        <f>SUM($AE74,$AG74,$AI74)</f>
        <v>155</v>
      </c>
      <c r="AL74" s="335">
        <f>SUM($AF74,$AH74,$AJ74)</f>
        <v>327157193.3599999</v>
      </c>
    </row>
    <row r="75" spans="1:38" ht="13.5" thickBot="1" x14ac:dyDescent="0.25">
      <c r="A75" s="70" t="s">
        <v>260</v>
      </c>
      <c r="B75" s="404">
        <f>B73+B74</f>
        <v>1571</v>
      </c>
      <c r="C75" s="407">
        <f>C73+C74</f>
        <v>0.99809402795425672</v>
      </c>
      <c r="D75" s="396">
        <f>D73+D74</f>
        <v>4854626685.6299973</v>
      </c>
      <c r="E75" s="407">
        <f>E73+E74</f>
        <v>0.99251256992717196</v>
      </c>
      <c r="G75" s="85">
        <f t="shared" ref="G75:AL75" si="28">G73+G74</f>
        <v>234</v>
      </c>
      <c r="H75" s="338">
        <f t="shared" si="28"/>
        <v>1170613511.3400006</v>
      </c>
      <c r="I75" s="139">
        <f t="shared" si="28"/>
        <v>188</v>
      </c>
      <c r="J75" s="338">
        <f t="shared" si="28"/>
        <v>803581948.7700001</v>
      </c>
      <c r="K75" s="139">
        <f t="shared" si="28"/>
        <v>168</v>
      </c>
      <c r="L75" s="344">
        <f t="shared" si="28"/>
        <v>342732596.27999997</v>
      </c>
      <c r="M75" s="175">
        <f t="shared" si="28"/>
        <v>590</v>
      </c>
      <c r="N75" s="340">
        <f t="shared" si="28"/>
        <v>2316928056.3900003</v>
      </c>
      <c r="O75" s="85">
        <f>O73+O74</f>
        <v>95</v>
      </c>
      <c r="P75" s="338">
        <f t="shared" si="28"/>
        <v>108643946.56</v>
      </c>
      <c r="Q75" s="139">
        <f t="shared" si="28"/>
        <v>91</v>
      </c>
      <c r="R75" s="338">
        <f t="shared" si="28"/>
        <v>259632446.14999998</v>
      </c>
      <c r="S75" s="139">
        <f t="shared" si="28"/>
        <v>188</v>
      </c>
      <c r="T75" s="344">
        <f t="shared" si="28"/>
        <v>1142528508.02</v>
      </c>
      <c r="U75" s="175">
        <f t="shared" si="28"/>
        <v>374</v>
      </c>
      <c r="V75" s="340">
        <f t="shared" si="28"/>
        <v>1510804900.73</v>
      </c>
      <c r="W75" s="85">
        <f t="shared" si="28"/>
        <v>103</v>
      </c>
      <c r="X75" s="338">
        <f t="shared" si="28"/>
        <v>96813204.580000013</v>
      </c>
      <c r="Y75" s="139">
        <f t="shared" si="28"/>
        <v>86</v>
      </c>
      <c r="Z75" s="338">
        <f t="shared" si="28"/>
        <v>243564343.24000001</v>
      </c>
      <c r="AA75" s="139">
        <f t="shared" si="28"/>
        <v>92</v>
      </c>
      <c r="AB75" s="344">
        <f t="shared" si="28"/>
        <v>143984129.84</v>
      </c>
      <c r="AC75" s="175">
        <f t="shared" si="28"/>
        <v>281</v>
      </c>
      <c r="AD75" s="340">
        <f t="shared" si="28"/>
        <v>484361677.66000009</v>
      </c>
      <c r="AE75" s="85">
        <f t="shared" si="28"/>
        <v>110</v>
      </c>
      <c r="AF75" s="338">
        <f t="shared" si="28"/>
        <v>118138688.06999999</v>
      </c>
      <c r="AG75" s="139">
        <f t="shared" si="28"/>
        <v>113</v>
      </c>
      <c r="AH75" s="338">
        <f t="shared" si="28"/>
        <v>147471165.02999997</v>
      </c>
      <c r="AI75" s="139">
        <f t="shared" si="28"/>
        <v>103</v>
      </c>
      <c r="AJ75" s="344">
        <f t="shared" si="28"/>
        <v>276922197.74999994</v>
      </c>
      <c r="AK75" s="175">
        <f t="shared" si="28"/>
        <v>326</v>
      </c>
      <c r="AL75" s="340">
        <f t="shared" si="28"/>
        <v>542532050.8499999</v>
      </c>
    </row>
    <row r="77" spans="1:38" ht="13.5" thickBot="1" x14ac:dyDescent="0.25"/>
    <row r="78" spans="1:38" ht="26.25" customHeight="1" thickBot="1" x14ac:dyDescent="0.25">
      <c r="A78" s="1115" t="s">
        <v>980</v>
      </c>
      <c r="B78" s="1116"/>
    </row>
    <row r="79" spans="1:38" ht="13.5" thickBot="1" x14ac:dyDescent="0.25">
      <c r="A79" s="102" t="s">
        <v>258</v>
      </c>
      <c r="B79" s="103">
        <f>COUNTIF(РПЗ!$Q:$Q,Справочно!$C32)</f>
        <v>0</v>
      </c>
    </row>
    <row r="82" spans="1:38" ht="22.5" customHeight="1" thickBot="1" x14ac:dyDescent="0.25">
      <c r="A82" s="1113" t="s">
        <v>1281</v>
      </c>
      <c r="B82" s="1113"/>
      <c r="C82" s="1113"/>
      <c r="D82" s="1113"/>
      <c r="E82" s="1113"/>
      <c r="F82" s="48" t="s">
        <v>1280</v>
      </c>
    </row>
    <row r="83" spans="1:38" ht="51.75" thickBot="1" x14ac:dyDescent="0.25">
      <c r="A83" s="482" t="s">
        <v>1273</v>
      </c>
      <c r="B83" s="485" t="s">
        <v>290</v>
      </c>
      <c r="C83" s="484" t="s">
        <v>1277</v>
      </c>
      <c r="D83" s="485" t="s">
        <v>289</v>
      </c>
      <c r="E83" s="484" t="s">
        <v>1278</v>
      </c>
      <c r="G83" s="483" t="s">
        <v>290</v>
      </c>
      <c r="H83" s="62" t="s">
        <v>289</v>
      </c>
      <c r="I83" s="62" t="s">
        <v>290</v>
      </c>
      <c r="J83" s="62" t="s">
        <v>289</v>
      </c>
      <c r="K83" s="62" t="s">
        <v>290</v>
      </c>
      <c r="L83" s="475" t="s">
        <v>289</v>
      </c>
      <c r="M83" s="482" t="s">
        <v>290</v>
      </c>
      <c r="N83" s="482" t="s">
        <v>289</v>
      </c>
      <c r="O83" s="483" t="s">
        <v>290</v>
      </c>
      <c r="P83" s="62" t="s">
        <v>289</v>
      </c>
      <c r="Q83" s="62" t="s">
        <v>290</v>
      </c>
      <c r="R83" s="62" t="s">
        <v>289</v>
      </c>
      <c r="S83" s="62" t="s">
        <v>290</v>
      </c>
      <c r="T83" s="475" t="s">
        <v>289</v>
      </c>
      <c r="U83" s="482" t="s">
        <v>290</v>
      </c>
      <c r="V83" s="482" t="s">
        <v>289</v>
      </c>
      <c r="W83" s="483" t="s">
        <v>290</v>
      </c>
      <c r="X83" s="62" t="s">
        <v>289</v>
      </c>
      <c r="Y83" s="62" t="s">
        <v>290</v>
      </c>
      <c r="Z83" s="62" t="s">
        <v>289</v>
      </c>
      <c r="AA83" s="62" t="s">
        <v>290</v>
      </c>
      <c r="AB83" s="475" t="s">
        <v>289</v>
      </c>
      <c r="AC83" s="482" t="s">
        <v>290</v>
      </c>
      <c r="AD83" s="482" t="s">
        <v>289</v>
      </c>
      <c r="AE83" s="483" t="s">
        <v>290</v>
      </c>
      <c r="AF83" s="62" t="s">
        <v>289</v>
      </c>
      <c r="AG83" s="62" t="s">
        <v>290</v>
      </c>
      <c r="AH83" s="62" t="s">
        <v>289</v>
      </c>
      <c r="AI83" s="62" t="s">
        <v>290</v>
      </c>
      <c r="AJ83" s="475" t="s">
        <v>289</v>
      </c>
      <c r="AK83" s="482" t="s">
        <v>290</v>
      </c>
      <c r="AL83" s="482" t="s">
        <v>289</v>
      </c>
    </row>
    <row r="84" spans="1:38" ht="13.5" thickBot="1" x14ac:dyDescent="0.25">
      <c r="A84" s="89" t="s">
        <v>1279</v>
      </c>
      <c r="B84" s="492">
        <f>COUNTIFS(РПЗ!$AD:$AD,Справочно!$E16,РПЗ!$L:$L,"&lt;50000000",РПЗ!$Q:$Q,"&lt;&gt;ЕП")</f>
        <v>5</v>
      </c>
      <c r="C84" s="347">
        <f>B84/$B$36</f>
        <v>5.1813471502590676E-3</v>
      </c>
      <c r="D84" s="495">
        <f>SUMIFS(РПЗ!$L:$L,РПЗ!$AD:$AD,Справочно!$E16,РПЗ!$L:$L,"&lt;50000000",РПЗ!$Q:$Q,"&lt;&gt;ЕП")</f>
        <v>10620992.9</v>
      </c>
      <c r="E84" s="347">
        <f>D84/$D$36</f>
        <v>3.0597934726471561E-3</v>
      </c>
      <c r="G84" s="186">
        <f>COUNTIFS(РПЗ!$AD:$AD,Справочно!$E16,РПЗ!$L:$L,"&lt;50000000",РПЗ!$Q:$Q,"&lt;&gt;ЕП",РПЗ!$AE:$AE,1)</f>
        <v>3</v>
      </c>
      <c r="H84" s="361">
        <f>SUMIFS(РПЗ!$L:$L,РПЗ!$AD:$AD,Справочно!$E16,РПЗ!$L:$L,"&lt;50000000",РПЗ!$Q:$Q,"&lt;&gt;ЕП",РПЗ!$AE:$AE,1)</f>
        <v>10011696</v>
      </c>
      <c r="I84" s="186">
        <f>COUNTIFS(РПЗ!$AD:$AD,Справочно!$E16,РПЗ!$L:$L,"&lt;50000000",РПЗ!$Q:$Q,"&lt;&gt;ЕП",РПЗ!$AE:$AE,2)</f>
        <v>1</v>
      </c>
      <c r="J84" s="361">
        <f>SUMIFS(РПЗ!$L:$L,РПЗ!$AD:$AD,Справочно!$E16,РПЗ!$L:$L,"&lt;50000000",РПЗ!$Q:$Q,"&lt;&gt;ЕП",РПЗ!$AE:$AE,2)</f>
        <v>158000</v>
      </c>
      <c r="K84" s="186">
        <f>COUNTIFS(РПЗ!$AD:$AD,Справочно!$E16,РПЗ!$L:$L,"&lt;50000000",РПЗ!$Q:$Q,"&lt;&gt;ЕП",РПЗ!$AE:$AE,3)</f>
        <v>1</v>
      </c>
      <c r="L84" s="361">
        <f>SUMIFS(РПЗ!$L:$L,РПЗ!$AD:$AD,Справочно!$E16,РПЗ!$L:$L,"&lt;50000000",РПЗ!$Q:$Q,"&lt;&gt;ЕП",РПЗ!$AE:$AE,3)</f>
        <v>451296.9</v>
      </c>
      <c r="M84" s="189">
        <f>SUM($G84,$I84,$K84)</f>
        <v>5</v>
      </c>
      <c r="N84" s="329">
        <f>SUM($H84,$J84,$L84)</f>
        <v>10620992.9</v>
      </c>
      <c r="O84" s="190">
        <f>COUNTIFS(РПЗ!$AD:$AD,Справочно!$E16,РПЗ!$L:$L,"&lt;50000000",РПЗ!$Q:$Q,"&lt;&gt;ЕП",РПЗ!$AE:$AE,4)</f>
        <v>0</v>
      </c>
      <c r="P84" s="363">
        <f>SUMIFS(РПЗ!$L:$L,РПЗ!$AD:$AD,Справочно!$E16,РПЗ!$L:$L,"&lt;50000000",РПЗ!$Q:$Q,"&lt;&gt;ЕП",РПЗ!$AE:$AE,4)</f>
        <v>0</v>
      </c>
      <c r="Q84" s="190">
        <f>COUNTIFS(РПЗ!$AD:$AD,Справочно!$E16,РПЗ!$L:$L,"&lt;50000000",РПЗ!$Q:$Q,"&lt;&gt;ЕП",РПЗ!$AE:$AE,5)</f>
        <v>0</v>
      </c>
      <c r="R84" s="363">
        <f>SUMIFS(РПЗ!$L:$L,РПЗ!$AD:$AD,Справочно!$E16,РПЗ!$L:$L,"&lt;50000000",РПЗ!$Q:$Q,"&lt;&gt;ЕП",РПЗ!$AE:$AE,5)</f>
        <v>0</v>
      </c>
      <c r="S84" s="190">
        <f>COUNTIFS(РПЗ!$AD:$AD,Справочно!$E16,РПЗ!$L:$L,"&lt;50000000",РПЗ!$Q:$Q,"&lt;&gt;ЕП",РПЗ!$AE:$AE,6)</f>
        <v>0</v>
      </c>
      <c r="T84" s="391">
        <f>SUMIFS(РПЗ!$L:$L,РПЗ!$AD:$AD,Справочно!$E16,РПЗ!$L:$L,"&lt;50000000",РПЗ!$Q:$Q,"&lt;&gt;ЕП",РПЗ!$AE:$AE,6)</f>
        <v>0</v>
      </c>
      <c r="U84" s="193">
        <f>SUM($O84,$Q84,$S84)</f>
        <v>0</v>
      </c>
      <c r="V84" s="331">
        <f>SUM($P84,$R84,$T84)</f>
        <v>0</v>
      </c>
      <c r="W84" s="195">
        <f>COUNTIFS(РПЗ!$AD:$AD,Справочно!$E16,РПЗ!$L:$L,"&lt;50000000",РПЗ!$Q:$Q,"&lt;&gt;ЕП",РПЗ!$AE:$AE,7)</f>
        <v>0</v>
      </c>
      <c r="X84" s="365">
        <f>SUMIFS(РПЗ!$L:$L,РПЗ!$AD:$AD,Справочно!$E16,РПЗ!$L:$L,"&lt;50000000",РПЗ!$Q:$Q,"&lt;&gt;ЕП",РПЗ!$AE:$AE,7)</f>
        <v>0</v>
      </c>
      <c r="Y84" s="195">
        <f>COUNTIFS(РПЗ!$AD:$AD,Справочно!$E16,РПЗ!$L:$L,"&lt;50000000",РПЗ!$Q:$Q,"&lt;&gt;ЕП",РПЗ!$AE:$AE,8)</f>
        <v>0</v>
      </c>
      <c r="Z84" s="365">
        <f>SUMIFS(РПЗ!$L:$L,РПЗ!$AD:$AD,Справочно!$E16,РПЗ!$L:$L,"&lt;50000000",РПЗ!$Q:$Q,"&lt;&gt;ЕП",РПЗ!$AE:$AE,8)</f>
        <v>0</v>
      </c>
      <c r="AA84" s="195">
        <f>COUNTIFS(РПЗ!$AD:$AD,Справочно!$E16,РПЗ!$L:$L,"&lt;50000000",РПЗ!$Q:$Q,"&lt;&gt;ЕП",РПЗ!$AE:$AE,9)</f>
        <v>0</v>
      </c>
      <c r="AB84" s="365">
        <f>SUMIFS(РПЗ!$L:$L,РПЗ!$AD:$AD,Справочно!$E16,РПЗ!$L:$L,"&lt;50000000",РПЗ!$Q:$Q,"&lt;&gt;ЕП",РПЗ!$AE:$AE,9)</f>
        <v>0</v>
      </c>
      <c r="AC84" s="194">
        <f>SUM($W84,$Y84,$AA84)</f>
        <v>0</v>
      </c>
      <c r="AD84" s="333">
        <f>SUM($X84,$Z84,$AB84)</f>
        <v>0</v>
      </c>
      <c r="AE84" s="199">
        <f>COUNTIFS(РПЗ!$AD:$AD,Справочно!$E16,РПЗ!$L:$L,"&lt;50000000",РПЗ!$Q:$Q,"&lt;&gt;ЕП",РПЗ!$AE:$AE,10)</f>
        <v>0</v>
      </c>
      <c r="AF84" s="367">
        <f>SUMIFS(РПЗ!$L:$L,РПЗ!$AD:$AD,Справочно!$E16,РПЗ!$L:$L,"&lt;50000000",РПЗ!$Q:$Q,"&lt;&gt;ЕП",РПЗ!$AE:$AE,10)</f>
        <v>0</v>
      </c>
      <c r="AG84" s="199">
        <f>COUNTIFS(РПЗ!$AD:$AD,Справочно!$E16,РПЗ!$L:$L,"&lt;50000000",РПЗ!$Q:$Q,"&lt;&gt;ЕП",РПЗ!$AE:$AE,11)</f>
        <v>0</v>
      </c>
      <c r="AH84" s="367">
        <f>SUMIFS(РПЗ!$L:$L,РПЗ!$AD:$AD,Справочно!$E16,РПЗ!$L:$L,"&lt;50000000",РПЗ!$Q:$Q,"&lt;&gt;ЕП",РПЗ!$AE:$AE,11)</f>
        <v>0</v>
      </c>
      <c r="AI84" s="199">
        <f>COUNTIFS(РПЗ!$AD:$AD,Справочно!$E16,РПЗ!$L:$L,"&lt;50000000",РПЗ!$Q:$Q,"&lt;&gt;ЕП",РПЗ!$AE:$AE,12)</f>
        <v>0</v>
      </c>
      <c r="AJ84" s="367">
        <f>SUMIFS(РПЗ!$L:$L,РПЗ!$AD:$AD,Справочно!$E16,РПЗ!$L:$L,"&lt;50000000",РПЗ!$Q:$Q,"&lt;&gt;ЕП",РПЗ!$AE:$AE,12)</f>
        <v>0</v>
      </c>
      <c r="AK84" s="198">
        <f>SUM($AE84,$AG84,$AI84)</f>
        <v>0</v>
      </c>
      <c r="AL84" s="335">
        <f>SUM($AF84,$AH84,$AJ84)</f>
        <v>0</v>
      </c>
    </row>
    <row r="85" spans="1:38" ht="13.5" thickBot="1" x14ac:dyDescent="0.25">
      <c r="A85" s="488" t="s">
        <v>1274</v>
      </c>
      <c r="B85" s="493">
        <f>COUNTIFS(РПЗ!$AD:$AD,Справочно!$E16,РПЗ!$L:$L,"&gt;=50000000",РПЗ!$Q:$Q,"&lt;&gt;ЕП")</f>
        <v>0</v>
      </c>
      <c r="C85" s="347">
        <f>B85/$B$36</f>
        <v>0</v>
      </c>
      <c r="D85" s="496">
        <f>SUMIFS(РПЗ!$L:$L,РПЗ!$AD:$AD,Справочно!$E16,РПЗ!$L:$L,"&gt;=50000000",РПЗ!$Q:$Q,"&lt;&gt;ЕП")</f>
        <v>0</v>
      </c>
      <c r="E85" s="347">
        <f>D85/$D$36</f>
        <v>0</v>
      </c>
      <c r="G85" s="186">
        <f>COUNTIFS(РПЗ!$AD:$AD,Справочно!$E16,РПЗ!$L:$L,"&gt;=50000000",РПЗ!$Q:$Q,"&lt;&gt;ЕП",РПЗ!$AE:$AE,1)</f>
        <v>0</v>
      </c>
      <c r="H85" s="361">
        <f>SUMIFS(РПЗ!$L:$L,РПЗ!$AD:$AD,Справочно!$E16,РПЗ!$L:$L,"&gt;=50000000",РПЗ!$Q:$Q,"&lt;&gt;ЕП",РПЗ!$AE:$AE,1)</f>
        <v>0</v>
      </c>
      <c r="I85" s="187">
        <f>COUNTIFS(РПЗ!$AD:$AD,Справочно!$E16,РПЗ!$L:$L,"&gt;=50000000",РПЗ!$Q:$Q,"&lt;&gt;ЕП",РПЗ!$AE:$AE,2)</f>
        <v>0</v>
      </c>
      <c r="J85" s="379">
        <f>SUMIFS(РПЗ!$L:$L,РПЗ!$AD:$AD,Справочно!$E16,РПЗ!$L:$L,"&gt;=50000000",РПЗ!$Q:$Q,"&lt;&gt;ЕП",РПЗ!$AE:$AE,2)</f>
        <v>0</v>
      </c>
      <c r="K85" s="187">
        <f>COUNTIFS(РПЗ!$AD:$AD,Справочно!$E16,РПЗ!$L:$L,"&gt;=50000000",РПЗ!$Q:$Q,"&lt;&gt;ЕП",РПЗ!$AE:$AE,3)</f>
        <v>0</v>
      </c>
      <c r="L85" s="379">
        <f>SUMIFS(РПЗ!$L:$L,РПЗ!$AD:$AD,Справочно!$E16,РПЗ!$L:$L,"&gt;=50000000",РПЗ!$Q:$Q,"&lt;&gt;ЕП",РПЗ!$AE:$AE,3)</f>
        <v>0</v>
      </c>
      <c r="M85" s="189">
        <f>SUM($G85,$I85,$K85)</f>
        <v>0</v>
      </c>
      <c r="N85" s="329">
        <f>SUM($H85,$J85,$L85)</f>
        <v>0</v>
      </c>
      <c r="O85" s="192">
        <f>COUNTIFS(РПЗ!$AD:$AD,Справочно!$E16,РПЗ!$L:$L,"&gt;=50000000",РПЗ!$Q:$Q,"&lt;&gt;ЕП",РПЗ!$AE:$AE,4)</f>
        <v>0</v>
      </c>
      <c r="P85" s="381">
        <f>SUMIFS(РПЗ!$L:$L,РПЗ!$AD:$AD,Справочно!$E16,РПЗ!$L:$L,"&gt;=50000000",РПЗ!$Q:$Q,"&lt;&gt;ЕП",РПЗ!$AE:$AE,4)</f>
        <v>0</v>
      </c>
      <c r="Q85" s="192">
        <f>COUNTIFS(РПЗ!$AD:$AD,Справочно!$E16,РПЗ!$L:$L,"&gt;=50000000",РПЗ!$Q:$Q,"&lt;&gt;ЕП",РПЗ!$AE:$AE,5)</f>
        <v>0</v>
      </c>
      <c r="R85" s="381">
        <f>SUMIFS(РПЗ!$L:$L,РПЗ!$AD:$AD,Справочно!$E16,РПЗ!$L:$L,"&gt;=50000000",РПЗ!$Q:$Q,"&lt;&gt;ЕП",РПЗ!$AE:$AE,5)</f>
        <v>0</v>
      </c>
      <c r="S85" s="192">
        <f>COUNTIFS(РПЗ!$AD:$AD,Справочно!$E16,РПЗ!$L:$L,"&gt;=50000000",РПЗ!$Q:$Q,"&lt;&gt;ЕП",РПЗ!$AE:$AE,6)</f>
        <v>0</v>
      </c>
      <c r="T85" s="392">
        <f>SUMIFS(РПЗ!$L:$L,РПЗ!$AD:$AD,Справочно!$E16,РПЗ!$L:$L,"&gt;=50000000",РПЗ!$Q:$Q,"&lt;&gt;ЕП",РПЗ!$AE:$AE,6)</f>
        <v>0</v>
      </c>
      <c r="U85" s="193">
        <f>SUM($O85,$Q85,$S85)</f>
        <v>0</v>
      </c>
      <c r="V85" s="331">
        <f>SUM($P85,$R85,$T85)</f>
        <v>0</v>
      </c>
      <c r="W85" s="197">
        <f>COUNTIFS(РПЗ!$AD:$AD,Справочно!$E16,РПЗ!$L:$L,"&gt;=50000000",РПЗ!$Q:$Q,"&lt;&gt;ЕП",РПЗ!$AE:$AE,7)</f>
        <v>0</v>
      </c>
      <c r="X85" s="383">
        <f>SUMIFS(РПЗ!$L:$L,РПЗ!$AD:$AD,Справочно!$E16,РПЗ!$L:$L,"&gt;=50000000",РПЗ!$Q:$Q,"&lt;&gt;ЕП",РПЗ!$AE:$AE,7)</f>
        <v>0</v>
      </c>
      <c r="Y85" s="197">
        <f>COUNTIFS(РПЗ!$AD:$AD,Справочно!$E16,РПЗ!$L:$L,"&gt;=50000000",РПЗ!$Q:$Q,"&lt;&gt;ЕП",РПЗ!$AE:$AE,8)</f>
        <v>0</v>
      </c>
      <c r="Z85" s="383">
        <f>SUMIFS(РПЗ!$L:$L,РПЗ!$AD:$AD,Справочно!$E16,РПЗ!$L:$L,"&gt;=50000000",РПЗ!$Q:$Q,"&lt;&gt;ЕП",РПЗ!$AE:$AE,8)</f>
        <v>0</v>
      </c>
      <c r="AA85" s="197">
        <f>COUNTIFS(РПЗ!$AD:$AD,Справочно!$E16,РПЗ!$L:$L,"&gt;=50000000",РПЗ!$Q:$Q,"&lt;&gt;ЕП",РПЗ!$AE:$AE,9)</f>
        <v>0</v>
      </c>
      <c r="AB85" s="383">
        <f>SUMIFS(РПЗ!$L:$L,РПЗ!$AD:$AD,Справочно!$E16,РПЗ!$L:$L,"&gt;=50000000",РПЗ!$Q:$Q,"&lt;&gt;ЕП",РПЗ!$AE:$AE,9)</f>
        <v>0</v>
      </c>
      <c r="AC85" s="194">
        <f>SUM($W85,$Y85,$AA85)</f>
        <v>0</v>
      </c>
      <c r="AD85" s="333">
        <f>SUM($X85,$Z85,$AB85)</f>
        <v>0</v>
      </c>
      <c r="AE85" s="200">
        <f>COUNTIFS(РПЗ!$AD:$AD,Справочно!$E16,РПЗ!$L:$L,"&gt;=50000000",РПЗ!$Q:$Q,"&lt;&gt;ЕП",РПЗ!$AE:$AE,10)</f>
        <v>0</v>
      </c>
      <c r="AF85" s="385">
        <f>SUMIFS(РПЗ!$L:$L,РПЗ!$AD:$AD,Справочно!$E16,РПЗ!$L:$L,"&gt;=50000000",РПЗ!$Q:$Q,"&lt;&gt;ЕП",РПЗ!$AE:$AE,10)</f>
        <v>0</v>
      </c>
      <c r="AG85" s="200">
        <f>COUNTIFS(РПЗ!$AD:$AD,Справочно!$E16,РПЗ!$L:$L,"&gt;=50000000",РПЗ!$Q:$Q,"&lt;&gt;ЕП",РПЗ!$AE:$AE,11)</f>
        <v>0</v>
      </c>
      <c r="AH85" s="385">
        <f>SUMIFS(РПЗ!$L:$L,РПЗ!$AD:$AD,Справочно!$E16,РПЗ!$L:$L,"&gt;=50000000",РПЗ!$Q:$Q,"&lt;&gt;ЕП",РПЗ!$AE:$AE,11)</f>
        <v>0</v>
      </c>
      <c r="AI85" s="200">
        <f>COUNTIFS(РПЗ!$AD:$AD,Справочно!$E16,РПЗ!$L:$L,"&gt;=50000000",РПЗ!$Q:$Q,"&lt;&gt;ЕП",РПЗ!$AE:$AE,12)</f>
        <v>0</v>
      </c>
      <c r="AJ85" s="385">
        <f>SUMIFS(РПЗ!$L:$L,РПЗ!$AD:$AD,Справочно!$E16,РПЗ!$L:$L,"&gt;=50000000",РПЗ!$Q:$Q,"&lt;&gt;ЕП",РПЗ!$AE:$AE,12)</f>
        <v>0</v>
      </c>
      <c r="AK85" s="198">
        <f>SUM($AE85,$AG85,$AI85)</f>
        <v>0</v>
      </c>
      <c r="AL85" s="335">
        <f>SUM($AF85,$AH85,$AJ85)</f>
        <v>0</v>
      </c>
    </row>
    <row r="86" spans="1:38" ht="13.5" thickBot="1" x14ac:dyDescent="0.25">
      <c r="A86" s="70" t="s">
        <v>1275</v>
      </c>
      <c r="B86" s="402">
        <f>SUM(B84:B85)</f>
        <v>5</v>
      </c>
      <c r="C86" s="490">
        <f>B86/$B$36</f>
        <v>5.1813471502590676E-3</v>
      </c>
      <c r="D86" s="401">
        <f>SUM(D84:D85)</f>
        <v>10620992.9</v>
      </c>
      <c r="E86" s="490">
        <f>D86/$D$36</f>
        <v>3.0597934726471561E-3</v>
      </c>
      <c r="G86" s="85">
        <f>G84+G85</f>
        <v>3</v>
      </c>
      <c r="H86" s="338">
        <f t="shared" ref="H86:N86" si="29">H84+H85</f>
        <v>10011696</v>
      </c>
      <c r="I86" s="139">
        <f t="shared" si="29"/>
        <v>1</v>
      </c>
      <c r="J86" s="338">
        <f t="shared" si="29"/>
        <v>158000</v>
      </c>
      <c r="K86" s="139">
        <f t="shared" si="29"/>
        <v>1</v>
      </c>
      <c r="L86" s="344">
        <f t="shared" si="29"/>
        <v>451296.9</v>
      </c>
      <c r="M86" s="175">
        <f t="shared" si="29"/>
        <v>5</v>
      </c>
      <c r="N86" s="340">
        <f t="shared" si="29"/>
        <v>10620992.9</v>
      </c>
      <c r="O86" s="85">
        <f>O84+O85</f>
        <v>0</v>
      </c>
      <c r="P86" s="338">
        <f t="shared" ref="P86:AL86" si="30">P84+P85</f>
        <v>0</v>
      </c>
      <c r="Q86" s="139">
        <f t="shared" si="30"/>
        <v>0</v>
      </c>
      <c r="R86" s="338">
        <f t="shared" si="30"/>
        <v>0</v>
      </c>
      <c r="S86" s="139">
        <f t="shared" si="30"/>
        <v>0</v>
      </c>
      <c r="T86" s="344">
        <f t="shared" si="30"/>
        <v>0</v>
      </c>
      <c r="U86" s="175">
        <f t="shared" si="30"/>
        <v>0</v>
      </c>
      <c r="V86" s="340">
        <f t="shared" si="30"/>
        <v>0</v>
      </c>
      <c r="W86" s="85">
        <f t="shared" si="30"/>
        <v>0</v>
      </c>
      <c r="X86" s="338">
        <f t="shared" si="30"/>
        <v>0</v>
      </c>
      <c r="Y86" s="139">
        <f t="shared" si="30"/>
        <v>0</v>
      </c>
      <c r="Z86" s="338">
        <f t="shared" si="30"/>
        <v>0</v>
      </c>
      <c r="AA86" s="139">
        <f t="shared" si="30"/>
        <v>0</v>
      </c>
      <c r="AB86" s="344">
        <f t="shared" si="30"/>
        <v>0</v>
      </c>
      <c r="AC86" s="175">
        <f t="shared" si="30"/>
        <v>0</v>
      </c>
      <c r="AD86" s="340">
        <f t="shared" si="30"/>
        <v>0</v>
      </c>
      <c r="AE86" s="85">
        <f t="shared" si="30"/>
        <v>0</v>
      </c>
      <c r="AF86" s="338">
        <f t="shared" si="30"/>
        <v>0</v>
      </c>
      <c r="AG86" s="139">
        <f t="shared" si="30"/>
        <v>0</v>
      </c>
      <c r="AH86" s="338">
        <f t="shared" si="30"/>
        <v>0</v>
      </c>
      <c r="AI86" s="139">
        <f t="shared" si="30"/>
        <v>0</v>
      </c>
      <c r="AJ86" s="344">
        <f t="shared" si="30"/>
        <v>0</v>
      </c>
      <c r="AK86" s="175">
        <f t="shared" si="30"/>
        <v>0</v>
      </c>
      <c r="AL86" s="340">
        <f t="shared" si="30"/>
        <v>0</v>
      </c>
    </row>
    <row r="87" spans="1:38" ht="13.5" thickBot="1" x14ac:dyDescent="0.25">
      <c r="A87" s="489" t="s">
        <v>1276</v>
      </c>
      <c r="B87" s="494">
        <f>COUNTIFS(РПЗ!$AD:$AD,Справочно!$E17,РПЗ!$L:$L,"&gt;=50000000",РПЗ!$Q:$Q,"&lt;&gt;ЕП")</f>
        <v>11</v>
      </c>
      <c r="C87" s="491">
        <f>B87/$B$36</f>
        <v>1.1398963730569948E-2</v>
      </c>
      <c r="D87" s="497">
        <f>SUMIFS(РПЗ!$L:$L,РПЗ!$AD:$AD,Справочно!$E17,РПЗ!$L:$L,"&gt;=50000000",РПЗ!$Q:$Q,"&lt;&gt;ЕП")</f>
        <v>968103603.67000008</v>
      </c>
      <c r="E87" s="491">
        <f>D87/$D$36</f>
        <v>0.27890020408126398</v>
      </c>
      <c r="G87" s="498">
        <f>COUNTIFS(РПЗ!$AD:$AD,Справочно!$E17,РПЗ!$L:$L,"&gt;=50000000",РПЗ!$Q:$Q,"&lt;&gt;ЕП",РПЗ!$AE:$AE,1)</f>
        <v>4</v>
      </c>
      <c r="H87" s="499">
        <f>SUMIFS(РПЗ!$L:$L,РПЗ!$AD:$AD,Справочно!$E17,РПЗ!$L:$L,"&gt;=50000000",РПЗ!$AE:$AE,1)</f>
        <v>359853603.67000002</v>
      </c>
      <c r="I87" s="498">
        <f>COUNTIFS(РПЗ!$AD:$AD,Справочно!$E17,РПЗ!$L:$L,"&gt;=50000000",РПЗ!$Q:$Q,"&lt;&gt;ЕП",РПЗ!$AE:$AE,2)</f>
        <v>4</v>
      </c>
      <c r="J87" s="499">
        <f>SUMIFS(РПЗ!$L:$L,РПЗ!$AD:$AD,Справочно!$E17,РПЗ!$L:$L,"&gt;=50000000",РПЗ!$AE:$AE,2)</f>
        <v>421000000</v>
      </c>
      <c r="K87" s="498">
        <f>COUNTIFS(РПЗ!$AD:$AD,Справочно!$E17,РПЗ!$L:$L,"&gt;=50000000",РПЗ!$Q:$Q,"&lt;&gt;ЕП",РПЗ!$AE:$AE,3)</f>
        <v>0</v>
      </c>
      <c r="L87" s="499">
        <f>SUMIFS(РПЗ!$L:$L,РПЗ!$AD:$AD,Справочно!$E17,РПЗ!$L:$L,"&gt;=50000000",РПЗ!$AE:$AE,3)</f>
        <v>0</v>
      </c>
      <c r="M87" s="500">
        <f>SUM($G87,$I87,$K87)</f>
        <v>8</v>
      </c>
      <c r="N87" s="501">
        <f>SUM($H87,$J87,$L87)</f>
        <v>780853603.67000008</v>
      </c>
      <c r="O87" s="498">
        <f>COUNTIFS(РПЗ!$AD:$AD,Справочно!$E17,РПЗ!$L:$L,"&gt;=50000000",РПЗ!$Q:$Q,"&lt;&gt;ЕП",РПЗ!$AE:$AE,4)</f>
        <v>0</v>
      </c>
      <c r="P87" s="499">
        <f>SUMIFS(РПЗ!$L:$L,РПЗ!$AD:$AD,Справочно!$E17,РПЗ!$L:$L,"&gt;=50000000",РПЗ!$AE:$AE,4)</f>
        <v>0</v>
      </c>
      <c r="Q87" s="498">
        <f>COUNTIFS(РПЗ!$AD:$AD,Справочно!$E17,РПЗ!$L:$L,"&gt;=50000000",РПЗ!$Q:$Q,"&lt;&gt;ЕП",РПЗ!$AE:$AE,5)</f>
        <v>0</v>
      </c>
      <c r="R87" s="499">
        <f>SUMIFS(РПЗ!$L:$L,РПЗ!$AD:$AD,Справочно!$E17,РПЗ!$L:$L,"&gt;=50000000",РПЗ!$AE:$AE,5)</f>
        <v>80625000</v>
      </c>
      <c r="S87" s="498">
        <f>COUNTIFS(РПЗ!$AD:$AD,Справочно!$E17,РПЗ!$L:$L,"&gt;=50000000",РПЗ!$Q:$Q,"&lt;&gt;ЕП",РПЗ!$AE:$AE,6)</f>
        <v>3</v>
      </c>
      <c r="T87" s="502">
        <f>SUMIFS(РПЗ!$L:$L,РПЗ!$AD:$AD,Справочно!$E17,РПЗ!$L:$L,"&gt;=50000000",РПЗ!$AE:$AE,6)</f>
        <v>268250000</v>
      </c>
      <c r="U87" s="500">
        <f>SUM($O87,$Q87,$S87)</f>
        <v>3</v>
      </c>
      <c r="V87" s="501">
        <f>SUM($P87,$R87,$T87)</f>
        <v>348875000</v>
      </c>
      <c r="W87" s="498">
        <f>COUNTIFS(РПЗ!$AD:$AD,Справочно!$E17,РПЗ!$L:$L,"&gt;=50000000",РПЗ!$Q:$Q,"&lt;&gt;ЕП",РПЗ!$AE:$AE,7)</f>
        <v>0</v>
      </c>
      <c r="X87" s="499">
        <f>SUMIFS(РПЗ!$L:$L,РПЗ!$AD:$AD,Справочно!$E17,РПЗ!$L:$L,"&gt;=50000000",РПЗ!$AE:$AE,7)</f>
        <v>0</v>
      </c>
      <c r="Y87" s="498">
        <f>COUNTIFS(РПЗ!$AD:$AD,Справочно!$E17,РПЗ!$L:$L,"&gt;=50000000",РПЗ!$Q:$Q,"&lt;&gt;ЕП",РПЗ!$AE:$AE,8)</f>
        <v>0</v>
      </c>
      <c r="Z87" s="499">
        <f>SUMIFS(РПЗ!$L:$L,РПЗ!$AD:$AD,Справочно!$E17,РПЗ!$L:$L,"&gt;=50000000",РПЗ!$AE:$AE,8)</f>
        <v>0</v>
      </c>
      <c r="AA87" s="498">
        <f>COUNTIFS(РПЗ!$AD:$AD,Справочно!$E17,РПЗ!$L:$L,"&gt;=50000000",РПЗ!$Q:$Q,"&lt;&gt;ЕП",РПЗ!$AE:$AE,9)</f>
        <v>0</v>
      </c>
      <c r="AB87" s="499">
        <f>SUMIFS(РПЗ!$L:$L,РПЗ!$AD:$AD,Справочно!$E17,РПЗ!$L:$L,"&gt;=50000000",РПЗ!$AE:$AE,9)</f>
        <v>0</v>
      </c>
      <c r="AC87" s="500">
        <f>SUM($W87,$Y87,$AA87)</f>
        <v>0</v>
      </c>
      <c r="AD87" s="501">
        <f>SUM($X87,$Z87,$AB87)</f>
        <v>0</v>
      </c>
      <c r="AE87" s="498">
        <f>COUNTIFS(РПЗ!$AD:$AD,Справочно!$E17,РПЗ!$L:$L,"&gt;=50000000",РПЗ!$Q:$Q,"&lt;&gt;ЕП",РПЗ!$AE:$AE,10)</f>
        <v>0</v>
      </c>
      <c r="AF87" s="499">
        <f>SUMIFS(РПЗ!$L:$L,РПЗ!$AD:$AD,Справочно!$E17,РПЗ!$L:$L,"&gt;=50000000",РПЗ!$AE:$AE,10)</f>
        <v>0</v>
      </c>
      <c r="AG87" s="498">
        <f>COUNTIFS(РПЗ!$AD:$AD,Справочно!$E17,РПЗ!$L:$L,"&gt;=50000000",РПЗ!$Q:$Q,"&lt;&gt;ЕП",РПЗ!$AE:$AE,11)</f>
        <v>0</v>
      </c>
      <c r="AH87" s="499">
        <f>SUMIFS(РПЗ!$L:$L,РПЗ!$AD:$AD,Справочно!$E17,РПЗ!$L:$L,"&gt;=50000000",РПЗ!$AE:$AE,11)</f>
        <v>0</v>
      </c>
      <c r="AI87" s="498">
        <f>COUNTIFS(РПЗ!$AD:$AD,Справочно!$E17,РПЗ!$L:$L,"&gt;=50000000",РПЗ!$Q:$Q,"&lt;&gt;ЕП",РПЗ!$AE:$AE,12)</f>
        <v>0</v>
      </c>
      <c r="AJ87" s="499">
        <f>SUMIFS(РПЗ!$L:$L,РПЗ!$AD:$AD,Справочно!$E17,РПЗ!$L:$L,"&gt;=50000000",РПЗ!$AE:$AE,12)</f>
        <v>0</v>
      </c>
      <c r="AK87" s="500">
        <f>SUM($AE87,$AG87,$AI87)</f>
        <v>0</v>
      </c>
      <c r="AL87" s="501">
        <f>SUM($AF87,$AH87,$AJ87)</f>
        <v>0</v>
      </c>
    </row>
  </sheetData>
  <mergeCells count="32">
    <mergeCell ref="A82:E82"/>
    <mergeCell ref="A42:E42"/>
    <mergeCell ref="A71:E71"/>
    <mergeCell ref="A78:B78"/>
    <mergeCell ref="A2:P2"/>
    <mergeCell ref="G14:H14"/>
    <mergeCell ref="I14:J14"/>
    <mergeCell ref="K14:L14"/>
    <mergeCell ref="M14:N14"/>
    <mergeCell ref="G12:N13"/>
    <mergeCell ref="B10:C10"/>
    <mergeCell ref="B4:C4"/>
    <mergeCell ref="B5:C5"/>
    <mergeCell ref="B6:C6"/>
    <mergeCell ref="B7:C7"/>
    <mergeCell ref="B8:C8"/>
    <mergeCell ref="B9:C9"/>
    <mergeCell ref="O12:V13"/>
    <mergeCell ref="O14:P14"/>
    <mergeCell ref="Q14:R14"/>
    <mergeCell ref="S14:T14"/>
    <mergeCell ref="U14:V14"/>
    <mergeCell ref="W12:AD13"/>
    <mergeCell ref="W14:X14"/>
    <mergeCell ref="Y14:Z14"/>
    <mergeCell ref="AA14:AB14"/>
    <mergeCell ref="AC14:AD14"/>
    <mergeCell ref="AE12:AL13"/>
    <mergeCell ref="AE14:AF14"/>
    <mergeCell ref="AG14:AH14"/>
    <mergeCell ref="AI14:AJ14"/>
    <mergeCell ref="AK14:AL14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Q1681"/>
  <sheetViews>
    <sheetView tabSelected="1" view="pageLayout" topLeftCell="A1584" zoomScaleNormal="100" workbookViewId="0">
      <selection activeCell="E1589" sqref="E1589"/>
    </sheetView>
  </sheetViews>
  <sheetFormatPr defaultRowHeight="15" x14ac:dyDescent="0.25"/>
  <cols>
    <col min="1" max="1" width="24.5703125" customWidth="1"/>
    <col min="2" max="2" width="33.85546875" customWidth="1"/>
    <col min="3" max="3" width="27.42578125" customWidth="1"/>
    <col min="4" max="4" width="34.28515625" customWidth="1"/>
    <col min="5" max="5" width="24" customWidth="1"/>
    <col min="6" max="8" width="11.42578125" customWidth="1"/>
    <col min="9" max="11" width="14.85546875" customWidth="1"/>
    <col min="12" max="12" width="14" customWidth="1"/>
    <col min="13" max="13" width="15.28515625" customWidth="1"/>
    <col min="14" max="14" width="14.140625" customWidth="1"/>
    <col min="15" max="19" width="12.42578125" customWidth="1"/>
    <col min="20" max="20" width="12.42578125" style="681" customWidth="1"/>
    <col min="21" max="21" width="18.7109375" customWidth="1"/>
    <col min="22" max="22" width="15.140625" style="681" customWidth="1"/>
    <col min="23" max="23" width="24.42578125" customWidth="1"/>
    <col min="24" max="25" width="14.42578125" style="681" customWidth="1"/>
    <col min="26" max="26" width="31.5703125" style="681" customWidth="1"/>
    <col min="27" max="27" width="17.5703125" style="681" customWidth="1"/>
    <col min="28" max="28" width="20.5703125" customWidth="1"/>
    <col min="29" max="29" width="17.140625" customWidth="1"/>
    <col min="30" max="30" width="15.5703125" style="681" customWidth="1"/>
    <col min="31" max="31" width="24.7109375" style="681" customWidth="1"/>
    <col min="32" max="32" width="8.140625" customWidth="1"/>
    <col min="33" max="33" width="26.140625" style="681" customWidth="1"/>
    <col min="34" max="34" width="19" customWidth="1"/>
    <col min="35" max="35" width="14.42578125" customWidth="1"/>
    <col min="36" max="36" width="16.28515625" customWidth="1"/>
    <col min="37" max="37" width="15.7109375" customWidth="1"/>
    <col min="38" max="38" width="15.42578125" customWidth="1"/>
    <col min="39" max="39" width="17.7109375" customWidth="1"/>
    <col min="40" max="42" width="20.85546875" customWidth="1"/>
    <col min="43" max="43" width="9.5703125" bestFit="1" customWidth="1"/>
    <col min="44" max="44" width="10.140625" customWidth="1"/>
  </cols>
  <sheetData>
    <row r="1" spans="1:43" ht="21.75" customHeight="1" x14ac:dyDescent="0.25">
      <c r="B1" s="14"/>
      <c r="C1" s="14"/>
      <c r="D1" s="14"/>
      <c r="E1" s="14"/>
      <c r="F1" s="14"/>
      <c r="G1" s="1086" t="s">
        <v>274</v>
      </c>
      <c r="H1" s="1086"/>
      <c r="I1" s="1086"/>
      <c r="J1" s="1086"/>
      <c r="K1" s="1086"/>
      <c r="L1" s="1086"/>
      <c r="M1" s="1086"/>
      <c r="N1" s="1086"/>
      <c r="O1" s="14"/>
      <c r="P1" s="14"/>
      <c r="Q1" s="14"/>
      <c r="R1" s="14"/>
      <c r="S1" s="14"/>
      <c r="T1" s="679"/>
      <c r="U1" s="14"/>
      <c r="V1" s="679"/>
      <c r="W1" s="1086"/>
      <c r="X1" s="1086"/>
      <c r="Y1" s="1086"/>
      <c r="Z1" s="1086"/>
      <c r="AA1" s="1086"/>
      <c r="AB1" s="1086"/>
      <c r="AC1" s="1086"/>
      <c r="AD1" s="680"/>
      <c r="AE1" s="680"/>
      <c r="AF1" s="128"/>
      <c r="AG1" s="680"/>
      <c r="AH1" s="51"/>
      <c r="AI1" s="51"/>
      <c r="AJ1" s="21"/>
      <c r="AK1" s="21"/>
      <c r="AL1" s="19"/>
      <c r="AM1" s="51"/>
      <c r="AN1" s="313"/>
      <c r="AO1" s="455"/>
      <c r="AP1" s="455"/>
    </row>
    <row r="2" spans="1:43" ht="15.75" thickBot="1" x14ac:dyDescent="0.3">
      <c r="A2" s="14"/>
      <c r="B2" s="14"/>
      <c r="C2" s="14"/>
      <c r="D2" s="14"/>
      <c r="E2" s="14"/>
      <c r="F2" s="14"/>
      <c r="G2" s="207"/>
      <c r="H2" s="207"/>
      <c r="I2" s="204">
        <v>4</v>
      </c>
      <c r="J2" s="282"/>
      <c r="K2" s="282"/>
      <c r="L2" s="140" t="s">
        <v>318</v>
      </c>
      <c r="M2" s="204">
        <v>2017</v>
      </c>
      <c r="N2" s="14" t="s">
        <v>319</v>
      </c>
      <c r="O2" s="14"/>
      <c r="P2" s="14"/>
      <c r="Q2" s="14"/>
      <c r="R2" s="14"/>
      <c r="S2" s="14"/>
      <c r="T2" s="679"/>
      <c r="U2" s="14"/>
      <c r="V2" s="679"/>
      <c r="W2" s="1086"/>
      <c r="X2" s="1086"/>
      <c r="Y2" s="1086"/>
      <c r="Z2" s="1086"/>
      <c r="AA2" s="1086"/>
      <c r="AB2" s="1086"/>
      <c r="AC2" s="1086"/>
      <c r="AD2" s="680"/>
      <c r="AE2" s="680"/>
      <c r="AF2" s="128"/>
      <c r="AG2" s="680"/>
      <c r="AH2" s="51"/>
      <c r="AI2" s="51"/>
      <c r="AJ2" s="21"/>
      <c r="AK2" s="21"/>
      <c r="AL2" s="19"/>
      <c r="AM2" s="51"/>
      <c r="AN2" s="313"/>
      <c r="AO2" s="455"/>
      <c r="AP2" s="455"/>
    </row>
    <row r="3" spans="1:43" ht="25.5" x14ac:dyDescent="0.25">
      <c r="A3" s="119" t="s">
        <v>1</v>
      </c>
      <c r="B3" s="311" t="str">
        <f>РПЗ!B4</f>
        <v>АО"НИИ" Полюс" им. М.Ф. Стельмаха"</v>
      </c>
      <c r="C3" s="51"/>
      <c r="D3" s="51"/>
      <c r="E3" s="51"/>
      <c r="F3" s="20"/>
      <c r="G3" s="20"/>
      <c r="H3" s="20"/>
      <c r="I3" s="3"/>
      <c r="J3" s="259"/>
      <c r="K3" s="259"/>
      <c r="L3" s="3"/>
      <c r="M3" s="3"/>
      <c r="N3" s="3"/>
      <c r="O3" s="24"/>
      <c r="P3" s="3"/>
      <c r="Q3" s="3"/>
      <c r="R3" s="3"/>
      <c r="S3" s="3"/>
      <c r="T3" s="680"/>
      <c r="U3" s="3"/>
      <c r="V3" s="680"/>
      <c r="W3" s="3"/>
      <c r="X3" s="680"/>
      <c r="Y3" s="680"/>
      <c r="Z3" s="680"/>
      <c r="AA3" s="680"/>
      <c r="AB3" s="3"/>
      <c r="AC3" s="3"/>
      <c r="AD3" s="680"/>
      <c r="AE3" s="680"/>
      <c r="AF3" s="128"/>
      <c r="AG3" s="680"/>
      <c r="AH3" s="51"/>
      <c r="AI3" s="51"/>
      <c r="AJ3" s="21"/>
      <c r="AK3" s="21"/>
      <c r="AL3" s="19"/>
      <c r="AM3" s="51"/>
      <c r="AN3" s="313"/>
      <c r="AO3" s="455"/>
      <c r="AP3" s="455"/>
    </row>
    <row r="4" spans="1:43" ht="25.5" x14ac:dyDescent="0.25">
      <c r="A4" s="120" t="s">
        <v>2</v>
      </c>
      <c r="B4" s="15" t="str">
        <f>РПЗ!B5</f>
        <v>г. Москва, ул. Введенского, д.3, корп.1</v>
      </c>
      <c r="C4" s="51"/>
      <c r="D4" s="51"/>
      <c r="E4" s="51"/>
      <c r="F4" s="20"/>
      <c r="G4" s="20"/>
      <c r="H4" s="20"/>
      <c r="I4" s="3"/>
      <c r="J4" s="259"/>
      <c r="K4" s="259"/>
      <c r="L4" s="3"/>
      <c r="M4" s="3"/>
      <c r="N4" s="3"/>
      <c r="O4" s="24"/>
      <c r="P4" s="3"/>
      <c r="Q4" s="3"/>
      <c r="R4" s="3"/>
      <c r="S4" s="3"/>
      <c r="T4" s="680"/>
      <c r="U4" s="3"/>
      <c r="V4" s="680"/>
      <c r="W4" s="3"/>
      <c r="X4" s="680"/>
      <c r="Y4" s="680"/>
      <c r="Z4" s="680"/>
      <c r="AA4" s="680"/>
      <c r="AB4" s="3"/>
      <c r="AC4" s="3"/>
      <c r="AD4" s="680"/>
      <c r="AE4" s="680"/>
      <c r="AF4" s="128"/>
      <c r="AG4" s="680"/>
      <c r="AH4" s="51"/>
      <c r="AI4" s="51"/>
      <c r="AJ4" s="21"/>
      <c r="AK4" s="21"/>
      <c r="AL4" s="19"/>
      <c r="AM4" s="51"/>
      <c r="AN4" s="313"/>
      <c r="AO4" s="455"/>
      <c r="AP4" s="455"/>
    </row>
    <row r="5" spans="1:43" x14ac:dyDescent="0.25">
      <c r="A5" s="120" t="s">
        <v>3</v>
      </c>
      <c r="B5" s="15" t="str">
        <f>РПЗ!B6</f>
        <v>8-495-333-05-02</v>
      </c>
      <c r="C5" s="51"/>
      <c r="D5" s="51"/>
      <c r="E5" s="51"/>
      <c r="F5" s="20"/>
      <c r="G5" s="20"/>
      <c r="H5" s="20"/>
      <c r="I5" s="3"/>
      <c r="J5" s="259"/>
      <c r="K5" s="259"/>
      <c r="L5" s="3"/>
      <c r="M5" s="3"/>
      <c r="N5" s="3"/>
      <c r="O5" s="24"/>
      <c r="P5" s="3"/>
      <c r="Q5" s="3"/>
      <c r="R5" s="3"/>
      <c r="S5" s="3"/>
      <c r="T5" s="680"/>
      <c r="U5" s="3"/>
      <c r="V5" s="680"/>
      <c r="W5" s="3"/>
      <c r="X5" s="680"/>
      <c r="Y5" s="680"/>
      <c r="Z5" s="680"/>
      <c r="AA5" s="680"/>
      <c r="AB5" s="3"/>
      <c r="AC5" s="3"/>
      <c r="AD5" s="680"/>
      <c r="AE5" s="680"/>
      <c r="AF5" s="128"/>
      <c r="AG5" s="680"/>
      <c r="AH5" s="51"/>
      <c r="AI5" s="51"/>
      <c r="AJ5" s="21"/>
      <c r="AK5" s="21"/>
      <c r="AL5" s="19"/>
      <c r="AM5" s="51"/>
      <c r="AN5" s="313"/>
      <c r="AO5" s="455"/>
      <c r="AP5" s="455"/>
    </row>
    <row r="6" spans="1:43" ht="25.5" x14ac:dyDescent="0.25">
      <c r="A6" s="120" t="s">
        <v>4</v>
      </c>
      <c r="B6" s="15" t="str">
        <f>РПЗ!B7</f>
        <v>zakupki223fz@mail.ru</v>
      </c>
      <c r="F6" s="20"/>
      <c r="G6" s="20"/>
      <c r="H6" s="20"/>
    </row>
    <row r="7" spans="1:43" x14ac:dyDescent="0.25">
      <c r="A7" s="120" t="s">
        <v>5</v>
      </c>
      <c r="B7" s="15">
        <f>РПЗ!B8</f>
        <v>7728816598</v>
      </c>
      <c r="F7" s="20"/>
      <c r="G7" s="20"/>
      <c r="H7" s="20"/>
    </row>
    <row r="8" spans="1:43" x14ac:dyDescent="0.25">
      <c r="A8" s="120" t="s">
        <v>6</v>
      </c>
      <c r="B8" s="15">
        <f>РПЗ!B9</f>
        <v>772801001</v>
      </c>
      <c r="F8" s="20"/>
      <c r="G8" s="20"/>
      <c r="H8" s="20"/>
    </row>
    <row r="9" spans="1:43" ht="15.75" thickBot="1" x14ac:dyDescent="0.3">
      <c r="A9" s="121" t="s">
        <v>7</v>
      </c>
      <c r="B9" s="312">
        <f>РПЗ!B10</f>
        <v>4593599</v>
      </c>
      <c r="F9" s="20"/>
      <c r="G9" s="20"/>
      <c r="H9" s="20"/>
    </row>
    <row r="10" spans="1:43" ht="26.25" thickBot="1" x14ac:dyDescent="0.3">
      <c r="A10" s="122" t="s">
        <v>321</v>
      </c>
      <c r="B10" s="123"/>
      <c r="F10" s="20"/>
      <c r="G10" s="20"/>
      <c r="H10" s="20"/>
    </row>
    <row r="11" spans="1:43" ht="15.75" thickBot="1" x14ac:dyDescent="0.3">
      <c r="A11" s="4"/>
      <c r="B11" s="5"/>
      <c r="F11" s="52"/>
      <c r="G11" s="5"/>
      <c r="H11" s="5"/>
    </row>
    <row r="12" spans="1:43" ht="26.25" customHeight="1" thickBot="1" x14ac:dyDescent="0.3">
      <c r="A12" s="1075" t="s">
        <v>213</v>
      </c>
      <c r="B12" s="1075" t="s">
        <v>214</v>
      </c>
      <c r="C12" s="1075" t="s">
        <v>14</v>
      </c>
      <c r="D12" s="1075" t="s">
        <v>204</v>
      </c>
      <c r="E12" s="1123" t="s">
        <v>205</v>
      </c>
      <c r="F12" s="1075" t="s">
        <v>217</v>
      </c>
      <c r="G12" s="1135" t="s">
        <v>161</v>
      </c>
      <c r="H12" s="1075" t="s">
        <v>10</v>
      </c>
      <c r="I12" s="1125" t="s">
        <v>938</v>
      </c>
      <c r="J12" s="1126"/>
      <c r="K12" s="1127"/>
      <c r="L12" s="1077" t="s">
        <v>160</v>
      </c>
      <c r="M12" s="1067" t="s">
        <v>21</v>
      </c>
      <c r="N12" s="1079"/>
      <c r="O12" s="1079"/>
      <c r="P12" s="1079"/>
      <c r="Q12" s="1079"/>
      <c r="R12" s="1079"/>
      <c r="S12" s="1079"/>
      <c r="T12" s="1079"/>
      <c r="U12" s="1079"/>
      <c r="V12" s="1068"/>
      <c r="W12" s="1075" t="s">
        <v>294</v>
      </c>
      <c r="X12" s="1130" t="s">
        <v>223</v>
      </c>
      <c r="Y12" s="1130" t="s">
        <v>224</v>
      </c>
      <c r="Z12" s="1130" t="s">
        <v>208</v>
      </c>
      <c r="AA12" s="1130" t="s">
        <v>209</v>
      </c>
      <c r="AB12" s="1067" t="s">
        <v>158</v>
      </c>
      <c r="AC12" s="1068"/>
      <c r="AD12" s="1140" t="s">
        <v>226</v>
      </c>
      <c r="AE12" s="1141"/>
      <c r="AF12" s="1077" t="s">
        <v>299</v>
      </c>
      <c r="AG12" s="1130" t="s">
        <v>225</v>
      </c>
      <c r="AH12" s="1125" t="s">
        <v>219</v>
      </c>
      <c r="AI12" s="1127"/>
      <c r="AJ12" s="1132" t="s">
        <v>229</v>
      </c>
      <c r="AK12" s="1133"/>
      <c r="AL12" s="1134"/>
      <c r="AM12" s="1135" t="s">
        <v>238</v>
      </c>
      <c r="AN12" s="1151" t="s">
        <v>212</v>
      </c>
      <c r="AO12" s="1144" t="s">
        <v>1266</v>
      </c>
      <c r="AP12" s="1147" t="s">
        <v>12</v>
      </c>
      <c r="AQ12" s="1128" t="s">
        <v>982</v>
      </c>
    </row>
    <row r="13" spans="1:43" ht="77.25" thickBot="1" x14ac:dyDescent="0.3">
      <c r="A13" s="1076"/>
      <c r="B13" s="1076"/>
      <c r="C13" s="1076"/>
      <c r="D13" s="1076"/>
      <c r="E13" s="1124"/>
      <c r="F13" s="1076"/>
      <c r="G13" s="1150"/>
      <c r="H13" s="1076"/>
      <c r="I13" s="1075" t="s">
        <v>13</v>
      </c>
      <c r="J13" s="1075" t="s">
        <v>207</v>
      </c>
      <c r="K13" s="1075" t="s">
        <v>26</v>
      </c>
      <c r="L13" s="1080"/>
      <c r="M13" s="1067" t="s">
        <v>33</v>
      </c>
      <c r="N13" s="1068"/>
      <c r="O13" s="53" t="s">
        <v>605</v>
      </c>
      <c r="P13" s="1067" t="s">
        <v>34</v>
      </c>
      <c r="Q13" s="1068"/>
      <c r="R13" s="1067" t="s">
        <v>269</v>
      </c>
      <c r="S13" s="1068"/>
      <c r="T13" s="682" t="s">
        <v>218</v>
      </c>
      <c r="U13" s="1067" t="s">
        <v>35</v>
      </c>
      <c r="V13" s="1068"/>
      <c r="W13" s="1081"/>
      <c r="X13" s="1131"/>
      <c r="Y13" s="1131"/>
      <c r="Z13" s="1131"/>
      <c r="AA13" s="1131"/>
      <c r="AB13" s="1077" t="s">
        <v>270</v>
      </c>
      <c r="AC13" s="53" t="s">
        <v>35</v>
      </c>
      <c r="AD13" s="1142"/>
      <c r="AE13" s="1143"/>
      <c r="AF13" s="1078"/>
      <c r="AG13" s="1131"/>
      <c r="AH13" s="228" t="s">
        <v>220</v>
      </c>
      <c r="AI13" s="228" t="s">
        <v>221</v>
      </c>
      <c r="AJ13" s="23" t="s">
        <v>162</v>
      </c>
      <c r="AK13" s="23" t="s">
        <v>163</v>
      </c>
      <c r="AL13" s="23" t="s">
        <v>164</v>
      </c>
      <c r="AM13" s="1136"/>
      <c r="AN13" s="1152"/>
      <c r="AO13" s="1145"/>
      <c r="AP13" s="1148"/>
      <c r="AQ13" s="1129"/>
    </row>
    <row r="14" spans="1:43" ht="39" thickBot="1" x14ac:dyDescent="0.3">
      <c r="A14" s="1076"/>
      <c r="B14" s="1076"/>
      <c r="C14" s="1076"/>
      <c r="D14" s="1076"/>
      <c r="E14" s="1124"/>
      <c r="F14" s="1076"/>
      <c r="G14" s="1150"/>
      <c r="H14" s="1076"/>
      <c r="I14" s="1081"/>
      <c r="J14" s="1081"/>
      <c r="K14" s="1081"/>
      <c r="L14" s="9" t="s">
        <v>36</v>
      </c>
      <c r="M14" s="2" t="s">
        <v>37</v>
      </c>
      <c r="N14" s="10" t="s">
        <v>38</v>
      </c>
      <c r="O14" s="10" t="s">
        <v>38</v>
      </c>
      <c r="P14" s="10" t="s">
        <v>39</v>
      </c>
      <c r="Q14" s="10" t="s">
        <v>38</v>
      </c>
      <c r="R14" s="10" t="s">
        <v>39</v>
      </c>
      <c r="S14" s="10" t="s">
        <v>38</v>
      </c>
      <c r="T14" s="683" t="s">
        <v>38</v>
      </c>
      <c r="U14" s="22" t="s">
        <v>37</v>
      </c>
      <c r="V14" s="683" t="s">
        <v>272</v>
      </c>
      <c r="W14" s="2" t="s">
        <v>247</v>
      </c>
      <c r="X14" s="1131"/>
      <c r="Y14" s="1131"/>
      <c r="Z14" s="1131"/>
      <c r="AA14" s="1131"/>
      <c r="AB14" s="1078"/>
      <c r="AC14" s="10" t="s">
        <v>272</v>
      </c>
      <c r="AD14" s="684" t="s">
        <v>227</v>
      </c>
      <c r="AE14" s="684" t="s">
        <v>271</v>
      </c>
      <c r="AF14" s="53" t="s">
        <v>300</v>
      </c>
      <c r="AG14" s="1131"/>
      <c r="AH14" s="228" t="s">
        <v>222</v>
      </c>
      <c r="AI14" s="228" t="s">
        <v>116</v>
      </c>
      <c r="AJ14" s="1137" t="s">
        <v>302</v>
      </c>
      <c r="AK14" s="1138"/>
      <c r="AL14" s="1139"/>
      <c r="AM14" s="54" t="s">
        <v>25</v>
      </c>
      <c r="AN14" s="1152"/>
      <c r="AO14" s="1146"/>
      <c r="AP14" s="1149"/>
      <c r="AQ14" s="1129"/>
    </row>
    <row r="15" spans="1:43" s="310" customFormat="1" ht="13.5" customHeight="1" thickBot="1" x14ac:dyDescent="0.25">
      <c r="A15" s="308" t="s">
        <v>119</v>
      </c>
      <c r="B15" s="309" t="s">
        <v>120</v>
      </c>
      <c r="C15" s="309" t="s">
        <v>121</v>
      </c>
      <c r="D15" s="309" t="s">
        <v>122</v>
      </c>
      <c r="E15" s="309" t="s">
        <v>123</v>
      </c>
      <c r="F15" s="309" t="s">
        <v>124</v>
      </c>
      <c r="G15" s="309" t="s">
        <v>125</v>
      </c>
      <c r="H15" s="309" t="s">
        <v>977</v>
      </c>
      <c r="I15" s="309" t="s">
        <v>126</v>
      </c>
      <c r="J15" s="309" t="s">
        <v>936</v>
      </c>
      <c r="K15" s="309" t="s">
        <v>937</v>
      </c>
      <c r="L15" s="309" t="s">
        <v>127</v>
      </c>
      <c r="M15" s="309" t="s">
        <v>128</v>
      </c>
      <c r="N15" s="309" t="s">
        <v>129</v>
      </c>
      <c r="O15" s="309" t="s">
        <v>130</v>
      </c>
      <c r="P15" s="309" t="s">
        <v>131</v>
      </c>
      <c r="Q15" s="309" t="s">
        <v>132</v>
      </c>
      <c r="R15" s="309" t="s">
        <v>133</v>
      </c>
      <c r="S15" s="309" t="s">
        <v>134</v>
      </c>
      <c r="T15" s="685" t="s">
        <v>135</v>
      </c>
      <c r="U15" s="309" t="s">
        <v>136</v>
      </c>
      <c r="V15" s="685" t="s">
        <v>137</v>
      </c>
      <c r="W15" s="309" t="s">
        <v>138</v>
      </c>
      <c r="X15" s="685" t="s">
        <v>139</v>
      </c>
      <c r="Y15" s="685" t="s">
        <v>140</v>
      </c>
      <c r="Z15" s="685" t="s">
        <v>215</v>
      </c>
      <c r="AA15" s="685" t="s">
        <v>216</v>
      </c>
      <c r="AB15" s="309" t="s">
        <v>301</v>
      </c>
      <c r="AC15" s="309" t="s">
        <v>151</v>
      </c>
      <c r="AD15" s="685" t="s">
        <v>152</v>
      </c>
      <c r="AE15" s="685" t="s">
        <v>153</v>
      </c>
      <c r="AF15" s="309" t="s">
        <v>231</v>
      </c>
      <c r="AG15" s="685" t="s">
        <v>155</v>
      </c>
      <c r="AH15" s="309" t="s">
        <v>232</v>
      </c>
      <c r="AI15" s="309" t="s">
        <v>230</v>
      </c>
      <c r="AJ15" s="309" t="s">
        <v>233</v>
      </c>
      <c r="AK15" s="309" t="s">
        <v>234</v>
      </c>
      <c r="AL15" s="309" t="s">
        <v>235</v>
      </c>
      <c r="AM15" s="309" t="s">
        <v>236</v>
      </c>
      <c r="AN15" s="309" t="s">
        <v>237</v>
      </c>
      <c r="AO15" s="308" t="s">
        <v>1265</v>
      </c>
      <c r="AP15" s="308" t="s">
        <v>1267</v>
      </c>
      <c r="AQ15" s="314" t="s">
        <v>973</v>
      </c>
    </row>
    <row r="16" spans="1:43" ht="39" thickBot="1" x14ac:dyDescent="0.3">
      <c r="A16" s="233" t="str">
        <f t="shared" ref="A16:A50" si="0">INDEX(Диапазон1,ROW(), COLUMN())</f>
        <v>1004-2017-00001</v>
      </c>
      <c r="B16" s="15" t="str">
        <f>РПЗ!$D16</f>
        <v>1004-2017-00001 Поставка автомобиля легкового</v>
      </c>
      <c r="C16" s="15" t="str">
        <f>РПЗ!$AA16</f>
        <v>АО "НИИ "Полюс" им. М.Ф. Стельмаха" тел. отдела закупок 8-495-333-05-02</v>
      </c>
      <c r="D16" s="462" t="str">
        <f>РПЗ!$AB16</f>
        <v>Заказчик</v>
      </c>
      <c r="E16" s="96" t="s">
        <v>46</v>
      </c>
      <c r="F16" s="15" t="str">
        <f>РПЗ!Q16</f>
        <v>ОЗК</v>
      </c>
      <c r="G16" s="16"/>
      <c r="H16" s="15" t="str">
        <f>РПЗ!R16</f>
        <v>да</v>
      </c>
      <c r="I16" s="15">
        <f>РПЗ!W16</f>
        <v>0</v>
      </c>
      <c r="J16" s="15">
        <f>РПЗ!X16</f>
        <v>0</v>
      </c>
      <c r="K16" s="283">
        <f>РПЗ!Z16</f>
        <v>0</v>
      </c>
      <c r="L16" s="17"/>
      <c r="M16" s="18">
        <f>РПЗ!O16</f>
        <v>42736</v>
      </c>
      <c r="N16" s="238"/>
      <c r="O16" s="17"/>
      <c r="P16" s="17"/>
      <c r="Q16" s="17"/>
      <c r="R16" s="17"/>
      <c r="S16" s="17"/>
      <c r="T16" s="686"/>
      <c r="U16" s="18">
        <f>РПЗ!P16</f>
        <v>43070</v>
      </c>
      <c r="V16" s="686"/>
      <c r="W16" s="459">
        <f>РПЗ!L16</f>
        <v>2000000</v>
      </c>
      <c r="X16" s="689"/>
      <c r="Y16" s="689"/>
      <c r="Z16" s="690"/>
      <c r="AA16" s="691"/>
      <c r="AB16" s="111"/>
      <c r="AC16" s="17"/>
      <c r="AD16" s="690"/>
      <c r="AE16" s="686"/>
      <c r="AF16" s="474"/>
      <c r="AG16" s="688"/>
      <c r="AH16" s="234" t="str">
        <f>IF(Таблица5[[#This Row],[30]]=0,"НД",Таблица5[[#This Row],[20]]-Таблица5[[#This Row],[30]])</f>
        <v>НД</v>
      </c>
      <c r="AI16" s="235" t="str">
        <f>IF(((1-Таблица5[[#This Row],[30]]/Таблица5[[#This Row],[20]])=1),"НД",(1-Таблица5[[#This Row],[30]]/Таблица5[[#This Row],[20]]))</f>
        <v>НД</v>
      </c>
      <c r="AJ16" s="111"/>
      <c r="AK16" s="111"/>
      <c r="AL16" s="112"/>
      <c r="AM16" s="463"/>
      <c r="AN16" s="464"/>
      <c r="AO16" s="467" t="str">
        <f>РПЗ!AD16</f>
        <v>Нет</v>
      </c>
      <c r="AP16" s="471">
        <f>РПЗ!V16</f>
        <v>0</v>
      </c>
      <c r="AQ16" s="470">
        <f>IF(Таблица5[[#This Row],[11]]=0,,MONTH(Таблица5[[#This Row],[11]]))</f>
        <v>0</v>
      </c>
    </row>
    <row r="17" spans="1:43" ht="39" thickBot="1" x14ac:dyDescent="0.3">
      <c r="A17" s="233" t="str">
        <f t="shared" si="0"/>
        <v>1004-2017-00002</v>
      </c>
      <c r="B17" s="15" t="str">
        <f>РПЗ!$D17</f>
        <v>1004-2017-00002 Поставка  вилочного автопогрузчика</v>
      </c>
      <c r="C17" s="15" t="str">
        <f>РПЗ!$AA17</f>
        <v>АО "НИИ "Полюс" им. М.Ф. Стельмаха" тел. отдела закупок 8-495-333-05-02</v>
      </c>
      <c r="D17" s="462" t="str">
        <f>РПЗ!$AB17</f>
        <v>Заказчик</v>
      </c>
      <c r="E17" s="96" t="s">
        <v>46</v>
      </c>
      <c r="F17" s="15" t="str">
        <f>РПЗ!Q17</f>
        <v>ОЗК</v>
      </c>
      <c r="G17" s="16"/>
      <c r="H17" s="15" t="str">
        <f>РПЗ!R17</f>
        <v>Да</v>
      </c>
      <c r="I17" s="15">
        <f>РПЗ!W17</f>
        <v>0</v>
      </c>
      <c r="J17" s="15">
        <f>РПЗ!X17</f>
        <v>0</v>
      </c>
      <c r="K17" s="283">
        <f>РПЗ!Z17</f>
        <v>0</v>
      </c>
      <c r="L17" s="17"/>
      <c r="M17" s="18"/>
      <c r="N17" s="238"/>
      <c r="O17" s="17"/>
      <c r="P17" s="17"/>
      <c r="Q17" s="17"/>
      <c r="R17" s="17"/>
      <c r="S17" s="17"/>
      <c r="T17" s="686"/>
      <c r="U17" s="18">
        <f>РПЗ!P17</f>
        <v>43100</v>
      </c>
      <c r="V17" s="686"/>
      <c r="W17" s="236">
        <f>РПЗ!L17</f>
        <v>1500000</v>
      </c>
      <c r="X17" s="689"/>
      <c r="Y17" s="689"/>
      <c r="Z17" s="690"/>
      <c r="AA17" s="691"/>
      <c r="AB17" s="111"/>
      <c r="AC17" s="17"/>
      <c r="AD17" s="690"/>
      <c r="AE17" s="686"/>
      <c r="AF17" s="474"/>
      <c r="AG17" s="692"/>
      <c r="AH17" s="234" t="str">
        <f>IF(Таблица5[[#This Row],[30]]=0,"НД",Таблица5[[#This Row],[20]]-Таблица5[[#This Row],[30]])</f>
        <v>НД</v>
      </c>
      <c r="AI17" s="235" t="str">
        <f>IF(((1-Таблица5[[#This Row],[30]]/Таблица5[[#This Row],[20]])=1),"НД",(1-Таблица5[[#This Row],[30]]/Таблица5[[#This Row],[20]]))</f>
        <v>НД</v>
      </c>
      <c r="AJ17" s="111"/>
      <c r="AK17" s="111"/>
      <c r="AL17" s="112"/>
      <c r="AM17" s="463"/>
      <c r="AN17" s="465"/>
      <c r="AO17" s="468" t="str">
        <f>РПЗ!AD17</f>
        <v>Нет</v>
      </c>
      <c r="AP17" s="472">
        <f>РПЗ!V17</f>
        <v>0</v>
      </c>
      <c r="AQ17" s="470">
        <f>IF(Таблица5[[#This Row],[11]]=0,,MONTH(Таблица5[[#This Row],[11]]))</f>
        <v>0</v>
      </c>
    </row>
    <row r="18" spans="1:43" ht="39" thickBot="1" x14ac:dyDescent="0.3">
      <c r="A18" s="233" t="str">
        <f t="shared" si="0"/>
        <v>1004-2017-00003</v>
      </c>
      <c r="B18" s="15" t="str">
        <f>РПЗ!$D18</f>
        <v>1004-2017-00003 Поставка Автомобиль микроавтобус</v>
      </c>
      <c r="C18" s="15" t="str">
        <f>РПЗ!$AA18</f>
        <v>АО "НИИ "Полюс" им. М.Ф. Стельмаха" тел. отдела закупок 8-495-333-05-02</v>
      </c>
      <c r="D18" s="462" t="str">
        <f>РПЗ!$AB18</f>
        <v>Заказчик</v>
      </c>
      <c r="E18" s="96" t="s">
        <v>46</v>
      </c>
      <c r="F18" s="15" t="str">
        <f>РПЗ!Q18</f>
        <v>ОЗК</v>
      </c>
      <c r="G18" s="16"/>
      <c r="H18" s="15" t="str">
        <f>РПЗ!R18</f>
        <v>Да</v>
      </c>
      <c r="I18" s="15">
        <f>РПЗ!W18</f>
        <v>0</v>
      </c>
      <c r="J18" s="15">
        <f>РПЗ!X18</f>
        <v>0</v>
      </c>
      <c r="K18" s="283">
        <f>РПЗ!Z18</f>
        <v>0</v>
      </c>
      <c r="L18" s="17"/>
      <c r="M18" s="18">
        <f>РПЗ!O18</f>
        <v>42917</v>
      </c>
      <c r="N18" s="238"/>
      <c r="O18" s="17"/>
      <c r="P18" s="17"/>
      <c r="Q18" s="17"/>
      <c r="R18" s="17"/>
      <c r="S18" s="17"/>
      <c r="T18" s="686"/>
      <c r="U18" s="18">
        <f>РПЗ!P18</f>
        <v>43100</v>
      </c>
      <c r="V18" s="686"/>
      <c r="W18" s="236">
        <f>РПЗ!L18</f>
        <v>1500000</v>
      </c>
      <c r="X18" s="689"/>
      <c r="Y18" s="689"/>
      <c r="Z18" s="690"/>
      <c r="AA18" s="691"/>
      <c r="AB18" s="111"/>
      <c r="AC18" s="17"/>
      <c r="AD18" s="690"/>
      <c r="AE18" s="686"/>
      <c r="AF18" s="474"/>
      <c r="AG18" s="692"/>
      <c r="AH18" s="234" t="str">
        <f>IF(Таблица5[[#This Row],[30]]=0,"НД",Таблица5[[#This Row],[20]]-Таблица5[[#This Row],[30]])</f>
        <v>НД</v>
      </c>
      <c r="AI18" s="235" t="str">
        <f>IF(((1-Таблица5[[#This Row],[30]]/Таблица5[[#This Row],[20]])=1),"НД",(1-Таблица5[[#This Row],[30]]/Таблица5[[#This Row],[20]]))</f>
        <v>НД</v>
      </c>
      <c r="AJ18" s="111"/>
      <c r="AK18" s="111"/>
      <c r="AL18" s="112"/>
      <c r="AM18" s="463"/>
      <c r="AN18" s="465"/>
      <c r="AO18" s="468" t="str">
        <f>РПЗ!AD18</f>
        <v>Нет</v>
      </c>
      <c r="AP18" s="472">
        <f>РПЗ!V18</f>
        <v>0</v>
      </c>
      <c r="AQ18" s="470">
        <f>IF(Таблица5[[#This Row],[11]]=0,,MONTH(Таблица5[[#This Row],[11]]))</f>
        <v>0</v>
      </c>
    </row>
    <row r="19" spans="1:43" ht="51.75" thickBot="1" x14ac:dyDescent="0.3">
      <c r="A19" s="233" t="str">
        <f t="shared" si="0"/>
        <v>1004-2017-00004</v>
      </c>
      <c r="B19" s="15" t="str">
        <f>РПЗ!$D19</f>
        <v>1004-2017-00004  Поставка автомобиля легкового</v>
      </c>
      <c r="C19" s="15" t="str">
        <f>РПЗ!$AA19</f>
        <v>АО "НИИ "Полюс" им. М.Ф. Стельмаха" тел. отдела закупок 8-495-333-05-02</v>
      </c>
      <c r="D19" s="462" t="str">
        <f>РПЗ!$AB19</f>
        <v>Заказчик</v>
      </c>
      <c r="E19" s="96" t="s">
        <v>62</v>
      </c>
      <c r="F19" s="15" t="str">
        <f>РПЗ!Q19</f>
        <v>ОЗК</v>
      </c>
      <c r="G19" s="16" t="str">
        <f>Таблица5[[#This Row],[6]]</f>
        <v>ОЗК</v>
      </c>
      <c r="H19" s="15" t="str">
        <f>РПЗ!R19</f>
        <v>Да</v>
      </c>
      <c r="I19" s="15">
        <f>РПЗ!W19</f>
        <v>0</v>
      </c>
      <c r="J19" s="15">
        <f>РПЗ!X19</f>
        <v>0</v>
      </c>
      <c r="K19" s="283">
        <f>РПЗ!Z19</f>
        <v>0</v>
      </c>
      <c r="L19" s="17">
        <v>42976</v>
      </c>
      <c r="M19" s="18">
        <f>РПЗ!O19</f>
        <v>42970</v>
      </c>
      <c r="N19" s="238">
        <f>Таблица5[[#This Row],[10]]</f>
        <v>42970</v>
      </c>
      <c r="O19" s="17">
        <v>42983</v>
      </c>
      <c r="P19" s="17">
        <v>42985</v>
      </c>
      <c r="Q19" s="17">
        <v>42985</v>
      </c>
      <c r="R19" s="17"/>
      <c r="S19" s="17"/>
      <c r="T19" s="686">
        <v>43003</v>
      </c>
      <c r="U19" s="18">
        <f>РПЗ!P19</f>
        <v>43100</v>
      </c>
      <c r="V19" s="686">
        <v>43009</v>
      </c>
      <c r="W19" s="236">
        <f>РПЗ!L19</f>
        <v>2310000</v>
      </c>
      <c r="X19" s="689">
        <v>2</v>
      </c>
      <c r="Y19" s="689">
        <v>0</v>
      </c>
      <c r="Z19" s="691">
        <v>5047059383</v>
      </c>
      <c r="AA19" s="691" t="s">
        <v>6888</v>
      </c>
      <c r="AB19" s="111">
        <v>2207000</v>
      </c>
      <c r="AC19" s="17">
        <v>43009</v>
      </c>
      <c r="AD19" s="690" t="s">
        <v>6887</v>
      </c>
      <c r="AE19" s="686">
        <v>43003</v>
      </c>
      <c r="AF19" s="474"/>
      <c r="AG19" s="692">
        <v>2207000</v>
      </c>
      <c r="AH19" s="234">
        <f>IF(Таблица5[[#This Row],[30]]=0,"НД",Таблица5[[#This Row],[20]]-Таблица5[[#This Row],[30]])</f>
        <v>103000</v>
      </c>
      <c r="AI19" s="235">
        <f>IF(((1-Таблица5[[#This Row],[30]]/Таблица5[[#This Row],[20]])=1),"НД",(1-Таблица5[[#This Row],[30]]/Таблица5[[#This Row],[20]]))</f>
        <v>4.4588744588744622E-2</v>
      </c>
      <c r="AJ19" s="111"/>
      <c r="AK19" s="111"/>
      <c r="AL19" s="112"/>
      <c r="AM19" s="463" t="s">
        <v>113</v>
      </c>
      <c r="AN19" s="801">
        <v>31705466945</v>
      </c>
      <c r="AO19" s="468" t="str">
        <f>РПЗ!AD19</f>
        <v>Нет</v>
      </c>
      <c r="AP19" s="472">
        <f>РПЗ!V19</f>
        <v>0</v>
      </c>
      <c r="AQ19" s="470">
        <f>IF(Таблица5[[#This Row],[11]]=0,,MONTH(Таблица5[[#This Row],[11]]))</f>
        <v>8</v>
      </c>
    </row>
    <row r="20" spans="1:43" ht="39" thickBot="1" x14ac:dyDescent="0.3">
      <c r="A20" s="233" t="str">
        <f t="shared" si="0"/>
        <v>1004-2017-00005</v>
      </c>
      <c r="B20" s="15" t="str">
        <f>РПЗ!$D20</f>
        <v>1004-2017-00005Поставка  Автозапчасти выпущенные не позднее 2014 г.</v>
      </c>
      <c r="C20" s="15" t="str">
        <f>РПЗ!$AA20</f>
        <v>АО "НИИ "Полюс" им. М.Ф. Стельмаха" тел. отдела закупок 8-495-333-05-02</v>
      </c>
      <c r="D20" s="462" t="str">
        <f>РПЗ!$AB20</f>
        <v>Заказчик</v>
      </c>
      <c r="E20" s="96" t="s">
        <v>46</v>
      </c>
      <c r="F20" s="15" t="str">
        <f>РПЗ!Q20</f>
        <v>ОЗК</v>
      </c>
      <c r="G20" s="16"/>
      <c r="H20" s="15" t="str">
        <f>РПЗ!R20</f>
        <v>Да</v>
      </c>
      <c r="I20" s="15">
        <f>РПЗ!W20</f>
        <v>0</v>
      </c>
      <c r="J20" s="15">
        <f>РПЗ!X20</f>
        <v>0</v>
      </c>
      <c r="K20" s="283">
        <f>РПЗ!Z20</f>
        <v>0</v>
      </c>
      <c r="L20" s="17"/>
      <c r="M20" s="18">
        <f>РПЗ!O20</f>
        <v>42736</v>
      </c>
      <c r="N20" s="238"/>
      <c r="O20" s="17"/>
      <c r="P20" s="17"/>
      <c r="Q20" s="17"/>
      <c r="R20" s="17"/>
      <c r="S20" s="17"/>
      <c r="T20" s="686"/>
      <c r="U20" s="18">
        <f>РПЗ!P20</f>
        <v>43100</v>
      </c>
      <c r="V20" s="686"/>
      <c r="W20" s="236">
        <f>РПЗ!L20</f>
        <v>1275000</v>
      </c>
      <c r="X20" s="689"/>
      <c r="Y20" s="689"/>
      <c r="Z20" s="690"/>
      <c r="AA20" s="691"/>
      <c r="AB20" s="111"/>
      <c r="AC20" s="17"/>
      <c r="AD20" s="690"/>
      <c r="AE20" s="686"/>
      <c r="AF20" s="474"/>
      <c r="AG20" s="692"/>
      <c r="AH20" s="234" t="str">
        <f>IF(Таблица5[[#This Row],[30]]=0,"НД",Таблица5[[#This Row],[20]]-Таблица5[[#This Row],[30]])</f>
        <v>НД</v>
      </c>
      <c r="AI20" s="235" t="str">
        <f>IF(((1-Таблица5[[#This Row],[30]]/Таблица5[[#This Row],[20]])=1),"НД",(1-Таблица5[[#This Row],[30]]/Таблица5[[#This Row],[20]]))</f>
        <v>НД</v>
      </c>
      <c r="AJ20" s="111"/>
      <c r="AK20" s="111"/>
      <c r="AL20" s="112"/>
      <c r="AM20" s="463"/>
      <c r="AN20" s="465"/>
      <c r="AO20" s="468" t="str">
        <f>РПЗ!AD20</f>
        <v>Нет</v>
      </c>
      <c r="AP20" s="472">
        <f>РПЗ!V20</f>
        <v>0</v>
      </c>
      <c r="AQ20" s="470">
        <f>IF(Таблица5[[#This Row],[11]]=0,,MONTH(Таблица5[[#This Row],[11]]))</f>
        <v>0</v>
      </c>
    </row>
    <row r="21" spans="1:43" ht="39" thickBot="1" x14ac:dyDescent="0.3">
      <c r="A21" s="233" t="str">
        <f t="shared" si="0"/>
        <v>1004-2017-00006</v>
      </c>
      <c r="B21" s="15" t="str">
        <f>РПЗ!$D21</f>
        <v>1004-2017-00006 Оказание  услуг по предоставлению Страховки на автомобили</v>
      </c>
      <c r="C21" s="15" t="str">
        <f>РПЗ!$AA21</f>
        <v>АО "НИИ "Полюс" им. М.Ф. Стельмаха" тел. отдела закупок 8-495-333-05-02</v>
      </c>
      <c r="D21" s="462" t="str">
        <f>РПЗ!$AB21</f>
        <v>ООО "РТ-Страхование"</v>
      </c>
      <c r="E21" s="96" t="s">
        <v>62</v>
      </c>
      <c r="F21" s="15" t="str">
        <f>РПЗ!Q21</f>
        <v>ОЗК</v>
      </c>
      <c r="G21" s="16" t="s">
        <v>108</v>
      </c>
      <c r="H21" s="15" t="str">
        <f>РПЗ!R21</f>
        <v>Да</v>
      </c>
      <c r="I21" s="15">
        <f>РПЗ!W21</f>
        <v>0</v>
      </c>
      <c r="J21" s="15">
        <f>РПЗ!X21</f>
        <v>0</v>
      </c>
      <c r="K21" s="283">
        <f>РПЗ!Z21</f>
        <v>0</v>
      </c>
      <c r="L21" s="17">
        <v>43035</v>
      </c>
      <c r="M21" s="18">
        <f>РПЗ!O21</f>
        <v>43009</v>
      </c>
      <c r="N21" s="238">
        <f>Таблица5[[#This Row],[10]]</f>
        <v>43009</v>
      </c>
      <c r="O21" s="17">
        <v>43040</v>
      </c>
      <c r="P21" s="17">
        <v>43041</v>
      </c>
      <c r="Q21" s="17">
        <v>43041</v>
      </c>
      <c r="R21" s="17">
        <v>43048</v>
      </c>
      <c r="S21" s="17">
        <v>43048</v>
      </c>
      <c r="T21" s="686">
        <v>43069</v>
      </c>
      <c r="U21" s="18">
        <f>РПЗ!P21</f>
        <v>43070</v>
      </c>
      <c r="V21" s="686">
        <v>43738</v>
      </c>
      <c r="W21" s="236">
        <f>РПЗ!L21</f>
        <v>206500</v>
      </c>
      <c r="X21" s="689">
        <v>1</v>
      </c>
      <c r="Y21" s="689">
        <v>0</v>
      </c>
      <c r="Z21" s="691">
        <v>7710026574</v>
      </c>
      <c r="AA21" s="691" t="s">
        <v>7176</v>
      </c>
      <c r="AB21" s="111">
        <v>205051.68</v>
      </c>
      <c r="AC21" s="17">
        <v>43738</v>
      </c>
      <c r="AD21" s="690" t="s">
        <v>8170</v>
      </c>
      <c r="AE21" s="686">
        <v>43069</v>
      </c>
      <c r="AF21" s="474"/>
      <c r="AG21" s="692">
        <v>205051.68</v>
      </c>
      <c r="AH21" s="234">
        <f>IF(Таблица5[[#This Row],[30]]=0,"НД",Таблица5[[#This Row],[20]]-Таблица5[[#This Row],[30]])</f>
        <v>1448.320000000007</v>
      </c>
      <c r="AI21" s="235">
        <f>IF(((1-Таблица5[[#This Row],[30]]/Таблица5[[#This Row],[20]])=1),"НД",(1-Таблица5[[#This Row],[30]]/Таблица5[[#This Row],[20]]))</f>
        <v>7.0136561743341375E-3</v>
      </c>
      <c r="AJ21" s="111"/>
      <c r="AK21" s="111"/>
      <c r="AL21" s="112"/>
      <c r="AM21" s="463" t="s">
        <v>113</v>
      </c>
      <c r="AN21" s="801">
        <v>31705674542</v>
      </c>
      <c r="AO21" s="468" t="str">
        <f>РПЗ!AD21</f>
        <v>Нет</v>
      </c>
      <c r="AP21" s="472" t="str">
        <f>РПЗ!V21</f>
        <v>ИВД</v>
      </c>
      <c r="AQ21" s="470">
        <f>IF(Таблица5[[#This Row],[11]]=0,,MONTH(Таблица5[[#This Row],[11]]))</f>
        <v>10</v>
      </c>
    </row>
    <row r="22" spans="1:43" ht="39" thickBot="1" x14ac:dyDescent="0.3">
      <c r="A22" s="233" t="str">
        <f t="shared" si="0"/>
        <v>1004-2017-00007</v>
      </c>
      <c r="B22" s="15" t="str">
        <f>РПЗ!$D22</f>
        <v>1004-2017-00007 Оказание услуги поТехническое обслуживание а/м</v>
      </c>
      <c r="C22" s="15" t="str">
        <f>РПЗ!$AA22</f>
        <v>АО "НИИ "Полюс" им. М.Ф. Стельмаха" тел. отдела закупок 8-495-333-05-02</v>
      </c>
      <c r="D22" s="462" t="str">
        <f>РПЗ!$AB22</f>
        <v>Заказчик</v>
      </c>
      <c r="E22" s="96" t="s">
        <v>46</v>
      </c>
      <c r="F22" s="15" t="str">
        <f>РПЗ!Q22</f>
        <v>ОЗК</v>
      </c>
      <c r="G22" s="16"/>
      <c r="H22" s="15" t="str">
        <f>РПЗ!R22</f>
        <v>Да</v>
      </c>
      <c r="I22" s="15">
        <f>РПЗ!W22</f>
        <v>0</v>
      </c>
      <c r="J22" s="15">
        <f>РПЗ!X22</f>
        <v>0</v>
      </c>
      <c r="K22" s="283">
        <f>РПЗ!Z22</f>
        <v>0</v>
      </c>
      <c r="L22" s="17"/>
      <c r="M22" s="18">
        <f>РПЗ!O22</f>
        <v>42736</v>
      </c>
      <c r="N22" s="238"/>
      <c r="O22" s="17"/>
      <c r="P22" s="17"/>
      <c r="Q22" s="17"/>
      <c r="R22" s="17"/>
      <c r="S22" s="17"/>
      <c r="T22" s="686"/>
      <c r="U22" s="18">
        <f>РПЗ!P22</f>
        <v>43070</v>
      </c>
      <c r="V22" s="686"/>
      <c r="W22" s="236">
        <f>РПЗ!L22</f>
        <v>150000</v>
      </c>
      <c r="X22" s="689"/>
      <c r="Y22" s="689"/>
      <c r="Z22" s="690"/>
      <c r="AA22" s="691"/>
      <c r="AB22" s="111"/>
      <c r="AC22" s="17"/>
      <c r="AD22" s="690"/>
      <c r="AE22" s="686"/>
      <c r="AF22" s="474"/>
      <c r="AG22" s="692"/>
      <c r="AH22" s="234" t="str">
        <f>IF(Таблица5[[#This Row],[30]]=0,"НД",Таблица5[[#This Row],[20]]-Таблица5[[#This Row],[30]])</f>
        <v>НД</v>
      </c>
      <c r="AI22" s="235" t="str">
        <f>IF(((1-Таблица5[[#This Row],[30]]/Таблица5[[#This Row],[20]])=1),"НД",(1-Таблица5[[#This Row],[30]]/Таблица5[[#This Row],[20]]))</f>
        <v>НД</v>
      </c>
      <c r="AJ22" s="111"/>
      <c r="AK22" s="111"/>
      <c r="AL22" s="112"/>
      <c r="AM22" s="463"/>
      <c r="AN22" s="465"/>
      <c r="AO22" s="468" t="str">
        <f>РПЗ!AD22</f>
        <v>Нет</v>
      </c>
      <c r="AP22" s="472">
        <f>РПЗ!V22</f>
        <v>0</v>
      </c>
      <c r="AQ22" s="470">
        <f>IF(Таблица5[[#This Row],[11]]=0,,MONTH(Таблица5[[#This Row],[11]]))</f>
        <v>0</v>
      </c>
    </row>
    <row r="23" spans="1:43" ht="39" thickBot="1" x14ac:dyDescent="0.3">
      <c r="A23" s="233" t="str">
        <f t="shared" si="0"/>
        <v>1004-2017-00008</v>
      </c>
      <c r="B23" s="15" t="str">
        <f>РПЗ!$D23</f>
        <v>1004-2017-00008 Оказание услуг по Повышению  квалификации</v>
      </c>
      <c r="C23" s="15" t="str">
        <f>РПЗ!$AA23</f>
        <v>АО "НИИ "Полюс" им. М.Ф. Стельмаха" тел. отдела закупок 8-495-333-05-02</v>
      </c>
      <c r="D23" s="462" t="str">
        <f>РПЗ!$AB23</f>
        <v>Заказчик</v>
      </c>
      <c r="E23" s="96" t="s">
        <v>46</v>
      </c>
      <c r="F23" s="15" t="str">
        <f>РПЗ!Q23</f>
        <v>ОЗК</v>
      </c>
      <c r="G23" s="16"/>
      <c r="H23" s="15" t="str">
        <f>РПЗ!R23</f>
        <v>Да</v>
      </c>
      <c r="I23" s="15">
        <f>РПЗ!W23</f>
        <v>0</v>
      </c>
      <c r="J23" s="15">
        <f>РПЗ!X23</f>
        <v>0</v>
      </c>
      <c r="K23" s="283">
        <f>РПЗ!Z23</f>
        <v>0</v>
      </c>
      <c r="L23" s="17"/>
      <c r="M23" s="18">
        <f>РПЗ!O23</f>
        <v>42736</v>
      </c>
      <c r="N23" s="238"/>
      <c r="O23" s="17"/>
      <c r="P23" s="17"/>
      <c r="Q23" s="17"/>
      <c r="R23" s="17"/>
      <c r="S23" s="17"/>
      <c r="T23" s="686"/>
      <c r="U23" s="18">
        <f>РПЗ!P23</f>
        <v>43070</v>
      </c>
      <c r="V23" s="686"/>
      <c r="W23" s="236">
        <f>РПЗ!L23</f>
        <v>130000</v>
      </c>
      <c r="X23" s="689"/>
      <c r="Y23" s="689"/>
      <c r="Z23" s="690"/>
      <c r="AA23" s="691"/>
      <c r="AB23" s="111"/>
      <c r="AC23" s="17"/>
      <c r="AD23" s="690"/>
      <c r="AE23" s="686"/>
      <c r="AF23" s="474"/>
      <c r="AG23" s="692"/>
      <c r="AH23" s="234" t="str">
        <f>IF(Таблица5[[#This Row],[30]]=0,"НД",Таблица5[[#This Row],[20]]-Таблица5[[#This Row],[30]])</f>
        <v>НД</v>
      </c>
      <c r="AI23" s="235" t="str">
        <f>IF(((1-Таблица5[[#This Row],[30]]/Таблица5[[#This Row],[20]])=1),"НД",(1-Таблица5[[#This Row],[30]]/Таблица5[[#This Row],[20]]))</f>
        <v>НД</v>
      </c>
      <c r="AJ23" s="111"/>
      <c r="AK23" s="111"/>
      <c r="AL23" s="112"/>
      <c r="AM23" s="463"/>
      <c r="AN23" s="465"/>
      <c r="AO23" s="468" t="str">
        <f>РПЗ!AD23</f>
        <v>Нет</v>
      </c>
      <c r="AP23" s="472">
        <f>РПЗ!V23</f>
        <v>0</v>
      </c>
      <c r="AQ23" s="470">
        <f>IF(Таблица5[[#This Row],[11]]=0,,MONTH(Таблица5[[#This Row],[11]]))</f>
        <v>0</v>
      </c>
    </row>
    <row r="24" spans="1:43" ht="39" thickBot="1" x14ac:dyDescent="0.3">
      <c r="A24" s="233" t="str">
        <f t="shared" si="0"/>
        <v>1004-2017-00009</v>
      </c>
      <c r="B24" s="15" t="str">
        <f>РПЗ!$D24</f>
        <v>1004-2017-00009Поставка  Топливные талоны</v>
      </c>
      <c r="C24" s="15" t="str">
        <f>РПЗ!$AA24</f>
        <v>АО "НИИ "Полюс" им. М.Ф. Стельмаха" тел. отдела закупок 8-495-333-05-02</v>
      </c>
      <c r="D24" s="462" t="str">
        <f>РПЗ!$AB24</f>
        <v>Заказчик</v>
      </c>
      <c r="E24" s="96" t="s">
        <v>62</v>
      </c>
      <c r="F24" s="15" t="str">
        <f>РПЗ!Q24</f>
        <v>ОЗК</v>
      </c>
      <c r="G24" s="16" t="s">
        <v>108</v>
      </c>
      <c r="H24" s="15" t="str">
        <f>РПЗ!R24</f>
        <v>Да</v>
      </c>
      <c r="I24" s="15">
        <f>РПЗ!W24</f>
        <v>0</v>
      </c>
      <c r="J24" s="15">
        <f>РПЗ!X24</f>
        <v>0</v>
      </c>
      <c r="K24" s="283">
        <f>РПЗ!Z24</f>
        <v>0</v>
      </c>
      <c r="L24" s="17">
        <v>42832</v>
      </c>
      <c r="M24" s="18">
        <f>РПЗ!O24</f>
        <v>42736</v>
      </c>
      <c r="N24" s="238">
        <f>Таблица5[[#This Row],[10]]</f>
        <v>42736</v>
      </c>
      <c r="O24" s="17">
        <v>42838</v>
      </c>
      <c r="P24" s="17">
        <v>42843</v>
      </c>
      <c r="Q24" s="17">
        <v>42843</v>
      </c>
      <c r="R24" s="17">
        <v>42850</v>
      </c>
      <c r="S24" s="17">
        <v>42850</v>
      </c>
      <c r="T24" s="686">
        <v>42870</v>
      </c>
      <c r="U24" s="18">
        <f>РПЗ!P24</f>
        <v>43070</v>
      </c>
      <c r="V24" s="686">
        <v>43070</v>
      </c>
      <c r="W24" s="236">
        <f>РПЗ!L24</f>
        <v>1500000</v>
      </c>
      <c r="X24" s="689">
        <v>2</v>
      </c>
      <c r="Y24" s="689">
        <v>1</v>
      </c>
      <c r="Z24" s="691">
        <v>7725266272</v>
      </c>
      <c r="AA24" s="691" t="s">
        <v>5100</v>
      </c>
      <c r="AB24" s="111">
        <v>1462970</v>
      </c>
      <c r="AC24" s="17">
        <v>43070</v>
      </c>
      <c r="AD24" s="690" t="s">
        <v>5101</v>
      </c>
      <c r="AE24" s="686">
        <v>42870</v>
      </c>
      <c r="AF24" s="474"/>
      <c r="AG24" s="692">
        <v>1462970</v>
      </c>
      <c r="AH24" s="234">
        <f>IF(Таблица5[[#This Row],[30]]=0,"НД",Таблица5[[#This Row],[20]]-Таблица5[[#This Row],[30]])</f>
        <v>37030</v>
      </c>
      <c r="AI24" s="235">
        <f>IF(((1-Таблица5[[#This Row],[30]]/Таблица5[[#This Row],[20]])=1),"НД",(1-Таблица5[[#This Row],[30]]/Таблица5[[#This Row],[20]]))</f>
        <v>2.4686666666666635E-2</v>
      </c>
      <c r="AJ24" s="111"/>
      <c r="AK24" s="111"/>
      <c r="AL24" s="112"/>
      <c r="AM24" s="463" t="s">
        <v>113</v>
      </c>
      <c r="AN24" s="801">
        <v>31705103617</v>
      </c>
      <c r="AO24" s="468" t="str">
        <f>РПЗ!AD24</f>
        <v>Нет</v>
      </c>
      <c r="AP24" s="472">
        <f>РПЗ!V24</f>
        <v>0</v>
      </c>
      <c r="AQ24" s="470">
        <f>IF(Таблица5[[#This Row],[11]]=0,,MONTH(Таблица5[[#This Row],[11]]))</f>
        <v>1</v>
      </c>
    </row>
    <row r="25" spans="1:43" ht="39" thickBot="1" x14ac:dyDescent="0.3">
      <c r="A25" s="233" t="str">
        <f t="shared" si="0"/>
        <v>1004-2017-00010</v>
      </c>
      <c r="B25" s="15" t="str">
        <f>РПЗ!$D25</f>
        <v>1004-2017-00010 Оказание услуг по Техническое обслуживание вибростенда LDS V830-355</v>
      </c>
      <c r="C25" s="15" t="str">
        <f>РПЗ!$AA25</f>
        <v>АО "НИИ "Полюс" им. М.Ф. Стельмаха" тел. отдела закупок 8-495-333-05-02</v>
      </c>
      <c r="D25" s="462" t="str">
        <f>РПЗ!$AB25</f>
        <v>Заказчик</v>
      </c>
      <c r="E25" s="96" t="s">
        <v>59</v>
      </c>
      <c r="F25" s="15" t="str">
        <f>РПЗ!Q25</f>
        <v>ОЗК</v>
      </c>
      <c r="G25" s="16" t="s">
        <v>108</v>
      </c>
      <c r="H25" s="15" t="str">
        <f>РПЗ!R25</f>
        <v>Да</v>
      </c>
      <c r="I25" s="15">
        <f>РПЗ!W25</f>
        <v>0</v>
      </c>
      <c r="J25" s="15">
        <f>РПЗ!X25</f>
        <v>0</v>
      </c>
      <c r="K25" s="283">
        <f>РПЗ!Z25</f>
        <v>0</v>
      </c>
      <c r="L25" s="17">
        <v>43052</v>
      </c>
      <c r="M25" s="18">
        <f>РПЗ!O25</f>
        <v>43040</v>
      </c>
      <c r="N25" s="238">
        <f>Таблица5[[#This Row],[10]]</f>
        <v>43040</v>
      </c>
      <c r="O25" s="17">
        <v>43059</v>
      </c>
      <c r="P25" s="17">
        <v>43062</v>
      </c>
      <c r="Q25" s="17">
        <v>43062</v>
      </c>
      <c r="R25" s="17">
        <v>43062</v>
      </c>
      <c r="S25" s="17">
        <v>43062</v>
      </c>
      <c r="T25" s="686"/>
      <c r="U25" s="18">
        <f>РПЗ!P25</f>
        <v>43070</v>
      </c>
      <c r="V25" s="686"/>
      <c r="W25" s="236">
        <f>РПЗ!L25</f>
        <v>125000</v>
      </c>
      <c r="X25" s="689">
        <v>0</v>
      </c>
      <c r="Y25" s="689">
        <v>0</v>
      </c>
      <c r="Z25" s="690"/>
      <c r="AA25" s="691"/>
      <c r="AB25" s="111"/>
      <c r="AC25" s="17"/>
      <c r="AD25" s="690"/>
      <c r="AE25" s="686"/>
      <c r="AF25" s="474"/>
      <c r="AG25" s="692"/>
      <c r="AH25" s="234" t="str">
        <f>IF(Таблица5[[#This Row],[30]]=0,"НД",Таблица5[[#This Row],[20]]-Таблица5[[#This Row],[30]])</f>
        <v>НД</v>
      </c>
      <c r="AI25" s="235" t="str">
        <f>IF(((1-Таблица5[[#This Row],[30]]/Таблица5[[#This Row],[20]])=1),"НД",(1-Таблица5[[#This Row],[30]]/Таблица5[[#This Row],[20]]))</f>
        <v>НД</v>
      </c>
      <c r="AJ25" s="111"/>
      <c r="AK25" s="111"/>
      <c r="AL25" s="112"/>
      <c r="AM25" s="463" t="s">
        <v>113</v>
      </c>
      <c r="AN25" s="801">
        <v>31705733002</v>
      </c>
      <c r="AO25" s="468" t="str">
        <f>РПЗ!AD25</f>
        <v>Нет</v>
      </c>
      <c r="AP25" s="472">
        <f>РПЗ!V25</f>
        <v>0</v>
      </c>
      <c r="AQ25" s="470">
        <f>IF(Таблица5[[#This Row],[11]]=0,,MONTH(Таблица5[[#This Row],[11]]))</f>
        <v>11</v>
      </c>
    </row>
    <row r="26" spans="1:43" ht="39" thickBot="1" x14ac:dyDescent="0.3">
      <c r="A26" s="233" t="str">
        <f t="shared" si="0"/>
        <v>1004-2017-00011</v>
      </c>
      <c r="B26" s="15" t="str">
        <f>РПЗ!$D26</f>
        <v>1004-2017-00011 Оказание услуги по изданию юбилейной книги АО  "НИИ "Полюс" им. М. Ф. Стельмаха"</v>
      </c>
      <c r="C26" s="15" t="str">
        <f>РПЗ!$AA26</f>
        <v>АО "НИИ "Полюс" им. М.Ф. Стельмаха" тел. отдела закупок 8-495-333-05-02</v>
      </c>
      <c r="D26" s="462" t="str">
        <f>РПЗ!$AB26</f>
        <v>Заказчик</v>
      </c>
      <c r="E26" s="96" t="s">
        <v>62</v>
      </c>
      <c r="F26" s="15" t="str">
        <f>РПЗ!Q26</f>
        <v>ОЗК</v>
      </c>
      <c r="G26" s="16" t="s">
        <v>108</v>
      </c>
      <c r="H26" s="15" t="str">
        <f>РПЗ!R26</f>
        <v>Да</v>
      </c>
      <c r="I26" s="15">
        <f>РПЗ!W26</f>
        <v>0</v>
      </c>
      <c r="J26" s="15">
        <f>РПЗ!X26</f>
        <v>0</v>
      </c>
      <c r="K26" s="283">
        <f>РПЗ!Z26</f>
        <v>0</v>
      </c>
      <c r="L26" s="17">
        <v>42846</v>
      </c>
      <c r="M26" s="18">
        <f>РПЗ!O26</f>
        <v>42826</v>
      </c>
      <c r="N26" s="238">
        <f>Таблица5[[#This Row],[10]]</f>
        <v>42826</v>
      </c>
      <c r="O26" s="17">
        <v>42852</v>
      </c>
      <c r="P26" s="17">
        <v>42859</v>
      </c>
      <c r="Q26" s="17">
        <v>42859</v>
      </c>
      <c r="R26" s="17">
        <v>42852</v>
      </c>
      <c r="S26" s="17">
        <v>42852</v>
      </c>
      <c r="T26" s="686">
        <v>42865</v>
      </c>
      <c r="U26" s="18">
        <f>РПЗ!P26</f>
        <v>42826</v>
      </c>
      <c r="V26" s="686">
        <v>42948</v>
      </c>
      <c r="W26" s="236">
        <f>РПЗ!L26</f>
        <v>1187100</v>
      </c>
      <c r="X26" s="689">
        <v>3</v>
      </c>
      <c r="Y26" s="689">
        <v>0</v>
      </c>
      <c r="Z26" s="691">
        <v>7743077359</v>
      </c>
      <c r="AA26" s="691" t="s">
        <v>6092</v>
      </c>
      <c r="AB26" s="111">
        <v>898500</v>
      </c>
      <c r="AC26" s="17">
        <v>42948</v>
      </c>
      <c r="AD26" s="690" t="s">
        <v>6093</v>
      </c>
      <c r="AE26" s="686">
        <v>42865</v>
      </c>
      <c r="AF26" s="474"/>
      <c r="AG26" s="692">
        <v>898500</v>
      </c>
      <c r="AH26" s="234">
        <f>IF(Таблица5[[#This Row],[30]]=0,"НД",Таблица5[[#This Row],[20]]-Таблица5[[#This Row],[30]])</f>
        <v>288600</v>
      </c>
      <c r="AI26" s="235">
        <f>IF(((1-Таблица5[[#This Row],[30]]/Таблица5[[#This Row],[20]])=1),"НД",(1-Таблица5[[#This Row],[30]]/Таблица5[[#This Row],[20]]))</f>
        <v>0.24311346980035375</v>
      </c>
      <c r="AJ26" s="111">
        <v>898500</v>
      </c>
      <c r="AK26" s="111"/>
      <c r="AL26" s="112"/>
      <c r="AM26" s="463" t="s">
        <v>113</v>
      </c>
      <c r="AN26" s="801">
        <v>31705039650</v>
      </c>
      <c r="AO26" s="468" t="str">
        <f>РПЗ!AD26</f>
        <v>Нет</v>
      </c>
      <c r="AP26" s="472">
        <f>РПЗ!V26</f>
        <v>0</v>
      </c>
      <c r="AQ26" s="470">
        <f>IF(Таблица5[[#This Row],[11]]=0,,MONTH(Таблица5[[#This Row],[11]]))</f>
        <v>4</v>
      </c>
    </row>
    <row r="27" spans="1:43" s="784" customFormat="1" ht="51.75" thickBot="1" x14ac:dyDescent="0.3">
      <c r="A27" s="771" t="str">
        <f t="shared" si="0"/>
        <v>1004-2017-00012</v>
      </c>
      <c r="B27" s="772" t="str">
        <f>РПЗ!$D27</f>
        <v>1004-2017-00012 Оказание услуги по созданию документального фильма о АО  "НИИ "Полюс" им. М. Ф. Стельмаха"</v>
      </c>
      <c r="C27" s="772" t="str">
        <f>РПЗ!$AA27</f>
        <v>АО "НИИ "Полюс" им. М.Ф. Стельмаха" тел. отдела закупок 8-495-333-05-02</v>
      </c>
      <c r="D27" s="773" t="str">
        <f>РПЗ!$AB27</f>
        <v>Заказчик</v>
      </c>
      <c r="E27" s="96" t="s">
        <v>62</v>
      </c>
      <c r="F27" s="772" t="str">
        <f>РПЗ!Q27</f>
        <v>ОЗК</v>
      </c>
      <c r="G27" s="772" t="s">
        <v>108</v>
      </c>
      <c r="H27" s="772" t="str">
        <f>РПЗ!R27</f>
        <v>Да</v>
      </c>
      <c r="I27" s="772">
        <f>РПЗ!W27</f>
        <v>0</v>
      </c>
      <c r="J27" s="772">
        <f>РПЗ!X27</f>
        <v>0</v>
      </c>
      <c r="K27" s="774">
        <f>РПЗ!Z27</f>
        <v>0</v>
      </c>
      <c r="L27" s="694">
        <v>42775</v>
      </c>
      <c r="M27" s="775">
        <f>РПЗ!O27</f>
        <v>42736</v>
      </c>
      <c r="N27" s="687">
        <v>42775</v>
      </c>
      <c r="O27" s="686">
        <v>42787</v>
      </c>
      <c r="P27" s="686">
        <v>42787</v>
      </c>
      <c r="Q27" s="686">
        <v>42787</v>
      </c>
      <c r="R27" s="686">
        <v>42787</v>
      </c>
      <c r="S27" s="686">
        <v>42787</v>
      </c>
      <c r="T27" s="695" t="s">
        <v>3013</v>
      </c>
      <c r="U27" s="775">
        <f>РПЗ!P27</f>
        <v>43070</v>
      </c>
      <c r="V27" s="760">
        <v>42826</v>
      </c>
      <c r="W27" s="777">
        <f>РПЗ!L27</f>
        <v>413000</v>
      </c>
      <c r="X27" s="689">
        <v>1</v>
      </c>
      <c r="Y27" s="689">
        <v>0</v>
      </c>
      <c r="Z27" s="691">
        <v>5260432481</v>
      </c>
      <c r="AA27" s="691" t="s">
        <v>3012</v>
      </c>
      <c r="AB27" s="692">
        <v>413000</v>
      </c>
      <c r="AC27" s="818">
        <v>42826</v>
      </c>
      <c r="AD27" s="810" t="s">
        <v>3014</v>
      </c>
      <c r="AE27" s="703" t="s">
        <v>3013</v>
      </c>
      <c r="AF27" s="690"/>
      <c r="AG27" s="827">
        <v>413000</v>
      </c>
      <c r="AH27" s="779">
        <f>IF(Таблица5[[#This Row],[30]]=0,"НД",Таблица5[[#This Row],[20]]-Таблица5[[#This Row],[30]])</f>
        <v>0</v>
      </c>
      <c r="AI27" s="780">
        <f>IF(((1-Таблица5[[#This Row],[30]]/Таблица5[[#This Row],[20]])=1),"НД",(1-Таблица5[[#This Row],[30]]/Таблица5[[#This Row],[20]]))</f>
        <v>0</v>
      </c>
      <c r="AJ27" s="692"/>
      <c r="AK27" s="692"/>
      <c r="AL27" s="791"/>
      <c r="AM27" s="792" t="s">
        <v>113</v>
      </c>
      <c r="AN27" s="800">
        <v>31704774567</v>
      </c>
      <c r="AO27" s="712" t="str">
        <f>РПЗ!AD27</f>
        <v>Нет</v>
      </c>
      <c r="AP27" s="713">
        <f>РПЗ!V27</f>
        <v>0</v>
      </c>
      <c r="AQ27" s="783">
        <f>IF(Таблица5[[#This Row],[11]]=0,,MONTH(Таблица5[[#This Row],[11]]))</f>
        <v>2</v>
      </c>
    </row>
    <row r="28" spans="1:43" ht="39" thickBot="1" x14ac:dyDescent="0.3">
      <c r="A28" s="233" t="str">
        <f t="shared" si="0"/>
        <v>1004-2017-00013</v>
      </c>
      <c r="B28" s="15" t="str">
        <f>РПЗ!$D28</f>
        <v>1004-2017-00013 Оказание услуги по  Подписке на печатные издания (II полугодие 2017г.)</v>
      </c>
      <c r="C28" s="15" t="str">
        <f>РПЗ!$AA28</f>
        <v>АО "НИИ "Полюс" им. М.Ф. Стельмаха" тел. отдела закупок 8-495-333-05-02</v>
      </c>
      <c r="D28" s="462" t="str">
        <f>РПЗ!$AB28</f>
        <v>Заказчик</v>
      </c>
      <c r="E28" s="96" t="s">
        <v>62</v>
      </c>
      <c r="F28" s="15" t="str">
        <f>РПЗ!Q28</f>
        <v>ОЗК</v>
      </c>
      <c r="G28" s="16" t="s">
        <v>108</v>
      </c>
      <c r="H28" s="15" t="str">
        <f>РПЗ!R28</f>
        <v>Да</v>
      </c>
      <c r="I28" s="15">
        <f>РПЗ!W28</f>
        <v>0</v>
      </c>
      <c r="J28" s="15">
        <f>РПЗ!X28</f>
        <v>0</v>
      </c>
      <c r="K28" s="283">
        <f>РПЗ!Z28</f>
        <v>0</v>
      </c>
      <c r="L28" s="17">
        <v>42892</v>
      </c>
      <c r="M28" s="18">
        <f>РПЗ!O28</f>
        <v>42887</v>
      </c>
      <c r="N28" s="238">
        <v>42900</v>
      </c>
      <c r="O28" s="17">
        <v>42900</v>
      </c>
      <c r="P28" s="17">
        <v>42906</v>
      </c>
      <c r="Q28" s="17">
        <v>42906</v>
      </c>
      <c r="R28" s="17">
        <v>42900</v>
      </c>
      <c r="S28" s="17">
        <v>42900</v>
      </c>
      <c r="T28" s="686">
        <v>42915</v>
      </c>
      <c r="U28" s="18">
        <f>РПЗ!P28</f>
        <v>43070</v>
      </c>
      <c r="V28" s="686">
        <v>43070</v>
      </c>
      <c r="W28" s="236">
        <f>РПЗ!L28</f>
        <v>438758.09</v>
      </c>
      <c r="X28" s="689">
        <v>2</v>
      </c>
      <c r="Y28" s="689">
        <v>0</v>
      </c>
      <c r="Z28" s="691">
        <v>5032213956</v>
      </c>
      <c r="AA28" s="691" t="s">
        <v>5946</v>
      </c>
      <c r="AB28" s="111">
        <v>423460.87</v>
      </c>
      <c r="AC28" s="17">
        <v>43070</v>
      </c>
      <c r="AD28" s="690" t="s">
        <v>6118</v>
      </c>
      <c r="AE28" s="686">
        <v>42915</v>
      </c>
      <c r="AF28" s="474"/>
      <c r="AG28" s="692">
        <v>423460.87</v>
      </c>
      <c r="AH28" s="234">
        <f>IF(Таблица5[[#This Row],[30]]=0,"НД",Таблица5[[#This Row],[20]]-Таблица5[[#This Row],[30]])</f>
        <v>15297.22000000003</v>
      </c>
      <c r="AI28" s="235">
        <f>IF(((1-Таблица5[[#This Row],[30]]/Таблица5[[#This Row],[20]])=1),"НД",(1-Таблица5[[#This Row],[30]]/Таблица5[[#This Row],[20]]))</f>
        <v>3.4864815825960127E-2</v>
      </c>
      <c r="AJ28" s="111">
        <v>423460.87</v>
      </c>
      <c r="AK28" s="111"/>
      <c r="AL28" s="112"/>
      <c r="AM28" s="463" t="s">
        <v>113</v>
      </c>
      <c r="AN28" s="801">
        <v>31705192105</v>
      </c>
      <c r="AO28" s="468" t="str">
        <f>РПЗ!AD28</f>
        <v>Нет</v>
      </c>
      <c r="AP28" s="472">
        <f>РПЗ!V28</f>
        <v>0</v>
      </c>
      <c r="AQ28" s="470">
        <f>IF(Таблица5[[#This Row],[11]]=0,,MONTH(Таблица5[[#This Row],[11]]))</f>
        <v>6</v>
      </c>
    </row>
    <row r="29" spans="1:43" ht="39" thickBot="1" x14ac:dyDescent="0.3">
      <c r="A29" s="233" t="str">
        <f t="shared" si="0"/>
        <v>1004-2017-00014</v>
      </c>
      <c r="B29" s="15" t="str">
        <f>РПЗ!$D29</f>
        <v>1004-2017-00014 Оказание услуги Подписке на печатные издания (I полугодие 2018г.)</v>
      </c>
      <c r="C29" s="15" t="str">
        <f>РПЗ!$AA29</f>
        <v>АО "НИИ "Полюс" им. М.Ф. Стельмаха" тел. отдела закупок 8-495-333-05-02</v>
      </c>
      <c r="D29" s="462" t="str">
        <f>РПЗ!$AB29</f>
        <v>Заказчик</v>
      </c>
      <c r="E29" s="96" t="s">
        <v>62</v>
      </c>
      <c r="F29" s="15" t="str">
        <f>РПЗ!Q29</f>
        <v>ОЗК</v>
      </c>
      <c r="G29" s="16" t="s">
        <v>108</v>
      </c>
      <c r="H29" s="15" t="str">
        <f>РПЗ!R29</f>
        <v>Да</v>
      </c>
      <c r="I29" s="15">
        <f>РПЗ!W29</f>
        <v>0</v>
      </c>
      <c r="J29" s="15">
        <f>РПЗ!X29</f>
        <v>0</v>
      </c>
      <c r="K29" s="283">
        <f>РПЗ!Z29</f>
        <v>0</v>
      </c>
      <c r="L29" s="17">
        <v>43041</v>
      </c>
      <c r="M29" s="18">
        <f>РПЗ!O29</f>
        <v>43040</v>
      </c>
      <c r="N29" s="238">
        <v>43048</v>
      </c>
      <c r="O29" s="17">
        <v>43048</v>
      </c>
      <c r="P29" s="17">
        <v>43053</v>
      </c>
      <c r="Q29" s="17">
        <v>43053</v>
      </c>
      <c r="R29" s="17">
        <v>43049</v>
      </c>
      <c r="S29" s="17">
        <v>43049</v>
      </c>
      <c r="T29" s="686">
        <v>43063</v>
      </c>
      <c r="U29" s="18">
        <f>РПЗ!P29</f>
        <v>43252</v>
      </c>
      <c r="V29" s="686">
        <v>43312</v>
      </c>
      <c r="W29" s="236">
        <f>РПЗ!L29</f>
        <v>513456.31</v>
      </c>
      <c r="X29" s="689">
        <v>2</v>
      </c>
      <c r="Y29" s="689">
        <v>0</v>
      </c>
      <c r="Z29" s="691">
        <v>5032213956</v>
      </c>
      <c r="AA29" s="691" t="s">
        <v>5946</v>
      </c>
      <c r="AB29" s="111">
        <v>422382.61</v>
      </c>
      <c r="AC29" s="17">
        <v>43312</v>
      </c>
      <c r="AD29" s="690" t="s">
        <v>8149</v>
      </c>
      <c r="AE29" s="686">
        <v>43063</v>
      </c>
      <c r="AF29" s="474"/>
      <c r="AG29" s="692">
        <v>422382.61</v>
      </c>
      <c r="AH29" s="234">
        <f>IF(Таблица5[[#This Row],[30]]=0,"НД",Таблица5[[#This Row],[20]]-Таблица5[[#This Row],[30]])</f>
        <v>91073.700000000012</v>
      </c>
      <c r="AI29" s="235">
        <f>IF(((1-Таблица5[[#This Row],[30]]/Таблица5[[#This Row],[20]])=1),"НД",(1-Таблица5[[#This Row],[30]]/Таблица5[[#This Row],[20]]))</f>
        <v>0.17737380615694454</v>
      </c>
      <c r="AJ29" s="111"/>
      <c r="AK29" s="111">
        <v>422382.61</v>
      </c>
      <c r="AL29" s="112"/>
      <c r="AM29" s="463" t="s">
        <v>113</v>
      </c>
      <c r="AN29" s="801">
        <v>31705700535</v>
      </c>
      <c r="AO29" s="468" t="str">
        <f>РПЗ!AD29</f>
        <v>Нет</v>
      </c>
      <c r="AP29" s="472">
        <f>РПЗ!V29</f>
        <v>0</v>
      </c>
      <c r="AQ29" s="470">
        <f>IF(Таблица5[[#This Row],[11]]=0,,MONTH(Таблица5[[#This Row],[11]]))</f>
        <v>11</v>
      </c>
    </row>
    <row r="30" spans="1:43" ht="64.5" thickBot="1" x14ac:dyDescent="0.3">
      <c r="A30" s="233" t="str">
        <f t="shared" si="0"/>
        <v>1004-2017-00015</v>
      </c>
      <c r="B30" s="15" t="str">
        <f>РПЗ!$D30</f>
        <v>1004-2017-00015 Оказание услуги на поставку электрической энергии (мощности) по  Договору №14712281 от 01.01.2007г. ПАО "Мосэнергосбыт"</v>
      </c>
      <c r="C30" s="15" t="str">
        <f>РПЗ!$AA30</f>
        <v>АО "НИИ "Полюс" им. М.Ф. Стельмаха" тел. отдела закупок 8-495-333-05-02</v>
      </c>
      <c r="D30" s="462" t="str">
        <f>РПЗ!$AB30</f>
        <v>Заказчик</v>
      </c>
      <c r="E30" s="96" t="s">
        <v>62</v>
      </c>
      <c r="F30" s="15" t="str">
        <f>РПЗ!Q30</f>
        <v>ЕП</v>
      </c>
      <c r="G30" s="16" t="str">
        <f>Таблица5[[#This Row],[6]]</f>
        <v>ЕП</v>
      </c>
      <c r="H30" s="15" t="str">
        <f>РПЗ!R30</f>
        <v>Нет</v>
      </c>
      <c r="I30" s="15" t="str">
        <f>РПЗ!W30</f>
        <v>6.6.2(3)</v>
      </c>
      <c r="J30" s="15">
        <f>РПЗ!X30</f>
        <v>7736520080</v>
      </c>
      <c r="K30" s="283">
        <f>РПЗ!Z30</f>
        <v>4014131.21</v>
      </c>
      <c r="L30" s="17">
        <v>42902</v>
      </c>
      <c r="M30" s="18">
        <f>РПЗ!O30</f>
        <v>42887</v>
      </c>
      <c r="N30" s="238">
        <f>Таблица5[[#This Row],[10]]</f>
        <v>42887</v>
      </c>
      <c r="O30" s="17"/>
      <c r="P30" s="17"/>
      <c r="Q30" s="17"/>
      <c r="R30" s="17"/>
      <c r="S30" s="17"/>
      <c r="T30" s="686">
        <v>42906</v>
      </c>
      <c r="U30" s="18">
        <f>РПЗ!P30</f>
        <v>42917</v>
      </c>
      <c r="V30" s="686">
        <v>42917</v>
      </c>
      <c r="W30" s="236">
        <f>РПЗ!L30</f>
        <v>4014131.21</v>
      </c>
      <c r="X30" s="689">
        <v>1</v>
      </c>
      <c r="Y30" s="689">
        <v>0</v>
      </c>
      <c r="Z30" s="691">
        <v>7736520080</v>
      </c>
      <c r="AA30" s="691" t="s">
        <v>5963</v>
      </c>
      <c r="AB30" s="111">
        <v>4014131.21</v>
      </c>
      <c r="AC30" s="17">
        <v>42917</v>
      </c>
      <c r="AD30" s="690" t="s">
        <v>5971</v>
      </c>
      <c r="AE30" s="686">
        <v>42906</v>
      </c>
      <c r="AF30" s="474"/>
      <c r="AG30" s="692">
        <v>4014131.21</v>
      </c>
      <c r="AH30" s="234">
        <f>IF(Таблица5[[#This Row],[30]]=0,"НД",Таблица5[[#This Row],[20]]-Таблица5[[#This Row],[30]])</f>
        <v>0</v>
      </c>
      <c r="AI30" s="235">
        <f>IF(((1-Таблица5[[#This Row],[30]]/Таблица5[[#This Row],[20]])=1),"НД",(1-Таблица5[[#This Row],[30]]/Таблица5[[#This Row],[20]]))</f>
        <v>0</v>
      </c>
      <c r="AJ30" s="111"/>
      <c r="AK30" s="111"/>
      <c r="AL30" s="112"/>
      <c r="AM30" s="463" t="s">
        <v>113</v>
      </c>
      <c r="AN30" s="801">
        <v>31705235348</v>
      </c>
      <c r="AO30" s="468" t="str">
        <f>РПЗ!AD30</f>
        <v>Нет</v>
      </c>
      <c r="AP30" s="472">
        <f>РПЗ!V30</f>
        <v>0</v>
      </c>
      <c r="AQ30" s="470">
        <f>IF(Таблица5[[#This Row],[11]]=0,,MONTH(Таблица5[[#This Row],[11]]))</f>
        <v>6</v>
      </c>
    </row>
    <row r="31" spans="1:43" ht="64.5" thickBot="1" x14ac:dyDescent="0.3">
      <c r="A31" s="233" t="str">
        <f t="shared" si="0"/>
        <v>1004-2017-00016</v>
      </c>
      <c r="B31" s="15" t="str">
        <f>РПЗ!$D31</f>
        <v>1004-2017-00016 Оказание услуги на поставку электрической энергии (мощности) по  Договору №14712281 от 01.01.2007г. ПАО "Мосэнергосбыт"</v>
      </c>
      <c r="C31" s="15" t="str">
        <f>РПЗ!$AA31</f>
        <v>АО "НИИ "Полюс" им. М.Ф. Стельмаха" тел. отдела закупок 8-495-333-05-02</v>
      </c>
      <c r="D31" s="462" t="str">
        <f>РПЗ!$AB31</f>
        <v>Заказчик</v>
      </c>
      <c r="E31" s="96" t="s">
        <v>46</v>
      </c>
      <c r="F31" s="15" t="str">
        <f>РПЗ!Q31</f>
        <v>ЕП</v>
      </c>
      <c r="G31" s="16"/>
      <c r="H31" s="15" t="str">
        <f>РПЗ!R31</f>
        <v>Нет</v>
      </c>
      <c r="I31" s="15" t="str">
        <f>РПЗ!W31</f>
        <v>6.6.2(3)</v>
      </c>
      <c r="J31" s="15">
        <f>РПЗ!X31</f>
        <v>7736520080</v>
      </c>
      <c r="K31" s="283">
        <f>РПЗ!Z31</f>
        <v>1500000</v>
      </c>
      <c r="L31" s="17"/>
      <c r="M31" s="18">
        <f>РПЗ!O31</f>
        <v>42736</v>
      </c>
      <c r="N31" s="238">
        <f>Таблица5[[#This Row],[10]]</f>
        <v>42736</v>
      </c>
      <c r="O31" s="17"/>
      <c r="P31" s="17"/>
      <c r="Q31" s="17"/>
      <c r="R31" s="17"/>
      <c r="S31" s="17"/>
      <c r="T31" s="686"/>
      <c r="U31" s="18">
        <f>РПЗ!P31</f>
        <v>42767</v>
      </c>
      <c r="V31" s="686"/>
      <c r="W31" s="236">
        <f>РПЗ!L31</f>
        <v>1500000</v>
      </c>
      <c r="X31" s="689"/>
      <c r="Y31" s="689"/>
      <c r="Z31" s="690"/>
      <c r="AA31" s="691"/>
      <c r="AB31" s="111"/>
      <c r="AC31" s="17"/>
      <c r="AD31" s="690"/>
      <c r="AE31" s="686"/>
      <c r="AF31" s="474"/>
      <c r="AG31" s="692"/>
      <c r="AH31" s="234" t="str">
        <f>IF(Таблица5[[#This Row],[30]]=0,"НД",Таблица5[[#This Row],[20]]-Таблица5[[#This Row],[30]])</f>
        <v>НД</v>
      </c>
      <c r="AI31" s="235" t="str">
        <f>IF(((1-Таблица5[[#This Row],[30]]/Таблица5[[#This Row],[20]])=1),"НД",(1-Таблица5[[#This Row],[30]]/Таблица5[[#This Row],[20]]))</f>
        <v>НД</v>
      </c>
      <c r="AJ31" s="111"/>
      <c r="AK31" s="111"/>
      <c r="AL31" s="112"/>
      <c r="AM31" s="463"/>
      <c r="AN31" s="465"/>
      <c r="AO31" s="468" t="str">
        <f>РПЗ!AD31</f>
        <v>Нет</v>
      </c>
      <c r="AP31" s="472">
        <f>РПЗ!V31</f>
        <v>0</v>
      </c>
      <c r="AQ31" s="470">
        <f>IF(Таблица5[[#This Row],[11]]=0,,MONTH(Таблица5[[#This Row],[11]]))</f>
        <v>1</v>
      </c>
    </row>
    <row r="32" spans="1:43" ht="64.5" thickBot="1" x14ac:dyDescent="0.3">
      <c r="A32" s="233" t="str">
        <f t="shared" si="0"/>
        <v>1004-2017-00017</v>
      </c>
      <c r="B32" s="15" t="str">
        <f>РПЗ!$D32</f>
        <v>1004-2017-00017 Оказание услуги на поставку электрической энергии (мощности) по  Договору №14712281 от 01.01.2007г. ПАО "Мосэнергосбыт"</v>
      </c>
      <c r="C32" s="15" t="str">
        <f>РПЗ!$AA32</f>
        <v>АО "НИИ "Полюс" им. М.Ф. Стельмаха" тел. отдела закупок 8-495-333-05-02</v>
      </c>
      <c r="D32" s="462" t="str">
        <f>РПЗ!$AB32</f>
        <v>Заказчик</v>
      </c>
      <c r="E32" s="96" t="s">
        <v>46</v>
      </c>
      <c r="F32" s="15" t="str">
        <f>РПЗ!Q32</f>
        <v>ЕП</v>
      </c>
      <c r="G32" s="16"/>
      <c r="H32" s="15" t="str">
        <f>РПЗ!R32</f>
        <v>Нет</v>
      </c>
      <c r="I32" s="15" t="str">
        <f>РПЗ!W32</f>
        <v>6.6.2(3)</v>
      </c>
      <c r="J32" s="15">
        <f>РПЗ!X32</f>
        <v>7736520080</v>
      </c>
      <c r="K32" s="283">
        <f>РПЗ!Z32</f>
        <v>3500000</v>
      </c>
      <c r="L32" s="17"/>
      <c r="M32" s="18">
        <f>РПЗ!O32</f>
        <v>42767</v>
      </c>
      <c r="N32" s="238">
        <f>Таблица5[[#This Row],[10]]</f>
        <v>42767</v>
      </c>
      <c r="O32" s="17"/>
      <c r="P32" s="17"/>
      <c r="Q32" s="17"/>
      <c r="R32" s="17"/>
      <c r="S32" s="17"/>
      <c r="T32" s="686"/>
      <c r="U32" s="18">
        <f>РПЗ!P32</f>
        <v>42795</v>
      </c>
      <c r="V32" s="686"/>
      <c r="W32" s="236">
        <f>РПЗ!L32</f>
        <v>3500000</v>
      </c>
      <c r="X32" s="689"/>
      <c r="Y32" s="689"/>
      <c r="Z32" s="690"/>
      <c r="AA32" s="691"/>
      <c r="AB32" s="111"/>
      <c r="AC32" s="17"/>
      <c r="AD32" s="690"/>
      <c r="AE32" s="686"/>
      <c r="AF32" s="474"/>
      <c r="AG32" s="692"/>
      <c r="AH32" s="234" t="str">
        <f>IF(Таблица5[[#This Row],[30]]=0,"НД",Таблица5[[#This Row],[20]]-Таблица5[[#This Row],[30]])</f>
        <v>НД</v>
      </c>
      <c r="AI32" s="235" t="str">
        <f>IF(((1-Таблица5[[#This Row],[30]]/Таблица5[[#This Row],[20]])=1),"НД",(1-Таблица5[[#This Row],[30]]/Таблица5[[#This Row],[20]]))</f>
        <v>НД</v>
      </c>
      <c r="AJ32" s="111"/>
      <c r="AK32" s="111"/>
      <c r="AL32" s="112"/>
      <c r="AM32" s="463"/>
      <c r="AN32" s="465"/>
      <c r="AO32" s="468" t="str">
        <f>РПЗ!AD32</f>
        <v>Нет</v>
      </c>
      <c r="AP32" s="472">
        <f>РПЗ!V32</f>
        <v>0</v>
      </c>
      <c r="AQ32" s="470">
        <f>IF(Таблица5[[#This Row],[11]]=0,,MONTH(Таблица5[[#This Row],[11]]))</f>
        <v>2</v>
      </c>
    </row>
    <row r="33" spans="1:43" ht="64.5" thickBot="1" x14ac:dyDescent="0.3">
      <c r="A33" s="233" t="str">
        <f t="shared" si="0"/>
        <v>1004-2017-00018</v>
      </c>
      <c r="B33" s="15" t="str">
        <f>РПЗ!$D33</f>
        <v>1004-2017-00018 Оказание услуги на поставку электрической энергии (мощности) по  Договору №14712281 от 01.01.2007г. ПАО "Мосэнергосбыт"</v>
      </c>
      <c r="C33" s="15" t="str">
        <f>РПЗ!$AA33</f>
        <v>АО "НИИ "Полюс" им. М.Ф. Стельмаха" тел. отдела закупок 8-495-333-05-02</v>
      </c>
      <c r="D33" s="462" t="str">
        <f>РПЗ!$AB33</f>
        <v>Заказчик</v>
      </c>
      <c r="E33" s="96" t="s">
        <v>62</v>
      </c>
      <c r="F33" s="15" t="str">
        <f>РПЗ!Q33</f>
        <v>ЕП</v>
      </c>
      <c r="G33" s="16" t="s">
        <v>110</v>
      </c>
      <c r="H33" s="15" t="str">
        <f>РПЗ!R33</f>
        <v>Нет</v>
      </c>
      <c r="I33" s="15" t="str">
        <f>РПЗ!W33</f>
        <v>6.6.2(3)</v>
      </c>
      <c r="J33" s="15">
        <f>РПЗ!X33</f>
        <v>7736520080</v>
      </c>
      <c r="K33" s="283">
        <f>РПЗ!Z33</f>
        <v>1538612.87</v>
      </c>
      <c r="L33" s="17">
        <v>42907</v>
      </c>
      <c r="M33" s="18">
        <f>РПЗ!O33</f>
        <v>42887</v>
      </c>
      <c r="N33" s="238">
        <f>Таблица5[[#This Row],[10]]</f>
        <v>42887</v>
      </c>
      <c r="O33" s="17"/>
      <c r="P33" s="17"/>
      <c r="Q33" s="17"/>
      <c r="R33" s="17"/>
      <c r="S33" s="17"/>
      <c r="T33" s="686">
        <v>42908</v>
      </c>
      <c r="U33" s="18">
        <f>РПЗ!P33</f>
        <v>42917</v>
      </c>
      <c r="V33" s="686">
        <v>42917</v>
      </c>
      <c r="W33" s="236">
        <f>РПЗ!L33</f>
        <v>1538612.87</v>
      </c>
      <c r="X33" s="689">
        <v>1</v>
      </c>
      <c r="Y33" s="689">
        <v>0</v>
      </c>
      <c r="Z33" s="691">
        <v>7736520080</v>
      </c>
      <c r="AA33" s="691" t="s">
        <v>5963</v>
      </c>
      <c r="AB33" s="111">
        <v>1538612.87</v>
      </c>
      <c r="AC33" s="17">
        <v>42917</v>
      </c>
      <c r="AD33" s="690" t="s">
        <v>5964</v>
      </c>
      <c r="AE33" s="686">
        <v>42908</v>
      </c>
      <c r="AF33" s="474"/>
      <c r="AG33" s="692">
        <v>1538612.87</v>
      </c>
      <c r="AH33" s="234">
        <f>IF(Таблица5[[#This Row],[30]]=0,"НД",Таблица5[[#This Row],[20]]-Таблица5[[#This Row],[30]])</f>
        <v>0</v>
      </c>
      <c r="AI33" s="235">
        <f>IF(((1-Таблица5[[#This Row],[30]]/Таблица5[[#This Row],[20]])=1),"НД",(1-Таблица5[[#This Row],[30]]/Таблица5[[#This Row],[20]]))</f>
        <v>0</v>
      </c>
      <c r="AJ33" s="111"/>
      <c r="AK33" s="111"/>
      <c r="AL33" s="112"/>
      <c r="AM33" s="463" t="s">
        <v>113</v>
      </c>
      <c r="AN33" s="801">
        <v>31705245764</v>
      </c>
      <c r="AO33" s="468" t="str">
        <f>РПЗ!AD33</f>
        <v>Нет</v>
      </c>
      <c r="AP33" s="472">
        <f>РПЗ!V33</f>
        <v>0</v>
      </c>
      <c r="AQ33" s="470">
        <f>IF(Таблица5[[#This Row],[11]]=0,,MONTH(Таблица5[[#This Row],[11]]))</f>
        <v>6</v>
      </c>
    </row>
    <row r="34" spans="1:43" ht="64.5" thickBot="1" x14ac:dyDescent="0.3">
      <c r="A34" s="233" t="str">
        <f t="shared" si="0"/>
        <v>1004-2017-00019</v>
      </c>
      <c r="B34" s="15" t="str">
        <f>РПЗ!$D34</f>
        <v>1004-2017-00019 Оказание услуги на поставку электрической энергии (мощности) по  Договору №14712281 от 01.01.2007г. ПАО "Мосэнергосбыт"</v>
      </c>
      <c r="C34" s="15" t="str">
        <f>РПЗ!$AA34</f>
        <v>АО "НИИ "Полюс" им. М.Ф. Стельмаха" тел. отдела закупок 8-495-333-05-02</v>
      </c>
      <c r="D34" s="462" t="str">
        <f>РПЗ!$AB34</f>
        <v>Заказчик</v>
      </c>
      <c r="E34" s="96" t="s">
        <v>62</v>
      </c>
      <c r="F34" s="15" t="str">
        <f>РПЗ!Q34</f>
        <v>ЕП</v>
      </c>
      <c r="G34" s="16" t="str">
        <f>Таблица5[[#This Row],[6]]</f>
        <v>ЕП</v>
      </c>
      <c r="H34" s="15" t="str">
        <f>РПЗ!R34</f>
        <v>Нет</v>
      </c>
      <c r="I34" s="15" t="str">
        <f>РПЗ!W34</f>
        <v>6.6.2(3)</v>
      </c>
      <c r="J34" s="15">
        <f>РПЗ!X34</f>
        <v>7736520080</v>
      </c>
      <c r="K34" s="283">
        <f>РПЗ!Z34</f>
        <v>3500000</v>
      </c>
      <c r="L34" s="17">
        <v>42905</v>
      </c>
      <c r="M34" s="18">
        <f>РПЗ!O34</f>
        <v>42887</v>
      </c>
      <c r="N34" s="238">
        <f>Таблица5[[#This Row],[10]]</f>
        <v>42887</v>
      </c>
      <c r="O34" s="17"/>
      <c r="P34" s="17"/>
      <c r="Q34" s="17"/>
      <c r="R34" s="17"/>
      <c r="S34" s="17"/>
      <c r="T34" s="686">
        <v>42906</v>
      </c>
      <c r="U34" s="18">
        <f>РПЗ!P34</f>
        <v>42917</v>
      </c>
      <c r="V34" s="686">
        <v>42917</v>
      </c>
      <c r="W34" s="236">
        <f>РПЗ!L34</f>
        <v>3629609.82</v>
      </c>
      <c r="X34" s="689">
        <v>1</v>
      </c>
      <c r="Y34" s="689">
        <v>0</v>
      </c>
      <c r="Z34" s="691">
        <v>7736520080</v>
      </c>
      <c r="AA34" s="691" t="s">
        <v>5963</v>
      </c>
      <c r="AB34" s="111">
        <v>3629609.82</v>
      </c>
      <c r="AC34" s="17">
        <v>42917</v>
      </c>
      <c r="AD34" s="690" t="s">
        <v>5973</v>
      </c>
      <c r="AE34" s="686">
        <v>42906</v>
      </c>
      <c r="AF34" s="474"/>
      <c r="AG34" s="692">
        <v>3629609.82</v>
      </c>
      <c r="AH34" s="234">
        <f>IF(Таблица5[[#This Row],[30]]=0,"НД",Таблица5[[#This Row],[20]]-Таблица5[[#This Row],[30]])</f>
        <v>0</v>
      </c>
      <c r="AI34" s="235">
        <f>IF(((1-Таблица5[[#This Row],[30]]/Таблица5[[#This Row],[20]])=1),"НД",(1-Таблица5[[#This Row],[30]]/Таблица5[[#This Row],[20]]))</f>
        <v>0</v>
      </c>
      <c r="AJ34" s="111"/>
      <c r="AK34" s="111"/>
      <c r="AL34" s="112"/>
      <c r="AM34" s="463" t="s">
        <v>113</v>
      </c>
      <c r="AN34" s="801">
        <v>31705238155</v>
      </c>
      <c r="AO34" s="468" t="str">
        <f>РПЗ!AD34</f>
        <v>Нет</v>
      </c>
      <c r="AP34" s="472">
        <f>РПЗ!V34</f>
        <v>0</v>
      </c>
      <c r="AQ34" s="470">
        <f>IF(Таблица5[[#This Row],[11]]=0,,MONTH(Таблица5[[#This Row],[11]]))</f>
        <v>6</v>
      </c>
    </row>
    <row r="35" spans="1:43" ht="64.5" thickBot="1" x14ac:dyDescent="0.3">
      <c r="A35" s="233" t="str">
        <f t="shared" si="0"/>
        <v>1004-2017-00020</v>
      </c>
      <c r="B35" s="15" t="str">
        <f>РПЗ!$D35</f>
        <v>1004-2017-00020 Оказание услуги на поставку электрической энергии (мощности) по  Договору №14712281 от 01.01.2007г. ПАО "Мосэнергосбыт"</v>
      </c>
      <c r="C35" s="15" t="str">
        <f>РПЗ!$AA35</f>
        <v>АО "НИИ "Полюс" им. М.Ф. Стельмаха" тел. отдела закупок 8-495-333-05-02</v>
      </c>
      <c r="D35" s="462" t="str">
        <f>РПЗ!$AB35</f>
        <v>Заказчик</v>
      </c>
      <c r="E35" s="96" t="s">
        <v>62</v>
      </c>
      <c r="F35" s="15" t="str">
        <f>РПЗ!Q35</f>
        <v>ЕП</v>
      </c>
      <c r="G35" s="16" t="s">
        <v>110</v>
      </c>
      <c r="H35" s="15" t="str">
        <f>РПЗ!R35</f>
        <v>Нет</v>
      </c>
      <c r="I35" s="15" t="str">
        <f>РПЗ!W35</f>
        <v>6.6.2(3)</v>
      </c>
      <c r="J35" s="15">
        <f>РПЗ!X35</f>
        <v>7736520080</v>
      </c>
      <c r="K35" s="283">
        <f>РПЗ!Z35</f>
        <v>1564290.22</v>
      </c>
      <c r="L35" s="17">
        <v>42913</v>
      </c>
      <c r="M35" s="18">
        <f>РПЗ!O35</f>
        <v>42887</v>
      </c>
      <c r="N35" s="238">
        <f>Таблица5[[#This Row],[10]]</f>
        <v>42887</v>
      </c>
      <c r="O35" s="17"/>
      <c r="P35" s="17"/>
      <c r="Q35" s="17"/>
      <c r="R35" s="17"/>
      <c r="S35" s="17"/>
      <c r="T35" s="686" t="s">
        <v>6078</v>
      </c>
      <c r="U35" s="18">
        <f>РПЗ!P35</f>
        <v>42917</v>
      </c>
      <c r="V35" s="686">
        <v>42917</v>
      </c>
      <c r="W35" s="236">
        <f>РПЗ!L35</f>
        <v>1564290.22</v>
      </c>
      <c r="X35" s="689">
        <v>1</v>
      </c>
      <c r="Y35" s="689">
        <v>0</v>
      </c>
      <c r="Z35" s="691">
        <v>7736520080</v>
      </c>
      <c r="AA35" s="691" t="s">
        <v>5963</v>
      </c>
      <c r="AB35" s="111">
        <v>1564290.22</v>
      </c>
      <c r="AC35" s="17">
        <v>42917</v>
      </c>
      <c r="AD35" s="690" t="s">
        <v>6078</v>
      </c>
      <c r="AE35" s="686">
        <v>42915</v>
      </c>
      <c r="AF35" s="474"/>
      <c r="AG35" s="692">
        <v>1564290.22</v>
      </c>
      <c r="AH35" s="234">
        <f>IF(Таблица5[[#This Row],[30]]=0,"НД",Таблица5[[#This Row],[20]]-Таблица5[[#This Row],[30]])</f>
        <v>0</v>
      </c>
      <c r="AI35" s="235">
        <f>IF(((1-Таблица5[[#This Row],[30]]/Таблица5[[#This Row],[20]])=1),"НД",(1-Таблица5[[#This Row],[30]]/Таблица5[[#This Row],[20]]))</f>
        <v>0</v>
      </c>
      <c r="AJ35" s="111"/>
      <c r="AK35" s="111"/>
      <c r="AL35" s="112"/>
      <c r="AM35" s="463" t="s">
        <v>113</v>
      </c>
      <c r="AN35" s="801">
        <v>31705269892</v>
      </c>
      <c r="AO35" s="468" t="str">
        <f>РПЗ!AD35</f>
        <v>Нет</v>
      </c>
      <c r="AP35" s="472">
        <f>РПЗ!V35</f>
        <v>0</v>
      </c>
      <c r="AQ35" s="470">
        <f>IF(Таблица5[[#This Row],[11]]=0,,MONTH(Таблица5[[#This Row],[11]]))</f>
        <v>6</v>
      </c>
    </row>
    <row r="36" spans="1:43" ht="64.5" thickBot="1" x14ac:dyDescent="0.3">
      <c r="A36" s="233" t="str">
        <f t="shared" si="0"/>
        <v>1004-2017-00021</v>
      </c>
      <c r="B36" s="15" t="str">
        <f>РПЗ!$D36</f>
        <v>1004-2017-00021 Оказание услуги на поставку электрической энергии (мощности) по  Договору №14712281 от 01.01.2007г. ПАО "Мосэнергосбыт"</v>
      </c>
      <c r="C36" s="15" t="str">
        <f>РПЗ!$AA36</f>
        <v>АО "НИИ "Полюс" им. М.Ф. Стельмаха" тел. отдела закупок 8-495-333-05-02</v>
      </c>
      <c r="D36" s="462" t="str">
        <f>РПЗ!$AB36</f>
        <v>Заказчик</v>
      </c>
      <c r="E36" s="96" t="s">
        <v>62</v>
      </c>
      <c r="F36" s="15" t="str">
        <f>РПЗ!Q36</f>
        <v>ЕП</v>
      </c>
      <c r="G36" s="16" t="s">
        <v>110</v>
      </c>
      <c r="H36" s="15" t="str">
        <f>РПЗ!R36</f>
        <v>Нет</v>
      </c>
      <c r="I36" s="15" t="str">
        <f>РПЗ!W36</f>
        <v>6.6.2(3)</v>
      </c>
      <c r="J36" s="15">
        <f>РПЗ!X36</f>
        <v>7736520080</v>
      </c>
      <c r="K36" s="283">
        <f>РПЗ!Z36</f>
        <v>3887439.87</v>
      </c>
      <c r="L36" s="17">
        <v>42913</v>
      </c>
      <c r="M36" s="18">
        <f>РПЗ!O36</f>
        <v>42887</v>
      </c>
      <c r="N36" s="238">
        <f>Таблица5[[#This Row],[10]]</f>
        <v>42887</v>
      </c>
      <c r="O36" s="17"/>
      <c r="P36" s="17"/>
      <c r="Q36" s="17"/>
      <c r="R36" s="17"/>
      <c r="S36" s="17"/>
      <c r="T36" s="686">
        <v>42915</v>
      </c>
      <c r="U36" s="18">
        <f>РПЗ!P36</f>
        <v>42917</v>
      </c>
      <c r="V36" s="686">
        <v>42917</v>
      </c>
      <c r="W36" s="236">
        <f>РПЗ!L36</f>
        <v>3887439.87</v>
      </c>
      <c r="X36" s="689">
        <v>1</v>
      </c>
      <c r="Y36" s="689">
        <v>0</v>
      </c>
      <c r="Z36" s="691">
        <v>7736520080</v>
      </c>
      <c r="AA36" s="691" t="s">
        <v>5963</v>
      </c>
      <c r="AB36" s="111">
        <v>3887439.87</v>
      </c>
      <c r="AC36" s="17">
        <v>42917</v>
      </c>
      <c r="AD36" s="690" t="s">
        <v>6076</v>
      </c>
      <c r="AE36" s="686">
        <v>42915</v>
      </c>
      <c r="AF36" s="474"/>
      <c r="AG36" s="692">
        <v>3887439.87</v>
      </c>
      <c r="AH36" s="234">
        <f>IF(Таблица5[[#This Row],[30]]=0,"НД",Таблица5[[#This Row],[20]]-Таблица5[[#This Row],[30]])</f>
        <v>0</v>
      </c>
      <c r="AI36" s="235">
        <f>IF(((1-Таблица5[[#This Row],[30]]/Таблица5[[#This Row],[20]])=1),"НД",(1-Таблица5[[#This Row],[30]]/Таблица5[[#This Row],[20]]))</f>
        <v>0</v>
      </c>
      <c r="AJ36" s="111"/>
      <c r="AK36" s="111"/>
      <c r="AL36" s="112"/>
      <c r="AM36" s="463" t="s">
        <v>113</v>
      </c>
      <c r="AN36" s="801">
        <v>31705268000</v>
      </c>
      <c r="AO36" s="468" t="str">
        <f>РПЗ!AD36</f>
        <v>Нет</v>
      </c>
      <c r="AP36" s="472">
        <f>РПЗ!V36</f>
        <v>0</v>
      </c>
      <c r="AQ36" s="470">
        <f>IF(Таблица5[[#This Row],[11]]=0,,MONTH(Таблица5[[#This Row],[11]]))</f>
        <v>6</v>
      </c>
    </row>
    <row r="37" spans="1:43" ht="64.5" thickBot="1" x14ac:dyDescent="0.3">
      <c r="A37" s="233" t="str">
        <f t="shared" si="0"/>
        <v>1004-2017-00022</v>
      </c>
      <c r="B37" s="15" t="str">
        <f>РПЗ!$D37</f>
        <v>1004-2017-00022 Оказание услуги на поставку электрической энергии (мощности) по  Договору №14712281 от 01.01.2007г. ПАО "Мосэнергосбыт"</v>
      </c>
      <c r="C37" s="15" t="str">
        <f>РПЗ!$AA37</f>
        <v>АО "НИИ "Полюс" им. М.Ф. Стельмаха" тел. отдела закупок 8-495-333-05-02</v>
      </c>
      <c r="D37" s="462" t="str">
        <f>РПЗ!$AB37</f>
        <v>Заказчик</v>
      </c>
      <c r="E37" s="96" t="s">
        <v>62</v>
      </c>
      <c r="F37" s="15" t="str">
        <f>РПЗ!Q37</f>
        <v>ЕП</v>
      </c>
      <c r="G37" s="16" t="s">
        <v>110</v>
      </c>
      <c r="H37" s="15" t="str">
        <f>РПЗ!R37</f>
        <v>Нет</v>
      </c>
      <c r="I37" s="15" t="str">
        <f>РПЗ!W37</f>
        <v>6.6.2(3)</v>
      </c>
      <c r="J37" s="15">
        <f>РПЗ!X37</f>
        <v>7736520080</v>
      </c>
      <c r="K37" s="283">
        <f>РПЗ!Z37</f>
        <v>1173430.06</v>
      </c>
      <c r="L37" s="17">
        <v>42915</v>
      </c>
      <c r="M37" s="18">
        <f>РПЗ!O37</f>
        <v>42887</v>
      </c>
      <c r="N37" s="238">
        <f>Таблица5[[#This Row],[10]]</f>
        <v>42887</v>
      </c>
      <c r="O37" s="17"/>
      <c r="P37" s="17"/>
      <c r="Q37" s="17"/>
      <c r="R37" s="17"/>
      <c r="S37" s="17"/>
      <c r="T37" s="686">
        <v>42922</v>
      </c>
      <c r="U37" s="18">
        <f>РПЗ!P37</f>
        <v>42917</v>
      </c>
      <c r="V37" s="686">
        <v>42948</v>
      </c>
      <c r="W37" s="236">
        <f>РПЗ!L37</f>
        <v>1173430.06</v>
      </c>
      <c r="X37" s="689">
        <v>1</v>
      </c>
      <c r="Y37" s="689">
        <v>0</v>
      </c>
      <c r="Z37" s="691">
        <v>7736520080</v>
      </c>
      <c r="AA37" s="691" t="s">
        <v>5963</v>
      </c>
      <c r="AB37" s="111">
        <v>1173430.06</v>
      </c>
      <c r="AC37" s="17">
        <v>42948</v>
      </c>
      <c r="AD37" s="690" t="s">
        <v>6464</v>
      </c>
      <c r="AE37" s="686">
        <v>42922</v>
      </c>
      <c r="AF37" s="474"/>
      <c r="AG37" s="692">
        <v>1173430.06</v>
      </c>
      <c r="AH37" s="234">
        <f>IF(Таблица5[[#This Row],[30]]=0,"НД",Таблица5[[#This Row],[20]]-Таблица5[[#This Row],[30]])</f>
        <v>0</v>
      </c>
      <c r="AI37" s="235">
        <f>IF(((1-Таблица5[[#This Row],[30]]/Таблица5[[#This Row],[20]])=1),"НД",(1-Таблица5[[#This Row],[30]]/Таблица5[[#This Row],[20]]))</f>
        <v>0</v>
      </c>
      <c r="AJ37" s="111"/>
      <c r="AK37" s="111"/>
      <c r="AL37" s="112"/>
      <c r="AM37" s="463" t="s">
        <v>113</v>
      </c>
      <c r="AN37" s="801">
        <v>31705288315</v>
      </c>
      <c r="AO37" s="468" t="str">
        <f>РПЗ!AD37</f>
        <v>Нет</v>
      </c>
      <c r="AP37" s="472">
        <f>РПЗ!V37</f>
        <v>0</v>
      </c>
      <c r="AQ37" s="470">
        <f>IF(Таблица5[[#This Row],[11]]=0,,MONTH(Таблица5[[#This Row],[11]]))</f>
        <v>6</v>
      </c>
    </row>
    <row r="38" spans="1:43" ht="64.5" thickBot="1" x14ac:dyDescent="0.3">
      <c r="A38" s="233" t="str">
        <f t="shared" si="0"/>
        <v>1004-2017-00023</v>
      </c>
      <c r="B38" s="15" t="str">
        <f>РПЗ!$D38</f>
        <v>1004-2017-00023 Оказание услуги на поставку электрической энергии (мощности) по  Договору №14712281 от 01.01.2007г. ПАО "Мосэнергосбыт"</v>
      </c>
      <c r="C38" s="15" t="str">
        <f>РПЗ!$AA38</f>
        <v>АО "НИИ "Полюс" им. М.Ф. Стельмаха" тел. отдела закупок 8-495-333-05-02</v>
      </c>
      <c r="D38" s="462" t="str">
        <f>РПЗ!$AB38</f>
        <v>Заказчик</v>
      </c>
      <c r="E38" s="96" t="s">
        <v>62</v>
      </c>
      <c r="F38" s="15" t="str">
        <f>РПЗ!Q38</f>
        <v>ЕП</v>
      </c>
      <c r="G38" s="16" t="s">
        <v>110</v>
      </c>
      <c r="H38" s="15" t="str">
        <f>РПЗ!R38</f>
        <v>Нет</v>
      </c>
      <c r="I38" s="15" t="str">
        <f>РПЗ!W38</f>
        <v>6.6.2(3)</v>
      </c>
      <c r="J38" s="15">
        <f>РПЗ!X38</f>
        <v>7736520080</v>
      </c>
      <c r="K38" s="283">
        <f>РПЗ!Z38</f>
        <v>3636024.79</v>
      </c>
      <c r="L38" s="17">
        <v>42915</v>
      </c>
      <c r="M38" s="18">
        <f>РПЗ!O38</f>
        <v>42887</v>
      </c>
      <c r="N38" s="238">
        <f>Таблица5[[#This Row],[10]]</f>
        <v>42887</v>
      </c>
      <c r="O38" s="17"/>
      <c r="P38" s="17"/>
      <c r="Q38" s="17"/>
      <c r="R38" s="17"/>
      <c r="S38" s="17"/>
      <c r="T38" s="686">
        <v>42922</v>
      </c>
      <c r="U38" s="18">
        <f>РПЗ!P38</f>
        <v>42917</v>
      </c>
      <c r="V38" s="686">
        <v>42948</v>
      </c>
      <c r="W38" s="236">
        <f>РПЗ!L38</f>
        <v>3636024.79</v>
      </c>
      <c r="X38" s="689">
        <v>1</v>
      </c>
      <c r="Y38" s="689">
        <v>0</v>
      </c>
      <c r="Z38" s="691">
        <v>7736520080</v>
      </c>
      <c r="AA38" s="691" t="s">
        <v>5963</v>
      </c>
      <c r="AB38" s="111">
        <v>3636024.79</v>
      </c>
      <c r="AC38" s="17">
        <v>42948</v>
      </c>
      <c r="AD38" s="690" t="s">
        <v>6459</v>
      </c>
      <c r="AE38" s="686">
        <v>42922</v>
      </c>
      <c r="AF38" s="474"/>
      <c r="AG38" s="692">
        <v>3636024.79</v>
      </c>
      <c r="AH38" s="234">
        <f>IF(Таблица5[[#This Row],[30]]=0,"НД",Таблица5[[#This Row],[20]]-Таблица5[[#This Row],[30]])</f>
        <v>0</v>
      </c>
      <c r="AI38" s="235">
        <f>IF(((1-Таблица5[[#This Row],[30]]/Таблица5[[#This Row],[20]])=1),"НД",(1-Таблица5[[#This Row],[30]]/Таблица5[[#This Row],[20]]))</f>
        <v>0</v>
      </c>
      <c r="AJ38" s="111"/>
      <c r="AK38" s="111"/>
      <c r="AL38" s="112"/>
      <c r="AM38" s="463" t="s">
        <v>113</v>
      </c>
      <c r="AN38" s="801">
        <v>31705283403</v>
      </c>
      <c r="AO38" s="468" t="str">
        <f>РПЗ!AD38</f>
        <v>Нет</v>
      </c>
      <c r="AP38" s="472">
        <f>РПЗ!V38</f>
        <v>0</v>
      </c>
      <c r="AQ38" s="470">
        <f>IF(Таблица5[[#This Row],[11]]=0,,MONTH(Таблица5[[#This Row],[11]]))</f>
        <v>6</v>
      </c>
    </row>
    <row r="39" spans="1:43" ht="64.5" thickBot="1" x14ac:dyDescent="0.3">
      <c r="A39" s="233" t="str">
        <f t="shared" si="0"/>
        <v>1004-2017-00024</v>
      </c>
      <c r="B39" s="15" t="str">
        <f>РПЗ!$D39</f>
        <v>1004-2017-00024 Оказание услуги на поставку электрической энергии (мощности) по  Договору №14712281 от 01.01.2007г. ПАО "Мосэнергосбыт"</v>
      </c>
      <c r="C39" s="15" t="str">
        <f>РПЗ!$AA39</f>
        <v>АО "НИИ "Полюс" им. М.Ф. Стельмаха" тел. отдела закупок 8-495-333-05-02</v>
      </c>
      <c r="D39" s="462" t="str">
        <f>РПЗ!$AB39</f>
        <v>Заказчик</v>
      </c>
      <c r="E39" s="96" t="s">
        <v>46</v>
      </c>
      <c r="F39" s="15" t="str">
        <f>РПЗ!Q39</f>
        <v>ЕП</v>
      </c>
      <c r="G39" s="16"/>
      <c r="H39" s="15" t="str">
        <f>РПЗ!R39</f>
        <v>Нет</v>
      </c>
      <c r="I39" s="15" t="str">
        <f>РПЗ!W39</f>
        <v>6.6.2(3)</v>
      </c>
      <c r="J39" s="15">
        <f>РПЗ!X39</f>
        <v>7736520080</v>
      </c>
      <c r="K39" s="283">
        <f>РПЗ!Z39</f>
        <v>1335000</v>
      </c>
      <c r="L39" s="17"/>
      <c r="M39" s="18">
        <f>РПЗ!O39</f>
        <v>42856</v>
      </c>
      <c r="N39" s="238">
        <f>Таблица5[[#This Row],[10]]</f>
        <v>42856</v>
      </c>
      <c r="O39" s="17"/>
      <c r="P39" s="17"/>
      <c r="Q39" s="17"/>
      <c r="R39" s="17"/>
      <c r="S39" s="17"/>
      <c r="T39" s="686"/>
      <c r="U39" s="18">
        <f>РПЗ!P39</f>
        <v>42887</v>
      </c>
      <c r="V39" s="686"/>
      <c r="W39" s="236">
        <f>РПЗ!L39</f>
        <v>1335000</v>
      </c>
      <c r="X39" s="689"/>
      <c r="Y39" s="689"/>
      <c r="Z39" s="690"/>
      <c r="AA39" s="691"/>
      <c r="AB39" s="111"/>
      <c r="AC39" s="17"/>
      <c r="AD39" s="690"/>
      <c r="AE39" s="686"/>
      <c r="AF39" s="474"/>
      <c r="AG39" s="692"/>
      <c r="AH39" s="234" t="str">
        <f>IF(Таблица5[[#This Row],[30]]=0,"НД",Таблица5[[#This Row],[20]]-Таблица5[[#This Row],[30]])</f>
        <v>НД</v>
      </c>
      <c r="AI39" s="235" t="str">
        <f>IF(((1-Таблица5[[#This Row],[30]]/Таблица5[[#This Row],[20]])=1),"НД",(1-Таблица5[[#This Row],[30]]/Таблица5[[#This Row],[20]]))</f>
        <v>НД</v>
      </c>
      <c r="AJ39" s="111"/>
      <c r="AK39" s="111"/>
      <c r="AL39" s="112"/>
      <c r="AM39" s="463"/>
      <c r="AN39" s="465"/>
      <c r="AO39" s="468" t="str">
        <f>РПЗ!AD39</f>
        <v>Нет</v>
      </c>
      <c r="AP39" s="472">
        <f>РПЗ!V39</f>
        <v>0</v>
      </c>
      <c r="AQ39" s="470">
        <f>IF(Таблица5[[#This Row],[11]]=0,,MONTH(Таблица5[[#This Row],[11]]))</f>
        <v>5</v>
      </c>
    </row>
    <row r="40" spans="1:43" ht="64.5" thickBot="1" x14ac:dyDescent="0.3">
      <c r="A40" s="233" t="str">
        <f t="shared" si="0"/>
        <v>1004-2017-00025</v>
      </c>
      <c r="B40" s="15" t="str">
        <f>РПЗ!$D40</f>
        <v>1004-2017-00025 Оказание услуги на поставку электрической энергии (мощности) по  Договору №14712281 от 01.01.2007г. ПАО "Мосэнергосбыт"</v>
      </c>
      <c r="C40" s="15" t="str">
        <f>РПЗ!$AA40</f>
        <v>АО "НИИ "Полюс" им. М.Ф. Стельмаха" тел. отдела закупок 8-495-333-05-02</v>
      </c>
      <c r="D40" s="462" t="str">
        <f>РПЗ!$AB40</f>
        <v>Заказчик</v>
      </c>
      <c r="E40" s="96" t="s">
        <v>46</v>
      </c>
      <c r="F40" s="15" t="str">
        <f>РПЗ!Q40</f>
        <v>ЕП</v>
      </c>
      <c r="G40" s="16"/>
      <c r="H40" s="15" t="str">
        <f>РПЗ!R40</f>
        <v>Нет</v>
      </c>
      <c r="I40" s="15" t="str">
        <f>РПЗ!W40</f>
        <v>6.6.2(3)</v>
      </c>
      <c r="J40" s="15">
        <f>РПЗ!X40</f>
        <v>7736520080</v>
      </c>
      <c r="K40" s="283">
        <f>РПЗ!Z40</f>
        <v>3430000</v>
      </c>
      <c r="L40" s="17"/>
      <c r="M40" s="18">
        <f>РПЗ!O40</f>
        <v>42887</v>
      </c>
      <c r="N40" s="238">
        <f>Таблица5[[#This Row],[10]]</f>
        <v>42887</v>
      </c>
      <c r="O40" s="17"/>
      <c r="P40" s="17"/>
      <c r="Q40" s="17"/>
      <c r="R40" s="17"/>
      <c r="S40" s="17"/>
      <c r="T40" s="686"/>
      <c r="U40" s="18">
        <f>РПЗ!P40</f>
        <v>42917</v>
      </c>
      <c r="V40" s="686"/>
      <c r="W40" s="236">
        <f>РПЗ!L40</f>
        <v>3430000</v>
      </c>
      <c r="X40" s="689"/>
      <c r="Y40" s="689"/>
      <c r="Z40" s="690"/>
      <c r="AA40" s="691"/>
      <c r="AB40" s="111"/>
      <c r="AC40" s="17"/>
      <c r="AD40" s="690"/>
      <c r="AE40" s="686"/>
      <c r="AF40" s="474"/>
      <c r="AG40" s="692"/>
      <c r="AH40" s="234" t="str">
        <f>IF(Таблица5[[#This Row],[30]]=0,"НД",Таблица5[[#This Row],[20]]-Таблица5[[#This Row],[30]])</f>
        <v>НД</v>
      </c>
      <c r="AI40" s="235" t="str">
        <f>IF(((1-Таблица5[[#This Row],[30]]/Таблица5[[#This Row],[20]])=1),"НД",(1-Таблица5[[#This Row],[30]]/Таблица5[[#This Row],[20]]))</f>
        <v>НД</v>
      </c>
      <c r="AJ40" s="111"/>
      <c r="AK40" s="111"/>
      <c r="AL40" s="112"/>
      <c r="AM40" s="463"/>
      <c r="AN40" s="465"/>
      <c r="AO40" s="468" t="str">
        <f>РПЗ!AD40</f>
        <v>Нет</v>
      </c>
      <c r="AP40" s="472">
        <f>РПЗ!V40</f>
        <v>0</v>
      </c>
      <c r="AQ40" s="470">
        <f>IF(Таблица5[[#This Row],[11]]=0,,MONTH(Таблица5[[#This Row],[11]]))</f>
        <v>6</v>
      </c>
    </row>
    <row r="41" spans="1:43" ht="64.5" thickBot="1" x14ac:dyDescent="0.3">
      <c r="A41" s="233" t="str">
        <f t="shared" si="0"/>
        <v>1004-2017-00026</v>
      </c>
      <c r="B41" s="15" t="str">
        <f>РПЗ!$D41</f>
        <v>1004-2017-00026 Оказание услуги на поставку электрической энергии (мощности) по  Договору №14712281 от 01.01.2007г. ПАО "Мосэнергосбыт"</v>
      </c>
      <c r="C41" s="15" t="str">
        <f>РПЗ!$AA41</f>
        <v>АО "НИИ "Полюс" им. М.Ф. Стельмаха" тел. отдела закупок 8-495-333-05-02</v>
      </c>
      <c r="D41" s="462" t="str">
        <f>РПЗ!$AB41</f>
        <v>Заказчик</v>
      </c>
      <c r="E41" s="96" t="s">
        <v>46</v>
      </c>
      <c r="F41" s="15" t="str">
        <f>РПЗ!Q41</f>
        <v>ЕП</v>
      </c>
      <c r="G41" s="16"/>
      <c r="H41" s="15" t="str">
        <f>РПЗ!R41</f>
        <v>Нет</v>
      </c>
      <c r="I41" s="15" t="str">
        <f>РПЗ!W41</f>
        <v>6.6.2(3)</v>
      </c>
      <c r="J41" s="15">
        <f>РПЗ!X41</f>
        <v>7736520080</v>
      </c>
      <c r="K41" s="283">
        <f>РПЗ!Z41</f>
        <v>1470000</v>
      </c>
      <c r="L41" s="17"/>
      <c r="M41" s="18">
        <f>РПЗ!O41</f>
        <v>42887</v>
      </c>
      <c r="N41" s="238">
        <f>Таблица5[[#This Row],[10]]</f>
        <v>42887</v>
      </c>
      <c r="O41" s="17"/>
      <c r="P41" s="17"/>
      <c r="Q41" s="17"/>
      <c r="R41" s="17"/>
      <c r="S41" s="17"/>
      <c r="T41" s="686"/>
      <c r="U41" s="18">
        <f>РПЗ!P41</f>
        <v>42917</v>
      </c>
      <c r="V41" s="686"/>
      <c r="W41" s="236">
        <f>РПЗ!L41</f>
        <v>1470000</v>
      </c>
      <c r="X41" s="689"/>
      <c r="Y41" s="689"/>
      <c r="Z41" s="690"/>
      <c r="AA41" s="691"/>
      <c r="AB41" s="111"/>
      <c r="AC41" s="17"/>
      <c r="AD41" s="690"/>
      <c r="AE41" s="686"/>
      <c r="AF41" s="474"/>
      <c r="AG41" s="692"/>
      <c r="AH41" s="234" t="str">
        <f>IF(Таблица5[[#This Row],[30]]=0,"НД",Таблица5[[#This Row],[20]]-Таблица5[[#This Row],[30]])</f>
        <v>НД</v>
      </c>
      <c r="AI41" s="235" t="str">
        <f>IF(((1-Таблица5[[#This Row],[30]]/Таблица5[[#This Row],[20]])=1),"НД",(1-Таблица5[[#This Row],[30]]/Таблица5[[#This Row],[20]]))</f>
        <v>НД</v>
      </c>
      <c r="AJ41" s="111"/>
      <c r="AK41" s="111"/>
      <c r="AL41" s="112"/>
      <c r="AM41" s="463"/>
      <c r="AN41" s="465"/>
      <c r="AO41" s="468" t="str">
        <f>РПЗ!AD41</f>
        <v>Нет</v>
      </c>
      <c r="AP41" s="472">
        <f>РПЗ!V41</f>
        <v>0</v>
      </c>
      <c r="AQ41" s="470">
        <f>IF(Таблица5[[#This Row],[11]]=0,,MONTH(Таблица5[[#This Row],[11]]))</f>
        <v>6</v>
      </c>
    </row>
    <row r="42" spans="1:43" ht="64.5" thickBot="1" x14ac:dyDescent="0.3">
      <c r="A42" s="233" t="str">
        <f t="shared" si="0"/>
        <v>1004-2017-00027</v>
      </c>
      <c r="B42" s="15" t="str">
        <f>РПЗ!$D42</f>
        <v>1004-2017-00027 Оказание услуги на поставку электрической энергии (мощности) по  Договору №14712281 от 01.01.2007г. ПАО "Мосэнергосбыт"</v>
      </c>
      <c r="C42" s="15" t="str">
        <f>РПЗ!$AA42</f>
        <v>АО "НИИ "Полюс" им. М.Ф. Стельмаха" тел. отдела закупок 8-495-333-05-02</v>
      </c>
      <c r="D42" s="462" t="str">
        <f>РПЗ!$AB42</f>
        <v>Заказчик</v>
      </c>
      <c r="E42" s="96" t="s">
        <v>62</v>
      </c>
      <c r="F42" s="15" t="str">
        <f>РПЗ!Q42</f>
        <v>ЕП</v>
      </c>
      <c r="G42" s="16" t="s">
        <v>110</v>
      </c>
      <c r="H42" s="15" t="str">
        <f>РПЗ!R42</f>
        <v>Нет</v>
      </c>
      <c r="I42" s="15" t="str">
        <f>РПЗ!W42</f>
        <v>6.6.2(3)</v>
      </c>
      <c r="J42" s="15">
        <f>РПЗ!X42</f>
        <v>7736520080</v>
      </c>
      <c r="K42" s="283">
        <f>РПЗ!Z42</f>
        <v>3542162.63</v>
      </c>
      <c r="L42" s="17">
        <v>42944</v>
      </c>
      <c r="M42" s="18">
        <f>РПЗ!O42</f>
        <v>43009</v>
      </c>
      <c r="N42" s="238">
        <f>Таблица5[[#This Row],[10]]</f>
        <v>43009</v>
      </c>
      <c r="O42" s="17"/>
      <c r="P42" s="17"/>
      <c r="Q42" s="17"/>
      <c r="R42" s="17"/>
      <c r="S42" s="17"/>
      <c r="T42" s="686">
        <v>42944</v>
      </c>
      <c r="U42" s="18">
        <f>РПЗ!P42</f>
        <v>43009</v>
      </c>
      <c r="V42" s="686">
        <v>42948</v>
      </c>
      <c r="W42" s="236">
        <f>РПЗ!L42</f>
        <v>3542162.63</v>
      </c>
      <c r="X42" s="689">
        <v>1</v>
      </c>
      <c r="Y42" s="689">
        <v>0</v>
      </c>
      <c r="Z42" s="691">
        <v>7736520080</v>
      </c>
      <c r="AA42" s="691" t="s">
        <v>5963</v>
      </c>
      <c r="AB42" s="111">
        <v>3542162.63</v>
      </c>
      <c r="AC42" s="17">
        <v>42948</v>
      </c>
      <c r="AD42" s="690" t="s">
        <v>6427</v>
      </c>
      <c r="AE42" s="686">
        <v>42949</v>
      </c>
      <c r="AF42" s="474"/>
      <c r="AG42" s="692">
        <v>3542162.63</v>
      </c>
      <c r="AH42" s="234">
        <f>IF(Таблица5[[#This Row],[30]]=0,"НД",Таблица5[[#This Row],[20]]-Таблица5[[#This Row],[30]])</f>
        <v>0</v>
      </c>
      <c r="AI42" s="235">
        <f>IF(((1-Таблица5[[#This Row],[30]]/Таблица5[[#This Row],[20]])=1),"НД",(1-Таблица5[[#This Row],[30]]/Таблица5[[#This Row],[20]]))</f>
        <v>0</v>
      </c>
      <c r="AJ42" s="111"/>
      <c r="AK42" s="111"/>
      <c r="AL42" s="112"/>
      <c r="AM42" s="463" t="s">
        <v>113</v>
      </c>
      <c r="AN42" s="801">
        <v>31705305756</v>
      </c>
      <c r="AO42" s="468" t="str">
        <f>РПЗ!AD42</f>
        <v>Нет</v>
      </c>
      <c r="AP42" s="472">
        <f>РПЗ!V42</f>
        <v>0</v>
      </c>
      <c r="AQ42" s="470">
        <f>IF(Таблица5[[#This Row],[11]]=0,,MONTH(Таблица5[[#This Row],[11]]))</f>
        <v>10</v>
      </c>
    </row>
    <row r="43" spans="1:43" ht="64.5" thickBot="1" x14ac:dyDescent="0.3">
      <c r="A43" s="233" t="str">
        <f t="shared" si="0"/>
        <v>1004-2017-00028</v>
      </c>
      <c r="B43" s="15" t="str">
        <f>РПЗ!$D43</f>
        <v>1004-2017-00028 Оказание услуги на поставку электрической энергии (мощности) по  Договору №14712281 от 01.01.2007г. ПАО "Мосэнергосбыт"</v>
      </c>
      <c r="C43" s="15" t="str">
        <f>РПЗ!$AA43</f>
        <v>АО "НИИ "Полюс" им. М.Ф. Стельмаха" тел. отдела закупок 8-495-333-05-02</v>
      </c>
      <c r="D43" s="462" t="str">
        <f>РПЗ!$AB43</f>
        <v>Заказчик</v>
      </c>
      <c r="E43" s="96" t="s">
        <v>62</v>
      </c>
      <c r="F43" s="15" t="str">
        <f>РПЗ!Q43</f>
        <v>ЕП</v>
      </c>
      <c r="G43" s="16" t="s">
        <v>110</v>
      </c>
      <c r="H43" s="15" t="str">
        <f>РПЗ!R43</f>
        <v>Нет</v>
      </c>
      <c r="I43" s="15" t="str">
        <f>РПЗ!W43</f>
        <v>6.6.2(3)</v>
      </c>
      <c r="J43" s="15">
        <f>РПЗ!X43</f>
        <v>7736520080</v>
      </c>
      <c r="K43" s="283">
        <f>РПЗ!Z43</f>
        <v>1188206.98</v>
      </c>
      <c r="L43" s="17">
        <v>42927</v>
      </c>
      <c r="M43" s="18">
        <f>РПЗ!O43</f>
        <v>42917</v>
      </c>
      <c r="N43" s="238">
        <f>Таблица5[[#This Row],[10]]</f>
        <v>42917</v>
      </c>
      <c r="O43" s="17"/>
      <c r="P43" s="17"/>
      <c r="Q43" s="17"/>
      <c r="R43" s="17"/>
      <c r="S43" s="17"/>
      <c r="T43" s="686">
        <v>42935</v>
      </c>
      <c r="U43" s="18">
        <f>РПЗ!P43</f>
        <v>42948</v>
      </c>
      <c r="V43" s="686">
        <v>42948</v>
      </c>
      <c r="W43" s="236">
        <f>РПЗ!L43</f>
        <v>1188206.98</v>
      </c>
      <c r="X43" s="689">
        <v>1</v>
      </c>
      <c r="Y43" s="689">
        <v>0</v>
      </c>
      <c r="Z43" s="691">
        <v>7736520080</v>
      </c>
      <c r="AA43" s="691" t="s">
        <v>5963</v>
      </c>
      <c r="AB43" s="111">
        <v>1188206.98</v>
      </c>
      <c r="AC43" s="17">
        <v>42948</v>
      </c>
      <c r="AD43" s="690" t="s">
        <v>6454</v>
      </c>
      <c r="AE43" s="686">
        <v>42935</v>
      </c>
      <c r="AF43" s="474"/>
      <c r="AG43" s="692">
        <v>1188206.98</v>
      </c>
      <c r="AH43" s="234">
        <f>IF(Таблица5[[#This Row],[30]]=0,"НД",Таблица5[[#This Row],[20]]-Таблица5[[#This Row],[30]])</f>
        <v>0</v>
      </c>
      <c r="AI43" s="235">
        <f>IF(((1-Таблица5[[#This Row],[30]]/Таблица5[[#This Row],[20]])=1),"НД",(1-Таблица5[[#This Row],[30]]/Таблица5[[#This Row],[20]]))</f>
        <v>0</v>
      </c>
      <c r="AJ43" s="111"/>
      <c r="AK43" s="111"/>
      <c r="AL43" s="112"/>
      <c r="AM43" s="463" t="s">
        <v>113</v>
      </c>
      <c r="AN43" s="801">
        <v>31705334238</v>
      </c>
      <c r="AO43" s="468" t="str">
        <f>РПЗ!AD43</f>
        <v>Нет</v>
      </c>
      <c r="AP43" s="472">
        <f>РПЗ!V43</f>
        <v>0</v>
      </c>
      <c r="AQ43" s="470">
        <f>IF(Таблица5[[#This Row],[11]]=0,,MONTH(Таблица5[[#This Row],[11]]))</f>
        <v>7</v>
      </c>
    </row>
    <row r="44" spans="1:43" ht="64.5" thickBot="1" x14ac:dyDescent="0.3">
      <c r="A44" s="233" t="str">
        <f t="shared" si="0"/>
        <v>1004-2017-00029</v>
      </c>
      <c r="B44" s="15" t="str">
        <f>РПЗ!$D44</f>
        <v>1004-2017-00029 Оказание услуги на поставку электрической энергии (мощности) по  Договору №14712281 от 01.01.2007г. ПАО "Мосэнергосбыт"</v>
      </c>
      <c r="C44" s="15" t="str">
        <f>РПЗ!$AA44</f>
        <v>АО "НИИ "Полюс" им. М.Ф. Стельмаха" тел. отдела закупок 8-495-333-05-02</v>
      </c>
      <c r="D44" s="462" t="str">
        <f>РПЗ!$AB44</f>
        <v>Заказчик</v>
      </c>
      <c r="E44" s="96" t="s">
        <v>62</v>
      </c>
      <c r="F44" s="15" t="str">
        <f>РПЗ!Q44</f>
        <v>ЕП</v>
      </c>
      <c r="G44" s="16" t="str">
        <f>Таблица5[[#This Row],[6]]</f>
        <v>ЕП</v>
      </c>
      <c r="H44" s="15" t="str">
        <f>РПЗ!R44</f>
        <v>Нет</v>
      </c>
      <c r="I44" s="15" t="str">
        <f>РПЗ!W44</f>
        <v>6.6.2(3)</v>
      </c>
      <c r="J44" s="15">
        <f>РПЗ!X44</f>
        <v>7736520080</v>
      </c>
      <c r="K44" s="283">
        <f>РПЗ!Z44</f>
        <v>3286497.51</v>
      </c>
      <c r="L44" s="17">
        <v>43038</v>
      </c>
      <c r="M44" s="18">
        <f>РПЗ!O44</f>
        <v>43040</v>
      </c>
      <c r="N44" s="238">
        <f>Таблица5[[#This Row],[10]]</f>
        <v>43040</v>
      </c>
      <c r="O44" s="17"/>
      <c r="P44" s="17"/>
      <c r="Q44" s="17"/>
      <c r="R44" s="17"/>
      <c r="S44" s="17"/>
      <c r="T44" s="686">
        <v>43046</v>
      </c>
      <c r="U44" s="18">
        <f>РПЗ!P44</f>
        <v>43040</v>
      </c>
      <c r="V44" s="686">
        <v>43069</v>
      </c>
      <c r="W44" s="236">
        <f>РПЗ!L44</f>
        <v>3286497.51</v>
      </c>
      <c r="X44" s="689">
        <v>1</v>
      </c>
      <c r="Y44" s="689">
        <v>0</v>
      </c>
      <c r="Z44" s="691">
        <v>7736520080</v>
      </c>
      <c r="AA44" s="691" t="s">
        <v>5963</v>
      </c>
      <c r="AB44" s="111">
        <v>3286497.51</v>
      </c>
      <c r="AC44" s="17">
        <v>43069</v>
      </c>
      <c r="AD44" s="690" t="s">
        <v>7277</v>
      </c>
      <c r="AE44" s="686">
        <v>43046</v>
      </c>
      <c r="AF44" s="474"/>
      <c r="AG44" s="692">
        <v>3286497.51</v>
      </c>
      <c r="AH44" s="234">
        <f>IF(Таблица5[[#This Row],[30]]=0,"НД",Таблица5[[#This Row],[20]]-Таблица5[[#This Row],[30]])</f>
        <v>0</v>
      </c>
      <c r="AI44" s="235">
        <f>IF(((1-Таблица5[[#This Row],[30]]/Таблица5[[#This Row],[20]])=1),"НД",(1-Таблица5[[#This Row],[30]]/Таблица5[[#This Row],[20]]))</f>
        <v>0</v>
      </c>
      <c r="AJ44" s="111"/>
      <c r="AK44" s="111"/>
      <c r="AL44" s="112"/>
      <c r="AM44" s="463" t="s">
        <v>113</v>
      </c>
      <c r="AN44" s="801">
        <v>31705705131</v>
      </c>
      <c r="AO44" s="468" t="str">
        <f>РПЗ!AD44</f>
        <v>Нет</v>
      </c>
      <c r="AP44" s="472">
        <f>РПЗ!V44</f>
        <v>0</v>
      </c>
      <c r="AQ44" s="470">
        <f>IF(Таблица5[[#This Row],[11]]=0,,MONTH(Таблица5[[#This Row],[11]]))</f>
        <v>11</v>
      </c>
    </row>
    <row r="45" spans="1:43" ht="64.5" thickBot="1" x14ac:dyDescent="0.3">
      <c r="A45" s="233" t="str">
        <f t="shared" si="0"/>
        <v>1004-2017-00030</v>
      </c>
      <c r="B45" s="15" t="str">
        <f>РПЗ!$D45</f>
        <v>1004-2017-00030 Оказание услуги на поставку электрической энергии (мощности) по  Договору №14712281 от 01.01.2007г. ПАО "Мосэнергосбыт"</v>
      </c>
      <c r="C45" s="15" t="str">
        <f>РПЗ!$AA45</f>
        <v>АО "НИИ "Полюс" им. М.Ф. Стельмаха" тел. отдела закупок 8-495-333-05-02</v>
      </c>
      <c r="D45" s="462" t="str">
        <f>РПЗ!$AB45</f>
        <v>Заказчик</v>
      </c>
      <c r="E45" s="96" t="s">
        <v>62</v>
      </c>
      <c r="F45" s="15" t="str">
        <f>РПЗ!Q45</f>
        <v>ЕП</v>
      </c>
      <c r="G45" s="16" t="str">
        <f>Таблица5[[#This Row],[6]]</f>
        <v>ЕП</v>
      </c>
      <c r="H45" s="15" t="str">
        <f>РПЗ!R45</f>
        <v>Нет</v>
      </c>
      <c r="I45" s="15" t="str">
        <f>РПЗ!W45</f>
        <v>6.6.2(3)</v>
      </c>
      <c r="J45" s="15">
        <f>РПЗ!X45</f>
        <v>7736520080</v>
      </c>
      <c r="K45" s="283">
        <f>РПЗ!Z45</f>
        <v>1691681.93</v>
      </c>
      <c r="L45" s="17">
        <v>43038</v>
      </c>
      <c r="M45" s="18">
        <f>РПЗ!O45</f>
        <v>42948</v>
      </c>
      <c r="N45" s="238">
        <f>Таблица5[[#This Row],[10]]</f>
        <v>42948</v>
      </c>
      <c r="O45" s="17"/>
      <c r="P45" s="17"/>
      <c r="Q45" s="17"/>
      <c r="R45" s="17"/>
      <c r="S45" s="17"/>
      <c r="T45" s="686">
        <v>43046</v>
      </c>
      <c r="U45" s="18">
        <f>РПЗ!P45</f>
        <v>42979</v>
      </c>
      <c r="V45" s="686">
        <v>43069</v>
      </c>
      <c r="W45" s="236">
        <f>РПЗ!L45</f>
        <v>1691681.93</v>
      </c>
      <c r="X45" s="689">
        <v>1</v>
      </c>
      <c r="Y45" s="689">
        <v>0</v>
      </c>
      <c r="Z45" s="691">
        <v>7736520080</v>
      </c>
      <c r="AA45" s="691" t="s">
        <v>5963</v>
      </c>
      <c r="AB45" s="111">
        <v>1691681.93</v>
      </c>
      <c r="AC45" s="17">
        <v>43069</v>
      </c>
      <c r="AD45" s="690" t="s">
        <v>7280</v>
      </c>
      <c r="AE45" s="686">
        <v>43046</v>
      </c>
      <c r="AF45" s="474"/>
      <c r="AG45" s="692">
        <v>1691681.93</v>
      </c>
      <c r="AH45" s="234">
        <f>IF(Таблица5[[#This Row],[30]]=0,"НД",Таблица5[[#This Row],[20]]-Таблица5[[#This Row],[30]])</f>
        <v>0</v>
      </c>
      <c r="AI45" s="235">
        <f>IF(((1-Таблица5[[#This Row],[30]]/Таблица5[[#This Row],[20]])=1),"НД",(1-Таблица5[[#This Row],[30]]/Таблица5[[#This Row],[20]]))</f>
        <v>0</v>
      </c>
      <c r="AJ45" s="111"/>
      <c r="AK45" s="111"/>
      <c r="AL45" s="112"/>
      <c r="AM45" s="463" t="s">
        <v>113</v>
      </c>
      <c r="AN45" s="801">
        <v>31705707604</v>
      </c>
      <c r="AO45" s="468" t="str">
        <f>РПЗ!AD45</f>
        <v>Нет</v>
      </c>
      <c r="AP45" s="472">
        <f>РПЗ!V45</f>
        <v>0</v>
      </c>
      <c r="AQ45" s="470">
        <f>IF(Таблица5[[#This Row],[11]]=0,,MONTH(Таблица5[[#This Row],[11]]))</f>
        <v>8</v>
      </c>
    </row>
    <row r="46" spans="1:43" ht="64.5" thickBot="1" x14ac:dyDescent="0.3">
      <c r="A46" s="233" t="str">
        <f t="shared" si="0"/>
        <v>1004-2017-00031</v>
      </c>
      <c r="B46" s="15" t="str">
        <f>РПЗ!$D46</f>
        <v>1004-2017-00031 Оказание услуги на поставку электрической энергии (мощности) по  Договору №14712281 от 01.01.2007г. ПАО "Мосэнергосбыт"</v>
      </c>
      <c r="C46" s="15" t="str">
        <f>РПЗ!$AA46</f>
        <v>АО "НИИ "Полюс" им. М.Ф. Стельмаха" тел. отдела закупок 8-495-333-05-02</v>
      </c>
      <c r="D46" s="462" t="str">
        <f>РПЗ!$AB46</f>
        <v>Заказчик</v>
      </c>
      <c r="E46" s="96" t="s">
        <v>62</v>
      </c>
      <c r="F46" s="15" t="str">
        <f>РПЗ!Q46</f>
        <v>ЕП</v>
      </c>
      <c r="G46" s="16" t="s">
        <v>110</v>
      </c>
      <c r="H46" s="15" t="str">
        <f>РПЗ!R46</f>
        <v>Нет</v>
      </c>
      <c r="I46" s="15" t="str">
        <f>РПЗ!W46</f>
        <v>6.6.2(3)</v>
      </c>
      <c r="J46" s="15">
        <f>РПЗ!X46</f>
        <v>7736520080</v>
      </c>
      <c r="K46" s="283">
        <f>РПЗ!Z46</f>
        <v>3445633.95</v>
      </c>
      <c r="L46" s="17">
        <v>43038</v>
      </c>
      <c r="M46" s="18">
        <f>РПЗ!O46</f>
        <v>43040</v>
      </c>
      <c r="N46" s="238">
        <f>Таблица5[[#This Row],[10]]</f>
        <v>43040</v>
      </c>
      <c r="O46" s="17"/>
      <c r="P46" s="17"/>
      <c r="Q46" s="17"/>
      <c r="R46" s="17"/>
      <c r="S46" s="17"/>
      <c r="T46" s="686">
        <v>43046</v>
      </c>
      <c r="U46" s="18">
        <f>РПЗ!P46</f>
        <v>43040</v>
      </c>
      <c r="V46" s="686">
        <v>43069</v>
      </c>
      <c r="W46" s="236">
        <f>РПЗ!L46</f>
        <v>3445633.95</v>
      </c>
      <c r="X46" s="689">
        <v>1</v>
      </c>
      <c r="Y46" s="689">
        <v>0</v>
      </c>
      <c r="Z46" s="691">
        <v>7736520080</v>
      </c>
      <c r="AA46" s="691" t="s">
        <v>5963</v>
      </c>
      <c r="AB46" s="111">
        <v>3445633.95</v>
      </c>
      <c r="AC46" s="17">
        <v>43069</v>
      </c>
      <c r="AD46" s="690" t="s">
        <v>7277</v>
      </c>
      <c r="AE46" s="686">
        <v>43046</v>
      </c>
      <c r="AF46" s="474"/>
      <c r="AG46" s="692">
        <v>3445633.95</v>
      </c>
      <c r="AH46" s="234">
        <f>IF(Таблица5[[#This Row],[30]]=0,"НД",Таблица5[[#This Row],[20]]-Таблица5[[#This Row],[30]])</f>
        <v>0</v>
      </c>
      <c r="AI46" s="235">
        <f>IF(((1-Таблица5[[#This Row],[30]]/Таблица5[[#This Row],[20]])=1),"НД",(1-Таблица5[[#This Row],[30]]/Таблица5[[#This Row],[20]]))</f>
        <v>0</v>
      </c>
      <c r="AJ46" s="111"/>
      <c r="AK46" s="111"/>
      <c r="AL46" s="112"/>
      <c r="AM46" s="463" t="s">
        <v>113</v>
      </c>
      <c r="AN46" s="801">
        <v>31705705131</v>
      </c>
      <c r="AO46" s="468" t="str">
        <f>РПЗ!AD46</f>
        <v>Нет</v>
      </c>
      <c r="AP46" s="472">
        <f>РПЗ!V46</f>
        <v>0</v>
      </c>
      <c r="AQ46" s="470">
        <f>IF(Таблица5[[#This Row],[11]]=0,,MONTH(Таблица5[[#This Row],[11]]))</f>
        <v>11</v>
      </c>
    </row>
    <row r="47" spans="1:43" ht="64.5" thickBot="1" x14ac:dyDescent="0.3">
      <c r="A47" s="233" t="str">
        <f t="shared" si="0"/>
        <v>1004-2017-00032</v>
      </c>
      <c r="B47" s="15" t="str">
        <f>РПЗ!$D47</f>
        <v>1004-2017-00032 Оказание услуги на поставку электрической энергии (мощности) по  Договору №14712281 от 01.01.2007г. ПАО "Мосэнергосбыт"</v>
      </c>
      <c r="C47" s="15" t="str">
        <f>РПЗ!$AA47</f>
        <v>АО "НИИ "Полюс" им. М.Ф. Стельмаха" тел. отдела закупок 8-495-333-05-02</v>
      </c>
      <c r="D47" s="462" t="str">
        <f>РПЗ!$AB47</f>
        <v>Заказчик</v>
      </c>
      <c r="E47" s="96" t="s">
        <v>62</v>
      </c>
      <c r="F47" s="15" t="str">
        <f>РПЗ!Q47</f>
        <v>ЕП</v>
      </c>
      <c r="G47" s="16" t="s">
        <v>110</v>
      </c>
      <c r="H47" s="15" t="str">
        <f>РПЗ!R47</f>
        <v>Нет</v>
      </c>
      <c r="I47" s="15" t="str">
        <f>РПЗ!W47</f>
        <v>6.6.2(3)</v>
      </c>
      <c r="J47" s="15">
        <f>РПЗ!X47</f>
        <v>7736520080</v>
      </c>
      <c r="K47" s="283">
        <f>РПЗ!Z47</f>
        <v>1243039.03</v>
      </c>
      <c r="L47" s="17">
        <v>43069</v>
      </c>
      <c r="M47" s="18">
        <f>РПЗ!O47</f>
        <v>43040</v>
      </c>
      <c r="N47" s="238">
        <f>Таблица5[[#This Row],[10]]</f>
        <v>43040</v>
      </c>
      <c r="O47" s="17"/>
      <c r="P47" s="17"/>
      <c r="Q47" s="17"/>
      <c r="R47" s="17"/>
      <c r="S47" s="17"/>
      <c r="T47" s="686">
        <v>43046</v>
      </c>
      <c r="U47" s="18">
        <f>РПЗ!P47</f>
        <v>43040</v>
      </c>
      <c r="V47" s="686">
        <v>43070</v>
      </c>
      <c r="W47" s="236">
        <f>РПЗ!L47</f>
        <v>1243039.03</v>
      </c>
      <c r="X47" s="689">
        <v>1</v>
      </c>
      <c r="Y47" s="689">
        <v>0</v>
      </c>
      <c r="Z47" s="691">
        <v>7736520080</v>
      </c>
      <c r="AA47" s="691" t="s">
        <v>5963</v>
      </c>
      <c r="AB47" s="111">
        <v>1243039.03</v>
      </c>
      <c r="AC47" s="17">
        <v>43070</v>
      </c>
      <c r="AD47" s="690" t="s">
        <v>7273</v>
      </c>
      <c r="AE47" s="686">
        <v>43046</v>
      </c>
      <c r="AF47" s="474"/>
      <c r="AG47" s="692">
        <v>1243039.03</v>
      </c>
      <c r="AH47" s="234">
        <f>IF(Таблица5[[#This Row],[30]]=0,"НД",Таблица5[[#This Row],[20]]-Таблица5[[#This Row],[30]])</f>
        <v>0</v>
      </c>
      <c r="AI47" s="235">
        <f>IF(((1-Таблица5[[#This Row],[30]]/Таблица5[[#This Row],[20]])=1),"НД",(1-Таблица5[[#This Row],[30]]/Таблица5[[#This Row],[20]]))</f>
        <v>0</v>
      </c>
      <c r="AJ47" s="111"/>
      <c r="AK47" s="111"/>
      <c r="AL47" s="112"/>
      <c r="AM47" s="463" t="s">
        <v>113</v>
      </c>
      <c r="AN47" s="801">
        <v>31705705160</v>
      </c>
      <c r="AO47" s="468" t="str">
        <f>РПЗ!AD47</f>
        <v>Нет</v>
      </c>
      <c r="AP47" s="472">
        <f>РПЗ!V47</f>
        <v>0</v>
      </c>
      <c r="AQ47" s="470">
        <f>IF(Таблица5[[#This Row],[11]]=0,,MONTH(Таблица5[[#This Row],[11]]))</f>
        <v>11</v>
      </c>
    </row>
    <row r="48" spans="1:43" ht="64.5" thickBot="1" x14ac:dyDescent="0.3">
      <c r="A48" s="233" t="str">
        <f t="shared" si="0"/>
        <v>1004-2017-00033</v>
      </c>
      <c r="B48" s="15" t="str">
        <f>РПЗ!$D48</f>
        <v>1004-2017-00033 Оказание услуг на поставку электрической энергии (мощности) по  Договору №14712281 от 01.01.2007г. ПАО "Мосэнергосбыт"</v>
      </c>
      <c r="C48" s="15" t="str">
        <f>РПЗ!$AA48</f>
        <v>АО "НИИ "Полюс" им. М.Ф. Стельмаха" тел. отдела закупок 8-495-333-05-02</v>
      </c>
      <c r="D48" s="462" t="str">
        <f>РПЗ!$AB48</f>
        <v>Заказчик</v>
      </c>
      <c r="E48" s="96" t="s">
        <v>46</v>
      </c>
      <c r="F48" s="15" t="str">
        <f>РПЗ!Q48</f>
        <v>ЕП</v>
      </c>
      <c r="G48" s="16"/>
      <c r="H48" s="15" t="str">
        <f>РПЗ!R48</f>
        <v>Нет</v>
      </c>
      <c r="I48" s="15" t="str">
        <f>РПЗ!W48</f>
        <v>6.6.2(3)</v>
      </c>
      <c r="J48" s="15">
        <f>РПЗ!X48</f>
        <v>7736520080</v>
      </c>
      <c r="K48" s="283">
        <f>РПЗ!Z48</f>
        <v>3710000</v>
      </c>
      <c r="L48" s="17"/>
      <c r="M48" s="18">
        <f>РПЗ!O48</f>
        <v>43009</v>
      </c>
      <c r="N48" s="238">
        <f>Таблица5[[#This Row],[10]]</f>
        <v>43009</v>
      </c>
      <c r="O48" s="17"/>
      <c r="P48" s="17"/>
      <c r="Q48" s="17"/>
      <c r="R48" s="17"/>
      <c r="S48" s="17"/>
      <c r="T48" s="686"/>
      <c r="U48" s="18">
        <f>РПЗ!P48</f>
        <v>43040</v>
      </c>
      <c r="V48" s="686"/>
      <c r="W48" s="236">
        <f>РПЗ!L48</f>
        <v>3710000</v>
      </c>
      <c r="X48" s="689"/>
      <c r="Y48" s="689"/>
      <c r="Z48" s="690"/>
      <c r="AA48" s="691"/>
      <c r="AB48" s="111"/>
      <c r="AC48" s="17"/>
      <c r="AD48" s="690"/>
      <c r="AE48" s="686"/>
      <c r="AF48" s="474"/>
      <c r="AG48" s="692"/>
      <c r="AH48" s="234" t="str">
        <f>IF(Таблица5[[#This Row],[30]]=0,"НД",Таблица5[[#This Row],[20]]-Таблица5[[#This Row],[30]])</f>
        <v>НД</v>
      </c>
      <c r="AI48" s="235" t="str">
        <f>IF(((1-Таблица5[[#This Row],[30]]/Таблица5[[#This Row],[20]])=1),"НД",(1-Таблица5[[#This Row],[30]]/Таблица5[[#This Row],[20]]))</f>
        <v>НД</v>
      </c>
      <c r="AJ48" s="111"/>
      <c r="AK48" s="111"/>
      <c r="AL48" s="112"/>
      <c r="AM48" s="463"/>
      <c r="AN48" s="465"/>
      <c r="AO48" s="468" t="str">
        <f>РПЗ!AD48</f>
        <v>Нет</v>
      </c>
      <c r="AP48" s="472">
        <f>РПЗ!V48</f>
        <v>0</v>
      </c>
      <c r="AQ48" s="470">
        <f>IF(Таблица5[[#This Row],[11]]=0,,MONTH(Таблица5[[#This Row],[11]]))</f>
        <v>10</v>
      </c>
    </row>
    <row r="49" spans="1:43" ht="64.5" thickBot="1" x14ac:dyDescent="0.3">
      <c r="A49" s="233" t="str">
        <f t="shared" si="0"/>
        <v>1004-2017-00034</v>
      </c>
      <c r="B49" s="15" t="str">
        <f>РПЗ!$D49</f>
        <v>1004-2017-00034 Оказание услуг на поставку электрической энергии (мощности) по  Договору №14712281 от 01.01.2007г. ПАО "Мосэнергосбыт"</v>
      </c>
      <c r="C49" s="15" t="str">
        <f>РПЗ!$AA49</f>
        <v>АО "НИИ "Полюс" им. М.Ф. Стельмаха" тел. отдела закупок 8-495-333-05-02</v>
      </c>
      <c r="D49" s="462" t="str">
        <f>РПЗ!$AB49</f>
        <v>Заказчик</v>
      </c>
      <c r="E49" s="96" t="s">
        <v>46</v>
      </c>
      <c r="F49" s="15" t="str">
        <f>РПЗ!Q49</f>
        <v>ЕП</v>
      </c>
      <c r="G49" s="16"/>
      <c r="H49" s="15" t="str">
        <f>РПЗ!R49</f>
        <v>Нет</v>
      </c>
      <c r="I49" s="15" t="str">
        <f>РПЗ!W49</f>
        <v>6.6.2(3)</v>
      </c>
      <c r="J49" s="15">
        <f>РПЗ!X49</f>
        <v>7736520080</v>
      </c>
      <c r="K49" s="283">
        <f>РПЗ!Z49</f>
        <v>1590000</v>
      </c>
      <c r="L49" s="17"/>
      <c r="M49" s="18">
        <f>РПЗ!O49</f>
        <v>43009</v>
      </c>
      <c r="N49" s="238">
        <f>Таблица5[[#This Row],[10]]</f>
        <v>43009</v>
      </c>
      <c r="O49" s="17"/>
      <c r="P49" s="17"/>
      <c r="Q49" s="17"/>
      <c r="R49" s="17"/>
      <c r="S49" s="17"/>
      <c r="T49" s="686"/>
      <c r="U49" s="18">
        <f>РПЗ!P49</f>
        <v>43040</v>
      </c>
      <c r="V49" s="686"/>
      <c r="W49" s="236">
        <f>РПЗ!L49</f>
        <v>1590000</v>
      </c>
      <c r="X49" s="689"/>
      <c r="Y49" s="689"/>
      <c r="Z49" s="690"/>
      <c r="AA49" s="691"/>
      <c r="AB49" s="111"/>
      <c r="AC49" s="17"/>
      <c r="AD49" s="690"/>
      <c r="AE49" s="686"/>
      <c r="AF49" s="474"/>
      <c r="AG49" s="692"/>
      <c r="AH49" s="234" t="str">
        <f>IF(Таблица5[[#This Row],[30]]=0,"НД",Таблица5[[#This Row],[20]]-Таблица5[[#This Row],[30]])</f>
        <v>НД</v>
      </c>
      <c r="AI49" s="235" t="str">
        <f>IF(((1-Таблица5[[#This Row],[30]]/Таблица5[[#This Row],[20]])=1),"НД",(1-Таблица5[[#This Row],[30]]/Таблица5[[#This Row],[20]]))</f>
        <v>НД</v>
      </c>
      <c r="AJ49" s="111"/>
      <c r="AK49" s="111"/>
      <c r="AL49" s="112"/>
      <c r="AM49" s="463"/>
      <c r="AN49" s="465"/>
      <c r="AO49" s="468" t="str">
        <f>РПЗ!AD49</f>
        <v>Нет</v>
      </c>
      <c r="AP49" s="472">
        <f>РПЗ!V49</f>
        <v>0</v>
      </c>
      <c r="AQ49" s="470">
        <f>IF(Таблица5[[#This Row],[11]]=0,,MONTH(Таблица5[[#This Row],[11]]))</f>
        <v>10</v>
      </c>
    </row>
    <row r="50" spans="1:43" ht="64.5" thickBot="1" x14ac:dyDescent="0.3">
      <c r="A50" s="233" t="str">
        <f t="shared" si="0"/>
        <v>1004-2017-00035</v>
      </c>
      <c r="B50" s="15" t="str">
        <f>РПЗ!$D50</f>
        <v>1004-2017-00035 Оказание услуг на поставку электрической энергии (мощности) по  Договору №14712281 от 01.01.2007г. ПАО "Мосэнергосбыт"</v>
      </c>
      <c r="C50" s="15" t="str">
        <f>РПЗ!$AA50</f>
        <v>АО "НИИ "Полюс" им. М.Ф. Стельмаха" тел. отдела закупок 8-495-333-05-02</v>
      </c>
      <c r="D50" s="462" t="str">
        <f>РПЗ!$AB50</f>
        <v>Заказчик</v>
      </c>
      <c r="E50" s="96" t="s">
        <v>46</v>
      </c>
      <c r="F50" s="15" t="str">
        <f>РПЗ!Q50</f>
        <v>ЕП</v>
      </c>
      <c r="G50" s="16"/>
      <c r="H50" s="15" t="str">
        <f>РПЗ!R50</f>
        <v>Нет</v>
      </c>
      <c r="I50" s="15" t="str">
        <f>РПЗ!W50</f>
        <v>6.6.2(3)</v>
      </c>
      <c r="J50" s="15">
        <f>РПЗ!X50</f>
        <v>7736520080</v>
      </c>
      <c r="K50" s="283">
        <f>РПЗ!Z50</f>
        <v>3990000</v>
      </c>
      <c r="L50" s="17"/>
      <c r="M50" s="18">
        <f>РПЗ!O50</f>
        <v>43040</v>
      </c>
      <c r="N50" s="238">
        <f>Таблица5[[#This Row],[10]]</f>
        <v>43040</v>
      </c>
      <c r="O50" s="17"/>
      <c r="P50" s="17"/>
      <c r="Q50" s="17"/>
      <c r="R50" s="17"/>
      <c r="S50" s="17"/>
      <c r="T50" s="686"/>
      <c r="U50" s="18">
        <f>РПЗ!P50</f>
        <v>43070</v>
      </c>
      <c r="V50" s="686"/>
      <c r="W50" s="236">
        <f>РПЗ!L50</f>
        <v>3990000</v>
      </c>
      <c r="X50" s="689"/>
      <c r="Y50" s="689"/>
      <c r="Z50" s="690"/>
      <c r="AA50" s="691"/>
      <c r="AB50" s="111"/>
      <c r="AC50" s="17"/>
      <c r="AD50" s="690"/>
      <c r="AE50" s="686"/>
      <c r="AF50" s="474"/>
      <c r="AG50" s="692"/>
      <c r="AH50" s="234" t="str">
        <f>IF(Таблица5[[#This Row],[30]]=0,"НД",Таблица5[[#This Row],[20]]-Таблица5[[#This Row],[30]])</f>
        <v>НД</v>
      </c>
      <c r="AI50" s="235" t="str">
        <f>IF(((1-Таблица5[[#This Row],[30]]/Таблица5[[#This Row],[20]])=1),"НД",(1-Таблица5[[#This Row],[30]]/Таблица5[[#This Row],[20]]))</f>
        <v>НД</v>
      </c>
      <c r="AJ50" s="111"/>
      <c r="AK50" s="111"/>
      <c r="AL50" s="112"/>
      <c r="AM50" s="463"/>
      <c r="AN50" s="466"/>
      <c r="AO50" s="469" t="str">
        <f>РПЗ!AD50</f>
        <v>Нет</v>
      </c>
      <c r="AP50" s="473">
        <f>РПЗ!V50</f>
        <v>0</v>
      </c>
      <c r="AQ50" s="470">
        <f>IF(Таблица5[[#This Row],[11]]=0,,MONTH(Таблица5[[#This Row],[11]]))</f>
        <v>11</v>
      </c>
    </row>
    <row r="51" spans="1:43" ht="64.5" thickBot="1" x14ac:dyDescent="0.3">
      <c r="A51" s="233" t="str">
        <f t="shared" ref="A51:A114" si="1">INDEX(Диапазон1,ROW(), COLUMN())</f>
        <v>1004-2017-00036</v>
      </c>
      <c r="B51" s="233" t="str">
        <f>РПЗ!$D51</f>
        <v>1004-2017-00036 Оказание услуг на поставку электрической энергии (мощности) по  Договору №14712281 от 01.01.2007г. ПАО "Мосэнергосбыт"</v>
      </c>
      <c r="C51" s="233" t="str">
        <f>РПЗ!$AA51</f>
        <v>АО "НИИ "Полюс" им. М.Ф. Стельмаха" тел. отдела закупок 8-495-333-05-02</v>
      </c>
      <c r="D51" s="462" t="str">
        <f>РПЗ!$AB51</f>
        <v>Заказчик</v>
      </c>
      <c r="E51" s="96" t="s">
        <v>46</v>
      </c>
      <c r="F51" s="233" t="str">
        <f>РПЗ!Q51</f>
        <v>ЕП</v>
      </c>
      <c r="G51" s="237"/>
      <c r="H51" s="237" t="str">
        <f>РПЗ!R51</f>
        <v>Нет</v>
      </c>
      <c r="I51" s="15" t="str">
        <f>РПЗ!W51</f>
        <v>6.6.2(3)</v>
      </c>
      <c r="J51" s="233">
        <f>РПЗ!X51</f>
        <v>7736520080</v>
      </c>
      <c r="K51" s="283">
        <f>РПЗ!Z51</f>
        <v>1710000</v>
      </c>
      <c r="L51" s="17"/>
      <c r="M51" s="18">
        <f>РПЗ!O51</f>
        <v>43040</v>
      </c>
      <c r="N51" s="238">
        <f>Таблица5[[#This Row],[10]]</f>
        <v>43040</v>
      </c>
      <c r="O51" s="17"/>
      <c r="P51" s="17"/>
      <c r="Q51" s="17"/>
      <c r="R51" s="17"/>
      <c r="S51" s="17"/>
      <c r="T51" s="686"/>
      <c r="U51" s="18">
        <f>РПЗ!P51</f>
        <v>43070</v>
      </c>
      <c r="V51" s="686"/>
      <c r="W51" s="236">
        <f>РПЗ!L51</f>
        <v>1710000</v>
      </c>
      <c r="X51" s="689"/>
      <c r="Y51" s="689"/>
      <c r="Z51" s="690"/>
      <c r="AA51" s="691"/>
      <c r="AB51" s="111"/>
      <c r="AC51" s="17"/>
      <c r="AD51" s="690"/>
      <c r="AE51" s="686"/>
      <c r="AF51" s="474"/>
      <c r="AG51" s="692"/>
      <c r="AH51" s="236" t="str">
        <f>IF(Таблица5[[#This Row],[30]]=0,"НД",Таблица5[[#This Row],[20]]-Таблица5[[#This Row],[30]])</f>
        <v>НД</v>
      </c>
      <c r="AI51" s="511" t="str">
        <f>IF(((1-Таблица5[[#This Row],[30]]/Таблица5[[#This Row],[20]])=1),"НД",(1-Таблица5[[#This Row],[30]]/Таблица5[[#This Row],[20]]))</f>
        <v>НД</v>
      </c>
      <c r="AJ51" s="111"/>
      <c r="AK51" s="111"/>
      <c r="AL51" s="512"/>
      <c r="AM51" s="513"/>
      <c r="AN51" s="465"/>
      <c r="AO51" s="468" t="str">
        <f>РПЗ!AD51</f>
        <v>Нет</v>
      </c>
      <c r="AP51" s="472">
        <f>РПЗ!V51</f>
        <v>0</v>
      </c>
      <c r="AQ51" s="470">
        <f>IF(Таблица5[[#This Row],[11]]=0,,MONTH(Таблица5[[#This Row],[11]]))</f>
        <v>11</v>
      </c>
    </row>
    <row r="52" spans="1:43" ht="64.5" thickBot="1" x14ac:dyDescent="0.3">
      <c r="A52" s="233" t="str">
        <f t="shared" si="1"/>
        <v>1004-2017-00037</v>
      </c>
      <c r="B52" s="233" t="str">
        <f>РПЗ!$D52</f>
        <v xml:space="preserve"> 1004-2017-00037 Оказание услуг на поставку электрической энергии (мощности) по  Договору №14712281 от 01.01.2007г. ПАО "Мосэнергосбыт"</v>
      </c>
      <c r="C52" s="233" t="str">
        <f>РПЗ!$AA52</f>
        <v>АО "НИИ "Полюс" им. М.Ф. Стельмаха" тел. отдела закупок 8-495-333-05-02</v>
      </c>
      <c r="D52" s="633" t="str">
        <f>РПЗ!$AB52</f>
        <v>Заказчик</v>
      </c>
      <c r="E52" s="96" t="s">
        <v>62</v>
      </c>
      <c r="F52" s="233" t="str">
        <f>РПЗ!Q52</f>
        <v>ЕП</v>
      </c>
      <c r="G52" s="237" t="str">
        <f>Таблица5[[#This Row],[6]]</f>
        <v>ЕП</v>
      </c>
      <c r="H52" s="237" t="str">
        <f>РПЗ!R52</f>
        <v>Нет</v>
      </c>
      <c r="I52" s="15" t="str">
        <f>РПЗ!W52</f>
        <v>6.6.2(3)</v>
      </c>
      <c r="J52" s="233">
        <f>РПЗ!X52</f>
        <v>7736520080</v>
      </c>
      <c r="K52" s="283">
        <f>РПЗ!Z52</f>
        <v>3484087.62</v>
      </c>
      <c r="L52" s="17">
        <v>43038</v>
      </c>
      <c r="M52" s="18">
        <f>РПЗ!O52</f>
        <v>43040</v>
      </c>
      <c r="N52" s="238">
        <f>Таблица5[[#This Row],[10]]</f>
        <v>43040</v>
      </c>
      <c r="O52" s="17"/>
      <c r="P52" s="17"/>
      <c r="Q52" s="17"/>
      <c r="R52" s="17"/>
      <c r="S52" s="17"/>
      <c r="T52" s="686">
        <v>43046</v>
      </c>
      <c r="U52" s="18">
        <f>РПЗ!P52</f>
        <v>43040</v>
      </c>
      <c r="V52" s="686">
        <v>43070</v>
      </c>
      <c r="W52" s="236">
        <f>РПЗ!L52</f>
        <v>3484087.62</v>
      </c>
      <c r="X52" s="689">
        <v>1</v>
      </c>
      <c r="Y52" s="689">
        <v>0</v>
      </c>
      <c r="Z52" s="691">
        <v>7736520080</v>
      </c>
      <c r="AA52" s="691" t="s">
        <v>5963</v>
      </c>
      <c r="AB52" s="111">
        <v>3484087.62</v>
      </c>
      <c r="AC52" s="17">
        <v>43070</v>
      </c>
      <c r="AD52" s="690" t="s">
        <v>7271</v>
      </c>
      <c r="AE52" s="686">
        <v>43046</v>
      </c>
      <c r="AF52" s="474"/>
      <c r="AG52" s="692">
        <v>3484087.62</v>
      </c>
      <c r="AH52" s="236">
        <f>IF(Таблица5[[#This Row],[30]]=0,"НД",Таблица5[[#This Row],[20]]-Таблица5[[#This Row],[30]])</f>
        <v>0</v>
      </c>
      <c r="AI52" s="511">
        <f>IF(((1-Таблица5[[#This Row],[30]]/Таблица5[[#This Row],[20]])=1),"НД",(1-Таблица5[[#This Row],[30]]/Таблица5[[#This Row],[20]]))</f>
        <v>0</v>
      </c>
      <c r="AJ52" s="111"/>
      <c r="AK52" s="111"/>
      <c r="AL52" s="512"/>
      <c r="AM52" s="513" t="s">
        <v>113</v>
      </c>
      <c r="AN52" s="801">
        <v>31705705247</v>
      </c>
      <c r="AO52" s="468" t="str">
        <f>РПЗ!AD52</f>
        <v>Нет</v>
      </c>
      <c r="AP52" s="472">
        <f>РПЗ!V52</f>
        <v>0</v>
      </c>
      <c r="AQ52" s="470">
        <f>IF(Таблица5[[#This Row],[11]]=0,,MONTH(Таблица5[[#This Row],[11]]))</f>
        <v>11</v>
      </c>
    </row>
    <row r="53" spans="1:43" ht="64.5" thickBot="1" x14ac:dyDescent="0.3">
      <c r="A53" s="233" t="str">
        <f t="shared" si="1"/>
        <v>1004-2017-00038</v>
      </c>
      <c r="B53" s="233" t="str">
        <f>РПЗ!$D53</f>
        <v>1004-2017-00038 Оказание услуг на поставку электрической энергии (мощности) по  Договору №14712281 от 01.01.2007г. ПАО "Мосэнергосбыт"</v>
      </c>
      <c r="C53" s="233" t="str">
        <f>РПЗ!$AA53</f>
        <v>АО "НИИ "Полюс" им. М.Ф. Стельмаха" тел. отдела закупок 8-495-333-05-02</v>
      </c>
      <c r="D53" s="633" t="str">
        <f>РПЗ!$AB53</f>
        <v>Заказчик</v>
      </c>
      <c r="E53" s="96" t="s">
        <v>62</v>
      </c>
      <c r="F53" s="233" t="str">
        <f>РПЗ!Q53</f>
        <v>ЕП</v>
      </c>
      <c r="G53" s="237" t="s">
        <v>110</v>
      </c>
      <c r="H53" s="237" t="str">
        <f>РПЗ!R53</f>
        <v>Нет</v>
      </c>
      <c r="I53" s="15" t="str">
        <f>РПЗ!W53</f>
        <v>6.6.2(3)</v>
      </c>
      <c r="J53" s="233">
        <f>РПЗ!X53</f>
        <v>7736520080</v>
      </c>
      <c r="K53" s="283">
        <f>РПЗ!Z53</f>
        <v>3279367</v>
      </c>
      <c r="L53" s="17">
        <v>43042</v>
      </c>
      <c r="M53" s="18">
        <f>РПЗ!O53</f>
        <v>43040</v>
      </c>
      <c r="N53" s="238">
        <f>Таблица5[[#This Row],[10]]</f>
        <v>43040</v>
      </c>
      <c r="O53" s="17"/>
      <c r="P53" s="17"/>
      <c r="Q53" s="17"/>
      <c r="R53" s="17"/>
      <c r="S53" s="17"/>
      <c r="T53" s="686">
        <v>43067</v>
      </c>
      <c r="U53" s="18">
        <f>РПЗ!P53</f>
        <v>43101</v>
      </c>
      <c r="V53" s="686">
        <v>43040</v>
      </c>
      <c r="W53" s="236">
        <f>РПЗ!L53</f>
        <v>3279367</v>
      </c>
      <c r="X53" s="689">
        <v>1</v>
      </c>
      <c r="Y53" s="689">
        <v>0</v>
      </c>
      <c r="Z53" s="691">
        <v>7736520080</v>
      </c>
      <c r="AA53" s="691" t="s">
        <v>5963</v>
      </c>
      <c r="AB53" s="111">
        <v>3279367</v>
      </c>
      <c r="AC53" s="17">
        <v>43040</v>
      </c>
      <c r="AD53" s="690" t="s">
        <v>8053</v>
      </c>
      <c r="AE53" s="686">
        <v>43067</v>
      </c>
      <c r="AF53" s="474"/>
      <c r="AG53" s="692">
        <v>3279367</v>
      </c>
      <c r="AH53" s="236">
        <f>IF(Таблица5[[#This Row],[30]]=0,"НД",Таблица5[[#This Row],[20]]-Таблица5[[#This Row],[30]])</f>
        <v>0</v>
      </c>
      <c r="AI53" s="511">
        <f>IF(((1-Таблица5[[#This Row],[30]]/Таблица5[[#This Row],[20]])=1),"НД",(1-Таблица5[[#This Row],[30]]/Таблица5[[#This Row],[20]]))</f>
        <v>0</v>
      </c>
      <c r="AJ53" s="111"/>
      <c r="AK53" s="111"/>
      <c r="AL53" s="512"/>
      <c r="AM53" s="513" t="s">
        <v>113</v>
      </c>
      <c r="AN53" s="801">
        <v>31705782755</v>
      </c>
      <c r="AO53" s="468" t="str">
        <f>РПЗ!AD53</f>
        <v>Нет</v>
      </c>
      <c r="AP53" s="472">
        <f>РПЗ!V53</f>
        <v>0</v>
      </c>
      <c r="AQ53" s="470">
        <f>IF(Таблица5[[#This Row],[11]]=0,,MONTH(Таблица5[[#This Row],[11]]))</f>
        <v>11</v>
      </c>
    </row>
    <row r="54" spans="1:43" ht="51.75" thickBot="1" x14ac:dyDescent="0.3">
      <c r="A54" s="233" t="str">
        <f t="shared" si="1"/>
        <v>1004-2017-00039</v>
      </c>
      <c r="B54" s="233" t="str">
        <f>РПЗ!$D54</f>
        <v>1004-2017-00039Оказние услуг по Договору № 224738 от 22.10.2012 с АО "Мосводоканал" затраты на воду и прием сточных вод</v>
      </c>
      <c r="C54" s="233" t="str">
        <f>РПЗ!$AA54</f>
        <v>АО "НИИ "Полюс" им. М.Ф. Стельмаха" тел. отдела закупок 8-495-333-05-02</v>
      </c>
      <c r="D54" s="633" t="str">
        <f>РПЗ!$AB54</f>
        <v>Заказчик</v>
      </c>
      <c r="E54" s="96" t="s">
        <v>62</v>
      </c>
      <c r="F54" s="233" t="str">
        <f>РПЗ!Q54</f>
        <v>ЕП</v>
      </c>
      <c r="G54" s="237" t="str">
        <f>Таблица5[[#This Row],[6]]</f>
        <v>ЕП</v>
      </c>
      <c r="H54" s="237" t="str">
        <f>РПЗ!R54</f>
        <v>Нет</v>
      </c>
      <c r="I54" s="15" t="str">
        <f>РПЗ!W54</f>
        <v>6.6.2(2)</v>
      </c>
      <c r="J54" s="233">
        <f>РПЗ!X54</f>
        <v>7701984274</v>
      </c>
      <c r="K54" s="283">
        <f>РПЗ!Z54</f>
        <v>295000</v>
      </c>
      <c r="L54" s="17">
        <v>42905</v>
      </c>
      <c r="M54" s="18">
        <f>РПЗ!O54</f>
        <v>42887</v>
      </c>
      <c r="N54" s="238">
        <f>Таблица5[[#This Row],[10]]</f>
        <v>42887</v>
      </c>
      <c r="O54" s="17"/>
      <c r="P54" s="17"/>
      <c r="Q54" s="17"/>
      <c r="R54" s="17"/>
      <c r="S54" s="17"/>
      <c r="T54" s="686">
        <v>42906</v>
      </c>
      <c r="U54" s="18">
        <f>РПЗ!P54</f>
        <v>42917</v>
      </c>
      <c r="V54" s="686">
        <v>42917</v>
      </c>
      <c r="W54" s="236">
        <f>РПЗ!L54</f>
        <v>219015.85</v>
      </c>
      <c r="X54" s="689">
        <v>1</v>
      </c>
      <c r="Y54" s="689">
        <v>0</v>
      </c>
      <c r="Z54" s="691">
        <v>7701984274</v>
      </c>
      <c r="AA54" s="691" t="s">
        <v>1509</v>
      </c>
      <c r="AB54" s="111">
        <v>219015.85</v>
      </c>
      <c r="AC54" s="17">
        <v>42917</v>
      </c>
      <c r="AD54" s="690" t="s">
        <v>5935</v>
      </c>
      <c r="AE54" s="686">
        <v>42906</v>
      </c>
      <c r="AF54" s="474"/>
      <c r="AG54" s="692">
        <v>219015.85</v>
      </c>
      <c r="AH54" s="236">
        <f>IF(Таблица5[[#This Row],[30]]=0,"НД",Таблица5[[#This Row],[20]]-Таблица5[[#This Row],[30]])</f>
        <v>0</v>
      </c>
      <c r="AI54" s="511">
        <f>IF(((1-Таблица5[[#This Row],[30]]/Таблица5[[#This Row],[20]])=1),"НД",(1-Таблица5[[#This Row],[30]]/Таблица5[[#This Row],[20]]))</f>
        <v>0</v>
      </c>
      <c r="AJ54" s="111"/>
      <c r="AK54" s="111"/>
      <c r="AL54" s="512"/>
      <c r="AM54" s="513" t="s">
        <v>113</v>
      </c>
      <c r="AN54" s="801">
        <v>31705235841</v>
      </c>
      <c r="AO54" s="468" t="str">
        <f>РПЗ!AD54</f>
        <v>Нет</v>
      </c>
      <c r="AP54" s="472">
        <f>РПЗ!V54</f>
        <v>0</v>
      </c>
      <c r="AQ54" s="470">
        <f>IF(Таблица5[[#This Row],[11]]=0,,MONTH(Таблица5[[#This Row],[11]]))</f>
        <v>6</v>
      </c>
    </row>
    <row r="55" spans="1:43" ht="51.75" thickBot="1" x14ac:dyDescent="0.3">
      <c r="A55" s="233" t="str">
        <f t="shared" si="1"/>
        <v>1004-2017-00040</v>
      </c>
      <c r="B55" s="233" t="str">
        <f>РПЗ!$D55</f>
        <v>1004-2017-00040 Оказние услуг по Договору № 224738 от 22.10.2012 с АО "Мосводоканал" затраты на воду и прием сточных вод</v>
      </c>
      <c r="C55" s="233" t="str">
        <f>РПЗ!$AA55</f>
        <v>АО "НИИ "Полюс" им. М.Ф. Стельмаха" тел. отдела закупок 8-495-333-05-02</v>
      </c>
      <c r="D55" s="633" t="str">
        <f>РПЗ!$AB55</f>
        <v>Заказчик</v>
      </c>
      <c r="E55" s="96" t="s">
        <v>62</v>
      </c>
      <c r="F55" s="233" t="str">
        <f>РПЗ!Q55</f>
        <v>ЕП</v>
      </c>
      <c r="G55" s="237" t="str">
        <f>Таблица5[[#This Row],[6]]</f>
        <v>ЕП</v>
      </c>
      <c r="H55" s="237" t="str">
        <f>РПЗ!R55</f>
        <v>Нет</v>
      </c>
      <c r="I55" s="15" t="str">
        <f>РПЗ!W55</f>
        <v>6.6.2(2)</v>
      </c>
      <c r="J55" s="233">
        <f>РПЗ!X55</f>
        <v>7701984274</v>
      </c>
      <c r="K55" s="283">
        <f>РПЗ!Z55</f>
        <v>207500.75</v>
      </c>
      <c r="L55" s="17" t="s">
        <v>5965</v>
      </c>
      <c r="M55" s="18">
        <f>РПЗ!O55</f>
        <v>42887</v>
      </c>
      <c r="N55" s="238">
        <f>Таблица5[[#This Row],[10]]</f>
        <v>42887</v>
      </c>
      <c r="O55" s="17"/>
      <c r="P55" s="17"/>
      <c r="Q55" s="17"/>
      <c r="R55" s="17"/>
      <c r="S55" s="17"/>
      <c r="T55" s="686">
        <v>42908</v>
      </c>
      <c r="U55" s="18">
        <f>РПЗ!P55</f>
        <v>42917</v>
      </c>
      <c r="V55" s="686">
        <v>42917</v>
      </c>
      <c r="W55" s="236">
        <f>РПЗ!L55</f>
        <v>207500.75</v>
      </c>
      <c r="X55" s="689">
        <v>1</v>
      </c>
      <c r="Y55" s="689">
        <v>0</v>
      </c>
      <c r="Z55" s="691">
        <v>7701984274</v>
      </c>
      <c r="AA55" s="691" t="s">
        <v>1509</v>
      </c>
      <c r="AB55" s="111">
        <v>207500.75</v>
      </c>
      <c r="AC55" s="17">
        <v>42917</v>
      </c>
      <c r="AD55" s="690" t="s">
        <v>5966</v>
      </c>
      <c r="AE55" s="686">
        <v>42908</v>
      </c>
      <c r="AF55" s="474"/>
      <c r="AG55" s="692">
        <v>207500.75</v>
      </c>
      <c r="AH55" s="236">
        <f>IF(Таблица5[[#This Row],[30]]=0,"НД",Таблица5[[#This Row],[20]]-Таблица5[[#This Row],[30]])</f>
        <v>0</v>
      </c>
      <c r="AI55" s="511">
        <f>IF(((1-Таблица5[[#This Row],[30]]/Таблица5[[#This Row],[20]])=1),"НД",(1-Таблица5[[#This Row],[30]]/Таблица5[[#This Row],[20]]))</f>
        <v>0</v>
      </c>
      <c r="AJ55" s="111"/>
      <c r="AK55" s="111"/>
      <c r="AL55" s="512"/>
      <c r="AM55" s="513" t="s">
        <v>113</v>
      </c>
      <c r="AN55" s="801">
        <v>31705243347</v>
      </c>
      <c r="AO55" s="468" t="str">
        <f>РПЗ!AD55</f>
        <v>Нет</v>
      </c>
      <c r="AP55" s="472">
        <f>РПЗ!V55</f>
        <v>0</v>
      </c>
      <c r="AQ55" s="470">
        <f>IF(Таблица5[[#This Row],[11]]=0,,MONTH(Таблица5[[#This Row],[11]]))</f>
        <v>6</v>
      </c>
    </row>
    <row r="56" spans="1:43" ht="51.75" thickBot="1" x14ac:dyDescent="0.3">
      <c r="A56" s="233" t="str">
        <f t="shared" si="1"/>
        <v>1004-2017-00041</v>
      </c>
      <c r="B56" s="233" t="str">
        <f>РПЗ!$D56</f>
        <v>1004-2017-00041 Оказание услуг по Договору № 224738 от 22.10.2012 с АО "Мосводоканал" затраты на воду и прием сточных вод</v>
      </c>
      <c r="C56" s="233" t="str">
        <f>РПЗ!$AA56</f>
        <v>АО "НИИ "Полюс" им. М.Ф. Стельмаха" тел. отдела закупок 8-495-333-05-02</v>
      </c>
      <c r="D56" s="633" t="str">
        <f>РПЗ!$AB56</f>
        <v>Заказчик</v>
      </c>
      <c r="E56" s="96" t="s">
        <v>62</v>
      </c>
      <c r="F56" s="233" t="str">
        <f>РПЗ!Q56</f>
        <v>ЕП</v>
      </c>
      <c r="G56" s="237" t="str">
        <f>Таблица5[[#This Row],[6]]</f>
        <v>ЕП</v>
      </c>
      <c r="H56" s="237" t="str">
        <f>РПЗ!R56</f>
        <v>Нет</v>
      </c>
      <c r="I56" s="15" t="str">
        <f>РПЗ!W56</f>
        <v>6.6.2(2)</v>
      </c>
      <c r="J56" s="233">
        <f>РПЗ!X56</f>
        <v>7701984274</v>
      </c>
      <c r="K56" s="283">
        <f>РПЗ!Z56</f>
        <v>258029.66</v>
      </c>
      <c r="L56" s="17">
        <v>42913</v>
      </c>
      <c r="M56" s="18">
        <f>РПЗ!O56</f>
        <v>42887</v>
      </c>
      <c r="N56" s="238">
        <f>Таблица5[[#This Row],[10]]</f>
        <v>42887</v>
      </c>
      <c r="O56" s="17"/>
      <c r="P56" s="17"/>
      <c r="Q56" s="17"/>
      <c r="R56" s="17"/>
      <c r="S56" s="17"/>
      <c r="T56" s="686">
        <v>42915</v>
      </c>
      <c r="U56" s="18">
        <f>РПЗ!P56</f>
        <v>42917</v>
      </c>
      <c r="V56" s="686">
        <v>42917</v>
      </c>
      <c r="W56" s="236">
        <f>РПЗ!L56</f>
        <v>258029.66</v>
      </c>
      <c r="X56" s="689">
        <v>1</v>
      </c>
      <c r="Y56" s="689">
        <v>0</v>
      </c>
      <c r="Z56" s="691">
        <v>7701984274</v>
      </c>
      <c r="AA56" s="691" t="s">
        <v>1509</v>
      </c>
      <c r="AB56" s="111">
        <v>258029.66</v>
      </c>
      <c r="AC56" s="17">
        <v>42917</v>
      </c>
      <c r="AD56" s="690" t="s">
        <v>5966</v>
      </c>
      <c r="AE56" s="686">
        <v>42915</v>
      </c>
      <c r="AF56" s="474"/>
      <c r="AG56" s="692">
        <v>258029.66</v>
      </c>
      <c r="AH56" s="236">
        <f>IF(Таблица5[[#This Row],[30]]=0,"НД",Таблица5[[#This Row],[20]]-Таблица5[[#This Row],[30]])</f>
        <v>0</v>
      </c>
      <c r="AI56" s="511">
        <f>IF(((1-Таблица5[[#This Row],[30]]/Таблица5[[#This Row],[20]])=1),"НД",(1-Таблица5[[#This Row],[30]]/Таблица5[[#This Row],[20]]))</f>
        <v>0</v>
      </c>
      <c r="AJ56" s="111"/>
      <c r="AK56" s="111"/>
      <c r="AL56" s="512"/>
      <c r="AM56" s="513" t="s">
        <v>113</v>
      </c>
      <c r="AN56" s="801">
        <v>31705268846</v>
      </c>
      <c r="AO56" s="468" t="str">
        <f>РПЗ!AD56</f>
        <v>Нет</v>
      </c>
      <c r="AP56" s="472">
        <f>РПЗ!V56</f>
        <v>0</v>
      </c>
      <c r="AQ56" s="470">
        <f>IF(Таблица5[[#This Row],[11]]=0,,MONTH(Таблица5[[#This Row],[11]]))</f>
        <v>6</v>
      </c>
    </row>
    <row r="57" spans="1:43" ht="51.75" thickBot="1" x14ac:dyDescent="0.3">
      <c r="A57" s="233" t="str">
        <f t="shared" si="1"/>
        <v>1004-2017-00042</v>
      </c>
      <c r="B57" s="233" t="str">
        <f>РПЗ!$D57</f>
        <v>1004-2017-00042 Оказание услуг по  Договору № 224738 от 22.10.2012 с АО "Мосводоканал" затраты на воду и прием сточных вод</v>
      </c>
      <c r="C57" s="233" t="str">
        <f>РПЗ!$AA57</f>
        <v>АО "НИИ "Полюс" им. М.Ф. Стельмаха" тел. отдела закупок 8-495-333-05-02</v>
      </c>
      <c r="D57" s="633" t="str">
        <f>РПЗ!$AB57</f>
        <v>Заказчик</v>
      </c>
      <c r="E57" s="96" t="s">
        <v>62</v>
      </c>
      <c r="F57" s="233" t="str">
        <f>РПЗ!Q57</f>
        <v>ЕП</v>
      </c>
      <c r="G57" s="237" t="str">
        <f>Таблица5[[#This Row],[6]]</f>
        <v>ЕП</v>
      </c>
      <c r="H57" s="237" t="str">
        <f>РПЗ!R57</f>
        <v>Нет</v>
      </c>
      <c r="I57" s="15" t="str">
        <f>РПЗ!W57</f>
        <v>6.6.2(2)</v>
      </c>
      <c r="J57" s="233">
        <f>РПЗ!X57</f>
        <v>7701984274</v>
      </c>
      <c r="K57" s="283">
        <f>РПЗ!Z57</f>
        <v>238379.53</v>
      </c>
      <c r="L57" s="17">
        <v>42915</v>
      </c>
      <c r="M57" s="18">
        <f>РПЗ!O57</f>
        <v>42887</v>
      </c>
      <c r="N57" s="238">
        <f>Таблица5[[#This Row],[10]]</f>
        <v>42887</v>
      </c>
      <c r="O57" s="17"/>
      <c r="P57" s="17"/>
      <c r="Q57" s="17"/>
      <c r="R57" s="17"/>
      <c r="S57" s="17"/>
      <c r="T57" s="686">
        <v>42922</v>
      </c>
      <c r="U57" s="18">
        <f>РПЗ!P57</f>
        <v>42917</v>
      </c>
      <c r="V57" s="686">
        <v>42948</v>
      </c>
      <c r="W57" s="236">
        <f>РПЗ!L57</f>
        <v>238379.53</v>
      </c>
      <c r="X57" s="689">
        <v>1</v>
      </c>
      <c r="Y57" s="689">
        <v>0</v>
      </c>
      <c r="Z57" s="691">
        <v>7701984274</v>
      </c>
      <c r="AA57" s="691" t="s">
        <v>6461</v>
      </c>
      <c r="AB57" s="111">
        <v>238379.53</v>
      </c>
      <c r="AC57" s="17">
        <v>42948</v>
      </c>
      <c r="AD57" s="690" t="s">
        <v>6462</v>
      </c>
      <c r="AE57" s="686">
        <v>42922</v>
      </c>
      <c r="AF57" s="474"/>
      <c r="AG57" s="692">
        <v>238379.53</v>
      </c>
      <c r="AH57" s="236">
        <f>IF(Таблица5[[#This Row],[30]]=0,"НД",Таблица5[[#This Row],[20]]-Таблица5[[#This Row],[30]])</f>
        <v>0</v>
      </c>
      <c r="AI57" s="511">
        <f>IF(((1-Таблица5[[#This Row],[30]]/Таблица5[[#This Row],[20]])=1),"НД",(1-Таблица5[[#This Row],[30]]/Таблица5[[#This Row],[20]]))</f>
        <v>0</v>
      </c>
      <c r="AJ57" s="111"/>
      <c r="AK57" s="111"/>
      <c r="AL57" s="512"/>
      <c r="AM57" s="513" t="s">
        <v>113</v>
      </c>
      <c r="AN57" s="801">
        <v>31705288417</v>
      </c>
      <c r="AO57" s="468" t="str">
        <f>РПЗ!AD57</f>
        <v>Нет</v>
      </c>
      <c r="AP57" s="472">
        <f>РПЗ!V57</f>
        <v>0</v>
      </c>
      <c r="AQ57" s="470">
        <f>IF(Таблица5[[#This Row],[11]]=0,,MONTH(Таблица5[[#This Row],[11]]))</f>
        <v>6</v>
      </c>
    </row>
    <row r="58" spans="1:43" ht="51.75" thickBot="1" x14ac:dyDescent="0.3">
      <c r="A58" s="233" t="str">
        <f t="shared" si="1"/>
        <v>1004-2017-00043</v>
      </c>
      <c r="B58" s="233" t="str">
        <f>РПЗ!$D58</f>
        <v>1004-2017-00043 Оказние услуг по Договору № 224738 от 22.10.2012 с АО "Мосводоканал" затраты на воду и прием сточных вод</v>
      </c>
      <c r="C58" s="233" t="str">
        <f>РПЗ!$AA58</f>
        <v>АО "НИИ "Полюс" им. М.Ф. Стельмаха" тел. отдела закупок 8-495-333-05-02</v>
      </c>
      <c r="D58" s="633" t="str">
        <f>РПЗ!$AB58</f>
        <v>Заказчик</v>
      </c>
      <c r="E58" s="96" t="s">
        <v>62</v>
      </c>
      <c r="F58" s="233" t="str">
        <f>РПЗ!Q58</f>
        <v>ЕП</v>
      </c>
      <c r="G58" s="237" t="str">
        <f>Таблица5[[#This Row],[6]]</f>
        <v>ЕП</v>
      </c>
      <c r="H58" s="237" t="str">
        <f>РПЗ!R58</f>
        <v>Нет</v>
      </c>
      <c r="I58" s="15" t="str">
        <f>РПЗ!W58</f>
        <v>6.6.2(2)</v>
      </c>
      <c r="J58" s="233">
        <f>РПЗ!X58</f>
        <v>7701984274</v>
      </c>
      <c r="K58" s="283">
        <f>РПЗ!Z58</f>
        <v>310000</v>
      </c>
      <c r="L58" s="17">
        <v>42927</v>
      </c>
      <c r="M58" s="18">
        <f>РПЗ!O58</f>
        <v>42917</v>
      </c>
      <c r="N58" s="238">
        <f>Таблица5[[#This Row],[10]]</f>
        <v>42917</v>
      </c>
      <c r="O58" s="17"/>
      <c r="P58" s="17"/>
      <c r="Q58" s="17"/>
      <c r="R58" s="17"/>
      <c r="S58" s="17"/>
      <c r="T58" s="686">
        <v>42935</v>
      </c>
      <c r="U58" s="18">
        <f>РПЗ!P58</f>
        <v>42917</v>
      </c>
      <c r="V58" s="686">
        <v>42948</v>
      </c>
      <c r="W58" s="236">
        <f>РПЗ!L58</f>
        <v>230760.1</v>
      </c>
      <c r="X58" s="689">
        <v>1</v>
      </c>
      <c r="Y58" s="689">
        <v>0</v>
      </c>
      <c r="Z58" s="691">
        <v>7701984274</v>
      </c>
      <c r="AA58" s="691" t="s">
        <v>1509</v>
      </c>
      <c r="AB58" s="111">
        <v>230760.1</v>
      </c>
      <c r="AC58" s="17">
        <v>42948</v>
      </c>
      <c r="AD58" s="690" t="s">
        <v>6456</v>
      </c>
      <c r="AE58" s="686">
        <v>42935</v>
      </c>
      <c r="AF58" s="474"/>
      <c r="AG58" s="692">
        <v>230760.1</v>
      </c>
      <c r="AH58" s="236">
        <f>IF(Таблица5[[#This Row],[30]]=0,"НД",Таблица5[[#This Row],[20]]-Таблица5[[#This Row],[30]])</f>
        <v>0</v>
      </c>
      <c r="AI58" s="511">
        <f>IF(((1-Таблица5[[#This Row],[30]]/Таблица5[[#This Row],[20]])=1),"НД",(1-Таблица5[[#This Row],[30]]/Таблица5[[#This Row],[20]]))</f>
        <v>0</v>
      </c>
      <c r="AJ58" s="111"/>
      <c r="AK58" s="111"/>
      <c r="AL58" s="512"/>
      <c r="AM58" s="513" t="s">
        <v>113</v>
      </c>
      <c r="AN58" s="465" t="s">
        <v>6457</v>
      </c>
      <c r="AO58" s="468" t="str">
        <f>РПЗ!AD58</f>
        <v>Нет</v>
      </c>
      <c r="AP58" s="472">
        <f>РПЗ!V58</f>
        <v>0</v>
      </c>
      <c r="AQ58" s="470">
        <f>IF(Таблица5[[#This Row],[11]]=0,,MONTH(Таблица5[[#This Row],[11]]))</f>
        <v>7</v>
      </c>
    </row>
    <row r="59" spans="1:43" ht="51.75" thickBot="1" x14ac:dyDescent="0.3">
      <c r="A59" s="233" t="str">
        <f t="shared" si="1"/>
        <v>1004-2017-00044</v>
      </c>
      <c r="B59" s="233" t="str">
        <f>РПЗ!$D59</f>
        <v>1004-2017-00044 Оказние услуг по Договору № 224738 от 22.10.2012 с АО "Мосводоканал" затраты на воду и прием сточных вод</v>
      </c>
      <c r="C59" s="233" t="str">
        <f>РПЗ!$AA59</f>
        <v>АО "НИИ "Полюс" им. М.Ф. Стельмаха" тел. отдела закупок 8-495-333-05-02</v>
      </c>
      <c r="D59" s="633" t="str">
        <f>РПЗ!$AB59</f>
        <v>Заказчик</v>
      </c>
      <c r="E59" s="96" t="s">
        <v>46</v>
      </c>
      <c r="F59" s="233" t="str">
        <f>РПЗ!Q59</f>
        <v>ЕП</v>
      </c>
      <c r="G59" s="237"/>
      <c r="H59" s="237" t="str">
        <f>РПЗ!R59</f>
        <v>Нет</v>
      </c>
      <c r="I59" s="15" t="str">
        <f>РПЗ!W59</f>
        <v>6.6.2(2)</v>
      </c>
      <c r="J59" s="233">
        <f>РПЗ!X59</f>
        <v>7701984274</v>
      </c>
      <c r="K59" s="283">
        <f>РПЗ!Z59</f>
        <v>300000</v>
      </c>
      <c r="L59" s="17"/>
      <c r="M59" s="18">
        <f>РПЗ!O59</f>
        <v>42887</v>
      </c>
      <c r="N59" s="238">
        <f>Таблица5[[#This Row],[10]]</f>
        <v>42887</v>
      </c>
      <c r="O59" s="17"/>
      <c r="P59" s="17"/>
      <c r="Q59" s="17"/>
      <c r="R59" s="17"/>
      <c r="S59" s="17"/>
      <c r="T59" s="686"/>
      <c r="U59" s="18">
        <f>РПЗ!P59</f>
        <v>42917</v>
      </c>
      <c r="V59" s="686"/>
      <c r="W59" s="236">
        <f>РПЗ!L59</f>
        <v>300000</v>
      </c>
      <c r="X59" s="689"/>
      <c r="Y59" s="689"/>
      <c r="Z59" s="690"/>
      <c r="AA59" s="691"/>
      <c r="AB59" s="111"/>
      <c r="AC59" s="17"/>
      <c r="AD59" s="690"/>
      <c r="AE59" s="686"/>
      <c r="AF59" s="474"/>
      <c r="AG59" s="692"/>
      <c r="AH59" s="236" t="str">
        <f>IF(Таблица5[[#This Row],[30]]=0,"НД",Таблица5[[#This Row],[20]]-Таблица5[[#This Row],[30]])</f>
        <v>НД</v>
      </c>
      <c r="AI59" s="511" t="str">
        <f>IF(((1-Таблица5[[#This Row],[30]]/Таблица5[[#This Row],[20]])=1),"НД",(1-Таблица5[[#This Row],[30]]/Таблица5[[#This Row],[20]]))</f>
        <v>НД</v>
      </c>
      <c r="AJ59" s="111"/>
      <c r="AK59" s="111"/>
      <c r="AL59" s="512"/>
      <c r="AM59" s="513"/>
      <c r="AN59" s="465"/>
      <c r="AO59" s="468" t="str">
        <f>РПЗ!AD59</f>
        <v>Нет</v>
      </c>
      <c r="AP59" s="472">
        <f>РПЗ!V59</f>
        <v>0</v>
      </c>
      <c r="AQ59" s="470">
        <f>IF(Таблица5[[#This Row],[11]]=0,,MONTH(Таблица5[[#This Row],[11]]))</f>
        <v>6</v>
      </c>
    </row>
    <row r="60" spans="1:43" ht="51.75" thickBot="1" x14ac:dyDescent="0.3">
      <c r="A60" s="233" t="str">
        <f t="shared" si="1"/>
        <v>1004-2017-00045</v>
      </c>
      <c r="B60" s="233" t="str">
        <f>РПЗ!$D60</f>
        <v>1004-2017-00045 Оказние услуг по Договору № 224738 от 22.10.2012 с АО "Мосводоканал" затраты на воду и прием сточных вод</v>
      </c>
      <c r="C60" s="233" t="str">
        <f>РПЗ!$AA60</f>
        <v>АО "НИИ "Полюс" им. М.Ф. Стельмаха" тел. отдела закупок 8-495-333-05-02</v>
      </c>
      <c r="D60" s="633" t="str">
        <f>РПЗ!$AB60</f>
        <v>Заказчик</v>
      </c>
      <c r="E60" s="96" t="s">
        <v>46</v>
      </c>
      <c r="F60" s="233" t="str">
        <f>РПЗ!Q60</f>
        <v>ЕП</v>
      </c>
      <c r="G60" s="237"/>
      <c r="H60" s="237" t="str">
        <f>РПЗ!R60</f>
        <v>Нет</v>
      </c>
      <c r="I60" s="15" t="str">
        <f>РПЗ!W60</f>
        <v>6.6.2(2)</v>
      </c>
      <c r="J60" s="233">
        <f>РПЗ!X60</f>
        <v>7701984274</v>
      </c>
      <c r="K60" s="283">
        <f>РПЗ!Z60</f>
        <v>310000</v>
      </c>
      <c r="L60" s="17"/>
      <c r="M60" s="18">
        <f>РПЗ!O60</f>
        <v>42917</v>
      </c>
      <c r="N60" s="238">
        <f>Таблица5[[#This Row],[10]]</f>
        <v>42917</v>
      </c>
      <c r="O60" s="17"/>
      <c r="P60" s="17"/>
      <c r="Q60" s="17"/>
      <c r="R60" s="17"/>
      <c r="S60" s="17"/>
      <c r="T60" s="686"/>
      <c r="U60" s="18">
        <f>РПЗ!P60</f>
        <v>42948</v>
      </c>
      <c r="V60" s="686"/>
      <c r="W60" s="236">
        <f>РПЗ!L60</f>
        <v>310000</v>
      </c>
      <c r="X60" s="689"/>
      <c r="Y60" s="689"/>
      <c r="Z60" s="690"/>
      <c r="AA60" s="691"/>
      <c r="AB60" s="111"/>
      <c r="AC60" s="17"/>
      <c r="AD60" s="690"/>
      <c r="AE60" s="686"/>
      <c r="AF60" s="474"/>
      <c r="AG60" s="692"/>
      <c r="AH60" s="236" t="str">
        <f>IF(Таблица5[[#This Row],[30]]=0,"НД",Таблица5[[#This Row],[20]]-Таблица5[[#This Row],[30]])</f>
        <v>НД</v>
      </c>
      <c r="AI60" s="511" t="str">
        <f>IF(((1-Таблица5[[#This Row],[30]]/Таблица5[[#This Row],[20]])=1),"НД",(1-Таблица5[[#This Row],[30]]/Таблица5[[#This Row],[20]]))</f>
        <v>НД</v>
      </c>
      <c r="AJ60" s="111"/>
      <c r="AK60" s="111"/>
      <c r="AL60" s="512"/>
      <c r="AM60" s="513"/>
      <c r="AN60" s="465"/>
      <c r="AO60" s="468" t="str">
        <f>РПЗ!AD60</f>
        <v>Нет</v>
      </c>
      <c r="AP60" s="472">
        <f>РПЗ!V60</f>
        <v>0</v>
      </c>
      <c r="AQ60" s="470">
        <f>IF(Таблица5[[#This Row],[11]]=0,,MONTH(Таблица5[[#This Row],[11]]))</f>
        <v>7</v>
      </c>
    </row>
    <row r="61" spans="1:43" ht="51.75" thickBot="1" x14ac:dyDescent="0.3">
      <c r="A61" s="233" t="str">
        <f t="shared" si="1"/>
        <v>1004-2017-00046</v>
      </c>
      <c r="B61" s="233" t="str">
        <f>РПЗ!$D61</f>
        <v>1004-2017-00046 Оказние услуг по Договору № 224738 от 22.10.2012 с АО "Мосводоканал" затраты на воду и прием сточных вод</v>
      </c>
      <c r="C61" s="233" t="str">
        <f>РПЗ!$AA61</f>
        <v>АО "НИИ "Полюс" им. М.Ф. Стельмаха" тел. отдела закупок 8-495-333-05-02</v>
      </c>
      <c r="D61" s="633" t="str">
        <f>РПЗ!$AB61</f>
        <v>Заказчик</v>
      </c>
      <c r="E61" s="96" t="s">
        <v>62</v>
      </c>
      <c r="F61" s="233" t="str">
        <f>РПЗ!Q61</f>
        <v>ЕП</v>
      </c>
      <c r="G61" s="237" t="str">
        <f>Таблица5[[#This Row],[6]]</f>
        <v>ЕП</v>
      </c>
      <c r="H61" s="237" t="str">
        <f>РПЗ!R61</f>
        <v>Нет</v>
      </c>
      <c r="I61" s="15" t="str">
        <f>РПЗ!W61</f>
        <v>6.6.2(3)</v>
      </c>
      <c r="J61" s="233">
        <f>РПЗ!X61</f>
        <v>7701984274</v>
      </c>
      <c r="K61" s="283">
        <f>РПЗ!Z61</f>
        <v>292002.03000000003</v>
      </c>
      <c r="L61" s="17">
        <v>42947</v>
      </c>
      <c r="M61" s="18">
        <f>РПЗ!O61</f>
        <v>42948</v>
      </c>
      <c r="N61" s="238">
        <f>Таблица5[[#This Row],[10]]</f>
        <v>42948</v>
      </c>
      <c r="O61" s="17"/>
      <c r="P61" s="17"/>
      <c r="Q61" s="17"/>
      <c r="R61" s="17"/>
      <c r="S61" s="17"/>
      <c r="T61" s="686">
        <v>42950</v>
      </c>
      <c r="U61" s="18">
        <f>РПЗ!P61</f>
        <v>42979</v>
      </c>
      <c r="V61" s="686">
        <v>42979</v>
      </c>
      <c r="W61" s="236">
        <f>РПЗ!L61</f>
        <v>292002.03000000003</v>
      </c>
      <c r="X61" s="689">
        <v>1</v>
      </c>
      <c r="Y61" s="689">
        <v>0</v>
      </c>
      <c r="Z61" s="691">
        <v>7701984274</v>
      </c>
      <c r="AA61" s="691" t="s">
        <v>1509</v>
      </c>
      <c r="AB61" s="111">
        <v>292002.03000000003</v>
      </c>
      <c r="AC61" s="17">
        <v>42979</v>
      </c>
      <c r="AD61" s="690" t="s">
        <v>6422</v>
      </c>
      <c r="AE61" s="686">
        <v>42950</v>
      </c>
      <c r="AF61" s="474"/>
      <c r="AG61" s="692">
        <v>292002.03000000003</v>
      </c>
      <c r="AH61" s="236">
        <f>IF(Таблица5[[#This Row],[30]]=0,"НД",Таблица5[[#This Row],[20]]-Таблица5[[#This Row],[30]])</f>
        <v>0</v>
      </c>
      <c r="AI61" s="511">
        <f>IF(((1-Таблица5[[#This Row],[30]]/Таблица5[[#This Row],[20]])=1),"НД",(1-Таблица5[[#This Row],[30]]/Таблица5[[#This Row],[20]]))</f>
        <v>0</v>
      </c>
      <c r="AJ61" s="111"/>
      <c r="AK61" s="111"/>
      <c r="AL61" s="512"/>
      <c r="AM61" s="513" t="s">
        <v>113</v>
      </c>
      <c r="AN61" s="801">
        <v>31705387221</v>
      </c>
      <c r="AO61" s="468" t="str">
        <f>РПЗ!AD61</f>
        <v>Нет</v>
      </c>
      <c r="AP61" s="472">
        <f>РПЗ!V61</f>
        <v>0</v>
      </c>
      <c r="AQ61" s="470">
        <f>IF(Таблица5[[#This Row],[11]]=0,,MONTH(Таблица5[[#This Row],[11]]))</f>
        <v>8</v>
      </c>
    </row>
    <row r="62" spans="1:43" ht="51.75" thickBot="1" x14ac:dyDescent="0.3">
      <c r="A62" s="233" t="str">
        <f t="shared" si="1"/>
        <v>1004-2017-00047</v>
      </c>
      <c r="B62" s="233" t="str">
        <f>РПЗ!$D62</f>
        <v>1004-2017-00047 Оказние услуг по Договору № 224738 от 22.10.2012 с АО "Мосводоканал" затраты на воду и прием сточных вод</v>
      </c>
      <c r="C62" s="233" t="str">
        <f>РПЗ!$AA62</f>
        <v>АО "НИИ "Полюс" им. М.Ф. Стельмаха" тел. отдела закупок 8-495-333-05-02</v>
      </c>
      <c r="D62" s="633" t="str">
        <f>РПЗ!$AB62</f>
        <v>Заказчик</v>
      </c>
      <c r="E62" s="96" t="s">
        <v>62</v>
      </c>
      <c r="F62" s="233" t="str">
        <f>РПЗ!Q62</f>
        <v>ЕП</v>
      </c>
      <c r="G62" s="237" t="str">
        <f>Таблица5[[#This Row],[6]]</f>
        <v>ЕП</v>
      </c>
      <c r="H62" s="237" t="str">
        <f>РПЗ!R62</f>
        <v>Нет</v>
      </c>
      <c r="I62" s="15" t="str">
        <f>РПЗ!W62</f>
        <v>6.6.2(2)</v>
      </c>
      <c r="J62" s="233">
        <f>РПЗ!X62</f>
        <v>7701984274</v>
      </c>
      <c r="K62" s="283">
        <f>РПЗ!Z62</f>
        <v>267689.69</v>
      </c>
      <c r="L62" s="17">
        <v>43038</v>
      </c>
      <c r="M62" s="18">
        <f>РПЗ!O62</f>
        <v>43040</v>
      </c>
      <c r="N62" s="238">
        <f>Таблица5[[#This Row],[10]]</f>
        <v>43040</v>
      </c>
      <c r="O62" s="17"/>
      <c r="P62" s="17"/>
      <c r="Q62" s="17"/>
      <c r="R62" s="17"/>
      <c r="S62" s="17"/>
      <c r="T62" s="686">
        <v>43046</v>
      </c>
      <c r="U62" s="18">
        <f>РПЗ!P62</f>
        <v>43040</v>
      </c>
      <c r="V62" s="686">
        <v>43070</v>
      </c>
      <c r="W62" s="236">
        <f>РПЗ!L62</f>
        <v>267689.69</v>
      </c>
      <c r="X62" s="689">
        <v>1</v>
      </c>
      <c r="Y62" s="689">
        <v>0</v>
      </c>
      <c r="Z62" s="691">
        <v>7736520080</v>
      </c>
      <c r="AA62" s="691" t="s">
        <v>5963</v>
      </c>
      <c r="AB62" s="111">
        <v>267689.69</v>
      </c>
      <c r="AC62" s="17">
        <v>43070</v>
      </c>
      <c r="AD62" s="690" t="s">
        <v>7273</v>
      </c>
      <c r="AE62" s="686">
        <v>43046</v>
      </c>
      <c r="AF62" s="474"/>
      <c r="AG62" s="692">
        <v>267689.69</v>
      </c>
      <c r="AH62" s="236">
        <f>IF(Таблица5[[#This Row],[30]]=0,"НД",Таблица5[[#This Row],[20]]-Таблица5[[#This Row],[30]])</f>
        <v>0</v>
      </c>
      <c r="AI62" s="511">
        <f>IF(((1-Таблица5[[#This Row],[30]]/Таблица5[[#This Row],[20]])=1),"НД",(1-Таблица5[[#This Row],[30]]/Таблица5[[#This Row],[20]]))</f>
        <v>0</v>
      </c>
      <c r="AJ62" s="111"/>
      <c r="AK62" s="111"/>
      <c r="AL62" s="512"/>
      <c r="AM62" s="513" t="s">
        <v>113</v>
      </c>
      <c r="AN62" s="801">
        <v>31705705160</v>
      </c>
      <c r="AO62" s="468" t="str">
        <f>РПЗ!AD62</f>
        <v>Нет</v>
      </c>
      <c r="AP62" s="472">
        <f>РПЗ!V62</f>
        <v>0</v>
      </c>
      <c r="AQ62" s="470">
        <f>IF(Таблица5[[#This Row],[11]]=0,,MONTH(Таблица5[[#This Row],[11]]))</f>
        <v>11</v>
      </c>
    </row>
    <row r="63" spans="1:43" ht="51.75" thickBot="1" x14ac:dyDescent="0.3">
      <c r="A63" s="233" t="str">
        <f t="shared" si="1"/>
        <v>1004-2017-00048</v>
      </c>
      <c r="B63" s="233" t="str">
        <f>РПЗ!$D63</f>
        <v>1004-2017-00048 Оказание услуг по Договору № 224738 от 22.10.2012 с АО "Мосводоканал" затраты на воду и прием сточных вод</v>
      </c>
      <c r="C63" s="233" t="str">
        <f>РПЗ!$AA63</f>
        <v>АО "НИИ "Полюс" им. М.Ф. Стельмаха" тел. отдела закупок 8-495-333-05-02</v>
      </c>
      <c r="D63" s="633" t="str">
        <f>РПЗ!$AB63</f>
        <v>Заказчик</v>
      </c>
      <c r="E63" s="96" t="s">
        <v>46</v>
      </c>
      <c r="F63" s="233" t="str">
        <f>РПЗ!Q63</f>
        <v>ЕП</v>
      </c>
      <c r="G63" s="237"/>
      <c r="H63" s="237" t="str">
        <f>РПЗ!R63</f>
        <v>Нет</v>
      </c>
      <c r="I63" s="15" t="str">
        <f>РПЗ!W63</f>
        <v>6.6.2(2)</v>
      </c>
      <c r="J63" s="233">
        <f>РПЗ!X63</f>
        <v>7701984274</v>
      </c>
      <c r="K63" s="283">
        <f>РПЗ!Z63</f>
        <v>300000</v>
      </c>
      <c r="L63" s="17"/>
      <c r="M63" s="18">
        <f>РПЗ!O63</f>
        <v>43009</v>
      </c>
      <c r="N63" s="238">
        <f>Таблица5[[#This Row],[10]]</f>
        <v>43009</v>
      </c>
      <c r="O63" s="17"/>
      <c r="P63" s="17"/>
      <c r="Q63" s="17"/>
      <c r="R63" s="17"/>
      <c r="S63" s="17"/>
      <c r="T63" s="686"/>
      <c r="U63" s="18">
        <f>РПЗ!P63</f>
        <v>43040</v>
      </c>
      <c r="V63" s="686"/>
      <c r="W63" s="236">
        <f>РПЗ!L63</f>
        <v>300000</v>
      </c>
      <c r="X63" s="689"/>
      <c r="Y63" s="689"/>
      <c r="Z63" s="690"/>
      <c r="AA63" s="691"/>
      <c r="AB63" s="111"/>
      <c r="AC63" s="17"/>
      <c r="AD63" s="690"/>
      <c r="AE63" s="686"/>
      <c r="AF63" s="474"/>
      <c r="AG63" s="692"/>
      <c r="AH63" s="236" t="str">
        <f>IF(Таблица5[[#This Row],[30]]=0,"НД",Таблица5[[#This Row],[20]]-Таблица5[[#This Row],[30]])</f>
        <v>НД</v>
      </c>
      <c r="AI63" s="511" t="str">
        <f>IF(((1-Таблица5[[#This Row],[30]]/Таблица5[[#This Row],[20]])=1),"НД",(1-Таблица5[[#This Row],[30]]/Таблица5[[#This Row],[20]]))</f>
        <v>НД</v>
      </c>
      <c r="AJ63" s="111"/>
      <c r="AK63" s="111"/>
      <c r="AL63" s="512"/>
      <c r="AM63" s="513"/>
      <c r="AN63" s="465"/>
      <c r="AO63" s="468" t="str">
        <f>РПЗ!AD63</f>
        <v>Нет</v>
      </c>
      <c r="AP63" s="472">
        <f>РПЗ!V63</f>
        <v>0</v>
      </c>
      <c r="AQ63" s="470">
        <f>IF(Таблица5[[#This Row],[11]]=0,,MONTH(Таблица5[[#This Row],[11]]))</f>
        <v>10</v>
      </c>
    </row>
    <row r="64" spans="1:43" ht="51.75" thickBot="1" x14ac:dyDescent="0.3">
      <c r="A64" s="233" t="str">
        <f t="shared" si="1"/>
        <v>1004-2017-00049</v>
      </c>
      <c r="B64" s="233" t="str">
        <f>РПЗ!$D64</f>
        <v>1004-2017-00049Оказние услуг по Договору № 224738 от 22.10.2012 с АО "Мосводоканал" затраты на воду и прием сточных вод</v>
      </c>
      <c r="C64" s="233" t="str">
        <f>РПЗ!$AA64</f>
        <v>АО "НИИ "Полюс" им. М.Ф. Стельмаха" тел. отдела закупок 8-495-333-05-02</v>
      </c>
      <c r="D64" s="633" t="str">
        <f>РПЗ!$AB64</f>
        <v>Заказчик</v>
      </c>
      <c r="E64" s="96" t="s">
        <v>62</v>
      </c>
      <c r="F64" s="233" t="str">
        <f>РПЗ!Q64</f>
        <v>ЕП</v>
      </c>
      <c r="G64" s="237" t="str">
        <f>Таблица5[[#This Row],[6]]</f>
        <v>ЕП</v>
      </c>
      <c r="H64" s="237" t="str">
        <f>РПЗ!R64</f>
        <v>Нет</v>
      </c>
      <c r="I64" s="15" t="str">
        <f>РПЗ!W64</f>
        <v>6.6.2(2)</v>
      </c>
      <c r="J64" s="233">
        <f>РПЗ!X64</f>
        <v>7701984274</v>
      </c>
      <c r="K64" s="283">
        <f>РПЗ!Z64</f>
        <v>260063.89</v>
      </c>
      <c r="L64" s="17">
        <v>43038</v>
      </c>
      <c r="M64" s="18">
        <f>РПЗ!O64</f>
        <v>43040</v>
      </c>
      <c r="N64" s="238">
        <f>Таблица5[[#This Row],[10]]</f>
        <v>43040</v>
      </c>
      <c r="O64" s="17"/>
      <c r="P64" s="17"/>
      <c r="Q64" s="17"/>
      <c r="R64" s="17"/>
      <c r="S64" s="17"/>
      <c r="T64" s="686">
        <v>43046</v>
      </c>
      <c r="U64" s="18">
        <f>РПЗ!P64</f>
        <v>43070</v>
      </c>
      <c r="V64" s="686">
        <v>43069</v>
      </c>
      <c r="W64" s="236">
        <f>РПЗ!L64</f>
        <v>260063.89</v>
      </c>
      <c r="X64" s="689">
        <v>1</v>
      </c>
      <c r="Y64" s="689">
        <v>0</v>
      </c>
      <c r="Z64" s="691">
        <v>7736520080</v>
      </c>
      <c r="AA64" s="691" t="s">
        <v>5963</v>
      </c>
      <c r="AB64" s="111">
        <v>260063.89</v>
      </c>
      <c r="AC64" s="17">
        <v>43069</v>
      </c>
      <c r="AD64" s="690" t="s">
        <v>7273</v>
      </c>
      <c r="AE64" s="686">
        <v>43046</v>
      </c>
      <c r="AF64" s="474"/>
      <c r="AG64" s="692">
        <v>260063.89</v>
      </c>
      <c r="AH64" s="236">
        <f>IF(Таблица5[[#This Row],[30]]=0,"НД",Таблица5[[#This Row],[20]]-Таблица5[[#This Row],[30]])</f>
        <v>0</v>
      </c>
      <c r="AI64" s="511">
        <f>IF(((1-Таблица5[[#This Row],[30]]/Таблица5[[#This Row],[20]])=1),"НД",(1-Таблица5[[#This Row],[30]]/Таблица5[[#This Row],[20]]))</f>
        <v>0</v>
      </c>
      <c r="AJ64" s="111"/>
      <c r="AK64" s="111"/>
      <c r="AL64" s="512"/>
      <c r="AM64" s="513" t="s">
        <v>113</v>
      </c>
      <c r="AN64" s="801">
        <v>31705705160</v>
      </c>
      <c r="AO64" s="468" t="str">
        <f>РПЗ!AD64</f>
        <v>Нет</v>
      </c>
      <c r="AP64" s="472">
        <f>РПЗ!V64</f>
        <v>0</v>
      </c>
      <c r="AQ64" s="470">
        <f>IF(Таблица5[[#This Row],[11]]=0,,MONTH(Таблица5[[#This Row],[11]]))</f>
        <v>11</v>
      </c>
    </row>
    <row r="65" spans="1:43" ht="51.75" thickBot="1" x14ac:dyDescent="0.3">
      <c r="A65" s="233" t="str">
        <f t="shared" si="1"/>
        <v>1004-2017-00050</v>
      </c>
      <c r="B65" s="233" t="str">
        <f>РПЗ!$D65</f>
        <v>1004-2017-00050Оказние услуг по Договору № 224738 от 22.10.2012 с АО "Мосводоканал" затраты на воду и прием сточных вод</v>
      </c>
      <c r="C65" s="233" t="str">
        <f>РПЗ!$AA65</f>
        <v>АО "НИИ "Полюс" им. М.Ф. Стельмаха" тел. отдела закупок 8-495-333-05-02</v>
      </c>
      <c r="D65" s="633" t="str">
        <f>РПЗ!$AB65</f>
        <v>Заказчик</v>
      </c>
      <c r="E65" s="96" t="s">
        <v>62</v>
      </c>
      <c r="F65" s="233" t="str">
        <f>РПЗ!Q65</f>
        <v>ЕП</v>
      </c>
      <c r="G65" s="237" t="s">
        <v>110</v>
      </c>
      <c r="H65" s="237" t="str">
        <f>РПЗ!R65</f>
        <v>Нет</v>
      </c>
      <c r="I65" s="15" t="str">
        <f>РПЗ!W65</f>
        <v>6.6.2(2)</v>
      </c>
      <c r="J65" s="233">
        <f>РПЗ!X65</f>
        <v>7701984274</v>
      </c>
      <c r="K65" s="283">
        <f>РПЗ!Z65</f>
        <v>555577.44999999995</v>
      </c>
      <c r="L65" s="17">
        <v>43042</v>
      </c>
      <c r="M65" s="18">
        <f>РПЗ!O65</f>
        <v>43040</v>
      </c>
      <c r="N65" s="238">
        <f>Таблица5[[#This Row],[10]]</f>
        <v>43040</v>
      </c>
      <c r="O65" s="17"/>
      <c r="P65" s="17"/>
      <c r="Q65" s="17"/>
      <c r="R65" s="17"/>
      <c r="S65" s="17"/>
      <c r="T65" s="686">
        <v>43067</v>
      </c>
      <c r="U65" s="18">
        <f>РПЗ!P65</f>
        <v>43070</v>
      </c>
      <c r="V65" s="686">
        <v>43069</v>
      </c>
      <c r="W65" s="236">
        <f>РПЗ!L65</f>
        <v>555577.44999999995</v>
      </c>
      <c r="X65" s="689">
        <v>1</v>
      </c>
      <c r="Y65" s="689">
        <v>0</v>
      </c>
      <c r="Z65" s="691">
        <v>7701984274</v>
      </c>
      <c r="AA65" s="691" t="s">
        <v>1509</v>
      </c>
      <c r="AB65" s="111">
        <v>555577.44999999995</v>
      </c>
      <c r="AC65" s="17">
        <v>43069</v>
      </c>
      <c r="AD65" s="690" t="s">
        <v>7717</v>
      </c>
      <c r="AE65" s="686">
        <v>43067</v>
      </c>
      <c r="AF65" s="474"/>
      <c r="AG65" s="692">
        <v>555577.44999999995</v>
      </c>
      <c r="AH65" s="236">
        <f>IF(Таблица5[[#This Row],[30]]=0,"НД",Таблица5[[#This Row],[20]]-Таблица5[[#This Row],[30]])</f>
        <v>0</v>
      </c>
      <c r="AI65" s="511">
        <f>IF(((1-Таблица5[[#This Row],[30]]/Таблица5[[#This Row],[20]])=1),"НД",(1-Таблица5[[#This Row],[30]]/Таблица5[[#This Row],[20]]))</f>
        <v>0</v>
      </c>
      <c r="AJ65" s="111"/>
      <c r="AK65" s="111"/>
      <c r="AL65" s="512"/>
      <c r="AM65" s="513" t="s">
        <v>113</v>
      </c>
      <c r="AN65" s="801">
        <v>31705786276</v>
      </c>
      <c r="AO65" s="468" t="str">
        <f>РПЗ!AD65</f>
        <v>Нет</v>
      </c>
      <c r="AP65" s="472">
        <f>РПЗ!V65</f>
        <v>0</v>
      </c>
      <c r="AQ65" s="470">
        <f>IF(Таблица5[[#This Row],[11]]=0,,MONTH(Таблица5[[#This Row],[11]]))</f>
        <v>11</v>
      </c>
    </row>
    <row r="66" spans="1:43" ht="39" thickBot="1" x14ac:dyDescent="0.3">
      <c r="A66" s="233" t="str">
        <f t="shared" si="1"/>
        <v>1004-2017-00051</v>
      </c>
      <c r="B66" s="233" t="str">
        <f>РПЗ!$D66</f>
        <v>1004-2017-00051 Поставка  инструмента и приспособлений</v>
      </c>
      <c r="C66" s="233" t="str">
        <f>РПЗ!$AA66</f>
        <v>АО "НИИ "Полюс" им. М.Ф. Стельмаха" тел. отдела закупок 8-495-333-05-02</v>
      </c>
      <c r="D66" s="633" t="str">
        <f>РПЗ!$AB66</f>
        <v>Заказчик</v>
      </c>
      <c r="E66" s="96" t="s">
        <v>46</v>
      </c>
      <c r="F66" s="233" t="str">
        <f>РПЗ!Q66</f>
        <v>ОЗК</v>
      </c>
      <c r="G66" s="237"/>
      <c r="H66" s="237" t="str">
        <f>РПЗ!R66</f>
        <v>да</v>
      </c>
      <c r="I66" s="15">
        <f>РПЗ!W66</f>
        <v>0</v>
      </c>
      <c r="J66" s="233">
        <f>РПЗ!X66</f>
        <v>0</v>
      </c>
      <c r="K66" s="283">
        <f>РПЗ!Z66</f>
        <v>0</v>
      </c>
      <c r="L66" s="17"/>
      <c r="M66" s="18">
        <f>РПЗ!O66</f>
        <v>42767</v>
      </c>
      <c r="N66" s="238">
        <f>Таблица5[[#This Row],[10]]</f>
        <v>42767</v>
      </c>
      <c r="O66" s="17"/>
      <c r="P66" s="17"/>
      <c r="Q66" s="17"/>
      <c r="R66" s="17"/>
      <c r="S66" s="17"/>
      <c r="T66" s="686"/>
      <c r="U66" s="18">
        <f>РПЗ!P66</f>
        <v>42795</v>
      </c>
      <c r="V66" s="686"/>
      <c r="W66" s="236">
        <f>РПЗ!L66</f>
        <v>150000</v>
      </c>
      <c r="X66" s="689"/>
      <c r="Y66" s="689"/>
      <c r="Z66" s="690"/>
      <c r="AA66" s="691"/>
      <c r="AB66" s="111"/>
      <c r="AC66" s="17"/>
      <c r="AD66" s="690"/>
      <c r="AE66" s="686"/>
      <c r="AF66" s="474"/>
      <c r="AG66" s="692"/>
      <c r="AH66" s="236" t="str">
        <f>IF(Таблица5[[#This Row],[30]]=0,"НД",Таблица5[[#This Row],[20]]-Таблица5[[#This Row],[30]])</f>
        <v>НД</v>
      </c>
      <c r="AI66" s="511" t="str">
        <f>IF(((1-Таблица5[[#This Row],[30]]/Таблица5[[#This Row],[20]])=1),"НД",(1-Таблица5[[#This Row],[30]]/Таблица5[[#This Row],[20]]))</f>
        <v>НД</v>
      </c>
      <c r="AJ66" s="111"/>
      <c r="AK66" s="111"/>
      <c r="AL66" s="512"/>
      <c r="AM66" s="513"/>
      <c r="AN66" s="465"/>
      <c r="AO66" s="468" t="str">
        <f>РПЗ!AD66</f>
        <v>Нет</v>
      </c>
      <c r="AP66" s="472">
        <f>РПЗ!V66</f>
        <v>0</v>
      </c>
      <c r="AQ66" s="470">
        <f>IF(Таблица5[[#This Row],[11]]=0,,MONTH(Таблица5[[#This Row],[11]]))</f>
        <v>2</v>
      </c>
    </row>
    <row r="67" spans="1:43" ht="39" thickBot="1" x14ac:dyDescent="0.3">
      <c r="A67" s="233" t="str">
        <f t="shared" si="1"/>
        <v>1004-2017-00052</v>
      </c>
      <c r="B67" s="233" t="str">
        <f>РПЗ!$D67</f>
        <v>1004-2017-00052 Поставка электротехнических изделий</v>
      </c>
      <c r="C67" s="233" t="str">
        <f>РПЗ!$AA67</f>
        <v>АО "НИИ "Полюс" им. М.Ф. Стельмаха" тел. отдела закупок 8-495-333-05-02</v>
      </c>
      <c r="D67" s="633" t="str">
        <f>РПЗ!$AB67</f>
        <v>Заказчик</v>
      </c>
      <c r="E67" s="96" t="s">
        <v>46</v>
      </c>
      <c r="F67" s="233" t="str">
        <f>РПЗ!Q67</f>
        <v>ОЗК</v>
      </c>
      <c r="G67" s="237"/>
      <c r="H67" s="237" t="str">
        <f>РПЗ!R67</f>
        <v>да</v>
      </c>
      <c r="I67" s="15">
        <f>РПЗ!W67</f>
        <v>0</v>
      </c>
      <c r="J67" s="233">
        <f>РПЗ!X67</f>
        <v>0</v>
      </c>
      <c r="K67" s="283">
        <f>РПЗ!Z67</f>
        <v>0</v>
      </c>
      <c r="L67" s="17"/>
      <c r="M67" s="18">
        <f>РПЗ!O67</f>
        <v>42736</v>
      </c>
      <c r="N67" s="238">
        <f>Таблица5[[#This Row],[10]]</f>
        <v>42736</v>
      </c>
      <c r="O67" s="17"/>
      <c r="P67" s="17"/>
      <c r="Q67" s="17"/>
      <c r="R67" s="17"/>
      <c r="S67" s="17"/>
      <c r="T67" s="686"/>
      <c r="U67" s="18">
        <f>РПЗ!P67</f>
        <v>42795</v>
      </c>
      <c r="V67" s="686"/>
      <c r="W67" s="236">
        <f>РПЗ!L67</f>
        <v>2352000</v>
      </c>
      <c r="X67" s="689"/>
      <c r="Y67" s="689"/>
      <c r="Z67" s="690"/>
      <c r="AA67" s="691"/>
      <c r="AB67" s="111"/>
      <c r="AC67" s="17"/>
      <c r="AD67" s="690"/>
      <c r="AE67" s="686"/>
      <c r="AF67" s="474"/>
      <c r="AG67" s="692"/>
      <c r="AH67" s="236" t="str">
        <f>IF(Таблица5[[#This Row],[30]]=0,"НД",Таблица5[[#This Row],[20]]-Таблица5[[#This Row],[30]])</f>
        <v>НД</v>
      </c>
      <c r="AI67" s="511" t="str">
        <f>IF(((1-Таблица5[[#This Row],[30]]/Таблица5[[#This Row],[20]])=1),"НД",(1-Таблица5[[#This Row],[30]]/Таблица5[[#This Row],[20]]))</f>
        <v>НД</v>
      </c>
      <c r="AJ67" s="111"/>
      <c r="AK67" s="111"/>
      <c r="AL67" s="512"/>
      <c r="AM67" s="513"/>
      <c r="AN67" s="465"/>
      <c r="AO67" s="468" t="str">
        <f>РПЗ!AD67</f>
        <v>Нет</v>
      </c>
      <c r="AP67" s="472">
        <f>РПЗ!V67</f>
        <v>0</v>
      </c>
      <c r="AQ67" s="470">
        <f>IF(Таблица5[[#This Row],[11]]=0,,MONTH(Таблица5[[#This Row],[11]]))</f>
        <v>1</v>
      </c>
    </row>
    <row r="68" spans="1:43" ht="39" thickBot="1" x14ac:dyDescent="0.3">
      <c r="A68" s="233" t="str">
        <f t="shared" si="1"/>
        <v>1004-2017-00053</v>
      </c>
      <c r="B68" s="233" t="str">
        <f>РПЗ!$D68</f>
        <v>1004-2017-00053 Поставка электротехнических изделий</v>
      </c>
      <c r="C68" s="233" t="str">
        <f>РПЗ!$AA68</f>
        <v>АО "НИИ "Полюс" им. М.Ф. Стельмаха" тел. отдела закупок 8-495-333-05-02</v>
      </c>
      <c r="D68" s="633" t="str">
        <f>РПЗ!$AB68</f>
        <v>Заказчик</v>
      </c>
      <c r="E68" s="96" t="s">
        <v>46</v>
      </c>
      <c r="F68" s="233" t="str">
        <f>РПЗ!Q68</f>
        <v>ОЗК</v>
      </c>
      <c r="G68" s="237"/>
      <c r="H68" s="237" t="str">
        <f>РПЗ!R68</f>
        <v>да</v>
      </c>
      <c r="I68" s="15">
        <f>РПЗ!W68</f>
        <v>0</v>
      </c>
      <c r="J68" s="233">
        <f>РПЗ!X68</f>
        <v>0</v>
      </c>
      <c r="K68" s="283">
        <f>РПЗ!Z68</f>
        <v>0</v>
      </c>
      <c r="L68" s="17"/>
      <c r="M68" s="18">
        <f>РПЗ!O68</f>
        <v>42826</v>
      </c>
      <c r="N68" s="238">
        <f>Таблица5[[#This Row],[10]]</f>
        <v>42826</v>
      </c>
      <c r="O68" s="17"/>
      <c r="P68" s="17"/>
      <c r="Q68" s="17"/>
      <c r="R68" s="17"/>
      <c r="S68" s="17"/>
      <c r="T68" s="686"/>
      <c r="U68" s="18">
        <f>РПЗ!P68</f>
        <v>42887</v>
      </c>
      <c r="V68" s="686"/>
      <c r="W68" s="236">
        <f>РПЗ!L68</f>
        <v>2014000</v>
      </c>
      <c r="X68" s="689"/>
      <c r="Y68" s="689"/>
      <c r="Z68" s="690"/>
      <c r="AA68" s="691"/>
      <c r="AB68" s="111"/>
      <c r="AC68" s="17"/>
      <c r="AD68" s="690"/>
      <c r="AE68" s="686"/>
      <c r="AF68" s="474"/>
      <c r="AG68" s="692"/>
      <c r="AH68" s="236" t="str">
        <f>IF(Таблица5[[#This Row],[30]]=0,"НД",Таблица5[[#This Row],[20]]-Таблица5[[#This Row],[30]])</f>
        <v>НД</v>
      </c>
      <c r="AI68" s="511" t="str">
        <f>IF(((1-Таблица5[[#This Row],[30]]/Таблица5[[#This Row],[20]])=1),"НД",(1-Таблица5[[#This Row],[30]]/Таблица5[[#This Row],[20]]))</f>
        <v>НД</v>
      </c>
      <c r="AJ68" s="111"/>
      <c r="AK68" s="111"/>
      <c r="AL68" s="512"/>
      <c r="AM68" s="513"/>
      <c r="AN68" s="465"/>
      <c r="AO68" s="468" t="str">
        <f>РПЗ!AD68</f>
        <v>Нет</v>
      </c>
      <c r="AP68" s="472">
        <f>РПЗ!V68</f>
        <v>0</v>
      </c>
      <c r="AQ68" s="470">
        <f>IF(Таблица5[[#This Row],[11]]=0,,MONTH(Таблица5[[#This Row],[11]]))</f>
        <v>4</v>
      </c>
    </row>
    <row r="69" spans="1:43" ht="39" thickBot="1" x14ac:dyDescent="0.3">
      <c r="A69" s="233" t="str">
        <f t="shared" si="1"/>
        <v>1004-2017-00054</v>
      </c>
      <c r="B69" s="233" t="str">
        <f>РПЗ!$D69</f>
        <v>1004-2017-00054 Поставкаэлектротехнических изделий</v>
      </c>
      <c r="C69" s="233" t="str">
        <f>РПЗ!$AA69</f>
        <v>АО "НИИ "Полюс" им. М.Ф. Стельмаха" тел. отдела закупок 8-495-333-05-02</v>
      </c>
      <c r="D69" s="633" t="str">
        <f>РПЗ!$AB69</f>
        <v>Заказчик</v>
      </c>
      <c r="E69" s="96" t="s">
        <v>46</v>
      </c>
      <c r="F69" s="233" t="str">
        <f>РПЗ!Q69</f>
        <v>ОЗК</v>
      </c>
      <c r="G69" s="237"/>
      <c r="H69" s="237" t="str">
        <f>РПЗ!R69</f>
        <v>да</v>
      </c>
      <c r="I69" s="15">
        <f>РПЗ!W69</f>
        <v>0</v>
      </c>
      <c r="J69" s="233">
        <f>РПЗ!X69</f>
        <v>0</v>
      </c>
      <c r="K69" s="283">
        <f>РПЗ!Z69</f>
        <v>0</v>
      </c>
      <c r="L69" s="17"/>
      <c r="M69" s="18">
        <f>РПЗ!O69</f>
        <v>42917</v>
      </c>
      <c r="N69" s="238">
        <f>Таблица5[[#This Row],[10]]</f>
        <v>42917</v>
      </c>
      <c r="O69" s="17"/>
      <c r="P69" s="17"/>
      <c r="Q69" s="17"/>
      <c r="R69" s="17"/>
      <c r="S69" s="17"/>
      <c r="T69" s="686"/>
      <c r="U69" s="18">
        <f>РПЗ!P69</f>
        <v>42979</v>
      </c>
      <c r="V69" s="686"/>
      <c r="W69" s="236">
        <f>РПЗ!L69</f>
        <v>1684000</v>
      </c>
      <c r="X69" s="689"/>
      <c r="Y69" s="689"/>
      <c r="Z69" s="690"/>
      <c r="AA69" s="691"/>
      <c r="AB69" s="111"/>
      <c r="AC69" s="17"/>
      <c r="AD69" s="690"/>
      <c r="AE69" s="686"/>
      <c r="AF69" s="474"/>
      <c r="AG69" s="692"/>
      <c r="AH69" s="236" t="str">
        <f>IF(Таблица5[[#This Row],[30]]=0,"НД",Таблица5[[#This Row],[20]]-Таблица5[[#This Row],[30]])</f>
        <v>НД</v>
      </c>
      <c r="AI69" s="511" t="str">
        <f>IF(((1-Таблица5[[#This Row],[30]]/Таблица5[[#This Row],[20]])=1),"НД",(1-Таблица5[[#This Row],[30]]/Таблица5[[#This Row],[20]]))</f>
        <v>НД</v>
      </c>
      <c r="AJ69" s="111"/>
      <c r="AK69" s="111"/>
      <c r="AL69" s="512"/>
      <c r="AM69" s="513"/>
      <c r="AN69" s="465"/>
      <c r="AO69" s="468" t="str">
        <f>РПЗ!AD69</f>
        <v>Нет</v>
      </c>
      <c r="AP69" s="472">
        <f>РПЗ!V69</f>
        <v>0</v>
      </c>
      <c r="AQ69" s="470">
        <f>IF(Таблица5[[#This Row],[11]]=0,,MONTH(Таблица5[[#This Row],[11]]))</f>
        <v>7</v>
      </c>
    </row>
    <row r="70" spans="1:43" ht="39" thickBot="1" x14ac:dyDescent="0.3">
      <c r="A70" s="233" t="str">
        <f t="shared" si="1"/>
        <v>1004-2017-00055</v>
      </c>
      <c r="B70" s="233" t="str">
        <f>РПЗ!$D70</f>
        <v>1004-2017-00055 Поставка электротехнических изделий</v>
      </c>
      <c r="C70" s="233" t="str">
        <f>РПЗ!$AA70</f>
        <v>АО "НИИ "Полюс" им. М.Ф. Стельмаха" тел. отдела закупок 8-495-333-05-02</v>
      </c>
      <c r="D70" s="633" t="str">
        <f>РПЗ!$AB70</f>
        <v>Заказчик</v>
      </c>
      <c r="E70" s="96" t="s">
        <v>46</v>
      </c>
      <c r="F70" s="233" t="str">
        <f>РПЗ!Q70</f>
        <v>ОЗК</v>
      </c>
      <c r="G70" s="237"/>
      <c r="H70" s="237" t="str">
        <f>РПЗ!R70</f>
        <v>да</v>
      </c>
      <c r="I70" s="15">
        <f>РПЗ!W70</f>
        <v>0</v>
      </c>
      <c r="J70" s="233">
        <f>РПЗ!X70</f>
        <v>0</v>
      </c>
      <c r="K70" s="283">
        <f>РПЗ!Z70</f>
        <v>0</v>
      </c>
      <c r="L70" s="17"/>
      <c r="M70" s="18">
        <f>РПЗ!O70</f>
        <v>43009</v>
      </c>
      <c r="N70" s="238">
        <f>Таблица5[[#This Row],[10]]</f>
        <v>43009</v>
      </c>
      <c r="O70" s="17"/>
      <c r="P70" s="17"/>
      <c r="Q70" s="17"/>
      <c r="R70" s="17"/>
      <c r="S70" s="17"/>
      <c r="T70" s="686"/>
      <c r="U70" s="18">
        <f>РПЗ!P70</f>
        <v>43070</v>
      </c>
      <c r="V70" s="686"/>
      <c r="W70" s="236">
        <f>РПЗ!L70</f>
        <v>1624000</v>
      </c>
      <c r="X70" s="689"/>
      <c r="Y70" s="689"/>
      <c r="Z70" s="690"/>
      <c r="AA70" s="691"/>
      <c r="AB70" s="111"/>
      <c r="AC70" s="17"/>
      <c r="AD70" s="690"/>
      <c r="AE70" s="686"/>
      <c r="AF70" s="474"/>
      <c r="AG70" s="692"/>
      <c r="AH70" s="236" t="str">
        <f>IF(Таблица5[[#This Row],[30]]=0,"НД",Таблица5[[#This Row],[20]]-Таблица5[[#This Row],[30]])</f>
        <v>НД</v>
      </c>
      <c r="AI70" s="511" t="str">
        <f>IF(((1-Таблица5[[#This Row],[30]]/Таблица5[[#This Row],[20]])=1),"НД",(1-Таблица5[[#This Row],[30]]/Таблица5[[#This Row],[20]]))</f>
        <v>НД</v>
      </c>
      <c r="AJ70" s="111"/>
      <c r="AK70" s="111"/>
      <c r="AL70" s="512"/>
      <c r="AM70" s="513"/>
      <c r="AN70" s="465"/>
      <c r="AO70" s="468" t="str">
        <f>РПЗ!AD70</f>
        <v>Нет</v>
      </c>
      <c r="AP70" s="472">
        <f>РПЗ!V70</f>
        <v>0</v>
      </c>
      <c r="AQ70" s="470">
        <f>IF(Таблица5[[#This Row],[11]]=0,,MONTH(Таблица5[[#This Row],[11]]))</f>
        <v>10</v>
      </c>
    </row>
    <row r="71" spans="1:43" ht="39" thickBot="1" x14ac:dyDescent="0.3">
      <c r="A71" s="233" t="str">
        <f t="shared" si="1"/>
        <v>1004-2017-00056</v>
      </c>
      <c r="B71" s="233" t="str">
        <f>РПЗ!$D71</f>
        <v>1004-2017-00056 Поставка электротехнических изделий</v>
      </c>
      <c r="C71" s="233" t="str">
        <f>РПЗ!$AA71</f>
        <v>АО "НИИ "Полюс" им. М.Ф. Стельмаха" тел. отдела закупок 8-495-333-05-02</v>
      </c>
      <c r="D71" s="633" t="str">
        <f>РПЗ!$AB71</f>
        <v>Заказчик</v>
      </c>
      <c r="E71" s="96" t="s">
        <v>46</v>
      </c>
      <c r="F71" s="233" t="str">
        <f>РПЗ!Q71</f>
        <v>ОЗК</v>
      </c>
      <c r="G71" s="237"/>
      <c r="H71" s="237" t="str">
        <f>РПЗ!R71</f>
        <v>да</v>
      </c>
      <c r="I71" s="15">
        <f>РПЗ!W71</f>
        <v>0</v>
      </c>
      <c r="J71" s="233">
        <f>РПЗ!X71</f>
        <v>0</v>
      </c>
      <c r="K71" s="283">
        <f>РПЗ!Z71</f>
        <v>0</v>
      </c>
      <c r="L71" s="17"/>
      <c r="M71" s="18">
        <f>РПЗ!O71</f>
        <v>42736</v>
      </c>
      <c r="N71" s="238">
        <f>Таблица5[[#This Row],[10]]</f>
        <v>42736</v>
      </c>
      <c r="O71" s="17"/>
      <c r="P71" s="17"/>
      <c r="Q71" s="17"/>
      <c r="R71" s="17"/>
      <c r="S71" s="17"/>
      <c r="T71" s="686"/>
      <c r="U71" s="18">
        <f>РПЗ!P71</f>
        <v>42795</v>
      </c>
      <c r="V71" s="686"/>
      <c r="W71" s="236">
        <f>РПЗ!L71</f>
        <v>450000</v>
      </c>
      <c r="X71" s="689"/>
      <c r="Y71" s="689"/>
      <c r="Z71" s="690"/>
      <c r="AA71" s="691"/>
      <c r="AB71" s="111"/>
      <c r="AC71" s="17"/>
      <c r="AD71" s="690"/>
      <c r="AE71" s="686"/>
      <c r="AF71" s="474"/>
      <c r="AG71" s="692"/>
      <c r="AH71" s="236" t="str">
        <f>IF(Таблица5[[#This Row],[30]]=0,"НД",Таблица5[[#This Row],[20]]-Таблица5[[#This Row],[30]])</f>
        <v>НД</v>
      </c>
      <c r="AI71" s="511" t="str">
        <f>IF(((1-Таблица5[[#This Row],[30]]/Таблица5[[#This Row],[20]])=1),"НД",(1-Таблица5[[#This Row],[30]]/Таблица5[[#This Row],[20]]))</f>
        <v>НД</v>
      </c>
      <c r="AJ71" s="111"/>
      <c r="AK71" s="111"/>
      <c r="AL71" s="512"/>
      <c r="AM71" s="513"/>
      <c r="AN71" s="465"/>
      <c r="AO71" s="468" t="str">
        <f>РПЗ!AD71</f>
        <v>Нет</v>
      </c>
      <c r="AP71" s="472">
        <f>РПЗ!V71</f>
        <v>0</v>
      </c>
      <c r="AQ71" s="470">
        <f>IF(Таблица5[[#This Row],[11]]=0,,MONTH(Таблица5[[#This Row],[11]]))</f>
        <v>1</v>
      </c>
    </row>
    <row r="72" spans="1:43" ht="39" thickBot="1" x14ac:dyDescent="0.3">
      <c r="A72" s="233" t="str">
        <f t="shared" si="1"/>
        <v>1004-2017-00057</v>
      </c>
      <c r="B72" s="233" t="str">
        <f>РПЗ!$D72</f>
        <v>1004-2017-00057 Поставка электротехнических изделий</v>
      </c>
      <c r="C72" s="233" t="str">
        <f>РПЗ!$AA72</f>
        <v>АО "НИИ "Полюс" им. М.Ф. Стельмаха" тел. отдела закупок 8-495-333-05-02</v>
      </c>
      <c r="D72" s="633" t="str">
        <f>РПЗ!$AB72</f>
        <v>Заказчик</v>
      </c>
      <c r="E72" s="96" t="s">
        <v>46</v>
      </c>
      <c r="F72" s="233" t="str">
        <f>РПЗ!Q72</f>
        <v>ОЗК</v>
      </c>
      <c r="G72" s="237"/>
      <c r="H72" s="237" t="str">
        <f>РПЗ!R72</f>
        <v>да</v>
      </c>
      <c r="I72" s="15">
        <f>РПЗ!W72</f>
        <v>0</v>
      </c>
      <c r="J72" s="233">
        <f>РПЗ!X72</f>
        <v>0</v>
      </c>
      <c r="K72" s="283">
        <f>РПЗ!Z72</f>
        <v>0</v>
      </c>
      <c r="L72" s="17"/>
      <c r="M72" s="18">
        <f>РПЗ!O72</f>
        <v>42826</v>
      </c>
      <c r="N72" s="238">
        <f>Таблица5[[#This Row],[10]]</f>
        <v>42826</v>
      </c>
      <c r="O72" s="17"/>
      <c r="P72" s="17"/>
      <c r="Q72" s="17"/>
      <c r="R72" s="17"/>
      <c r="S72" s="17"/>
      <c r="T72" s="686"/>
      <c r="U72" s="18">
        <f>РПЗ!P72</f>
        <v>42887</v>
      </c>
      <c r="V72" s="686"/>
      <c r="W72" s="236">
        <f>РПЗ!L72</f>
        <v>750000</v>
      </c>
      <c r="X72" s="689"/>
      <c r="Y72" s="689"/>
      <c r="Z72" s="690"/>
      <c r="AA72" s="691"/>
      <c r="AB72" s="111"/>
      <c r="AC72" s="17"/>
      <c r="AD72" s="690"/>
      <c r="AE72" s="686"/>
      <c r="AF72" s="474"/>
      <c r="AG72" s="692"/>
      <c r="AH72" s="236" t="str">
        <f>IF(Таблица5[[#This Row],[30]]=0,"НД",Таблица5[[#This Row],[20]]-Таблица5[[#This Row],[30]])</f>
        <v>НД</v>
      </c>
      <c r="AI72" s="511" t="str">
        <f>IF(((1-Таблица5[[#This Row],[30]]/Таблица5[[#This Row],[20]])=1),"НД",(1-Таблица5[[#This Row],[30]]/Таблица5[[#This Row],[20]]))</f>
        <v>НД</v>
      </c>
      <c r="AJ72" s="111"/>
      <c r="AK72" s="111"/>
      <c r="AL72" s="512"/>
      <c r="AM72" s="513"/>
      <c r="AN72" s="465"/>
      <c r="AO72" s="468" t="str">
        <f>РПЗ!AD72</f>
        <v>Нет</v>
      </c>
      <c r="AP72" s="472">
        <f>РПЗ!V72</f>
        <v>0</v>
      </c>
      <c r="AQ72" s="470">
        <f>IF(Таблица5[[#This Row],[11]]=0,,MONTH(Таблица5[[#This Row],[11]]))</f>
        <v>4</v>
      </c>
    </row>
    <row r="73" spans="1:43" ht="39" thickBot="1" x14ac:dyDescent="0.3">
      <c r="A73" s="233" t="str">
        <f t="shared" si="1"/>
        <v>1004-2017-00058</v>
      </c>
      <c r="B73" s="233" t="str">
        <f>РПЗ!$D73</f>
        <v>1004-2017-00058Поставка и Закупка электротехнических изделий</v>
      </c>
      <c r="C73" s="233" t="str">
        <f>РПЗ!$AA73</f>
        <v>АО "НИИ "Полюс" им. М.Ф. Стельмаха" тел. отдела закупок 8-495-333-05-02</v>
      </c>
      <c r="D73" s="633" t="str">
        <f>РПЗ!$AB73</f>
        <v>Заказчик</v>
      </c>
      <c r="E73" s="96" t="s">
        <v>46</v>
      </c>
      <c r="F73" s="233" t="str">
        <f>РПЗ!Q73</f>
        <v>ОЗК</v>
      </c>
      <c r="G73" s="237"/>
      <c r="H73" s="237" t="str">
        <f>РПЗ!R73</f>
        <v>да</v>
      </c>
      <c r="I73" s="15">
        <f>РПЗ!W73</f>
        <v>0</v>
      </c>
      <c r="J73" s="233">
        <f>РПЗ!X73</f>
        <v>0</v>
      </c>
      <c r="K73" s="283">
        <f>РПЗ!Z73</f>
        <v>0</v>
      </c>
      <c r="L73" s="17"/>
      <c r="M73" s="18">
        <f>РПЗ!O73</f>
        <v>42917</v>
      </c>
      <c r="N73" s="238">
        <f>Таблица5[[#This Row],[10]]</f>
        <v>42917</v>
      </c>
      <c r="O73" s="17"/>
      <c r="P73" s="17"/>
      <c r="Q73" s="17"/>
      <c r="R73" s="17"/>
      <c r="S73" s="17"/>
      <c r="T73" s="686"/>
      <c r="U73" s="18">
        <f>РПЗ!P73</f>
        <v>42979</v>
      </c>
      <c r="V73" s="686"/>
      <c r="W73" s="236">
        <f>РПЗ!L73</f>
        <v>750000</v>
      </c>
      <c r="X73" s="689"/>
      <c r="Y73" s="689"/>
      <c r="Z73" s="690"/>
      <c r="AA73" s="691"/>
      <c r="AB73" s="111"/>
      <c r="AC73" s="17"/>
      <c r="AD73" s="690"/>
      <c r="AE73" s="686"/>
      <c r="AF73" s="474"/>
      <c r="AG73" s="692"/>
      <c r="AH73" s="236" t="str">
        <f>IF(Таблица5[[#This Row],[30]]=0,"НД",Таблица5[[#This Row],[20]]-Таблица5[[#This Row],[30]])</f>
        <v>НД</v>
      </c>
      <c r="AI73" s="511" t="str">
        <f>IF(((1-Таблица5[[#This Row],[30]]/Таблица5[[#This Row],[20]])=1),"НД",(1-Таблица5[[#This Row],[30]]/Таблица5[[#This Row],[20]]))</f>
        <v>НД</v>
      </c>
      <c r="AJ73" s="111"/>
      <c r="AK73" s="111"/>
      <c r="AL73" s="512"/>
      <c r="AM73" s="513"/>
      <c r="AN73" s="465"/>
      <c r="AO73" s="468" t="str">
        <f>РПЗ!AD73</f>
        <v>Нет</v>
      </c>
      <c r="AP73" s="472">
        <f>РПЗ!V73</f>
        <v>0</v>
      </c>
      <c r="AQ73" s="470">
        <f>IF(Таблица5[[#This Row],[11]]=0,,MONTH(Таблица5[[#This Row],[11]]))</f>
        <v>7</v>
      </c>
    </row>
    <row r="74" spans="1:43" ht="39" thickBot="1" x14ac:dyDescent="0.3">
      <c r="A74" s="233" t="str">
        <f t="shared" si="1"/>
        <v>1004-2017-00059</v>
      </c>
      <c r="B74" s="233" t="str">
        <f>РПЗ!$D74</f>
        <v>1004-2017-00059 Поставка и Закупка кондиционеров и расходных материалов для монтажа</v>
      </c>
      <c r="C74" s="233" t="str">
        <f>РПЗ!$AA74</f>
        <v>АО "НИИ "Полюс" им. М.Ф. Стельмаха" тел. отдела закупок 8-495-333-05-02</v>
      </c>
      <c r="D74" s="633" t="str">
        <f>РПЗ!$AB74</f>
        <v>Заказчик</v>
      </c>
      <c r="E74" s="96" t="s">
        <v>46</v>
      </c>
      <c r="F74" s="233" t="str">
        <f>РПЗ!Q74</f>
        <v>ОЗК</v>
      </c>
      <c r="G74" s="237"/>
      <c r="H74" s="237" t="str">
        <f>РПЗ!R74</f>
        <v>да</v>
      </c>
      <c r="I74" s="15">
        <f>РПЗ!W74</f>
        <v>0</v>
      </c>
      <c r="J74" s="233">
        <f>РПЗ!X74</f>
        <v>0</v>
      </c>
      <c r="K74" s="283">
        <f>РПЗ!Z74</f>
        <v>0</v>
      </c>
      <c r="L74" s="17"/>
      <c r="M74" s="18">
        <f>РПЗ!O74</f>
        <v>42826</v>
      </c>
      <c r="N74" s="238">
        <f>Таблица5[[#This Row],[10]]</f>
        <v>42826</v>
      </c>
      <c r="O74" s="17"/>
      <c r="P74" s="17"/>
      <c r="Q74" s="17"/>
      <c r="R74" s="17"/>
      <c r="S74" s="17"/>
      <c r="T74" s="686"/>
      <c r="U74" s="18">
        <f>РПЗ!P74</f>
        <v>42887</v>
      </c>
      <c r="V74" s="686"/>
      <c r="W74" s="236">
        <f>РПЗ!L74</f>
        <v>600000</v>
      </c>
      <c r="X74" s="689"/>
      <c r="Y74" s="689"/>
      <c r="Z74" s="690"/>
      <c r="AA74" s="691"/>
      <c r="AB74" s="111"/>
      <c r="AC74" s="17"/>
      <c r="AD74" s="690"/>
      <c r="AE74" s="686"/>
      <c r="AF74" s="474"/>
      <c r="AG74" s="692"/>
      <c r="AH74" s="236" t="str">
        <f>IF(Таблица5[[#This Row],[30]]=0,"НД",Таблица5[[#This Row],[20]]-Таблица5[[#This Row],[30]])</f>
        <v>НД</v>
      </c>
      <c r="AI74" s="511" t="str">
        <f>IF(((1-Таблица5[[#This Row],[30]]/Таблица5[[#This Row],[20]])=1),"НД",(1-Таблица5[[#This Row],[30]]/Таблица5[[#This Row],[20]]))</f>
        <v>НД</v>
      </c>
      <c r="AJ74" s="111"/>
      <c r="AK74" s="111"/>
      <c r="AL74" s="512"/>
      <c r="AM74" s="513"/>
      <c r="AN74" s="465"/>
      <c r="AO74" s="468" t="str">
        <f>РПЗ!AD74</f>
        <v>Нет</v>
      </c>
      <c r="AP74" s="472">
        <f>РПЗ!V74</f>
        <v>0</v>
      </c>
      <c r="AQ74" s="470">
        <f>IF(Таблица5[[#This Row],[11]]=0,,MONTH(Таблица5[[#This Row],[11]]))</f>
        <v>4</v>
      </c>
    </row>
    <row r="75" spans="1:43" ht="39" thickBot="1" x14ac:dyDescent="0.3">
      <c r="A75" s="233" t="str">
        <f t="shared" si="1"/>
        <v>1004-2017-00060</v>
      </c>
      <c r="B75" s="233" t="str">
        <f>РПЗ!$D75</f>
        <v>1004-2017-00060Поставка и Закупка кондиционеров и расходных материалов для монтажа</v>
      </c>
      <c r="C75" s="233" t="str">
        <f>РПЗ!$AA75</f>
        <v>АО "НИИ "Полюс" им. М.Ф. Стельмаха" тел. отдела закупок 8-495-333-05-02</v>
      </c>
      <c r="D75" s="633" t="str">
        <f>РПЗ!$AB75</f>
        <v>Заказчик</v>
      </c>
      <c r="E75" s="96" t="s">
        <v>46</v>
      </c>
      <c r="F75" s="233" t="str">
        <f>РПЗ!Q75</f>
        <v>ОЗК</v>
      </c>
      <c r="G75" s="237"/>
      <c r="H75" s="237" t="str">
        <f>РПЗ!R75</f>
        <v>да</v>
      </c>
      <c r="I75" s="15">
        <f>РПЗ!W75</f>
        <v>0</v>
      </c>
      <c r="J75" s="233">
        <f>РПЗ!X75</f>
        <v>0</v>
      </c>
      <c r="K75" s="283">
        <f>РПЗ!Z75</f>
        <v>0</v>
      </c>
      <c r="L75" s="17"/>
      <c r="M75" s="18">
        <f>РПЗ!O75</f>
        <v>42917</v>
      </c>
      <c r="N75" s="238">
        <f>Таблица5[[#This Row],[10]]</f>
        <v>42917</v>
      </c>
      <c r="O75" s="17"/>
      <c r="P75" s="17"/>
      <c r="Q75" s="17"/>
      <c r="R75" s="17"/>
      <c r="S75" s="17"/>
      <c r="T75" s="686"/>
      <c r="U75" s="18">
        <f>РПЗ!P75</f>
        <v>42979</v>
      </c>
      <c r="V75" s="686"/>
      <c r="W75" s="236">
        <f>РПЗ!L75</f>
        <v>800000</v>
      </c>
      <c r="X75" s="689"/>
      <c r="Y75" s="689"/>
      <c r="Z75" s="690"/>
      <c r="AA75" s="691"/>
      <c r="AB75" s="111"/>
      <c r="AC75" s="17"/>
      <c r="AD75" s="690"/>
      <c r="AE75" s="686"/>
      <c r="AF75" s="474"/>
      <c r="AG75" s="692"/>
      <c r="AH75" s="236" t="str">
        <f>IF(Таблица5[[#This Row],[30]]=0,"НД",Таблица5[[#This Row],[20]]-Таблица5[[#This Row],[30]])</f>
        <v>НД</v>
      </c>
      <c r="AI75" s="511" t="str">
        <f>IF(((1-Таблица5[[#This Row],[30]]/Таблица5[[#This Row],[20]])=1),"НД",(1-Таблица5[[#This Row],[30]]/Таблица5[[#This Row],[20]]))</f>
        <v>НД</v>
      </c>
      <c r="AJ75" s="111"/>
      <c r="AK75" s="111"/>
      <c r="AL75" s="512"/>
      <c r="AM75" s="513"/>
      <c r="AN75" s="465"/>
      <c r="AO75" s="468" t="str">
        <f>РПЗ!AD75</f>
        <v>Нет</v>
      </c>
      <c r="AP75" s="472">
        <f>РПЗ!V75</f>
        <v>0</v>
      </c>
      <c r="AQ75" s="470">
        <f>IF(Таблица5[[#This Row],[11]]=0,,MONTH(Таблица5[[#This Row],[11]]))</f>
        <v>7</v>
      </c>
    </row>
    <row r="76" spans="1:43" ht="39" thickBot="1" x14ac:dyDescent="0.3">
      <c r="A76" s="233" t="str">
        <f t="shared" si="1"/>
        <v>1004-2017-00061</v>
      </c>
      <c r="B76" s="233" t="str">
        <f>РПЗ!$D76</f>
        <v>1004-2017-00061 Поставка и Закупка кондиционеров и расходных материалов для монтажа</v>
      </c>
      <c r="C76" s="233" t="str">
        <f>РПЗ!$AA76</f>
        <v>АО "НИИ "Полюс" им. М.Ф. Стельмаха" тел. отдела закупок 8-495-333-05-02</v>
      </c>
      <c r="D76" s="633" t="str">
        <f>РПЗ!$AB76</f>
        <v>Заказчик</v>
      </c>
      <c r="E76" s="96" t="s">
        <v>46</v>
      </c>
      <c r="F76" s="233" t="str">
        <f>РПЗ!Q76</f>
        <v>ОЗК</v>
      </c>
      <c r="G76" s="237"/>
      <c r="H76" s="237" t="str">
        <f>РПЗ!R76</f>
        <v>да</v>
      </c>
      <c r="I76" s="15">
        <f>РПЗ!W76</f>
        <v>0</v>
      </c>
      <c r="J76" s="233">
        <f>РПЗ!X76</f>
        <v>0</v>
      </c>
      <c r="K76" s="283">
        <f>РПЗ!Z76</f>
        <v>0</v>
      </c>
      <c r="L76" s="17"/>
      <c r="M76" s="18">
        <f>РПЗ!O76</f>
        <v>42736</v>
      </c>
      <c r="N76" s="238">
        <f>Таблица5[[#This Row],[10]]</f>
        <v>42736</v>
      </c>
      <c r="O76" s="17"/>
      <c r="P76" s="17"/>
      <c r="Q76" s="17"/>
      <c r="R76" s="17"/>
      <c r="S76" s="17"/>
      <c r="T76" s="686"/>
      <c r="U76" s="18">
        <f>РПЗ!P76</f>
        <v>42795</v>
      </c>
      <c r="V76" s="686"/>
      <c r="W76" s="236">
        <f>РПЗ!L76</f>
        <v>400000</v>
      </c>
      <c r="X76" s="689"/>
      <c r="Y76" s="689"/>
      <c r="Z76" s="690"/>
      <c r="AA76" s="691"/>
      <c r="AB76" s="111"/>
      <c r="AC76" s="17"/>
      <c r="AD76" s="690"/>
      <c r="AE76" s="686"/>
      <c r="AF76" s="474"/>
      <c r="AG76" s="692"/>
      <c r="AH76" s="236" t="str">
        <f>IF(Таблица5[[#This Row],[30]]=0,"НД",Таблица5[[#This Row],[20]]-Таблица5[[#This Row],[30]])</f>
        <v>НД</v>
      </c>
      <c r="AI76" s="511" t="str">
        <f>IF(((1-Таблица5[[#This Row],[30]]/Таблица5[[#This Row],[20]])=1),"НД",(1-Таблица5[[#This Row],[30]]/Таблица5[[#This Row],[20]]))</f>
        <v>НД</v>
      </c>
      <c r="AJ76" s="111"/>
      <c r="AK76" s="111"/>
      <c r="AL76" s="512"/>
      <c r="AM76" s="513"/>
      <c r="AN76" s="465"/>
      <c r="AO76" s="468" t="str">
        <f>РПЗ!AD76</f>
        <v>Нет</v>
      </c>
      <c r="AP76" s="472">
        <f>РПЗ!V76</f>
        <v>0</v>
      </c>
      <c r="AQ76" s="470">
        <f>IF(Таблица5[[#This Row],[11]]=0,,MONTH(Таблица5[[#This Row],[11]]))</f>
        <v>1</v>
      </c>
    </row>
    <row r="77" spans="1:43" ht="39" thickBot="1" x14ac:dyDescent="0.3">
      <c r="A77" s="233" t="str">
        <f t="shared" si="1"/>
        <v>1004-2017-00062</v>
      </c>
      <c r="B77" s="233" t="str">
        <f>РПЗ!$D77</f>
        <v>1004-2017-00062Поставка и  Закупка преобразователей частоты векторных</v>
      </c>
      <c r="C77" s="233" t="str">
        <f>РПЗ!$AA77</f>
        <v>АО "НИИ "Полюс" им. М.Ф. Стельмаха" тел. отдела закупок 8-495-333-05-02</v>
      </c>
      <c r="D77" s="633" t="str">
        <f>РПЗ!$AB77</f>
        <v>Заказчик</v>
      </c>
      <c r="E77" s="96" t="s">
        <v>46</v>
      </c>
      <c r="F77" s="233" t="str">
        <f>РПЗ!Q77</f>
        <v>ОЗК</v>
      </c>
      <c r="G77" s="237"/>
      <c r="H77" s="237" t="str">
        <f>РПЗ!R77</f>
        <v>да</v>
      </c>
      <c r="I77" s="15">
        <f>РПЗ!W77</f>
        <v>0</v>
      </c>
      <c r="J77" s="233">
        <f>РПЗ!X77</f>
        <v>0</v>
      </c>
      <c r="K77" s="283">
        <f>РПЗ!Z77</f>
        <v>0</v>
      </c>
      <c r="L77" s="17"/>
      <c r="M77" s="18">
        <f>РПЗ!O77</f>
        <v>42736</v>
      </c>
      <c r="N77" s="238">
        <f>Таблица5[[#This Row],[10]]</f>
        <v>42736</v>
      </c>
      <c r="O77" s="17"/>
      <c r="P77" s="17"/>
      <c r="Q77" s="17"/>
      <c r="R77" s="17"/>
      <c r="S77" s="17"/>
      <c r="T77" s="686"/>
      <c r="U77" s="18">
        <f>РПЗ!P77</f>
        <v>42795</v>
      </c>
      <c r="V77" s="686"/>
      <c r="W77" s="236">
        <f>РПЗ!L77</f>
        <v>630000</v>
      </c>
      <c r="X77" s="689"/>
      <c r="Y77" s="689"/>
      <c r="Z77" s="690"/>
      <c r="AA77" s="691"/>
      <c r="AB77" s="111"/>
      <c r="AC77" s="17"/>
      <c r="AD77" s="690"/>
      <c r="AE77" s="686"/>
      <c r="AF77" s="474"/>
      <c r="AG77" s="692"/>
      <c r="AH77" s="236" t="str">
        <f>IF(Таблица5[[#This Row],[30]]=0,"НД",Таблица5[[#This Row],[20]]-Таблица5[[#This Row],[30]])</f>
        <v>НД</v>
      </c>
      <c r="AI77" s="511" t="str">
        <f>IF(((1-Таблица5[[#This Row],[30]]/Таблица5[[#This Row],[20]])=1),"НД",(1-Таблица5[[#This Row],[30]]/Таблица5[[#This Row],[20]]))</f>
        <v>НД</v>
      </c>
      <c r="AJ77" s="111"/>
      <c r="AK77" s="111"/>
      <c r="AL77" s="512"/>
      <c r="AM77" s="513"/>
      <c r="AN77" s="465"/>
      <c r="AO77" s="468" t="str">
        <f>РПЗ!AD77</f>
        <v>Нет</v>
      </c>
      <c r="AP77" s="472">
        <f>РПЗ!V77</f>
        <v>0</v>
      </c>
      <c r="AQ77" s="470">
        <f>IF(Таблица5[[#This Row],[11]]=0,,MONTH(Таблица5[[#This Row],[11]]))</f>
        <v>1</v>
      </c>
    </row>
    <row r="78" spans="1:43" ht="39" thickBot="1" x14ac:dyDescent="0.3">
      <c r="A78" s="233" t="str">
        <f t="shared" si="1"/>
        <v>1004-2017-00063</v>
      </c>
      <c r="B78" s="233" t="str">
        <f>РПЗ!$D78</f>
        <v>1004-2017-00063Поставка и  Закупка преобразователей частоты векторных</v>
      </c>
      <c r="C78" s="233" t="str">
        <f>РПЗ!$AA78</f>
        <v>АО "НИИ "Полюс" им. М.Ф. Стельмаха" тел. отдела закупок 8-495-333-05-02</v>
      </c>
      <c r="D78" s="633" t="str">
        <f>РПЗ!$AB78</f>
        <v>Заказчик</v>
      </c>
      <c r="E78" s="96" t="s">
        <v>46</v>
      </c>
      <c r="F78" s="233" t="str">
        <f>РПЗ!Q78</f>
        <v>ОЗК</v>
      </c>
      <c r="G78" s="237"/>
      <c r="H78" s="237" t="str">
        <f>РПЗ!R78</f>
        <v>да</v>
      </c>
      <c r="I78" s="15">
        <f>РПЗ!W78</f>
        <v>0</v>
      </c>
      <c r="J78" s="233">
        <f>РПЗ!X78</f>
        <v>0</v>
      </c>
      <c r="K78" s="283">
        <f>РПЗ!Z78</f>
        <v>0</v>
      </c>
      <c r="L78" s="17"/>
      <c r="M78" s="18">
        <f>РПЗ!O78</f>
        <v>42826</v>
      </c>
      <c r="N78" s="238">
        <f>Таблица5[[#This Row],[10]]</f>
        <v>42826</v>
      </c>
      <c r="O78" s="17"/>
      <c r="P78" s="17"/>
      <c r="Q78" s="17"/>
      <c r="R78" s="17"/>
      <c r="S78" s="17"/>
      <c r="T78" s="686"/>
      <c r="U78" s="18">
        <f>РПЗ!P78</f>
        <v>42887</v>
      </c>
      <c r="V78" s="686"/>
      <c r="W78" s="236">
        <f>РПЗ!L78</f>
        <v>630000</v>
      </c>
      <c r="X78" s="689"/>
      <c r="Y78" s="689"/>
      <c r="Z78" s="690"/>
      <c r="AA78" s="691"/>
      <c r="AB78" s="111"/>
      <c r="AC78" s="17"/>
      <c r="AD78" s="690"/>
      <c r="AE78" s="686"/>
      <c r="AF78" s="474"/>
      <c r="AG78" s="692"/>
      <c r="AH78" s="236" t="str">
        <f>IF(Таблица5[[#This Row],[30]]=0,"НД",Таблица5[[#This Row],[20]]-Таблица5[[#This Row],[30]])</f>
        <v>НД</v>
      </c>
      <c r="AI78" s="511" t="str">
        <f>IF(((1-Таблица5[[#This Row],[30]]/Таблица5[[#This Row],[20]])=1),"НД",(1-Таблица5[[#This Row],[30]]/Таблица5[[#This Row],[20]]))</f>
        <v>НД</v>
      </c>
      <c r="AJ78" s="111"/>
      <c r="AK78" s="111"/>
      <c r="AL78" s="512"/>
      <c r="AM78" s="513"/>
      <c r="AN78" s="465"/>
      <c r="AO78" s="468" t="str">
        <f>РПЗ!AD78</f>
        <v>Нет</v>
      </c>
      <c r="AP78" s="472">
        <f>РПЗ!V78</f>
        <v>0</v>
      </c>
      <c r="AQ78" s="470">
        <f>IF(Таблица5[[#This Row],[11]]=0,,MONTH(Таблица5[[#This Row],[11]]))</f>
        <v>4</v>
      </c>
    </row>
    <row r="79" spans="1:43" ht="51.75" thickBot="1" x14ac:dyDescent="0.3">
      <c r="A79" s="233" t="str">
        <f t="shared" si="1"/>
        <v>1004-2017-00064</v>
      </c>
      <c r="B79" s="233" t="str">
        <f>РПЗ!$D79</f>
        <v>1004-2017-00064 Выполнение Электромонтажных работ по замене трансформатора напряжения на КТП-6, мощностью 560 кВа</v>
      </c>
      <c r="C79" s="233" t="str">
        <f>РПЗ!$AA79</f>
        <v>АО "НИИ "Полюс" им. М.Ф. Стельмаха" тел. отдела закупок 8-495-333-05-02</v>
      </c>
      <c r="D79" s="633" t="str">
        <f>РПЗ!$AB79</f>
        <v>Заказчик</v>
      </c>
      <c r="E79" s="96" t="s">
        <v>46</v>
      </c>
      <c r="F79" s="233" t="str">
        <f>РПЗ!Q79</f>
        <v>ОЗК</v>
      </c>
      <c r="G79" s="237"/>
      <c r="H79" s="237" t="str">
        <f>РПЗ!R79</f>
        <v>да</v>
      </c>
      <c r="I79" s="15">
        <f>РПЗ!W79</f>
        <v>0</v>
      </c>
      <c r="J79" s="233">
        <f>РПЗ!X79</f>
        <v>0</v>
      </c>
      <c r="K79" s="283">
        <f>РПЗ!Z79</f>
        <v>0</v>
      </c>
      <c r="L79" s="17"/>
      <c r="M79" s="18">
        <f>РПЗ!O79</f>
        <v>42917</v>
      </c>
      <c r="N79" s="238">
        <f>Таблица5[[#This Row],[10]]</f>
        <v>42917</v>
      </c>
      <c r="O79" s="17"/>
      <c r="P79" s="17"/>
      <c r="Q79" s="17"/>
      <c r="R79" s="17"/>
      <c r="S79" s="17"/>
      <c r="T79" s="686"/>
      <c r="U79" s="18">
        <f>РПЗ!P79</f>
        <v>42979</v>
      </c>
      <c r="V79" s="686"/>
      <c r="W79" s="236">
        <f>РПЗ!L79</f>
        <v>825000</v>
      </c>
      <c r="X79" s="689"/>
      <c r="Y79" s="689"/>
      <c r="Z79" s="690"/>
      <c r="AA79" s="691"/>
      <c r="AB79" s="111"/>
      <c r="AC79" s="17"/>
      <c r="AD79" s="690"/>
      <c r="AE79" s="686"/>
      <c r="AF79" s="474"/>
      <c r="AG79" s="692"/>
      <c r="AH79" s="236" t="str">
        <f>IF(Таблица5[[#This Row],[30]]=0,"НД",Таблица5[[#This Row],[20]]-Таблица5[[#This Row],[30]])</f>
        <v>НД</v>
      </c>
      <c r="AI79" s="511" t="str">
        <f>IF(((1-Таблица5[[#This Row],[30]]/Таблица5[[#This Row],[20]])=1),"НД",(1-Таблица5[[#This Row],[30]]/Таблица5[[#This Row],[20]]))</f>
        <v>НД</v>
      </c>
      <c r="AJ79" s="111"/>
      <c r="AK79" s="111"/>
      <c r="AL79" s="512"/>
      <c r="AM79" s="513"/>
      <c r="AN79" s="465"/>
      <c r="AO79" s="468" t="str">
        <f>РПЗ!AD79</f>
        <v>Нет</v>
      </c>
      <c r="AP79" s="472">
        <f>РПЗ!V79</f>
        <v>0</v>
      </c>
      <c r="AQ79" s="470">
        <f>IF(Таблица5[[#This Row],[11]]=0,,MONTH(Таблица5[[#This Row],[11]]))</f>
        <v>7</v>
      </c>
    </row>
    <row r="80" spans="1:43" ht="39" thickBot="1" x14ac:dyDescent="0.3">
      <c r="A80" s="233" t="str">
        <f t="shared" si="1"/>
        <v>1004-2017-00065</v>
      </c>
      <c r="B80" s="233" t="str">
        <f>РПЗ!$D80</f>
        <v>1004-2017-00065 Поставка и Закупка светильников светодиодных</v>
      </c>
      <c r="C80" s="233" t="str">
        <f>РПЗ!$AA80</f>
        <v>АО "НИИ "Полюс" им. М.Ф. Стельмаха" тел. отдела закупок 8-495-333-05-02</v>
      </c>
      <c r="D80" s="633" t="str">
        <f>РПЗ!$AB80</f>
        <v>Заказчик</v>
      </c>
      <c r="E80" s="96" t="s">
        <v>46</v>
      </c>
      <c r="F80" s="233" t="str">
        <f>РПЗ!Q80</f>
        <v>ОЗК</v>
      </c>
      <c r="G80" s="237"/>
      <c r="H80" s="237" t="str">
        <f>РПЗ!R80</f>
        <v>да</v>
      </c>
      <c r="I80" s="15">
        <f>РПЗ!W80</f>
        <v>0</v>
      </c>
      <c r="J80" s="233">
        <f>РПЗ!X80</f>
        <v>0</v>
      </c>
      <c r="K80" s="283">
        <f>РПЗ!Z80</f>
        <v>0</v>
      </c>
      <c r="L80" s="17"/>
      <c r="M80" s="18">
        <f>РПЗ!O80</f>
        <v>42736</v>
      </c>
      <c r="N80" s="238">
        <f>Таблица5[[#This Row],[10]]</f>
        <v>42736</v>
      </c>
      <c r="O80" s="17"/>
      <c r="P80" s="17"/>
      <c r="Q80" s="17"/>
      <c r="R80" s="17"/>
      <c r="S80" s="17"/>
      <c r="T80" s="686"/>
      <c r="U80" s="18">
        <f>РПЗ!P80</f>
        <v>42795</v>
      </c>
      <c r="V80" s="686"/>
      <c r="W80" s="236">
        <f>РПЗ!L80</f>
        <v>116000</v>
      </c>
      <c r="X80" s="689"/>
      <c r="Y80" s="689"/>
      <c r="Z80" s="690"/>
      <c r="AA80" s="691"/>
      <c r="AB80" s="111"/>
      <c r="AC80" s="17"/>
      <c r="AD80" s="690"/>
      <c r="AE80" s="686"/>
      <c r="AF80" s="474"/>
      <c r="AG80" s="692"/>
      <c r="AH80" s="236" t="str">
        <f>IF(Таблица5[[#This Row],[30]]=0,"НД",Таблица5[[#This Row],[20]]-Таблица5[[#This Row],[30]])</f>
        <v>НД</v>
      </c>
      <c r="AI80" s="511" t="str">
        <f>IF(((1-Таблица5[[#This Row],[30]]/Таблица5[[#This Row],[20]])=1),"НД",(1-Таблица5[[#This Row],[30]]/Таблица5[[#This Row],[20]]))</f>
        <v>НД</v>
      </c>
      <c r="AJ80" s="111"/>
      <c r="AK80" s="111"/>
      <c r="AL80" s="512"/>
      <c r="AM80" s="513"/>
      <c r="AN80" s="465"/>
      <c r="AO80" s="468" t="str">
        <f>РПЗ!AD80</f>
        <v>Нет</v>
      </c>
      <c r="AP80" s="472">
        <f>РПЗ!V80</f>
        <v>0</v>
      </c>
      <c r="AQ80" s="470">
        <f>IF(Таблица5[[#This Row],[11]]=0,,MONTH(Таблица5[[#This Row],[11]]))</f>
        <v>1</v>
      </c>
    </row>
    <row r="81" spans="1:43" ht="39" thickBot="1" x14ac:dyDescent="0.3">
      <c r="A81" s="233" t="str">
        <f t="shared" si="1"/>
        <v>1004-2017-00066</v>
      </c>
      <c r="B81" s="233" t="str">
        <f>РПЗ!$D81</f>
        <v>1004-2017-00066 Поставка и Закупка светильников светодиодных</v>
      </c>
      <c r="C81" s="233" t="str">
        <f>РПЗ!$AA81</f>
        <v>АО "НИИ "Полюс" им. М.Ф. Стельмаха" тел. отдела закупок 8-495-333-05-02</v>
      </c>
      <c r="D81" s="633" t="str">
        <f>РПЗ!$AB81</f>
        <v>Заказчик</v>
      </c>
      <c r="E81" s="96" t="s">
        <v>46</v>
      </c>
      <c r="F81" s="233" t="str">
        <f>РПЗ!Q81</f>
        <v>ОЗК</v>
      </c>
      <c r="G81" s="237"/>
      <c r="H81" s="237" t="str">
        <f>РПЗ!R81</f>
        <v>да</v>
      </c>
      <c r="I81" s="15">
        <f>РПЗ!W81</f>
        <v>0</v>
      </c>
      <c r="J81" s="233">
        <f>РПЗ!X81</f>
        <v>0</v>
      </c>
      <c r="K81" s="283">
        <f>РПЗ!Z81</f>
        <v>0</v>
      </c>
      <c r="L81" s="17"/>
      <c r="M81" s="18">
        <f>РПЗ!O81</f>
        <v>42826</v>
      </c>
      <c r="N81" s="238">
        <f>Таблица5[[#This Row],[10]]</f>
        <v>42826</v>
      </c>
      <c r="O81" s="17"/>
      <c r="P81" s="17"/>
      <c r="Q81" s="17"/>
      <c r="R81" s="17"/>
      <c r="S81" s="17"/>
      <c r="T81" s="686"/>
      <c r="U81" s="18">
        <f>РПЗ!P81</f>
        <v>42887</v>
      </c>
      <c r="V81" s="686"/>
      <c r="W81" s="236">
        <f>РПЗ!L81</f>
        <v>116000</v>
      </c>
      <c r="X81" s="689"/>
      <c r="Y81" s="689"/>
      <c r="Z81" s="690"/>
      <c r="AA81" s="691"/>
      <c r="AB81" s="111"/>
      <c r="AC81" s="17"/>
      <c r="AD81" s="690"/>
      <c r="AE81" s="686"/>
      <c r="AF81" s="474"/>
      <c r="AG81" s="692"/>
      <c r="AH81" s="236" t="str">
        <f>IF(Таблица5[[#This Row],[30]]=0,"НД",Таблица5[[#This Row],[20]]-Таблица5[[#This Row],[30]])</f>
        <v>НД</v>
      </c>
      <c r="AI81" s="511" t="str">
        <f>IF(((1-Таблица5[[#This Row],[30]]/Таблица5[[#This Row],[20]])=1),"НД",(1-Таблица5[[#This Row],[30]]/Таблица5[[#This Row],[20]]))</f>
        <v>НД</v>
      </c>
      <c r="AJ81" s="111"/>
      <c r="AK81" s="111"/>
      <c r="AL81" s="512"/>
      <c r="AM81" s="513"/>
      <c r="AN81" s="465"/>
      <c r="AO81" s="468" t="str">
        <f>РПЗ!AD81</f>
        <v>Нет</v>
      </c>
      <c r="AP81" s="472">
        <f>РПЗ!V81</f>
        <v>0</v>
      </c>
      <c r="AQ81" s="470">
        <f>IF(Таблица5[[#This Row],[11]]=0,,MONTH(Таблица5[[#This Row],[11]]))</f>
        <v>4</v>
      </c>
    </row>
    <row r="82" spans="1:43" ht="39" thickBot="1" x14ac:dyDescent="0.3">
      <c r="A82" s="233" t="str">
        <f t="shared" si="1"/>
        <v>1004-2017-00067</v>
      </c>
      <c r="B82" s="233" t="str">
        <f>РПЗ!$D82</f>
        <v>1004-2017-00067 Закупка светильников светодиодных</v>
      </c>
      <c r="C82" s="233" t="str">
        <f>РПЗ!$AA82</f>
        <v>АО "НИИ "Полюс" им. М.Ф. Стельмаха" тел. отдела закупок 8-495-333-05-02</v>
      </c>
      <c r="D82" s="633" t="str">
        <f>РПЗ!$AB82</f>
        <v>Заказчик</v>
      </c>
      <c r="E82" s="96" t="s">
        <v>46</v>
      </c>
      <c r="F82" s="233" t="str">
        <f>РПЗ!Q82</f>
        <v>ОЗК</v>
      </c>
      <c r="G82" s="237"/>
      <c r="H82" s="237" t="str">
        <f>РПЗ!R82</f>
        <v>да</v>
      </c>
      <c r="I82" s="15">
        <f>РПЗ!W82</f>
        <v>0</v>
      </c>
      <c r="J82" s="233">
        <f>РПЗ!X82</f>
        <v>0</v>
      </c>
      <c r="K82" s="283">
        <f>РПЗ!Z82</f>
        <v>0</v>
      </c>
      <c r="L82" s="17"/>
      <c r="M82" s="18">
        <f>РПЗ!O82</f>
        <v>42917</v>
      </c>
      <c r="N82" s="238">
        <f>Таблица5[[#This Row],[10]]</f>
        <v>42917</v>
      </c>
      <c r="O82" s="17"/>
      <c r="P82" s="17"/>
      <c r="Q82" s="17"/>
      <c r="R82" s="17"/>
      <c r="S82" s="17"/>
      <c r="T82" s="686"/>
      <c r="U82" s="18">
        <f>РПЗ!P82</f>
        <v>42979</v>
      </c>
      <c r="V82" s="686"/>
      <c r="W82" s="236">
        <f>РПЗ!L82</f>
        <v>116000</v>
      </c>
      <c r="X82" s="689"/>
      <c r="Y82" s="689"/>
      <c r="Z82" s="690"/>
      <c r="AA82" s="691"/>
      <c r="AB82" s="111"/>
      <c r="AC82" s="17"/>
      <c r="AD82" s="690"/>
      <c r="AE82" s="686"/>
      <c r="AF82" s="474"/>
      <c r="AG82" s="692"/>
      <c r="AH82" s="236" t="str">
        <f>IF(Таблица5[[#This Row],[30]]=0,"НД",Таблица5[[#This Row],[20]]-Таблица5[[#This Row],[30]])</f>
        <v>НД</v>
      </c>
      <c r="AI82" s="511" t="str">
        <f>IF(((1-Таблица5[[#This Row],[30]]/Таблица5[[#This Row],[20]])=1),"НД",(1-Таблица5[[#This Row],[30]]/Таблица5[[#This Row],[20]]))</f>
        <v>НД</v>
      </c>
      <c r="AJ82" s="111"/>
      <c r="AK82" s="111"/>
      <c r="AL82" s="512"/>
      <c r="AM82" s="513"/>
      <c r="AN82" s="465"/>
      <c r="AO82" s="468" t="str">
        <f>РПЗ!AD82</f>
        <v>Нет</v>
      </c>
      <c r="AP82" s="472">
        <f>РПЗ!V82</f>
        <v>0</v>
      </c>
      <c r="AQ82" s="470">
        <f>IF(Таблица5[[#This Row],[11]]=0,,MONTH(Таблица5[[#This Row],[11]]))</f>
        <v>7</v>
      </c>
    </row>
    <row r="83" spans="1:43" ht="39" thickBot="1" x14ac:dyDescent="0.3">
      <c r="A83" s="233" t="str">
        <f t="shared" si="1"/>
        <v>1004-2017-00068</v>
      </c>
      <c r="B83" s="233" t="str">
        <f>РПЗ!$D83</f>
        <v>1004-2017-00068 Поставка и Закупка светильников светодиодных</v>
      </c>
      <c r="C83" s="233" t="str">
        <f>РПЗ!$AA83</f>
        <v>АО "НИИ "Полюс" им. М.Ф. Стельмаха" тел. отдела закупок 8-495-333-05-02</v>
      </c>
      <c r="D83" s="633" t="str">
        <f>РПЗ!$AB83</f>
        <v>Заказчик</v>
      </c>
      <c r="E83" s="96" t="s">
        <v>46</v>
      </c>
      <c r="F83" s="233" t="str">
        <f>РПЗ!Q83</f>
        <v>ОЗК</v>
      </c>
      <c r="G83" s="237"/>
      <c r="H83" s="237" t="str">
        <f>РПЗ!R83</f>
        <v>да</v>
      </c>
      <c r="I83" s="15">
        <f>РПЗ!W83</f>
        <v>0</v>
      </c>
      <c r="J83" s="233">
        <f>РПЗ!X83</f>
        <v>0</v>
      </c>
      <c r="K83" s="283">
        <f>РПЗ!Z83</f>
        <v>0</v>
      </c>
      <c r="L83" s="17"/>
      <c r="M83" s="18">
        <f>РПЗ!O83</f>
        <v>43009</v>
      </c>
      <c r="N83" s="238">
        <f>Таблица5[[#This Row],[10]]</f>
        <v>43009</v>
      </c>
      <c r="O83" s="17"/>
      <c r="P83" s="17"/>
      <c r="Q83" s="17"/>
      <c r="R83" s="17"/>
      <c r="S83" s="17"/>
      <c r="T83" s="686"/>
      <c r="U83" s="18">
        <f>РПЗ!P83</f>
        <v>43070</v>
      </c>
      <c r="V83" s="686"/>
      <c r="W83" s="236">
        <f>РПЗ!L83</f>
        <v>116000</v>
      </c>
      <c r="X83" s="689"/>
      <c r="Y83" s="689"/>
      <c r="Z83" s="690"/>
      <c r="AA83" s="691"/>
      <c r="AB83" s="111"/>
      <c r="AC83" s="17"/>
      <c r="AD83" s="690"/>
      <c r="AE83" s="686"/>
      <c r="AF83" s="474"/>
      <c r="AG83" s="692"/>
      <c r="AH83" s="236" t="str">
        <f>IF(Таблица5[[#This Row],[30]]=0,"НД",Таблица5[[#This Row],[20]]-Таблица5[[#This Row],[30]])</f>
        <v>НД</v>
      </c>
      <c r="AI83" s="511" t="str">
        <f>IF(((1-Таблица5[[#This Row],[30]]/Таблица5[[#This Row],[20]])=1),"НД",(1-Таблица5[[#This Row],[30]]/Таблица5[[#This Row],[20]]))</f>
        <v>НД</v>
      </c>
      <c r="AJ83" s="111"/>
      <c r="AK83" s="111"/>
      <c r="AL83" s="512"/>
      <c r="AM83" s="513"/>
      <c r="AN83" s="465"/>
      <c r="AO83" s="468" t="str">
        <f>РПЗ!AD83</f>
        <v>Нет</v>
      </c>
      <c r="AP83" s="472">
        <f>РПЗ!V83</f>
        <v>0</v>
      </c>
      <c r="AQ83" s="470">
        <f>IF(Таблица5[[#This Row],[11]]=0,,MONTH(Таблица5[[#This Row],[11]]))</f>
        <v>10</v>
      </c>
    </row>
    <row r="84" spans="1:43" ht="51.75" thickBot="1" x14ac:dyDescent="0.3">
      <c r="A84" s="233" t="str">
        <f t="shared" si="1"/>
        <v>1004-2017-00069</v>
      </c>
      <c r="B84" s="233" t="str">
        <f>РПЗ!$D84</f>
        <v>1004-2017-00069 Выполнение электромонтажных работ по установке компенсаторов реактивной мощности на КТП-2</v>
      </c>
      <c r="C84" s="233" t="str">
        <f>РПЗ!$AA84</f>
        <v>АО "НИИ "Полюс" им. М.Ф. Стельмаха" тел. отдела закупок 8-495-333-05-02</v>
      </c>
      <c r="D84" s="633" t="str">
        <f>РПЗ!$AB84</f>
        <v>Заказчик</v>
      </c>
      <c r="E84" s="96" t="s">
        <v>46</v>
      </c>
      <c r="F84" s="233" t="str">
        <f>РПЗ!Q84</f>
        <v>ОЗК</v>
      </c>
      <c r="G84" s="237"/>
      <c r="H84" s="237" t="str">
        <f>РПЗ!R84</f>
        <v>да</v>
      </c>
      <c r="I84" s="15">
        <f>РПЗ!W84</f>
        <v>0</v>
      </c>
      <c r="J84" s="233">
        <f>РПЗ!X84</f>
        <v>0</v>
      </c>
      <c r="K84" s="283">
        <f>РПЗ!Z84</f>
        <v>0</v>
      </c>
      <c r="L84" s="17"/>
      <c r="M84" s="18">
        <f>РПЗ!O84</f>
        <v>42917</v>
      </c>
      <c r="N84" s="238">
        <f>Таблица5[[#This Row],[10]]</f>
        <v>42917</v>
      </c>
      <c r="O84" s="17"/>
      <c r="P84" s="17"/>
      <c r="Q84" s="17"/>
      <c r="R84" s="17"/>
      <c r="S84" s="17"/>
      <c r="T84" s="686"/>
      <c r="U84" s="18">
        <f>РПЗ!P84</f>
        <v>42979</v>
      </c>
      <c r="V84" s="686"/>
      <c r="W84" s="236">
        <f>РПЗ!L84</f>
        <v>1000000</v>
      </c>
      <c r="X84" s="689"/>
      <c r="Y84" s="689"/>
      <c r="Z84" s="690"/>
      <c r="AA84" s="691"/>
      <c r="AB84" s="111"/>
      <c r="AC84" s="17"/>
      <c r="AD84" s="690"/>
      <c r="AE84" s="686"/>
      <c r="AF84" s="474"/>
      <c r="AG84" s="692"/>
      <c r="AH84" s="236" t="str">
        <f>IF(Таблица5[[#This Row],[30]]=0,"НД",Таблица5[[#This Row],[20]]-Таблица5[[#This Row],[30]])</f>
        <v>НД</v>
      </c>
      <c r="AI84" s="511" t="str">
        <f>IF(((1-Таблица5[[#This Row],[30]]/Таблица5[[#This Row],[20]])=1),"НД",(1-Таблица5[[#This Row],[30]]/Таблица5[[#This Row],[20]]))</f>
        <v>НД</v>
      </c>
      <c r="AJ84" s="111"/>
      <c r="AK84" s="111"/>
      <c r="AL84" s="512"/>
      <c r="AM84" s="513"/>
      <c r="AN84" s="465"/>
      <c r="AO84" s="468" t="str">
        <f>РПЗ!AD84</f>
        <v>Нет</v>
      </c>
      <c r="AP84" s="472">
        <f>РПЗ!V84</f>
        <v>0</v>
      </c>
      <c r="AQ84" s="470">
        <f>IF(Таблица5[[#This Row],[11]]=0,,MONTH(Таблица5[[#This Row],[11]]))</f>
        <v>7</v>
      </c>
    </row>
    <row r="85" spans="1:43" ht="51.75" thickBot="1" x14ac:dyDescent="0.3">
      <c r="A85" s="233" t="str">
        <f t="shared" si="1"/>
        <v>1004-2017-00070</v>
      </c>
      <c r="B85" s="233" t="str">
        <f>РПЗ!$D85</f>
        <v>1004-2017-00070 Выполнение злектромонтажных работ по установке компенсаторов реактивной мощности на КТП-2</v>
      </c>
      <c r="C85" s="233" t="str">
        <f>РПЗ!$AA85</f>
        <v>АО "НИИ "Полюс" им. М.Ф. Стельмаха" тел. отдела закупок 8-495-333-05-02</v>
      </c>
      <c r="D85" s="633" t="str">
        <f>РПЗ!$AB85</f>
        <v>Заказчик</v>
      </c>
      <c r="E85" s="96" t="s">
        <v>46</v>
      </c>
      <c r="F85" s="233" t="str">
        <f>РПЗ!Q85</f>
        <v>ОЗК</v>
      </c>
      <c r="G85" s="237"/>
      <c r="H85" s="237" t="str">
        <f>РПЗ!R85</f>
        <v>да</v>
      </c>
      <c r="I85" s="15">
        <f>РПЗ!W85</f>
        <v>0</v>
      </c>
      <c r="J85" s="233">
        <f>РПЗ!X85</f>
        <v>0</v>
      </c>
      <c r="K85" s="283">
        <f>РПЗ!Z85</f>
        <v>0</v>
      </c>
      <c r="L85" s="17"/>
      <c r="M85" s="18">
        <f>РПЗ!O85</f>
        <v>43009</v>
      </c>
      <c r="N85" s="238">
        <f>Таблица5[[#This Row],[10]]</f>
        <v>43009</v>
      </c>
      <c r="O85" s="17"/>
      <c r="P85" s="17"/>
      <c r="Q85" s="17"/>
      <c r="R85" s="17"/>
      <c r="S85" s="17"/>
      <c r="T85" s="686"/>
      <c r="U85" s="18">
        <f>РПЗ!P85</f>
        <v>43070</v>
      </c>
      <c r="V85" s="686"/>
      <c r="W85" s="236">
        <f>РПЗ!L85</f>
        <v>1000000</v>
      </c>
      <c r="X85" s="689"/>
      <c r="Y85" s="689"/>
      <c r="Z85" s="690"/>
      <c r="AA85" s="691"/>
      <c r="AB85" s="111"/>
      <c r="AC85" s="17"/>
      <c r="AD85" s="690"/>
      <c r="AE85" s="686"/>
      <c r="AF85" s="474"/>
      <c r="AG85" s="692"/>
      <c r="AH85" s="236" t="str">
        <f>IF(Таблица5[[#This Row],[30]]=0,"НД",Таблица5[[#This Row],[20]]-Таблица5[[#This Row],[30]])</f>
        <v>НД</v>
      </c>
      <c r="AI85" s="511" t="str">
        <f>IF(((1-Таблица5[[#This Row],[30]]/Таблица5[[#This Row],[20]])=1),"НД",(1-Таблица5[[#This Row],[30]]/Таблица5[[#This Row],[20]]))</f>
        <v>НД</v>
      </c>
      <c r="AJ85" s="111"/>
      <c r="AK85" s="111"/>
      <c r="AL85" s="512"/>
      <c r="AM85" s="513"/>
      <c r="AN85" s="465"/>
      <c r="AO85" s="468" t="str">
        <f>РПЗ!AD85</f>
        <v>Нет</v>
      </c>
      <c r="AP85" s="472">
        <f>РПЗ!V85</f>
        <v>0</v>
      </c>
      <c r="AQ85" s="470">
        <f>IF(Таблица5[[#This Row],[11]]=0,,MONTH(Таблица5[[#This Row],[11]]))</f>
        <v>10</v>
      </c>
    </row>
    <row r="86" spans="1:43" ht="39" thickBot="1" x14ac:dyDescent="0.3">
      <c r="A86" s="233" t="str">
        <f t="shared" si="1"/>
        <v>1004-2017-00071</v>
      </c>
      <c r="B86" s="233" t="str">
        <f>РПЗ!$D86</f>
        <v>1004-2017-00071 Поставка Термо-компенсаторы ИП.302.001Б</v>
      </c>
      <c r="C86" s="233" t="str">
        <f>РПЗ!$AA86</f>
        <v>АО "НИИ "Полюс" им. М.Ф. Стельмаха" тел. отдела закупок 8-495-333-05-02</v>
      </c>
      <c r="D86" s="633" t="str">
        <f>РПЗ!$AB86</f>
        <v>Заказчик</v>
      </c>
      <c r="E86" s="96" t="s">
        <v>46</v>
      </c>
      <c r="F86" s="233" t="str">
        <f>РПЗ!Q86</f>
        <v>ОК</v>
      </c>
      <c r="G86" s="237"/>
      <c r="H86" s="237" t="str">
        <f>РПЗ!R86</f>
        <v>да</v>
      </c>
      <c r="I86" s="15">
        <f>РПЗ!W86</f>
        <v>0</v>
      </c>
      <c r="J86" s="233">
        <f>РПЗ!X86</f>
        <v>0</v>
      </c>
      <c r="K86" s="283">
        <f>РПЗ!Z86</f>
        <v>0</v>
      </c>
      <c r="L86" s="17"/>
      <c r="M86" s="18">
        <f>РПЗ!O86</f>
        <v>42795</v>
      </c>
      <c r="N86" s="238">
        <f>Таблица5[[#This Row],[10]]</f>
        <v>42795</v>
      </c>
      <c r="O86" s="17"/>
      <c r="P86" s="17"/>
      <c r="Q86" s="17"/>
      <c r="R86" s="17"/>
      <c r="S86" s="17"/>
      <c r="T86" s="686"/>
      <c r="U86" s="18">
        <f>РПЗ!P86</f>
        <v>42887</v>
      </c>
      <c r="V86" s="686"/>
      <c r="W86" s="236">
        <f>РПЗ!L86</f>
        <v>4800000</v>
      </c>
      <c r="X86" s="689"/>
      <c r="Y86" s="689"/>
      <c r="Z86" s="690"/>
      <c r="AA86" s="691"/>
      <c r="AB86" s="111"/>
      <c r="AC86" s="17"/>
      <c r="AD86" s="690"/>
      <c r="AE86" s="686"/>
      <c r="AF86" s="474"/>
      <c r="AG86" s="692"/>
      <c r="AH86" s="236" t="str">
        <f>IF(Таблица5[[#This Row],[30]]=0,"НД",Таблица5[[#This Row],[20]]-Таблица5[[#This Row],[30]])</f>
        <v>НД</v>
      </c>
      <c r="AI86" s="511" t="str">
        <f>IF(((1-Таблица5[[#This Row],[30]]/Таблица5[[#This Row],[20]])=1),"НД",(1-Таблица5[[#This Row],[30]]/Таблица5[[#This Row],[20]]))</f>
        <v>НД</v>
      </c>
      <c r="AJ86" s="111"/>
      <c r="AK86" s="111"/>
      <c r="AL86" s="512"/>
      <c r="AM86" s="513"/>
      <c r="AN86" s="465"/>
      <c r="AO86" s="468" t="str">
        <f>РПЗ!AD86</f>
        <v>Нет</v>
      </c>
      <c r="AP86" s="472">
        <f>РПЗ!V86</f>
        <v>0</v>
      </c>
      <c r="AQ86" s="470">
        <f>IF(Таблица5[[#This Row],[11]]=0,,MONTH(Таблица5[[#This Row],[11]]))</f>
        <v>3</v>
      </c>
    </row>
    <row r="87" spans="1:43" ht="39" thickBot="1" x14ac:dyDescent="0.3">
      <c r="A87" s="233" t="str">
        <f t="shared" si="1"/>
        <v>1004-2017-00072</v>
      </c>
      <c r="B87" s="233" t="str">
        <f>РПЗ!$D87</f>
        <v>1004-2017-00072Поставка иТермо-компенсаторы ИП.302.001В</v>
      </c>
      <c r="C87" s="233" t="str">
        <f>РПЗ!$AA87</f>
        <v>АО "НИИ "Полюс" им. М.Ф. Стельмаха" тел. отдела закупок 8-495-333-05-02</v>
      </c>
      <c r="D87" s="633" t="str">
        <f>РПЗ!$AB87</f>
        <v>Заказчик</v>
      </c>
      <c r="E87" s="96" t="s">
        <v>46</v>
      </c>
      <c r="F87" s="233" t="str">
        <f>РПЗ!Q87</f>
        <v>ОК</v>
      </c>
      <c r="G87" s="237"/>
      <c r="H87" s="237" t="str">
        <f>РПЗ!R87</f>
        <v>да</v>
      </c>
      <c r="I87" s="15">
        <f>РПЗ!W87</f>
        <v>0</v>
      </c>
      <c r="J87" s="233">
        <f>РПЗ!X87</f>
        <v>0</v>
      </c>
      <c r="K87" s="283">
        <f>РПЗ!Z87</f>
        <v>0</v>
      </c>
      <c r="L87" s="17"/>
      <c r="M87" s="18">
        <f>РПЗ!O87</f>
        <v>42795</v>
      </c>
      <c r="N87" s="238">
        <f>Таблица5[[#This Row],[10]]</f>
        <v>42795</v>
      </c>
      <c r="O87" s="17"/>
      <c r="P87" s="17"/>
      <c r="Q87" s="17"/>
      <c r="R87" s="17"/>
      <c r="S87" s="17"/>
      <c r="T87" s="686"/>
      <c r="U87" s="18">
        <f>РПЗ!P87</f>
        <v>42887</v>
      </c>
      <c r="V87" s="686"/>
      <c r="W87" s="236">
        <f>РПЗ!L87</f>
        <v>1400000</v>
      </c>
      <c r="X87" s="689"/>
      <c r="Y87" s="689"/>
      <c r="Z87" s="690"/>
      <c r="AA87" s="691"/>
      <c r="AB87" s="111"/>
      <c r="AC87" s="17"/>
      <c r="AD87" s="690"/>
      <c r="AE87" s="686"/>
      <c r="AF87" s="474"/>
      <c r="AG87" s="692"/>
      <c r="AH87" s="236" t="str">
        <f>IF(Таблица5[[#This Row],[30]]=0,"НД",Таблица5[[#This Row],[20]]-Таблица5[[#This Row],[30]])</f>
        <v>НД</v>
      </c>
      <c r="AI87" s="511" t="str">
        <f>IF(((1-Таблица5[[#This Row],[30]]/Таблица5[[#This Row],[20]])=1),"НД",(1-Таблица5[[#This Row],[30]]/Таблица5[[#This Row],[20]]))</f>
        <v>НД</v>
      </c>
      <c r="AJ87" s="111"/>
      <c r="AK87" s="111"/>
      <c r="AL87" s="512"/>
      <c r="AM87" s="513"/>
      <c r="AN87" s="465"/>
      <c r="AO87" s="468" t="str">
        <f>РПЗ!AD87</f>
        <v>Нет</v>
      </c>
      <c r="AP87" s="472">
        <f>РПЗ!V87</f>
        <v>0</v>
      </c>
      <c r="AQ87" s="470">
        <f>IF(Таблица5[[#This Row],[11]]=0,,MONTH(Таблица5[[#This Row],[11]]))</f>
        <v>3</v>
      </c>
    </row>
    <row r="88" spans="1:43" ht="39" thickBot="1" x14ac:dyDescent="0.3">
      <c r="A88" s="233" t="str">
        <f t="shared" si="1"/>
        <v>1004-2017-00073</v>
      </c>
      <c r="B88" s="233" t="str">
        <f>РПЗ!$D88</f>
        <v>1004-2017-00073 Поставка иЛинейки лазерных диодов QCW 300W</v>
      </c>
      <c r="C88" s="233" t="str">
        <f>РПЗ!$AA88</f>
        <v>АО "НИИ "Полюс" им. М.Ф. Стельмаха" тел. отдела закупок 8-495-333-05-02</v>
      </c>
      <c r="D88" s="633" t="str">
        <f>РПЗ!$AB88</f>
        <v>Заказчик</v>
      </c>
      <c r="E88" s="96" t="s">
        <v>46</v>
      </c>
      <c r="F88" s="233" t="str">
        <f>РПЗ!Q88</f>
        <v>ОК</v>
      </c>
      <c r="G88" s="237"/>
      <c r="H88" s="237" t="str">
        <f>РПЗ!R88</f>
        <v>да</v>
      </c>
      <c r="I88" s="15">
        <f>РПЗ!W88</f>
        <v>0</v>
      </c>
      <c r="J88" s="233">
        <f>РПЗ!X88</f>
        <v>0</v>
      </c>
      <c r="K88" s="283">
        <f>РПЗ!Z88</f>
        <v>0</v>
      </c>
      <c r="L88" s="17"/>
      <c r="M88" s="18">
        <f>РПЗ!O88</f>
        <v>42826</v>
      </c>
      <c r="N88" s="238">
        <f>Таблица5[[#This Row],[10]]</f>
        <v>42826</v>
      </c>
      <c r="O88" s="17"/>
      <c r="P88" s="17"/>
      <c r="Q88" s="17"/>
      <c r="R88" s="17"/>
      <c r="S88" s="17"/>
      <c r="T88" s="686"/>
      <c r="U88" s="18">
        <f>РПЗ!P88</f>
        <v>42856</v>
      </c>
      <c r="V88" s="686"/>
      <c r="W88" s="236">
        <f>РПЗ!L88</f>
        <v>1850000</v>
      </c>
      <c r="X88" s="689"/>
      <c r="Y88" s="689"/>
      <c r="Z88" s="690"/>
      <c r="AA88" s="691"/>
      <c r="AB88" s="111"/>
      <c r="AC88" s="17"/>
      <c r="AD88" s="690"/>
      <c r="AE88" s="686"/>
      <c r="AF88" s="474"/>
      <c r="AG88" s="692"/>
      <c r="AH88" s="236" t="str">
        <f>IF(Таблица5[[#This Row],[30]]=0,"НД",Таблица5[[#This Row],[20]]-Таблица5[[#This Row],[30]])</f>
        <v>НД</v>
      </c>
      <c r="AI88" s="511" t="str">
        <f>IF(((1-Таблица5[[#This Row],[30]]/Таблица5[[#This Row],[20]])=1),"НД",(1-Таблица5[[#This Row],[30]]/Таблица5[[#This Row],[20]]))</f>
        <v>НД</v>
      </c>
      <c r="AJ88" s="111"/>
      <c r="AK88" s="111"/>
      <c r="AL88" s="512"/>
      <c r="AM88" s="513"/>
      <c r="AN88" s="465"/>
      <c r="AO88" s="468" t="str">
        <f>РПЗ!AD88</f>
        <v>Нет</v>
      </c>
      <c r="AP88" s="472">
        <f>РПЗ!V88</f>
        <v>0</v>
      </c>
      <c r="AQ88" s="470">
        <f>IF(Таблица5[[#This Row],[11]]=0,,MONTH(Таблица5[[#This Row],[11]]))</f>
        <v>4</v>
      </c>
    </row>
    <row r="89" spans="1:43" ht="39" thickBot="1" x14ac:dyDescent="0.3">
      <c r="A89" s="233" t="str">
        <f t="shared" si="1"/>
        <v>1004-2017-00074</v>
      </c>
      <c r="B89" s="233" t="str">
        <f>РПЗ!$D89</f>
        <v>1004-2017-00074 Поставка и Оснастка кассеты, (блоки для пайки)</v>
      </c>
      <c r="C89" s="233" t="str">
        <f>РПЗ!$AA89</f>
        <v>АО "НИИ "Полюс" им. М.Ф. Стельмаха" тел. отдела закупок 8-495-333-05-02</v>
      </c>
      <c r="D89" s="633" t="str">
        <f>РПЗ!$AB89</f>
        <v>Заказчик</v>
      </c>
      <c r="E89" s="96" t="s">
        <v>46</v>
      </c>
      <c r="F89" s="233" t="str">
        <f>РПЗ!Q89</f>
        <v>ОК</v>
      </c>
      <c r="G89" s="237"/>
      <c r="H89" s="237" t="str">
        <f>РПЗ!R89</f>
        <v>да</v>
      </c>
      <c r="I89" s="15">
        <f>РПЗ!W89</f>
        <v>0</v>
      </c>
      <c r="J89" s="233">
        <f>РПЗ!X89</f>
        <v>0</v>
      </c>
      <c r="K89" s="283">
        <f>РПЗ!Z89</f>
        <v>0</v>
      </c>
      <c r="L89" s="17"/>
      <c r="M89" s="18">
        <f>РПЗ!O89</f>
        <v>42826</v>
      </c>
      <c r="N89" s="238">
        <f>Таблица5[[#This Row],[10]]</f>
        <v>42826</v>
      </c>
      <c r="O89" s="17"/>
      <c r="P89" s="17"/>
      <c r="Q89" s="17"/>
      <c r="R89" s="17"/>
      <c r="S89" s="17"/>
      <c r="T89" s="686"/>
      <c r="U89" s="18">
        <f>РПЗ!P89</f>
        <v>42917</v>
      </c>
      <c r="V89" s="686"/>
      <c r="W89" s="236">
        <f>РПЗ!L89</f>
        <v>200000</v>
      </c>
      <c r="X89" s="689"/>
      <c r="Y89" s="689"/>
      <c r="Z89" s="690"/>
      <c r="AA89" s="691"/>
      <c r="AB89" s="111"/>
      <c r="AC89" s="17"/>
      <c r="AD89" s="690"/>
      <c r="AE89" s="686"/>
      <c r="AF89" s="474"/>
      <c r="AG89" s="692"/>
      <c r="AH89" s="236" t="str">
        <f>IF(Таблица5[[#This Row],[30]]=0,"НД",Таблица5[[#This Row],[20]]-Таблица5[[#This Row],[30]])</f>
        <v>НД</v>
      </c>
      <c r="AI89" s="511" t="str">
        <f>IF(((1-Таблица5[[#This Row],[30]]/Таблица5[[#This Row],[20]])=1),"НД",(1-Таблица5[[#This Row],[30]]/Таблица5[[#This Row],[20]]))</f>
        <v>НД</v>
      </c>
      <c r="AJ89" s="111"/>
      <c r="AK89" s="111"/>
      <c r="AL89" s="512"/>
      <c r="AM89" s="513"/>
      <c r="AN89" s="465"/>
      <c r="AO89" s="468" t="str">
        <f>РПЗ!AD89</f>
        <v>Нет</v>
      </c>
      <c r="AP89" s="472">
        <f>РПЗ!V89</f>
        <v>0</v>
      </c>
      <c r="AQ89" s="470">
        <f>IF(Таблица5[[#This Row],[11]]=0,,MONTH(Таблица5[[#This Row],[11]]))</f>
        <v>4</v>
      </c>
    </row>
    <row r="90" spans="1:43" ht="64.5" thickBot="1" x14ac:dyDescent="0.3">
      <c r="A90" s="233" t="str">
        <f t="shared" si="1"/>
        <v>1004-2017-00075</v>
      </c>
      <c r="B90" s="233" t="str">
        <f>РПЗ!$D90</f>
        <v xml:space="preserve">1004-2017-00075 Услуга по изготовлению кассет ПКБР.321.453.005, ПКБР.321.546.015, ПКБР.321.546.014   </v>
      </c>
      <c r="C90" s="233" t="str">
        <f>РПЗ!$AA90</f>
        <v>АО "НИИ "Полюс" им. М.Ф. Стельмаха" тел. отдела закупок 8-495-333-05-02</v>
      </c>
      <c r="D90" s="633" t="str">
        <f>РПЗ!$AB90</f>
        <v>Заказчик</v>
      </c>
      <c r="E90" s="96" t="s">
        <v>46</v>
      </c>
      <c r="F90" s="233" t="str">
        <f>РПЗ!Q90</f>
        <v>ОК</v>
      </c>
      <c r="G90" s="237"/>
      <c r="H90" s="237" t="str">
        <f>РПЗ!R90</f>
        <v>да</v>
      </c>
      <c r="I90" s="15">
        <f>РПЗ!W90</f>
        <v>0</v>
      </c>
      <c r="J90" s="233">
        <f>РПЗ!X90</f>
        <v>0</v>
      </c>
      <c r="K90" s="283">
        <f>РПЗ!Z90</f>
        <v>0</v>
      </c>
      <c r="L90" s="17"/>
      <c r="M90" s="18">
        <f>РПЗ!O90</f>
        <v>42856</v>
      </c>
      <c r="N90" s="238">
        <f>Таблица5[[#This Row],[10]]</f>
        <v>42856</v>
      </c>
      <c r="O90" s="17"/>
      <c r="P90" s="17"/>
      <c r="Q90" s="17"/>
      <c r="R90" s="17"/>
      <c r="S90" s="17"/>
      <c r="T90" s="686"/>
      <c r="U90" s="18">
        <f>РПЗ!P90</f>
        <v>42887</v>
      </c>
      <c r="V90" s="686"/>
      <c r="W90" s="236">
        <f>РПЗ!L90</f>
        <v>100000</v>
      </c>
      <c r="X90" s="689"/>
      <c r="Y90" s="689"/>
      <c r="Z90" s="690"/>
      <c r="AA90" s="691"/>
      <c r="AB90" s="111"/>
      <c r="AC90" s="17"/>
      <c r="AD90" s="690"/>
      <c r="AE90" s="686"/>
      <c r="AF90" s="474"/>
      <c r="AG90" s="692"/>
      <c r="AH90" s="236" t="str">
        <f>IF(Таблица5[[#This Row],[30]]=0,"НД",Таблица5[[#This Row],[20]]-Таблица5[[#This Row],[30]])</f>
        <v>НД</v>
      </c>
      <c r="AI90" s="511" t="str">
        <f>IF(((1-Таблица5[[#This Row],[30]]/Таблица5[[#This Row],[20]])=1),"НД",(1-Таблица5[[#This Row],[30]]/Таблица5[[#This Row],[20]]))</f>
        <v>НД</v>
      </c>
      <c r="AJ90" s="111"/>
      <c r="AK90" s="111"/>
      <c r="AL90" s="512"/>
      <c r="AM90" s="513"/>
      <c r="AN90" s="465"/>
      <c r="AO90" s="468" t="str">
        <f>РПЗ!AD90</f>
        <v>Нет</v>
      </c>
      <c r="AP90" s="472">
        <f>РПЗ!V90</f>
        <v>0</v>
      </c>
      <c r="AQ90" s="470">
        <f>IF(Таблица5[[#This Row],[11]]=0,,MONTH(Таблица5[[#This Row],[11]]))</f>
        <v>5</v>
      </c>
    </row>
    <row r="91" spans="1:43" ht="39" thickBot="1" x14ac:dyDescent="0.3">
      <c r="A91" s="233" t="str">
        <f t="shared" si="1"/>
        <v>1004-2017-00076</v>
      </c>
      <c r="B91" s="233" t="str">
        <f>РПЗ!$D91</f>
        <v xml:space="preserve">1004-2017-00076 Поставка иКассеты для напыления металлизации Ti/Pt/Au и Ag/Sn </v>
      </c>
      <c r="C91" s="233" t="str">
        <f>РПЗ!$AA91</f>
        <v>АО "НИИ "Полюс" им. М.Ф. Стельмаха" тел. отдела закупок 8-495-333-05-02</v>
      </c>
      <c r="D91" s="633" t="str">
        <f>РПЗ!$AB91</f>
        <v>Заказчик</v>
      </c>
      <c r="E91" s="96" t="s">
        <v>46</v>
      </c>
      <c r="F91" s="233" t="str">
        <f>РПЗ!Q91</f>
        <v>ОК</v>
      </c>
      <c r="G91" s="237"/>
      <c r="H91" s="237" t="str">
        <f>РПЗ!R91</f>
        <v>да</v>
      </c>
      <c r="I91" s="15">
        <f>РПЗ!W91</f>
        <v>0</v>
      </c>
      <c r="J91" s="233">
        <f>РПЗ!X91</f>
        <v>0</v>
      </c>
      <c r="K91" s="283">
        <f>РПЗ!Z91</f>
        <v>0</v>
      </c>
      <c r="L91" s="17"/>
      <c r="M91" s="18">
        <f>РПЗ!O91</f>
        <v>42767</v>
      </c>
      <c r="N91" s="238">
        <f>Таблица5[[#This Row],[10]]</f>
        <v>42767</v>
      </c>
      <c r="O91" s="17"/>
      <c r="P91" s="17"/>
      <c r="Q91" s="17"/>
      <c r="R91" s="17"/>
      <c r="S91" s="17"/>
      <c r="T91" s="686"/>
      <c r="U91" s="18">
        <f>РПЗ!P91</f>
        <v>42795</v>
      </c>
      <c r="V91" s="686"/>
      <c r="W91" s="236">
        <f>РПЗ!L91</f>
        <v>150000</v>
      </c>
      <c r="X91" s="689"/>
      <c r="Y91" s="689"/>
      <c r="Z91" s="690"/>
      <c r="AA91" s="691"/>
      <c r="AB91" s="111"/>
      <c r="AC91" s="17"/>
      <c r="AD91" s="690"/>
      <c r="AE91" s="686"/>
      <c r="AF91" s="474"/>
      <c r="AG91" s="692"/>
      <c r="AH91" s="236" t="str">
        <f>IF(Таблица5[[#This Row],[30]]=0,"НД",Таблица5[[#This Row],[20]]-Таблица5[[#This Row],[30]])</f>
        <v>НД</v>
      </c>
      <c r="AI91" s="511" t="str">
        <f>IF(((1-Таблица5[[#This Row],[30]]/Таблица5[[#This Row],[20]])=1),"НД",(1-Таблица5[[#This Row],[30]]/Таблица5[[#This Row],[20]]))</f>
        <v>НД</v>
      </c>
      <c r="AJ91" s="111"/>
      <c r="AK91" s="111"/>
      <c r="AL91" s="512"/>
      <c r="AM91" s="513"/>
      <c r="AN91" s="465"/>
      <c r="AO91" s="468" t="str">
        <f>РПЗ!AD91</f>
        <v>Нет</v>
      </c>
      <c r="AP91" s="472">
        <f>РПЗ!V91</f>
        <v>0</v>
      </c>
      <c r="AQ91" s="470">
        <f>IF(Таблица5[[#This Row],[11]]=0,,MONTH(Таблица5[[#This Row],[11]]))</f>
        <v>2</v>
      </c>
    </row>
    <row r="92" spans="1:43" ht="38.25" x14ac:dyDescent="0.25">
      <c r="A92" s="233" t="str">
        <f t="shared" si="1"/>
        <v>1004-2017-00077</v>
      </c>
      <c r="B92" s="233" t="str">
        <f>РПЗ!$D92</f>
        <v>1004-2017-00077 Поставка Корпуса Квант-3</v>
      </c>
      <c r="C92" s="233" t="str">
        <f>РПЗ!$AA92</f>
        <v>АО "НИИ "Полюс" им. М.Ф. Стельмаха" тел. отдела закупок 8-495-333-05-02</v>
      </c>
      <c r="D92" s="633" t="str">
        <f>РПЗ!$AB92</f>
        <v>Заказчик</v>
      </c>
      <c r="E92" s="96" t="s">
        <v>46</v>
      </c>
      <c r="F92" s="233" t="str">
        <f>РПЗ!Q92</f>
        <v>ОК</v>
      </c>
      <c r="G92" s="237"/>
      <c r="H92" s="237" t="str">
        <f>РПЗ!R92</f>
        <v>да</v>
      </c>
      <c r="I92" s="15">
        <f>РПЗ!W92</f>
        <v>0</v>
      </c>
      <c r="J92" s="233">
        <f>РПЗ!X92</f>
        <v>0</v>
      </c>
      <c r="K92" s="283">
        <f>РПЗ!Z92</f>
        <v>0</v>
      </c>
      <c r="L92" s="17"/>
      <c r="M92" s="18">
        <f>РПЗ!O92</f>
        <v>42856</v>
      </c>
      <c r="N92" s="238">
        <f>Таблица5[[#This Row],[10]]</f>
        <v>42856</v>
      </c>
      <c r="O92" s="17"/>
      <c r="P92" s="17"/>
      <c r="Q92" s="17"/>
      <c r="R92" s="17"/>
      <c r="S92" s="17"/>
      <c r="T92" s="686"/>
      <c r="U92" s="18">
        <f>РПЗ!P92</f>
        <v>42887</v>
      </c>
      <c r="V92" s="686"/>
      <c r="W92" s="236">
        <f>РПЗ!L92</f>
        <v>200000</v>
      </c>
      <c r="X92" s="689"/>
      <c r="Y92" s="689"/>
      <c r="Z92" s="690"/>
      <c r="AA92" s="691"/>
      <c r="AB92" s="111"/>
      <c r="AC92" s="17"/>
      <c r="AD92" s="690"/>
      <c r="AE92" s="686"/>
      <c r="AF92" s="474"/>
      <c r="AG92" s="692"/>
      <c r="AH92" s="236" t="str">
        <f>IF(Таблица5[[#This Row],[30]]=0,"НД",Таблица5[[#This Row],[20]]-Таблица5[[#This Row],[30]])</f>
        <v>НД</v>
      </c>
      <c r="AI92" s="511" t="str">
        <f>IF(((1-Таблица5[[#This Row],[30]]/Таблица5[[#This Row],[20]])=1),"НД",(1-Таблица5[[#This Row],[30]]/Таблица5[[#This Row],[20]]))</f>
        <v>НД</v>
      </c>
      <c r="AJ92" s="111"/>
      <c r="AK92" s="111"/>
      <c r="AL92" s="512"/>
      <c r="AM92" s="513"/>
      <c r="AN92" s="465"/>
      <c r="AO92" s="468" t="str">
        <f>РПЗ!AD92</f>
        <v>Нет</v>
      </c>
      <c r="AP92" s="472">
        <f>РПЗ!V92</f>
        <v>0</v>
      </c>
      <c r="AQ92" s="470">
        <f>IF(Таблица5[[#This Row],[11]]=0,,MONTH(Таблица5[[#This Row],[11]]))</f>
        <v>5</v>
      </c>
    </row>
    <row r="93" spans="1:43" ht="39" thickBot="1" x14ac:dyDescent="0.3">
      <c r="A93" s="233" t="str">
        <f t="shared" si="1"/>
        <v>1004-2017-00078</v>
      </c>
      <c r="B93" s="233" t="str">
        <f>РПЗ!$D93</f>
        <v xml:space="preserve">1004-2017-00078 Поставка Корпуса испытательные для решеток ЛД </v>
      </c>
      <c r="C93" s="233" t="str">
        <f>РПЗ!$AA93</f>
        <v>АО "НИИ "Полюс" им. М.Ф. Стельмаха" тел. отдела закупок 8-495-333-05-02</v>
      </c>
      <c r="D93" s="633" t="str">
        <f>РПЗ!$AB93</f>
        <v>Заказчик</v>
      </c>
      <c r="E93" s="510" t="s">
        <v>62</v>
      </c>
      <c r="F93" s="233" t="str">
        <f>РПЗ!Q93</f>
        <v>ЕП</v>
      </c>
      <c r="G93" s="237" t="str">
        <f>Таблица5[[#This Row],[6]]</f>
        <v>ЕП</v>
      </c>
      <c r="H93" s="237" t="str">
        <f>РПЗ!R93</f>
        <v>Нет</v>
      </c>
      <c r="I93" s="15" t="str">
        <f>РПЗ!W93</f>
        <v>6.6.2(11)</v>
      </c>
      <c r="J93" s="233">
        <f>РПЗ!X93</f>
        <v>7729746311</v>
      </c>
      <c r="K93" s="283">
        <f>РПЗ!Z93</f>
        <v>1418000</v>
      </c>
      <c r="L93" s="17">
        <v>42873</v>
      </c>
      <c r="M93" s="18">
        <f>РПЗ!O93</f>
        <v>42856</v>
      </c>
      <c r="N93" s="238">
        <f>Таблица5[[#This Row],[10]]</f>
        <v>42856</v>
      </c>
      <c r="O93" s="17"/>
      <c r="P93" s="17"/>
      <c r="Q93" s="17"/>
      <c r="R93" s="17"/>
      <c r="S93" s="17"/>
      <c r="T93" s="686">
        <v>42880</v>
      </c>
      <c r="U93" s="18">
        <f>РПЗ!P93</f>
        <v>42887</v>
      </c>
      <c r="V93" s="686">
        <v>43070</v>
      </c>
      <c r="W93" s="236">
        <f>РПЗ!L93</f>
        <v>1418000</v>
      </c>
      <c r="X93" s="689">
        <v>1</v>
      </c>
      <c r="Y93" s="689">
        <v>0</v>
      </c>
      <c r="Z93" s="691">
        <v>7729746311</v>
      </c>
      <c r="AA93" s="691" t="s">
        <v>5132</v>
      </c>
      <c r="AB93" s="111">
        <v>1418000</v>
      </c>
      <c r="AC93" s="17">
        <v>43070</v>
      </c>
      <c r="AD93" s="690" t="s">
        <v>5133</v>
      </c>
      <c r="AE93" s="686">
        <v>42880</v>
      </c>
      <c r="AF93" s="474"/>
      <c r="AG93" s="692">
        <v>1418000</v>
      </c>
      <c r="AH93" s="236">
        <f>IF(Таблица5[[#This Row],[30]]=0,"НД",Таблица5[[#This Row],[20]]-Таблица5[[#This Row],[30]])</f>
        <v>0</v>
      </c>
      <c r="AI93" s="511">
        <f>IF(((1-Таблица5[[#This Row],[30]]/Таблица5[[#This Row],[20]])=1),"НД",(1-Таблица5[[#This Row],[30]]/Таблица5[[#This Row],[20]]))</f>
        <v>0</v>
      </c>
      <c r="AJ93" s="111"/>
      <c r="AK93" s="111"/>
      <c r="AL93" s="512"/>
      <c r="AM93" s="513" t="s">
        <v>113</v>
      </c>
      <c r="AN93" s="801">
        <v>31705152502</v>
      </c>
      <c r="AO93" s="468" t="str">
        <f>РПЗ!AD93</f>
        <v>Нет</v>
      </c>
      <c r="AP93" s="472">
        <f>РПЗ!V93</f>
        <v>0</v>
      </c>
      <c r="AQ93" s="470">
        <f>IF(Таблица5[[#This Row],[11]]=0,,MONTH(Таблица5[[#This Row],[11]]))</f>
        <v>5</v>
      </c>
    </row>
    <row r="94" spans="1:43" ht="39" thickBot="1" x14ac:dyDescent="0.3">
      <c r="A94" s="233" t="str">
        <f t="shared" si="1"/>
        <v>1004-2017-00079</v>
      </c>
      <c r="B94" s="233" t="str">
        <f>РПЗ!$D94</f>
        <v>1004-2017-00079 Поставка Пластины теплопроводящие
2х видов (по 100 шт, каждого)</v>
      </c>
      <c r="C94" s="233" t="str">
        <f>РПЗ!$AA94</f>
        <v>АО "НИИ "Полюс" им. М.Ф. Стельмаха" тел. отдела закупок 8-495-333-05-02</v>
      </c>
      <c r="D94" s="633" t="str">
        <f>РПЗ!$AB94</f>
        <v>Заказчик</v>
      </c>
      <c r="E94" s="96" t="s">
        <v>46</v>
      </c>
      <c r="F94" s="233" t="str">
        <f>РПЗ!Q94</f>
        <v>ОК</v>
      </c>
      <c r="G94" s="237"/>
      <c r="H94" s="237" t="str">
        <f>РПЗ!R94</f>
        <v>да</v>
      </c>
      <c r="I94" s="15">
        <f>РПЗ!W94</f>
        <v>0</v>
      </c>
      <c r="J94" s="233">
        <f>РПЗ!X94</f>
        <v>0</v>
      </c>
      <c r="K94" s="283">
        <f>РПЗ!Z94</f>
        <v>0</v>
      </c>
      <c r="L94" s="17"/>
      <c r="M94" s="18">
        <f>РПЗ!O94</f>
        <v>42826</v>
      </c>
      <c r="N94" s="238">
        <f>Таблица5[[#This Row],[10]]</f>
        <v>42826</v>
      </c>
      <c r="O94" s="17"/>
      <c r="P94" s="17"/>
      <c r="Q94" s="17"/>
      <c r="R94" s="17"/>
      <c r="S94" s="17"/>
      <c r="T94" s="686"/>
      <c r="U94" s="18">
        <f>РПЗ!P94</f>
        <v>42856</v>
      </c>
      <c r="V94" s="686"/>
      <c r="W94" s="236">
        <f>РПЗ!L94</f>
        <v>170000</v>
      </c>
      <c r="X94" s="689"/>
      <c r="Y94" s="689"/>
      <c r="Z94" s="690"/>
      <c r="AA94" s="691"/>
      <c r="AB94" s="111"/>
      <c r="AC94" s="17"/>
      <c r="AD94" s="690"/>
      <c r="AE94" s="686"/>
      <c r="AF94" s="474"/>
      <c r="AG94" s="692"/>
      <c r="AH94" s="236" t="str">
        <f>IF(Таблица5[[#This Row],[30]]=0,"НД",Таблица5[[#This Row],[20]]-Таблица5[[#This Row],[30]])</f>
        <v>НД</v>
      </c>
      <c r="AI94" s="511" t="str">
        <f>IF(((1-Таблица5[[#This Row],[30]]/Таблица5[[#This Row],[20]])=1),"НД",(1-Таблица5[[#This Row],[30]]/Таблица5[[#This Row],[20]]))</f>
        <v>НД</v>
      </c>
      <c r="AJ94" s="111"/>
      <c r="AK94" s="111"/>
      <c r="AL94" s="512"/>
      <c r="AM94" s="513"/>
      <c r="AN94" s="465"/>
      <c r="AO94" s="468" t="str">
        <f>РПЗ!AD94</f>
        <v>Нет</v>
      </c>
      <c r="AP94" s="472">
        <f>РПЗ!V94</f>
        <v>0</v>
      </c>
      <c r="AQ94" s="470">
        <f>IF(Таблица5[[#This Row],[11]]=0,,MONTH(Таблица5[[#This Row],[11]]))</f>
        <v>4</v>
      </c>
    </row>
    <row r="95" spans="1:43" ht="39" thickBot="1" x14ac:dyDescent="0.3">
      <c r="A95" s="233" t="str">
        <f t="shared" si="1"/>
        <v>1004-2017-00080</v>
      </c>
      <c r="B95" s="233" t="str">
        <f>РПЗ!$D95</f>
        <v>1004-2017-00080Поставка  Комплекта корпусных деталей для решеток</v>
      </c>
      <c r="C95" s="233" t="str">
        <f>РПЗ!$AA95</f>
        <v>АО "НИИ "Полюс" им. М.Ф. Стельмаха" тел. отдела закупок 8-495-333-05-02</v>
      </c>
      <c r="D95" s="633" t="str">
        <f>РПЗ!$AB95</f>
        <v>Заказчик</v>
      </c>
      <c r="E95" s="96" t="s">
        <v>46</v>
      </c>
      <c r="F95" s="233" t="str">
        <f>РПЗ!Q95</f>
        <v>ОК</v>
      </c>
      <c r="G95" s="237"/>
      <c r="H95" s="237" t="str">
        <f>РПЗ!R95</f>
        <v>да</v>
      </c>
      <c r="I95" s="15">
        <f>РПЗ!W95</f>
        <v>0</v>
      </c>
      <c r="J95" s="233">
        <f>РПЗ!X95</f>
        <v>0</v>
      </c>
      <c r="K95" s="283">
        <f>РПЗ!Z95</f>
        <v>0</v>
      </c>
      <c r="L95" s="17"/>
      <c r="M95" s="18">
        <f>РПЗ!O95</f>
        <v>42795</v>
      </c>
      <c r="N95" s="238">
        <f>Таблица5[[#This Row],[10]]</f>
        <v>42795</v>
      </c>
      <c r="O95" s="17"/>
      <c r="P95" s="17"/>
      <c r="Q95" s="17"/>
      <c r="R95" s="17"/>
      <c r="S95" s="17"/>
      <c r="T95" s="686"/>
      <c r="U95" s="18">
        <f>РПЗ!P95</f>
        <v>42826</v>
      </c>
      <c r="V95" s="686"/>
      <c r="W95" s="236">
        <f>РПЗ!L95</f>
        <v>150000</v>
      </c>
      <c r="X95" s="689"/>
      <c r="Y95" s="689"/>
      <c r="Z95" s="690"/>
      <c r="AA95" s="691"/>
      <c r="AB95" s="111"/>
      <c r="AC95" s="17"/>
      <c r="AD95" s="690"/>
      <c r="AE95" s="686"/>
      <c r="AF95" s="474"/>
      <c r="AG95" s="692"/>
      <c r="AH95" s="236" t="str">
        <f>IF(Таблица5[[#This Row],[30]]=0,"НД",Таблица5[[#This Row],[20]]-Таблица5[[#This Row],[30]])</f>
        <v>НД</v>
      </c>
      <c r="AI95" s="511" t="str">
        <f>IF(((1-Таблица5[[#This Row],[30]]/Таблица5[[#This Row],[20]])=1),"НД",(1-Таблица5[[#This Row],[30]]/Таблица5[[#This Row],[20]]))</f>
        <v>НД</v>
      </c>
      <c r="AJ95" s="111"/>
      <c r="AK95" s="111"/>
      <c r="AL95" s="512"/>
      <c r="AM95" s="513"/>
      <c r="AN95" s="465"/>
      <c r="AO95" s="468" t="str">
        <f>РПЗ!AD95</f>
        <v>Нет</v>
      </c>
      <c r="AP95" s="472">
        <f>РПЗ!V95</f>
        <v>0</v>
      </c>
      <c r="AQ95" s="470">
        <f>IF(Таблица5[[#This Row],[11]]=0,,MONTH(Таблица5[[#This Row],[11]]))</f>
        <v>3</v>
      </c>
    </row>
    <row r="96" spans="1:43" ht="51.75" thickBot="1" x14ac:dyDescent="0.3">
      <c r="A96" s="233" t="str">
        <f t="shared" si="1"/>
        <v>1004-2017-00081</v>
      </c>
      <c r="B96" s="233" t="str">
        <f>РПЗ!$D96</f>
        <v>1004-2017-00081Поставка  Блины чугунные полировальные для установки
 Logiteck LP50</v>
      </c>
      <c r="C96" s="233" t="str">
        <f>РПЗ!$AA96</f>
        <v>АО "НИИ "Полюс" им. М.Ф. Стельмаха" тел. отдела закупок 8-495-333-05-02</v>
      </c>
      <c r="D96" s="633" t="str">
        <f>РПЗ!$AB96</f>
        <v>Заказчик</v>
      </c>
      <c r="E96" s="96" t="s">
        <v>46</v>
      </c>
      <c r="F96" s="233" t="str">
        <f>РПЗ!Q96</f>
        <v>ОК</v>
      </c>
      <c r="G96" s="237"/>
      <c r="H96" s="237" t="str">
        <f>РПЗ!R96</f>
        <v>да</v>
      </c>
      <c r="I96" s="15">
        <f>РПЗ!W96</f>
        <v>0</v>
      </c>
      <c r="J96" s="233">
        <f>РПЗ!X96</f>
        <v>0</v>
      </c>
      <c r="K96" s="283">
        <f>РПЗ!Z96</f>
        <v>0</v>
      </c>
      <c r="L96" s="17"/>
      <c r="M96" s="18">
        <f>РПЗ!O96</f>
        <v>42917</v>
      </c>
      <c r="N96" s="238">
        <f>Таблица5[[#This Row],[10]]</f>
        <v>42917</v>
      </c>
      <c r="O96" s="17"/>
      <c r="P96" s="17"/>
      <c r="Q96" s="17"/>
      <c r="R96" s="17"/>
      <c r="S96" s="17"/>
      <c r="T96" s="686"/>
      <c r="U96" s="18">
        <f>РПЗ!P96</f>
        <v>42979</v>
      </c>
      <c r="V96" s="686"/>
      <c r="W96" s="236">
        <f>РПЗ!L96</f>
        <v>500000</v>
      </c>
      <c r="X96" s="689"/>
      <c r="Y96" s="689"/>
      <c r="Z96" s="690"/>
      <c r="AA96" s="691"/>
      <c r="AB96" s="111"/>
      <c r="AC96" s="17"/>
      <c r="AD96" s="690"/>
      <c r="AE96" s="686"/>
      <c r="AF96" s="474"/>
      <c r="AG96" s="692"/>
      <c r="AH96" s="236" t="str">
        <f>IF(Таблица5[[#This Row],[30]]=0,"НД",Таблица5[[#This Row],[20]]-Таблица5[[#This Row],[30]])</f>
        <v>НД</v>
      </c>
      <c r="AI96" s="511" t="str">
        <f>IF(((1-Таблица5[[#This Row],[30]]/Таблица5[[#This Row],[20]])=1),"НД",(1-Таблица5[[#This Row],[30]]/Таблица5[[#This Row],[20]]))</f>
        <v>НД</v>
      </c>
      <c r="AJ96" s="111"/>
      <c r="AK96" s="111"/>
      <c r="AL96" s="512"/>
      <c r="AM96" s="513"/>
      <c r="AN96" s="465"/>
      <c r="AO96" s="468" t="str">
        <f>РПЗ!AD96</f>
        <v>Нет</v>
      </c>
      <c r="AP96" s="472">
        <f>РПЗ!V96</f>
        <v>0</v>
      </c>
      <c r="AQ96" s="470">
        <f>IF(Таблица5[[#This Row],[11]]=0,,MONTH(Таблица5[[#This Row],[11]]))</f>
        <v>7</v>
      </c>
    </row>
    <row r="97" spans="1:43" ht="38.25" x14ac:dyDescent="0.25">
      <c r="A97" s="233" t="str">
        <f t="shared" si="1"/>
        <v>1004-2017-00082</v>
      </c>
      <c r="B97" s="233" t="str">
        <f>РПЗ!$D97</f>
        <v>1004-2017-00082 Выполнение работ по измерительной и испытательной оснастке</v>
      </c>
      <c r="C97" s="233" t="str">
        <f>РПЗ!$AA97</f>
        <v>АО "НИИ "Полюс" им. М.Ф. Стельмаха" тел. отдела закупок 8-495-333-05-02</v>
      </c>
      <c r="D97" s="633" t="str">
        <f>РПЗ!$AB97</f>
        <v>Заказчик</v>
      </c>
      <c r="E97" s="96" t="s">
        <v>46</v>
      </c>
      <c r="F97" s="233" t="str">
        <f>РПЗ!Q97</f>
        <v>ОК</v>
      </c>
      <c r="G97" s="237"/>
      <c r="H97" s="237" t="str">
        <f>РПЗ!R97</f>
        <v>да</v>
      </c>
      <c r="I97" s="15">
        <f>РПЗ!W97</f>
        <v>0</v>
      </c>
      <c r="J97" s="233">
        <f>РПЗ!X97</f>
        <v>0</v>
      </c>
      <c r="K97" s="283">
        <f>РПЗ!Z97</f>
        <v>0</v>
      </c>
      <c r="L97" s="17"/>
      <c r="M97" s="18">
        <f>РПЗ!O97</f>
        <v>42917</v>
      </c>
      <c r="N97" s="238">
        <f>Таблица5[[#This Row],[10]]</f>
        <v>42917</v>
      </c>
      <c r="O97" s="17"/>
      <c r="P97" s="17"/>
      <c r="Q97" s="17"/>
      <c r="R97" s="17"/>
      <c r="S97" s="17"/>
      <c r="T97" s="686"/>
      <c r="U97" s="18">
        <f>РПЗ!P97</f>
        <v>42979</v>
      </c>
      <c r="V97" s="686"/>
      <c r="W97" s="236">
        <f>РПЗ!L97</f>
        <v>120000</v>
      </c>
      <c r="X97" s="689"/>
      <c r="Y97" s="689"/>
      <c r="Z97" s="690"/>
      <c r="AA97" s="691"/>
      <c r="AB97" s="111"/>
      <c r="AC97" s="17"/>
      <c r="AD97" s="690"/>
      <c r="AE97" s="686"/>
      <c r="AF97" s="474"/>
      <c r="AG97" s="692"/>
      <c r="AH97" s="236" t="str">
        <f>IF(Таблица5[[#This Row],[30]]=0,"НД",Таблица5[[#This Row],[20]]-Таблица5[[#This Row],[30]])</f>
        <v>НД</v>
      </c>
      <c r="AI97" s="511" t="str">
        <f>IF(((1-Таблица5[[#This Row],[30]]/Таблица5[[#This Row],[20]])=1),"НД",(1-Таблица5[[#This Row],[30]]/Таблица5[[#This Row],[20]]))</f>
        <v>НД</v>
      </c>
      <c r="AJ97" s="111"/>
      <c r="AK97" s="111"/>
      <c r="AL97" s="512"/>
      <c r="AM97" s="513"/>
      <c r="AN97" s="465"/>
      <c r="AO97" s="468" t="str">
        <f>РПЗ!AD97</f>
        <v>Нет</v>
      </c>
      <c r="AP97" s="472">
        <f>РПЗ!V97</f>
        <v>0</v>
      </c>
      <c r="AQ97" s="470">
        <f>IF(Таблица5[[#This Row],[11]]=0,,MONTH(Таблица5[[#This Row],[11]]))</f>
        <v>7</v>
      </c>
    </row>
    <row r="98" spans="1:43" ht="38.25" x14ac:dyDescent="0.25">
      <c r="A98" s="233" t="str">
        <f t="shared" si="1"/>
        <v>1004-2017-00083</v>
      </c>
      <c r="B98" s="233" t="str">
        <f>РПЗ!$D98</f>
        <v>1004-2017-00083 Выпонение работ по  нанесению гальванического покрытия</v>
      </c>
      <c r="C98" s="233" t="str">
        <f>РПЗ!$AA98</f>
        <v>АО "НИИ "Полюс" им. М.Ф. Стельмаха" тел. отдела закупок 8-495-333-05-02</v>
      </c>
      <c r="D98" s="633" t="str">
        <f>РПЗ!$AB98</f>
        <v>Заказчик</v>
      </c>
      <c r="E98" s="510" t="s">
        <v>62</v>
      </c>
      <c r="F98" s="233" t="str">
        <f>РПЗ!Q98</f>
        <v>ЕП</v>
      </c>
      <c r="G98" s="237" t="str">
        <f>Таблица5[[#This Row],[6]]</f>
        <v>ЕП</v>
      </c>
      <c r="H98" s="237" t="str">
        <f>РПЗ!R98</f>
        <v>Нет</v>
      </c>
      <c r="I98" s="15" t="str">
        <f>РПЗ!W98</f>
        <v>6.6.2(11)</v>
      </c>
      <c r="J98" s="233">
        <f>РПЗ!X98</f>
        <v>7722529893</v>
      </c>
      <c r="K98" s="283">
        <f>РПЗ!Z98</f>
        <v>0</v>
      </c>
      <c r="L98" s="17">
        <v>42926</v>
      </c>
      <c r="M98" s="18">
        <f>РПЗ!O98</f>
        <v>42917</v>
      </c>
      <c r="N98" s="238">
        <f>Таблица5[[#This Row],[10]]</f>
        <v>42917</v>
      </c>
      <c r="O98" s="17"/>
      <c r="P98" s="17"/>
      <c r="Q98" s="17"/>
      <c r="R98" s="17"/>
      <c r="S98" s="17"/>
      <c r="T98" s="686">
        <v>42929</v>
      </c>
      <c r="U98" s="18">
        <f>РПЗ!P98</f>
        <v>42917</v>
      </c>
      <c r="V98" s="686">
        <v>42948</v>
      </c>
      <c r="W98" s="236">
        <f>РПЗ!L98</f>
        <v>107993.60000000001</v>
      </c>
      <c r="X98" s="689">
        <v>1</v>
      </c>
      <c r="Y98" s="689">
        <v>0</v>
      </c>
      <c r="Z98" s="691">
        <v>7722529893</v>
      </c>
      <c r="AA98" s="691" t="s">
        <v>6448</v>
      </c>
      <c r="AB98" s="111">
        <v>107993.60000000001</v>
      </c>
      <c r="AC98" s="17">
        <v>42948</v>
      </c>
      <c r="AD98" s="690" t="s">
        <v>6450</v>
      </c>
      <c r="AE98" s="686">
        <v>42929</v>
      </c>
      <c r="AF98" s="474"/>
      <c r="AG98" s="692">
        <v>107993.60000000001</v>
      </c>
      <c r="AH98" s="236">
        <f>IF(Таблица5[[#This Row],[30]]=0,"НД",Таблица5[[#This Row],[20]]-Таблица5[[#This Row],[30]])</f>
        <v>0</v>
      </c>
      <c r="AI98" s="511">
        <f>IF(((1-Таблица5[[#This Row],[30]]/Таблица5[[#This Row],[20]])=1),"НД",(1-Таблица5[[#This Row],[30]]/Таблица5[[#This Row],[20]]))</f>
        <v>0</v>
      </c>
      <c r="AJ98" s="111"/>
      <c r="AK98" s="111"/>
      <c r="AL98" s="512"/>
      <c r="AM98" s="513" t="s">
        <v>113</v>
      </c>
      <c r="AN98" s="801">
        <v>31705314339</v>
      </c>
      <c r="AO98" s="468" t="str">
        <f>РПЗ!AD98</f>
        <v>Нет</v>
      </c>
      <c r="AP98" s="472">
        <f>РПЗ!V98</f>
        <v>0</v>
      </c>
      <c r="AQ98" s="470">
        <f>IF(Таблица5[[#This Row],[11]]=0,,MONTH(Таблица5[[#This Row],[11]]))</f>
        <v>7</v>
      </c>
    </row>
    <row r="99" spans="1:43" ht="39" thickBot="1" x14ac:dyDescent="0.3">
      <c r="A99" s="233" t="str">
        <f t="shared" si="1"/>
        <v>1004-2017-00084</v>
      </c>
      <c r="B99" s="233" t="str">
        <f>РПЗ!$D99</f>
        <v>1004-2017-00084 Поставка Установка вакуумной пайки – водородная печь VH T700 D100L300 V1E-2 MCF2</v>
      </c>
      <c r="C99" s="233" t="str">
        <f>РПЗ!$AA99</f>
        <v>АО "НИИ "Полюс" им. М.Ф. Стельмаха" тел. отдела закупок 8-495-333-05-02</v>
      </c>
      <c r="D99" s="633" t="str">
        <f>РПЗ!$AB99</f>
        <v>Заказчик</v>
      </c>
      <c r="E99" s="510" t="s">
        <v>62</v>
      </c>
      <c r="F99" s="233" t="str">
        <f>РПЗ!Q99</f>
        <v>ОК</v>
      </c>
      <c r="G99" s="237" t="str">
        <f>Таблица5[[#This Row],[6]]</f>
        <v>ОК</v>
      </c>
      <c r="H99" s="237" t="str">
        <f>РПЗ!R99</f>
        <v>да</v>
      </c>
      <c r="I99" s="15">
        <f>РПЗ!W99</f>
        <v>0</v>
      </c>
      <c r="J99" s="233">
        <f>РПЗ!X99</f>
        <v>0</v>
      </c>
      <c r="K99" s="283">
        <f>РПЗ!Z99</f>
        <v>0</v>
      </c>
      <c r="L99" s="17">
        <v>42886</v>
      </c>
      <c r="M99" s="18">
        <f>РПЗ!O99</f>
        <v>42856</v>
      </c>
      <c r="N99" s="238">
        <f>Таблица5[[#This Row],[10]]</f>
        <v>42856</v>
      </c>
      <c r="O99" s="17">
        <v>42908</v>
      </c>
      <c r="P99" s="17">
        <v>42914</v>
      </c>
      <c r="Q99" s="17">
        <v>42914</v>
      </c>
      <c r="R99" s="17">
        <v>42916</v>
      </c>
      <c r="S99" s="17">
        <v>42916</v>
      </c>
      <c r="T99" s="686">
        <v>42922</v>
      </c>
      <c r="U99" s="18">
        <f>РПЗ!P99</f>
        <v>42948</v>
      </c>
      <c r="V99" s="686">
        <v>43009</v>
      </c>
      <c r="W99" s="236">
        <f>РПЗ!L99</f>
        <v>12205889</v>
      </c>
      <c r="X99" s="689">
        <v>1</v>
      </c>
      <c r="Y99" s="689">
        <v>0</v>
      </c>
      <c r="Z99" s="691">
        <v>7720730540</v>
      </c>
      <c r="AA99" s="691" t="s">
        <v>6110</v>
      </c>
      <c r="AB99" s="111">
        <v>12205889</v>
      </c>
      <c r="AC99" s="17">
        <v>43009</v>
      </c>
      <c r="AD99" s="690" t="s">
        <v>6465</v>
      </c>
      <c r="AE99" s="686">
        <v>42922</v>
      </c>
      <c r="AF99" s="474"/>
      <c r="AG99" s="692">
        <v>12205889</v>
      </c>
      <c r="AH99" s="236">
        <f>IF(Таблица5[[#This Row],[30]]=0,"НД",Таблица5[[#This Row],[20]]-Таблица5[[#This Row],[30]])</f>
        <v>0</v>
      </c>
      <c r="AI99" s="511">
        <f>IF(((1-Таблица5[[#This Row],[30]]/Таблица5[[#This Row],[20]])=1),"НД",(1-Таблица5[[#This Row],[30]]/Таблица5[[#This Row],[20]]))</f>
        <v>0</v>
      </c>
      <c r="AJ99" s="111">
        <v>12205889</v>
      </c>
      <c r="AK99" s="111"/>
      <c r="AL99" s="512"/>
      <c r="AM99" s="513" t="s">
        <v>113</v>
      </c>
      <c r="AN99" s="801">
        <v>31705170825</v>
      </c>
      <c r="AO99" s="468" t="str">
        <f>РПЗ!AD99</f>
        <v>Нет</v>
      </c>
      <c r="AP99" s="472">
        <f>РПЗ!V99</f>
        <v>0</v>
      </c>
      <c r="AQ99" s="470">
        <f>IF(Таблица5[[#This Row],[11]]=0,,MONTH(Таблица5[[#This Row],[11]]))</f>
        <v>5</v>
      </c>
    </row>
    <row r="100" spans="1:43" ht="39" thickBot="1" x14ac:dyDescent="0.3">
      <c r="A100" s="233" t="str">
        <f t="shared" si="1"/>
        <v>1004-2017-00085</v>
      </c>
      <c r="B100" s="233" t="str">
        <f>РПЗ!$D100</f>
        <v>1004-2017-00085 Поставка Комплект лабораторно-производственной мебели для сборочных операций</v>
      </c>
      <c r="C100" s="233" t="str">
        <f>РПЗ!$AA100</f>
        <v>АО "НИИ "Полюс" им. М.Ф. Стельмаха" тел. отдела закупок 8-495-333-05-02</v>
      </c>
      <c r="D100" s="633" t="str">
        <f>РПЗ!$AB100</f>
        <v>Заказчик</v>
      </c>
      <c r="E100" s="96" t="s">
        <v>46</v>
      </c>
      <c r="F100" s="233" t="str">
        <f>РПЗ!Q100</f>
        <v>ОК</v>
      </c>
      <c r="G100" s="237"/>
      <c r="H100" s="237" t="str">
        <f>РПЗ!R100</f>
        <v>да</v>
      </c>
      <c r="I100" s="15">
        <f>РПЗ!W100</f>
        <v>0</v>
      </c>
      <c r="J100" s="233">
        <f>РПЗ!X100</f>
        <v>0</v>
      </c>
      <c r="K100" s="283">
        <f>РПЗ!Z100</f>
        <v>0</v>
      </c>
      <c r="L100" s="17"/>
      <c r="M100" s="18">
        <f>РПЗ!O100</f>
        <v>42767</v>
      </c>
      <c r="N100" s="238">
        <f>Таблица5[[#This Row],[10]]</f>
        <v>42767</v>
      </c>
      <c r="O100" s="17"/>
      <c r="P100" s="17"/>
      <c r="Q100" s="17"/>
      <c r="R100" s="17"/>
      <c r="S100" s="17"/>
      <c r="T100" s="686"/>
      <c r="U100" s="18">
        <f>РПЗ!P100</f>
        <v>42948</v>
      </c>
      <c r="V100" s="686"/>
      <c r="W100" s="236">
        <f>РПЗ!L100</f>
        <v>1150000</v>
      </c>
      <c r="X100" s="689"/>
      <c r="Y100" s="689"/>
      <c r="Z100" s="690"/>
      <c r="AA100" s="691"/>
      <c r="AB100" s="111"/>
      <c r="AC100" s="17"/>
      <c r="AD100" s="690"/>
      <c r="AE100" s="686"/>
      <c r="AF100" s="474"/>
      <c r="AG100" s="692"/>
      <c r="AH100" s="236" t="str">
        <f>IF(Таблица5[[#This Row],[30]]=0,"НД",Таблица5[[#This Row],[20]]-Таблица5[[#This Row],[30]])</f>
        <v>НД</v>
      </c>
      <c r="AI100" s="511" t="str">
        <f>IF(((1-Таблица5[[#This Row],[30]]/Таблица5[[#This Row],[20]])=1),"НД",(1-Таблица5[[#This Row],[30]]/Таблица5[[#This Row],[20]]))</f>
        <v>НД</v>
      </c>
      <c r="AJ100" s="111"/>
      <c r="AK100" s="111"/>
      <c r="AL100" s="512"/>
      <c r="AM100" s="513"/>
      <c r="AN100" s="465"/>
      <c r="AO100" s="468" t="str">
        <f>РПЗ!AD100</f>
        <v>Нет</v>
      </c>
      <c r="AP100" s="472">
        <f>РПЗ!V100</f>
        <v>0</v>
      </c>
      <c r="AQ100" s="470">
        <f>IF(Таблица5[[#This Row],[11]]=0,,MONTH(Таблица5[[#This Row],[11]]))</f>
        <v>2</v>
      </c>
    </row>
    <row r="101" spans="1:43" ht="39" thickBot="1" x14ac:dyDescent="0.3">
      <c r="A101" s="233" t="str">
        <f t="shared" si="1"/>
        <v>1004-2017-00086</v>
      </c>
      <c r="B101" s="233" t="str">
        <f>РПЗ!$D101</f>
        <v>1004-2017-00086 Поставка Сварочный комплекс типа «Контакт-3А-СК»</v>
      </c>
      <c r="C101" s="233" t="str">
        <f>РПЗ!$AA101</f>
        <v>АО "НИИ "Полюс" им. М.Ф. Стельмаха" тел. отдела закупок 8-495-333-05-02</v>
      </c>
      <c r="D101" s="633" t="str">
        <f>РПЗ!$AB101</f>
        <v>Заказчик</v>
      </c>
      <c r="E101" s="96" t="s">
        <v>46</v>
      </c>
      <c r="F101" s="233" t="str">
        <f>РПЗ!Q101</f>
        <v>ОК</v>
      </c>
      <c r="G101" s="237"/>
      <c r="H101" s="237" t="str">
        <f>РПЗ!R101</f>
        <v>да</v>
      </c>
      <c r="I101" s="15">
        <f>РПЗ!W101</f>
        <v>0</v>
      </c>
      <c r="J101" s="233">
        <f>РПЗ!X101</f>
        <v>0</v>
      </c>
      <c r="K101" s="283">
        <f>РПЗ!Z101</f>
        <v>0</v>
      </c>
      <c r="L101" s="17"/>
      <c r="M101" s="18">
        <f>РПЗ!O101</f>
        <v>42767</v>
      </c>
      <c r="N101" s="238">
        <f>Таблица5[[#This Row],[10]]</f>
        <v>42767</v>
      </c>
      <c r="O101" s="17"/>
      <c r="P101" s="17"/>
      <c r="Q101" s="17"/>
      <c r="R101" s="17"/>
      <c r="S101" s="17"/>
      <c r="T101" s="686"/>
      <c r="U101" s="18">
        <f>РПЗ!P101</f>
        <v>42948</v>
      </c>
      <c r="V101" s="686"/>
      <c r="W101" s="236">
        <f>РПЗ!L101</f>
        <v>1650000</v>
      </c>
      <c r="X101" s="689"/>
      <c r="Y101" s="689"/>
      <c r="Z101" s="690"/>
      <c r="AA101" s="691"/>
      <c r="AB101" s="111"/>
      <c r="AC101" s="17"/>
      <c r="AD101" s="690"/>
      <c r="AE101" s="686"/>
      <c r="AF101" s="474"/>
      <c r="AG101" s="692"/>
      <c r="AH101" s="236" t="str">
        <f>IF(Таблица5[[#This Row],[30]]=0,"НД",Таблица5[[#This Row],[20]]-Таблица5[[#This Row],[30]])</f>
        <v>НД</v>
      </c>
      <c r="AI101" s="511" t="str">
        <f>IF(((1-Таблица5[[#This Row],[30]]/Таблица5[[#This Row],[20]])=1),"НД",(1-Таблица5[[#This Row],[30]]/Таблица5[[#This Row],[20]]))</f>
        <v>НД</v>
      </c>
      <c r="AJ101" s="111"/>
      <c r="AK101" s="111"/>
      <c r="AL101" s="512"/>
      <c r="AM101" s="513"/>
      <c r="AN101" s="465"/>
      <c r="AO101" s="468" t="str">
        <f>РПЗ!AD101</f>
        <v>Нет</v>
      </c>
      <c r="AP101" s="472">
        <f>РПЗ!V101</f>
        <v>0</v>
      </c>
      <c r="AQ101" s="470">
        <f>IF(Таблица5[[#This Row],[11]]=0,,MONTH(Таблица5[[#This Row],[11]]))</f>
        <v>2</v>
      </c>
    </row>
    <row r="102" spans="1:43" ht="51" x14ac:dyDescent="0.25">
      <c r="A102" s="233" t="str">
        <f t="shared" si="1"/>
        <v>1004-2017-00087</v>
      </c>
      <c r="B102" s="233" t="str">
        <f>РПЗ!$D102</f>
        <v>1004-2017-00087 Проведение технического обслуживания и текущего ремонта симтемы водоподготовки "АКВА-Д"</v>
      </c>
      <c r="C102" s="233" t="str">
        <f>РПЗ!$AA102</f>
        <v>АО "НИИ "Полюс" им. М.Ф. Стельмаха" тел. отдела закупок 8-495-333-05-02</v>
      </c>
      <c r="D102" s="633" t="str">
        <f>РПЗ!$AB102</f>
        <v>Заказчик</v>
      </c>
      <c r="E102" s="96" t="s">
        <v>46</v>
      </c>
      <c r="F102" s="233" t="str">
        <f>РПЗ!Q102</f>
        <v>ОЗК</v>
      </c>
      <c r="G102" s="237"/>
      <c r="H102" s="237" t="str">
        <f>РПЗ!R102</f>
        <v>да</v>
      </c>
      <c r="I102" s="15">
        <f>РПЗ!W102</f>
        <v>0</v>
      </c>
      <c r="J102" s="233">
        <f>РПЗ!X102</f>
        <v>0</v>
      </c>
      <c r="K102" s="283">
        <f>РПЗ!Z102</f>
        <v>0</v>
      </c>
      <c r="L102" s="17"/>
      <c r="M102" s="18">
        <f>РПЗ!O102</f>
        <v>42795</v>
      </c>
      <c r="N102" s="238">
        <f>Таблица5[[#This Row],[10]]</f>
        <v>42795</v>
      </c>
      <c r="O102" s="17"/>
      <c r="P102" s="17"/>
      <c r="Q102" s="17"/>
      <c r="R102" s="17"/>
      <c r="S102" s="17"/>
      <c r="T102" s="686"/>
      <c r="U102" s="18">
        <f>РПЗ!P102</f>
        <v>43160</v>
      </c>
      <c r="V102" s="686"/>
      <c r="W102" s="236">
        <f>РПЗ!L102</f>
        <v>120000</v>
      </c>
      <c r="X102" s="689"/>
      <c r="Y102" s="689"/>
      <c r="Z102" s="690"/>
      <c r="AA102" s="691"/>
      <c r="AB102" s="111"/>
      <c r="AC102" s="17"/>
      <c r="AD102" s="690"/>
      <c r="AE102" s="686"/>
      <c r="AF102" s="474"/>
      <c r="AG102" s="692"/>
      <c r="AH102" s="236" t="str">
        <f>IF(Таблица5[[#This Row],[30]]=0,"НД",Таблица5[[#This Row],[20]]-Таблица5[[#This Row],[30]])</f>
        <v>НД</v>
      </c>
      <c r="AI102" s="511" t="str">
        <f>IF(((1-Таблица5[[#This Row],[30]]/Таблица5[[#This Row],[20]])=1),"НД",(1-Таблица5[[#This Row],[30]]/Таблица5[[#This Row],[20]]))</f>
        <v>НД</v>
      </c>
      <c r="AJ102" s="111"/>
      <c r="AK102" s="111"/>
      <c r="AL102" s="512"/>
      <c r="AM102" s="513"/>
      <c r="AN102" s="465"/>
      <c r="AO102" s="468" t="str">
        <f>РПЗ!AD102</f>
        <v>Нет</v>
      </c>
      <c r="AP102" s="472">
        <f>РПЗ!V102</f>
        <v>0</v>
      </c>
      <c r="AQ102" s="470">
        <f>IF(Таблица5[[#This Row],[11]]=0,,MONTH(Таблица5[[#This Row],[11]]))</f>
        <v>3</v>
      </c>
    </row>
    <row r="103" spans="1:43" ht="39" thickBot="1" x14ac:dyDescent="0.3">
      <c r="A103" s="233" t="str">
        <f t="shared" si="1"/>
        <v>1004-2017-00088</v>
      </c>
      <c r="B103" s="233" t="str">
        <f>РПЗ!$D103</f>
        <v>1004-2017-00088 Поставка пластин ТЛ 0010.10.014</v>
      </c>
      <c r="C103" s="233" t="str">
        <f>РПЗ!$AA103</f>
        <v>АО "НИИ "Полюс" им. М.Ф. Стельмаха" тел. отдела закупок 8-495-333-05-02</v>
      </c>
      <c r="D103" s="633" t="str">
        <f>РПЗ!$AB103</f>
        <v>Заказчик</v>
      </c>
      <c r="E103" s="510" t="s">
        <v>62</v>
      </c>
      <c r="F103" s="233" t="str">
        <f>РПЗ!Q103</f>
        <v>ЕП</v>
      </c>
      <c r="G103" s="237" t="str">
        <f>Таблица5[[#This Row],[6]]</f>
        <v>ЕП</v>
      </c>
      <c r="H103" s="237" t="str">
        <f>РПЗ!R103</f>
        <v>Нет</v>
      </c>
      <c r="I103" s="15" t="str">
        <f>РПЗ!W103</f>
        <v>6.6.2(11)</v>
      </c>
      <c r="J103" s="233">
        <f>РПЗ!X103</f>
        <v>7729746311</v>
      </c>
      <c r="K103" s="283">
        <f>РПЗ!Z103</f>
        <v>3802500</v>
      </c>
      <c r="L103" s="17">
        <v>42759</v>
      </c>
      <c r="M103" s="18">
        <f>РПЗ!O103</f>
        <v>42736</v>
      </c>
      <c r="N103" s="238">
        <f>Таблица5[[#This Row],[10]]</f>
        <v>42736</v>
      </c>
      <c r="O103" s="17"/>
      <c r="P103" s="17"/>
      <c r="Q103" s="17"/>
      <c r="R103" s="17"/>
      <c r="S103" s="17"/>
      <c r="T103" s="686">
        <v>42765</v>
      </c>
      <c r="U103" s="18">
        <f>РПЗ!P103</f>
        <v>42736</v>
      </c>
      <c r="V103" s="686">
        <v>43070</v>
      </c>
      <c r="W103" s="236">
        <f>РПЗ!L103</f>
        <v>3802500</v>
      </c>
      <c r="X103" s="689">
        <v>1</v>
      </c>
      <c r="Y103" s="689">
        <v>0</v>
      </c>
      <c r="Z103" s="691">
        <v>7729746311</v>
      </c>
      <c r="AA103" s="691" t="s">
        <v>3305</v>
      </c>
      <c r="AB103" s="111">
        <v>3802500</v>
      </c>
      <c r="AC103" s="17">
        <v>43070</v>
      </c>
      <c r="AD103" s="690" t="s">
        <v>4826</v>
      </c>
      <c r="AE103" s="686">
        <v>42765</v>
      </c>
      <c r="AF103" s="474"/>
      <c r="AG103" s="692">
        <v>3802500</v>
      </c>
      <c r="AH103" s="236">
        <f>IF(Таблица5[[#This Row],[30]]=0,"НД",Таблица5[[#This Row],[20]]-Таблица5[[#This Row],[30]])</f>
        <v>0</v>
      </c>
      <c r="AI103" s="511">
        <f>IF(((1-Таблица5[[#This Row],[30]]/Таблица5[[#This Row],[20]])=1),"НД",(1-Таблица5[[#This Row],[30]]/Таблица5[[#This Row],[20]]))</f>
        <v>0</v>
      </c>
      <c r="AJ103" s="111"/>
      <c r="AK103" s="111"/>
      <c r="AL103" s="512"/>
      <c r="AM103" s="513" t="s">
        <v>113</v>
      </c>
      <c r="AN103" s="465"/>
      <c r="AO103" s="468" t="str">
        <f>РПЗ!AD103</f>
        <v>Нет</v>
      </c>
      <c r="AP103" s="472">
        <f>РПЗ!V103</f>
        <v>0</v>
      </c>
      <c r="AQ103" s="470">
        <f>IF(Таблица5[[#This Row],[11]]=0,,MONTH(Таблица5[[#This Row],[11]]))</f>
        <v>1</v>
      </c>
    </row>
    <row r="104" spans="1:43" ht="39" thickBot="1" x14ac:dyDescent="0.3">
      <c r="A104" s="233" t="str">
        <f t="shared" si="1"/>
        <v>1004-2017-00089</v>
      </c>
      <c r="B104" s="233" t="str">
        <f>РПЗ!$D104</f>
        <v>1004-2017-00089Выполнение строительно-монтажные работы (БМД)</v>
      </c>
      <c r="C104" s="233" t="str">
        <f>РПЗ!$AA104</f>
        <v>АО "НИИ "Полюс" им. М.Ф. Стельмаха" тел. отдела закупок 8-495-333-05-02</v>
      </c>
      <c r="D104" s="633" t="str">
        <f>РПЗ!$AB104</f>
        <v>Заказчик</v>
      </c>
      <c r="E104" s="96" t="s">
        <v>46</v>
      </c>
      <c r="F104" s="233" t="str">
        <f>РПЗ!Q104</f>
        <v>ОК</v>
      </c>
      <c r="G104" s="237"/>
      <c r="H104" s="237" t="str">
        <f>РПЗ!R104</f>
        <v>да</v>
      </c>
      <c r="I104" s="15">
        <f>РПЗ!W104</f>
        <v>0</v>
      </c>
      <c r="J104" s="233">
        <f>РПЗ!X104</f>
        <v>0</v>
      </c>
      <c r="K104" s="283">
        <f>РПЗ!Z104</f>
        <v>0</v>
      </c>
      <c r="L104" s="17"/>
      <c r="M104" s="18">
        <f>РПЗ!O104</f>
        <v>42767</v>
      </c>
      <c r="N104" s="238">
        <f>Таблица5[[#This Row],[10]]</f>
        <v>42767</v>
      </c>
      <c r="O104" s="17"/>
      <c r="P104" s="17"/>
      <c r="Q104" s="17"/>
      <c r="R104" s="17"/>
      <c r="S104" s="17"/>
      <c r="T104" s="686"/>
      <c r="U104" s="18">
        <f>РПЗ!P104</f>
        <v>43040</v>
      </c>
      <c r="V104" s="686"/>
      <c r="W104" s="236">
        <f>РПЗ!L104</f>
        <v>8845000</v>
      </c>
      <c r="X104" s="689"/>
      <c r="Y104" s="689"/>
      <c r="Z104" s="690"/>
      <c r="AA104" s="691"/>
      <c r="AB104" s="111"/>
      <c r="AC104" s="17"/>
      <c r="AD104" s="690"/>
      <c r="AE104" s="686"/>
      <c r="AF104" s="474"/>
      <c r="AG104" s="692"/>
      <c r="AH104" s="236" t="str">
        <f>IF(Таблица5[[#This Row],[30]]=0,"НД",Таблица5[[#This Row],[20]]-Таблица5[[#This Row],[30]])</f>
        <v>НД</v>
      </c>
      <c r="AI104" s="511" t="str">
        <f>IF(((1-Таблица5[[#This Row],[30]]/Таблица5[[#This Row],[20]])=1),"НД",(1-Таблица5[[#This Row],[30]]/Таблица5[[#This Row],[20]]))</f>
        <v>НД</v>
      </c>
      <c r="AJ104" s="111"/>
      <c r="AK104" s="111"/>
      <c r="AL104" s="512"/>
      <c r="AM104" s="513"/>
      <c r="AN104" s="465"/>
      <c r="AO104" s="468" t="str">
        <f>РПЗ!AD104</f>
        <v>Нет</v>
      </c>
      <c r="AP104" s="472">
        <f>РПЗ!V104</f>
        <v>0</v>
      </c>
      <c r="AQ104" s="470">
        <f>IF(Таблица5[[#This Row],[11]]=0,,MONTH(Таблица5[[#This Row],[11]]))</f>
        <v>2</v>
      </c>
    </row>
    <row r="105" spans="1:43" ht="39" thickBot="1" x14ac:dyDescent="0.3">
      <c r="A105" s="233" t="str">
        <f t="shared" si="1"/>
        <v>1004-2017-00090</v>
      </c>
      <c r="B105" s="233" t="str">
        <f>РПЗ!$D105</f>
        <v>1004-2017-00090 Выполнение строительно-монтажные работ (Глонасс)</v>
      </c>
      <c r="C105" s="233" t="str">
        <f>РПЗ!$AA105</f>
        <v>АО "НИИ "Полюс" им. М.Ф. Стельмаха" тел. отдела закупок 8-495-333-05-02</v>
      </c>
      <c r="D105" s="633" t="str">
        <f>РПЗ!$AB105</f>
        <v>Заказчик</v>
      </c>
      <c r="E105" s="96" t="s">
        <v>46</v>
      </c>
      <c r="F105" s="233" t="str">
        <f>РПЗ!Q105</f>
        <v>ОК</v>
      </c>
      <c r="G105" s="237"/>
      <c r="H105" s="237" t="str">
        <f>РПЗ!R105</f>
        <v>да</v>
      </c>
      <c r="I105" s="15">
        <f>РПЗ!W105</f>
        <v>0</v>
      </c>
      <c r="J105" s="233">
        <f>РПЗ!X105</f>
        <v>0</v>
      </c>
      <c r="K105" s="283">
        <f>РПЗ!Z105</f>
        <v>0</v>
      </c>
      <c r="L105" s="17"/>
      <c r="M105" s="18">
        <f>РПЗ!O105</f>
        <v>42795</v>
      </c>
      <c r="N105" s="238">
        <f>Таблица5[[#This Row],[10]]</f>
        <v>42795</v>
      </c>
      <c r="O105" s="17"/>
      <c r="P105" s="17"/>
      <c r="Q105" s="17"/>
      <c r="R105" s="17"/>
      <c r="S105" s="17"/>
      <c r="T105" s="686"/>
      <c r="U105" s="18">
        <f>РПЗ!P105</f>
        <v>43070</v>
      </c>
      <c r="V105" s="686"/>
      <c r="W105" s="236">
        <f>РПЗ!L105</f>
        <v>13200000</v>
      </c>
      <c r="X105" s="689"/>
      <c r="Y105" s="689"/>
      <c r="Z105" s="690"/>
      <c r="AA105" s="691"/>
      <c r="AB105" s="111"/>
      <c r="AC105" s="17"/>
      <c r="AD105" s="690"/>
      <c r="AE105" s="686"/>
      <c r="AF105" s="474"/>
      <c r="AG105" s="692"/>
      <c r="AH105" s="236" t="str">
        <f>IF(Таблица5[[#This Row],[30]]=0,"НД",Таблица5[[#This Row],[20]]-Таблица5[[#This Row],[30]])</f>
        <v>НД</v>
      </c>
      <c r="AI105" s="511" t="str">
        <f>IF(((1-Таблица5[[#This Row],[30]]/Таблица5[[#This Row],[20]])=1),"НД",(1-Таблица5[[#This Row],[30]]/Таблица5[[#This Row],[20]]))</f>
        <v>НД</v>
      </c>
      <c r="AJ105" s="111"/>
      <c r="AK105" s="111"/>
      <c r="AL105" s="512"/>
      <c r="AM105" s="513"/>
      <c r="AN105" s="465"/>
      <c r="AO105" s="468" t="str">
        <f>РПЗ!AD105</f>
        <v>Нет</v>
      </c>
      <c r="AP105" s="472">
        <f>РПЗ!V105</f>
        <v>0</v>
      </c>
      <c r="AQ105" s="470">
        <f>IF(Таблица5[[#This Row],[11]]=0,,MONTH(Таблица5[[#This Row],[11]]))</f>
        <v>3</v>
      </c>
    </row>
    <row r="106" spans="1:43" ht="115.5" thickBot="1" x14ac:dyDescent="0.3">
      <c r="A106" s="233" t="str">
        <f t="shared" si="1"/>
        <v>1004-2017-00091</v>
      </c>
      <c r="B106" s="233" t="str">
        <f>РПЗ!$D106</f>
        <v>1004-2017-00091 Поставка вычислительной техники, оргтехники, экземпляров программного обеспечения, расходных материалов и передачи Прав на использование программного обеспечения на условиях простой (неисключительной) лицензии</v>
      </c>
      <c r="C106" s="233" t="str">
        <f>РПЗ!$AA106</f>
        <v>АО "НИИ "Полюс" им. М.Ф. Стельмаха" тел. отдела закупок 8-495-333-05-02</v>
      </c>
      <c r="D106" s="633" t="str">
        <f>РПЗ!$AB106</f>
        <v>Заказчик</v>
      </c>
      <c r="E106" s="96" t="s">
        <v>46</v>
      </c>
      <c r="F106" s="233" t="str">
        <f>РПЗ!Q106</f>
        <v>ОЗК</v>
      </c>
      <c r="G106" s="237"/>
      <c r="H106" s="237" t="str">
        <f>РПЗ!R106</f>
        <v>да</v>
      </c>
      <c r="I106" s="15">
        <f>РПЗ!W106</f>
        <v>0</v>
      </c>
      <c r="J106" s="233">
        <f>РПЗ!X106</f>
        <v>0</v>
      </c>
      <c r="K106" s="283">
        <f>РПЗ!Z106</f>
        <v>0</v>
      </c>
      <c r="L106" s="17"/>
      <c r="M106" s="18">
        <f>РПЗ!O106</f>
        <v>43040</v>
      </c>
      <c r="N106" s="238">
        <f>Таблица5[[#This Row],[10]]</f>
        <v>43040</v>
      </c>
      <c r="O106" s="17"/>
      <c r="P106" s="17"/>
      <c r="Q106" s="17"/>
      <c r="R106" s="17"/>
      <c r="S106" s="17"/>
      <c r="T106" s="686"/>
      <c r="U106" s="18">
        <f>РПЗ!P106</f>
        <v>43101</v>
      </c>
      <c r="V106" s="761"/>
      <c r="W106" s="236">
        <f>РПЗ!L106</f>
        <v>3742685.52</v>
      </c>
      <c r="X106" s="689"/>
      <c r="Y106" s="689"/>
      <c r="Z106" s="690"/>
      <c r="AA106" s="691"/>
      <c r="AB106" s="111"/>
      <c r="AC106" s="17"/>
      <c r="AD106" s="690"/>
      <c r="AE106" s="686"/>
      <c r="AF106" s="474"/>
      <c r="AG106" s="814"/>
      <c r="AH106" s="236" t="str">
        <f>IF(Таблица5[[#This Row],[30]]=0,"НД",Таблица5[[#This Row],[20]]-Таблица5[[#This Row],[30]])</f>
        <v>НД</v>
      </c>
      <c r="AI106" s="511" t="str">
        <f>IF(((1-Таблица5[[#This Row],[30]]/Таблица5[[#This Row],[20]])=1),"НД",(1-Таблица5[[#This Row],[30]]/Таблица5[[#This Row],[20]]))</f>
        <v>НД</v>
      </c>
      <c r="AJ106" s="111"/>
      <c r="AK106" s="111"/>
      <c r="AL106" s="512"/>
      <c r="AM106" s="513"/>
      <c r="AN106" s="465"/>
      <c r="AO106" s="468" t="str">
        <f>РПЗ!AD106</f>
        <v>Нет</v>
      </c>
      <c r="AP106" s="472">
        <f>РПЗ!V106</f>
        <v>0</v>
      </c>
      <c r="AQ106" s="470">
        <f>IF(Таблица5[[#This Row],[11]]=0,,MONTH(Таблица5[[#This Row],[11]]))</f>
        <v>11</v>
      </c>
    </row>
    <row r="107" spans="1:43" ht="102.75" thickBot="1" x14ac:dyDescent="0.3">
      <c r="A107" s="233" t="str">
        <f t="shared" si="1"/>
        <v>1004-2017-00092</v>
      </c>
      <c r="B107" s="233" t="str">
        <f>РПЗ!$D107</f>
        <v>1004-2017-00092  Поставка экземпляров программного обеспечения Autodesk Inventor Professional 2017 и передача Прав на использование программного обеспечения Altium Designer на условиях простой (неисключительной) лицензии</v>
      </c>
      <c r="C107" s="233" t="str">
        <f>РПЗ!$AA107</f>
        <v>АО "НИИ "Полюс" им. М.Ф. Стельмаха" тел. отдела закупок 8-495-333-05-02</v>
      </c>
      <c r="D107" s="633" t="str">
        <f>РПЗ!$AB107</f>
        <v>Заказчик</v>
      </c>
      <c r="E107" s="96" t="s">
        <v>46</v>
      </c>
      <c r="F107" s="233" t="str">
        <f>РПЗ!Q107</f>
        <v>ОЗК</v>
      </c>
      <c r="G107" s="237"/>
      <c r="H107" s="237" t="str">
        <f>РПЗ!R107</f>
        <v>да</v>
      </c>
      <c r="I107" s="15">
        <f>РПЗ!W107</f>
        <v>0</v>
      </c>
      <c r="J107" s="233">
        <f>РПЗ!X107</f>
        <v>0</v>
      </c>
      <c r="K107" s="283">
        <f>РПЗ!Z107</f>
        <v>0</v>
      </c>
      <c r="L107" s="17"/>
      <c r="M107" s="18">
        <f>РПЗ!O107</f>
        <v>43040</v>
      </c>
      <c r="N107" s="238">
        <f>Таблица5[[#This Row],[10]]</f>
        <v>43040</v>
      </c>
      <c r="O107" s="17"/>
      <c r="P107" s="17"/>
      <c r="Q107" s="17"/>
      <c r="R107" s="17"/>
      <c r="S107" s="17"/>
      <c r="T107" s="686"/>
      <c r="U107" s="18">
        <f>РПЗ!P107</f>
        <v>43101</v>
      </c>
      <c r="V107" s="761"/>
      <c r="W107" s="236">
        <f>РПЗ!L107</f>
        <v>1190000</v>
      </c>
      <c r="X107" s="689"/>
      <c r="Y107" s="689"/>
      <c r="Z107" s="690"/>
      <c r="AA107" s="691"/>
      <c r="AB107" s="111"/>
      <c r="AC107" s="17"/>
      <c r="AD107" s="690"/>
      <c r="AE107" s="686"/>
      <c r="AF107" s="474"/>
      <c r="AG107" s="814"/>
      <c r="AH107" s="236" t="str">
        <f>IF(Таблица5[[#This Row],[30]]=0,"НД",Таблица5[[#This Row],[20]]-Таблица5[[#This Row],[30]])</f>
        <v>НД</v>
      </c>
      <c r="AI107" s="511" t="str">
        <f>IF(((1-Таблица5[[#This Row],[30]]/Таблица5[[#This Row],[20]])=1),"НД",(1-Таблица5[[#This Row],[30]]/Таблица5[[#This Row],[20]]))</f>
        <v>НД</v>
      </c>
      <c r="AJ107" s="111"/>
      <c r="AK107" s="111"/>
      <c r="AL107" s="512"/>
      <c r="AM107" s="513"/>
      <c r="AN107" s="465"/>
      <c r="AO107" s="468" t="str">
        <f>РПЗ!AD107</f>
        <v>Нет</v>
      </c>
      <c r="AP107" s="472">
        <f>РПЗ!V107</f>
        <v>0</v>
      </c>
      <c r="AQ107" s="470">
        <f>IF(Таблица5[[#This Row],[11]]=0,,MONTH(Таблица5[[#This Row],[11]]))</f>
        <v>11</v>
      </c>
    </row>
    <row r="108" spans="1:43" ht="64.5" thickBot="1" x14ac:dyDescent="0.3">
      <c r="A108" s="233" t="str">
        <f t="shared" si="1"/>
        <v>1004-2017-00093</v>
      </c>
      <c r="B108" s="233" t="str">
        <f>РПЗ!$D108</f>
        <v>1004-2017-00093 Выполнение работ по Восстановительный ремонт защитно-герметичных дверей ЗС ГО: ДЗГМ 80х180 (2шт) и ДЗГМ 80х200 (4шт)</v>
      </c>
      <c r="C108" s="233" t="str">
        <f>РПЗ!$AA108</f>
        <v>АО "НИИ "Полюс" им. М.Ф. Стельмаха" тел. отдела закупок 8-495-333-05-02</v>
      </c>
      <c r="D108" s="633" t="str">
        <f>РПЗ!$AB108</f>
        <v>Заказчик</v>
      </c>
      <c r="E108" s="96" t="s">
        <v>46</v>
      </c>
      <c r="F108" s="233" t="str">
        <f>РПЗ!Q108</f>
        <v>ОЗК</v>
      </c>
      <c r="G108" s="237"/>
      <c r="H108" s="237" t="str">
        <f>РПЗ!R108</f>
        <v>да</v>
      </c>
      <c r="I108" s="15">
        <f>РПЗ!W108</f>
        <v>0</v>
      </c>
      <c r="J108" s="233">
        <f>РПЗ!X108</f>
        <v>0</v>
      </c>
      <c r="K108" s="283">
        <f>РПЗ!Z108</f>
        <v>0</v>
      </c>
      <c r="L108" s="17"/>
      <c r="M108" s="18">
        <f>РПЗ!O108</f>
        <v>42767</v>
      </c>
      <c r="N108" s="238">
        <f>Таблица5[[#This Row],[10]]</f>
        <v>42767</v>
      </c>
      <c r="O108" s="17"/>
      <c r="P108" s="17"/>
      <c r="Q108" s="17"/>
      <c r="R108" s="17"/>
      <c r="S108" s="17"/>
      <c r="T108" s="686"/>
      <c r="U108" s="18">
        <f>РПЗ!P108</f>
        <v>42826</v>
      </c>
      <c r="V108" s="686"/>
      <c r="W108" s="236">
        <f>РПЗ!L108</f>
        <v>150000</v>
      </c>
      <c r="X108" s="689"/>
      <c r="Y108" s="689"/>
      <c r="Z108" s="690"/>
      <c r="AA108" s="691"/>
      <c r="AB108" s="111"/>
      <c r="AC108" s="17"/>
      <c r="AD108" s="690"/>
      <c r="AE108" s="686"/>
      <c r="AF108" s="474"/>
      <c r="AG108" s="692"/>
      <c r="AH108" s="236" t="str">
        <f>IF(Таблица5[[#This Row],[30]]=0,"НД",Таблица5[[#This Row],[20]]-Таблица5[[#This Row],[30]])</f>
        <v>НД</v>
      </c>
      <c r="AI108" s="511" t="str">
        <f>IF(((1-Таблица5[[#This Row],[30]]/Таблица5[[#This Row],[20]])=1),"НД",(1-Таблица5[[#This Row],[30]]/Таблица5[[#This Row],[20]]))</f>
        <v>НД</v>
      </c>
      <c r="AJ108" s="111"/>
      <c r="AK108" s="111"/>
      <c r="AL108" s="512"/>
      <c r="AM108" s="513"/>
      <c r="AN108" s="465"/>
      <c r="AO108" s="468" t="str">
        <f>РПЗ!AD108</f>
        <v>Нет</v>
      </c>
      <c r="AP108" s="472">
        <f>РПЗ!V108</f>
        <v>0</v>
      </c>
      <c r="AQ108" s="470">
        <f>IF(Таблица5[[#This Row],[11]]=0,,MONTH(Таблица5[[#This Row],[11]]))</f>
        <v>2</v>
      </c>
    </row>
    <row r="109" spans="1:43" ht="51.75" thickBot="1" x14ac:dyDescent="0.3">
      <c r="A109" s="233" t="str">
        <f t="shared" si="1"/>
        <v>1004-2017-00094</v>
      </c>
      <c r="B109" s="233" t="str">
        <f>РПЗ!$D109</f>
        <v>1004-2017-00094 Выполнение работ по Восстановительный ремонт защитно-герметичных дверей ЗС ГО: ДЗГМ 80х200</v>
      </c>
      <c r="C109" s="233" t="str">
        <f>РПЗ!$AA109</f>
        <v>АО "НИИ "Полюс" им. М.Ф. Стельмаха" тел. отдела закупок 8-495-333-05-02</v>
      </c>
      <c r="D109" s="633" t="str">
        <f>РПЗ!$AB109</f>
        <v>Заказчик</v>
      </c>
      <c r="E109" s="96" t="s">
        <v>46</v>
      </c>
      <c r="F109" s="233" t="str">
        <f>РПЗ!Q109</f>
        <v>ОЗК</v>
      </c>
      <c r="G109" s="237"/>
      <c r="H109" s="237" t="str">
        <f>РПЗ!R109</f>
        <v>да</v>
      </c>
      <c r="I109" s="15">
        <f>РПЗ!W109</f>
        <v>0</v>
      </c>
      <c r="J109" s="233">
        <f>РПЗ!X109</f>
        <v>0</v>
      </c>
      <c r="K109" s="283">
        <f>РПЗ!Z109</f>
        <v>0</v>
      </c>
      <c r="L109" s="17"/>
      <c r="M109" s="18">
        <f>РПЗ!O109</f>
        <v>42856</v>
      </c>
      <c r="N109" s="238">
        <f>Таблица5[[#This Row],[10]]</f>
        <v>42856</v>
      </c>
      <c r="O109" s="17"/>
      <c r="P109" s="17"/>
      <c r="Q109" s="17"/>
      <c r="R109" s="17"/>
      <c r="S109" s="17"/>
      <c r="T109" s="686"/>
      <c r="U109" s="18">
        <f>РПЗ!P109</f>
        <v>42917</v>
      </c>
      <c r="V109" s="686"/>
      <c r="W109" s="236">
        <f>РПЗ!L109</f>
        <v>150000</v>
      </c>
      <c r="X109" s="689"/>
      <c r="Y109" s="689"/>
      <c r="Z109" s="690"/>
      <c r="AA109" s="691"/>
      <c r="AB109" s="111"/>
      <c r="AC109" s="17"/>
      <c r="AD109" s="690"/>
      <c r="AE109" s="686"/>
      <c r="AF109" s="474"/>
      <c r="AG109" s="692"/>
      <c r="AH109" s="236" t="str">
        <f>IF(Таблица5[[#This Row],[30]]=0,"НД",Таблица5[[#This Row],[20]]-Таблица5[[#This Row],[30]])</f>
        <v>НД</v>
      </c>
      <c r="AI109" s="511" t="str">
        <f>IF(((1-Таблица5[[#This Row],[30]]/Таблица5[[#This Row],[20]])=1),"НД",(1-Таблица5[[#This Row],[30]]/Таблица5[[#This Row],[20]]))</f>
        <v>НД</v>
      </c>
      <c r="AJ109" s="111"/>
      <c r="AK109" s="111"/>
      <c r="AL109" s="512"/>
      <c r="AM109" s="513"/>
      <c r="AN109" s="465"/>
      <c r="AO109" s="468" t="str">
        <f>РПЗ!AD109</f>
        <v>Нет</v>
      </c>
      <c r="AP109" s="472">
        <f>РПЗ!V109</f>
        <v>0</v>
      </c>
      <c r="AQ109" s="470">
        <f>IF(Таблица5[[#This Row],[11]]=0,,MONTH(Таблица5[[#This Row],[11]]))</f>
        <v>5</v>
      </c>
    </row>
    <row r="110" spans="1:43" ht="51.75" thickBot="1" x14ac:dyDescent="0.3">
      <c r="A110" s="233" t="str">
        <f t="shared" si="1"/>
        <v>1004-2017-00095</v>
      </c>
      <c r="B110" s="233" t="str">
        <f>РПЗ!$D110</f>
        <v>1004-2017-00095  Выполнение работ по Восстановительный ремонт защитно-герметичных дверей ЗС ГО: ДЗГМ 80х200</v>
      </c>
      <c r="C110" s="233" t="str">
        <f>РПЗ!$AA110</f>
        <v>АО "НИИ "Полюс" им. М.Ф. Стельмаха" тел. отдела закупок 8-495-333-05-02</v>
      </c>
      <c r="D110" s="633" t="str">
        <f>РПЗ!$AB110</f>
        <v>Заказчик</v>
      </c>
      <c r="E110" s="96" t="s">
        <v>46</v>
      </c>
      <c r="F110" s="233" t="str">
        <f>РПЗ!Q110</f>
        <v>ОЗК</v>
      </c>
      <c r="G110" s="237"/>
      <c r="H110" s="237" t="str">
        <f>РПЗ!R110</f>
        <v>да</v>
      </c>
      <c r="I110" s="15">
        <f>РПЗ!W110</f>
        <v>0</v>
      </c>
      <c r="J110" s="233">
        <f>РПЗ!X110</f>
        <v>0</v>
      </c>
      <c r="K110" s="283">
        <f>РПЗ!Z110</f>
        <v>0</v>
      </c>
      <c r="L110" s="17"/>
      <c r="M110" s="18">
        <f>РПЗ!O110</f>
        <v>42948</v>
      </c>
      <c r="N110" s="238">
        <f>Таблица5[[#This Row],[10]]</f>
        <v>42948</v>
      </c>
      <c r="O110" s="17"/>
      <c r="P110" s="17"/>
      <c r="Q110" s="17"/>
      <c r="R110" s="17"/>
      <c r="S110" s="17"/>
      <c r="T110" s="686"/>
      <c r="U110" s="18">
        <f>РПЗ!P110</f>
        <v>43009</v>
      </c>
      <c r="V110" s="686"/>
      <c r="W110" s="236">
        <f>РПЗ!L110</f>
        <v>150000</v>
      </c>
      <c r="X110" s="689"/>
      <c r="Y110" s="689"/>
      <c r="Z110" s="690"/>
      <c r="AA110" s="691"/>
      <c r="AB110" s="111"/>
      <c r="AC110" s="17"/>
      <c r="AD110" s="690"/>
      <c r="AE110" s="686"/>
      <c r="AF110" s="474"/>
      <c r="AG110" s="692"/>
      <c r="AH110" s="236" t="str">
        <f>IF(Таблица5[[#This Row],[30]]=0,"НД",Таблица5[[#This Row],[20]]-Таблица5[[#This Row],[30]])</f>
        <v>НД</v>
      </c>
      <c r="AI110" s="511" t="str">
        <f>IF(((1-Таблица5[[#This Row],[30]]/Таблица5[[#This Row],[20]])=1),"НД",(1-Таблица5[[#This Row],[30]]/Таблица5[[#This Row],[20]]))</f>
        <v>НД</v>
      </c>
      <c r="AJ110" s="111"/>
      <c r="AK110" s="111"/>
      <c r="AL110" s="512"/>
      <c r="AM110" s="513"/>
      <c r="AN110" s="465"/>
      <c r="AO110" s="468" t="str">
        <f>РПЗ!AD110</f>
        <v>Нет</v>
      </c>
      <c r="AP110" s="472">
        <f>РПЗ!V110</f>
        <v>0</v>
      </c>
      <c r="AQ110" s="470">
        <f>IF(Таблица5[[#This Row],[11]]=0,,MONTH(Таблица5[[#This Row],[11]]))</f>
        <v>8</v>
      </c>
    </row>
    <row r="111" spans="1:43" ht="51.75" thickBot="1" x14ac:dyDescent="0.3">
      <c r="A111" s="233" t="str">
        <f t="shared" si="1"/>
        <v>1004-2017-00096</v>
      </c>
      <c r="B111" s="233" t="str">
        <f>РПЗ!$D111</f>
        <v>1004-2017-00096 Выполнение работ по  Восстановительный ремонт защитно-герметичных дверей ЗС ГО: ДЗГМ 80х200</v>
      </c>
      <c r="C111" s="233" t="str">
        <f>РПЗ!$AA111</f>
        <v>АО "НИИ "Полюс" им. М.Ф. Стельмаха" тел. отдела закупок 8-495-333-05-02</v>
      </c>
      <c r="D111" s="633" t="str">
        <f>РПЗ!$AB111</f>
        <v>Заказчик</v>
      </c>
      <c r="E111" s="96" t="s">
        <v>46</v>
      </c>
      <c r="F111" s="233" t="str">
        <f>РПЗ!Q111</f>
        <v>ОЗК</v>
      </c>
      <c r="G111" s="237"/>
      <c r="H111" s="237" t="str">
        <f>РПЗ!R111</f>
        <v>да</v>
      </c>
      <c r="I111" s="15">
        <f>РПЗ!W111</f>
        <v>0</v>
      </c>
      <c r="J111" s="233">
        <f>РПЗ!X111</f>
        <v>0</v>
      </c>
      <c r="K111" s="283">
        <f>РПЗ!Z111</f>
        <v>0</v>
      </c>
      <c r="L111" s="17"/>
      <c r="M111" s="18">
        <f>РПЗ!O111</f>
        <v>43040</v>
      </c>
      <c r="N111" s="238">
        <f>Таблица5[[#This Row],[10]]</f>
        <v>43040</v>
      </c>
      <c r="O111" s="17"/>
      <c r="P111" s="17"/>
      <c r="Q111" s="17"/>
      <c r="R111" s="17"/>
      <c r="S111" s="17"/>
      <c r="T111" s="686"/>
      <c r="U111" s="18">
        <f>РПЗ!P111</f>
        <v>43070</v>
      </c>
      <c r="V111" s="686"/>
      <c r="W111" s="236">
        <f>РПЗ!L111</f>
        <v>150000</v>
      </c>
      <c r="X111" s="689"/>
      <c r="Y111" s="689"/>
      <c r="Z111" s="690"/>
      <c r="AA111" s="691"/>
      <c r="AB111" s="111"/>
      <c r="AC111" s="17"/>
      <c r="AD111" s="690"/>
      <c r="AE111" s="686"/>
      <c r="AF111" s="474"/>
      <c r="AG111" s="692"/>
      <c r="AH111" s="236" t="str">
        <f>IF(Таблица5[[#This Row],[30]]=0,"НД",Таблица5[[#This Row],[20]]-Таблица5[[#This Row],[30]])</f>
        <v>НД</v>
      </c>
      <c r="AI111" s="511" t="str">
        <f>IF(((1-Таблица5[[#This Row],[30]]/Таблица5[[#This Row],[20]])=1),"НД",(1-Таблица5[[#This Row],[30]]/Таблица5[[#This Row],[20]]))</f>
        <v>НД</v>
      </c>
      <c r="AJ111" s="111"/>
      <c r="AK111" s="111"/>
      <c r="AL111" s="512"/>
      <c r="AM111" s="513"/>
      <c r="AN111" s="465"/>
      <c r="AO111" s="468" t="str">
        <f>РПЗ!AD111</f>
        <v>Нет</v>
      </c>
      <c r="AP111" s="472">
        <f>РПЗ!V111</f>
        <v>0</v>
      </c>
      <c r="AQ111" s="470">
        <f>IF(Таблица5[[#This Row],[11]]=0,,MONTH(Таблица5[[#This Row],[11]]))</f>
        <v>11</v>
      </c>
    </row>
    <row r="112" spans="1:43" ht="77.25" thickBot="1" x14ac:dyDescent="0.3">
      <c r="A112" s="233" t="str">
        <f t="shared" si="1"/>
        <v>1004-2017-00097</v>
      </c>
      <c r="B112" s="233" t="str">
        <f>РПЗ!$D112</f>
        <v xml:space="preserve">1004-2017-00097  Выполнение работ по Замена спринклерных головок, опресовка и ремонт водяной спринклерной системы пожаротушения в помещениях гаража </v>
      </c>
      <c r="C112" s="233" t="str">
        <f>РПЗ!$AA112</f>
        <v>АО "НИИ "Полюс" им. М.Ф. Стельмаха" тел. отдела закупок 8-495-333-05-02</v>
      </c>
      <c r="D112" s="633" t="str">
        <f>РПЗ!$AB112</f>
        <v>Заказчик</v>
      </c>
      <c r="E112" s="96" t="s">
        <v>46</v>
      </c>
      <c r="F112" s="233" t="str">
        <f>РПЗ!Q112</f>
        <v>ОЗК</v>
      </c>
      <c r="G112" s="237"/>
      <c r="H112" s="237" t="str">
        <f>РПЗ!R112</f>
        <v>да</v>
      </c>
      <c r="I112" s="15">
        <f>РПЗ!W112</f>
        <v>0</v>
      </c>
      <c r="J112" s="233">
        <f>РПЗ!X112</f>
        <v>0</v>
      </c>
      <c r="K112" s="283">
        <f>РПЗ!Z112</f>
        <v>0</v>
      </c>
      <c r="L112" s="17"/>
      <c r="M112" s="18">
        <f>РПЗ!O112</f>
        <v>42917</v>
      </c>
      <c r="N112" s="238">
        <f>Таблица5[[#This Row],[10]]</f>
        <v>42917</v>
      </c>
      <c r="O112" s="17"/>
      <c r="P112" s="17"/>
      <c r="Q112" s="17"/>
      <c r="R112" s="17"/>
      <c r="S112" s="17"/>
      <c r="T112" s="686"/>
      <c r="U112" s="18">
        <f>РПЗ!P112</f>
        <v>42979</v>
      </c>
      <c r="V112" s="686"/>
      <c r="W112" s="236">
        <f>РПЗ!L112</f>
        <v>300000</v>
      </c>
      <c r="X112" s="689"/>
      <c r="Y112" s="689"/>
      <c r="Z112" s="690"/>
      <c r="AA112" s="691"/>
      <c r="AB112" s="111"/>
      <c r="AC112" s="17"/>
      <c r="AD112" s="690"/>
      <c r="AE112" s="686"/>
      <c r="AF112" s="474"/>
      <c r="AG112" s="692"/>
      <c r="AH112" s="236" t="str">
        <f>IF(Таблица5[[#This Row],[30]]=0,"НД",Таблица5[[#This Row],[20]]-Таблица5[[#This Row],[30]])</f>
        <v>НД</v>
      </c>
      <c r="AI112" s="511" t="str">
        <f>IF(((1-Таблица5[[#This Row],[30]]/Таблица5[[#This Row],[20]])=1),"НД",(1-Таблица5[[#This Row],[30]]/Таблица5[[#This Row],[20]]))</f>
        <v>НД</v>
      </c>
      <c r="AJ112" s="111"/>
      <c r="AK112" s="111"/>
      <c r="AL112" s="512"/>
      <c r="AM112" s="513"/>
      <c r="AN112" s="465"/>
      <c r="AO112" s="468" t="str">
        <f>РПЗ!AD112</f>
        <v>Нет</v>
      </c>
      <c r="AP112" s="472">
        <f>РПЗ!V112</f>
        <v>0</v>
      </c>
      <c r="AQ112" s="470">
        <f>IF(Таблица5[[#This Row],[11]]=0,,MONTH(Таблица5[[#This Row],[11]]))</f>
        <v>7</v>
      </c>
    </row>
    <row r="113" spans="1:43" ht="115.5" thickBot="1" x14ac:dyDescent="0.3">
      <c r="A113" s="233" t="str">
        <f t="shared" si="1"/>
        <v>1004-2017-00098</v>
      </c>
      <c r="B113" s="233" t="str">
        <f>РПЗ!$D113</f>
        <v>1004-2017-00098Поставка и  Закупка противопожарного оборудования (огнетушители, пожарные шкафы, пожарные стволы и рукава, кошма, наглядная агитация и т.п.) из бюджетных средств предприятия. Закупка производится по необходимости в объеме до 100000р.</v>
      </c>
      <c r="C113" s="233" t="str">
        <f>РПЗ!$AA113</f>
        <v>АО "НИИ "Полюс" им. М.Ф. Стельмаха" тел. отдела закупок 8-495-333-05-02</v>
      </c>
      <c r="D113" s="633" t="str">
        <f>РПЗ!$AB113</f>
        <v>Заказчик</v>
      </c>
      <c r="E113" s="96" t="s">
        <v>46</v>
      </c>
      <c r="F113" s="233" t="str">
        <f>РПЗ!Q113</f>
        <v>ОЗК</v>
      </c>
      <c r="G113" s="237"/>
      <c r="H113" s="237" t="str">
        <f>РПЗ!R113</f>
        <v>да</v>
      </c>
      <c r="I113" s="15">
        <f>РПЗ!W113</f>
        <v>0</v>
      </c>
      <c r="J113" s="233">
        <f>РПЗ!X113</f>
        <v>0</v>
      </c>
      <c r="K113" s="283">
        <f>РПЗ!Z113</f>
        <v>0</v>
      </c>
      <c r="L113" s="17"/>
      <c r="M113" s="18">
        <f>РПЗ!O113</f>
        <v>42767</v>
      </c>
      <c r="N113" s="238">
        <f>Таблица5[[#This Row],[10]]</f>
        <v>42767</v>
      </c>
      <c r="O113" s="17"/>
      <c r="P113" s="17"/>
      <c r="Q113" s="17"/>
      <c r="R113" s="17"/>
      <c r="S113" s="17"/>
      <c r="T113" s="686"/>
      <c r="U113" s="18">
        <f>РПЗ!P113</f>
        <v>42826</v>
      </c>
      <c r="V113" s="686"/>
      <c r="W113" s="236">
        <f>РПЗ!L113</f>
        <v>100000</v>
      </c>
      <c r="X113" s="689"/>
      <c r="Y113" s="689"/>
      <c r="Z113" s="690"/>
      <c r="AA113" s="691"/>
      <c r="AB113" s="111"/>
      <c r="AC113" s="17"/>
      <c r="AD113" s="690"/>
      <c r="AE113" s="686"/>
      <c r="AF113" s="474"/>
      <c r="AG113" s="692"/>
      <c r="AH113" s="236" t="str">
        <f>IF(Таблица5[[#This Row],[30]]=0,"НД",Таблица5[[#This Row],[20]]-Таблица5[[#This Row],[30]])</f>
        <v>НД</v>
      </c>
      <c r="AI113" s="511" t="str">
        <f>IF(((1-Таблица5[[#This Row],[30]]/Таблица5[[#This Row],[20]])=1),"НД",(1-Таблица5[[#This Row],[30]]/Таблица5[[#This Row],[20]]))</f>
        <v>НД</v>
      </c>
      <c r="AJ113" s="111"/>
      <c r="AK113" s="111"/>
      <c r="AL113" s="512"/>
      <c r="AM113" s="513"/>
      <c r="AN113" s="465"/>
      <c r="AO113" s="468" t="str">
        <f>РПЗ!AD113</f>
        <v>Нет</v>
      </c>
      <c r="AP113" s="472">
        <f>РПЗ!V113</f>
        <v>0</v>
      </c>
      <c r="AQ113" s="470">
        <f>IF(Таблица5[[#This Row],[11]]=0,,MONTH(Таблица5[[#This Row],[11]]))</f>
        <v>2</v>
      </c>
    </row>
    <row r="114" spans="1:43" ht="64.5" thickBot="1" x14ac:dyDescent="0.3">
      <c r="A114" s="233" t="str">
        <f t="shared" si="1"/>
        <v>1004-2017-00099</v>
      </c>
      <c r="B114" s="233" t="str">
        <f>РПЗ!$D114</f>
        <v xml:space="preserve">1004-2017-00099 Поставка и Закупка противопожарного оборудования (огнетушители, пожарные шкафы, пожарные стволы и рукава, кошма, наглядная агитация и т.п.) </v>
      </c>
      <c r="C114" s="233" t="str">
        <f>РПЗ!$AA114</f>
        <v>АО "НИИ "Полюс" им. М.Ф. Стельмаха" тел. отдела закупок 8-495-333-05-02</v>
      </c>
      <c r="D114" s="633" t="str">
        <f>РПЗ!$AB114</f>
        <v>Заказчик</v>
      </c>
      <c r="E114" s="96" t="s">
        <v>46</v>
      </c>
      <c r="F114" s="233" t="str">
        <f>РПЗ!Q114</f>
        <v>ОЗК</v>
      </c>
      <c r="G114" s="237"/>
      <c r="H114" s="237" t="str">
        <f>РПЗ!R114</f>
        <v>да</v>
      </c>
      <c r="I114" s="15">
        <f>РПЗ!W114</f>
        <v>0</v>
      </c>
      <c r="J114" s="233">
        <f>РПЗ!X114</f>
        <v>0</v>
      </c>
      <c r="K114" s="283">
        <f>РПЗ!Z114</f>
        <v>0</v>
      </c>
      <c r="L114" s="17"/>
      <c r="M114" s="18">
        <f>РПЗ!O114</f>
        <v>42856</v>
      </c>
      <c r="N114" s="238">
        <f>Таблица5[[#This Row],[10]]</f>
        <v>42856</v>
      </c>
      <c r="O114" s="17"/>
      <c r="P114" s="17"/>
      <c r="Q114" s="17"/>
      <c r="R114" s="17"/>
      <c r="S114" s="17"/>
      <c r="T114" s="686"/>
      <c r="U114" s="18">
        <f>РПЗ!P114</f>
        <v>42917</v>
      </c>
      <c r="V114" s="686"/>
      <c r="W114" s="236">
        <f>РПЗ!L114</f>
        <v>100000</v>
      </c>
      <c r="X114" s="689"/>
      <c r="Y114" s="689"/>
      <c r="Z114" s="690"/>
      <c r="AA114" s="691"/>
      <c r="AB114" s="111"/>
      <c r="AC114" s="17"/>
      <c r="AD114" s="690"/>
      <c r="AE114" s="686"/>
      <c r="AF114" s="474"/>
      <c r="AG114" s="692"/>
      <c r="AH114" s="236" t="str">
        <f>IF(Таблица5[[#This Row],[30]]=0,"НД",Таблица5[[#This Row],[20]]-Таблица5[[#This Row],[30]])</f>
        <v>НД</v>
      </c>
      <c r="AI114" s="511" t="str">
        <f>IF(((1-Таблица5[[#This Row],[30]]/Таблица5[[#This Row],[20]])=1),"НД",(1-Таблица5[[#This Row],[30]]/Таблица5[[#This Row],[20]]))</f>
        <v>НД</v>
      </c>
      <c r="AJ114" s="111"/>
      <c r="AK114" s="111"/>
      <c r="AL114" s="512"/>
      <c r="AM114" s="513"/>
      <c r="AN114" s="465"/>
      <c r="AO114" s="468" t="str">
        <f>РПЗ!AD114</f>
        <v>Нет</v>
      </c>
      <c r="AP114" s="472">
        <f>РПЗ!V114</f>
        <v>0</v>
      </c>
      <c r="AQ114" s="470">
        <f>IF(Таблица5[[#This Row],[11]]=0,,MONTH(Таблица5[[#This Row],[11]]))</f>
        <v>5</v>
      </c>
    </row>
    <row r="115" spans="1:43" ht="64.5" thickBot="1" x14ac:dyDescent="0.3">
      <c r="A115" s="233" t="str">
        <f t="shared" ref="A115:A178" si="2">INDEX(Диапазон1,ROW(), COLUMN())</f>
        <v>1004-2017-00100</v>
      </c>
      <c r="B115" s="233" t="str">
        <f>РПЗ!$D115</f>
        <v>1004-2017-00100Поставка и  Закупка противопожарного оборудования (огнетушители, пожарные шкафы, пожарные стволы и рукава, кошма, наглядная агитация и т.п.)</v>
      </c>
      <c r="C115" s="233" t="str">
        <f>РПЗ!$AA115</f>
        <v>АО "НИИ "Полюс" им. М.Ф. Стельмаха" тел. отдела закупок 8-495-333-05-02</v>
      </c>
      <c r="D115" s="633" t="str">
        <f>РПЗ!$AB115</f>
        <v>Заказчик</v>
      </c>
      <c r="E115" s="96" t="s">
        <v>46</v>
      </c>
      <c r="F115" s="233" t="str">
        <f>РПЗ!Q115</f>
        <v>ОЗК</v>
      </c>
      <c r="G115" s="237"/>
      <c r="H115" s="237" t="str">
        <f>РПЗ!R115</f>
        <v>да</v>
      </c>
      <c r="I115" s="15">
        <f>РПЗ!W115</f>
        <v>0</v>
      </c>
      <c r="J115" s="233">
        <f>РПЗ!X115</f>
        <v>0</v>
      </c>
      <c r="K115" s="283">
        <f>РПЗ!Z115</f>
        <v>0</v>
      </c>
      <c r="L115" s="17"/>
      <c r="M115" s="18">
        <f>РПЗ!O115</f>
        <v>42917</v>
      </c>
      <c r="N115" s="238">
        <f>Таблица5[[#This Row],[10]]</f>
        <v>42917</v>
      </c>
      <c r="O115" s="17"/>
      <c r="P115" s="17"/>
      <c r="Q115" s="17"/>
      <c r="R115" s="17"/>
      <c r="S115" s="17"/>
      <c r="T115" s="686"/>
      <c r="U115" s="18">
        <f>РПЗ!P115</f>
        <v>42979</v>
      </c>
      <c r="V115" s="686"/>
      <c r="W115" s="236">
        <f>РПЗ!L115</f>
        <v>100000</v>
      </c>
      <c r="X115" s="689"/>
      <c r="Y115" s="689"/>
      <c r="Z115" s="690"/>
      <c r="AA115" s="691"/>
      <c r="AB115" s="111"/>
      <c r="AC115" s="17"/>
      <c r="AD115" s="690"/>
      <c r="AE115" s="686"/>
      <c r="AF115" s="474"/>
      <c r="AG115" s="692"/>
      <c r="AH115" s="236" t="str">
        <f>IF(Таблица5[[#This Row],[30]]=0,"НД",Таблица5[[#This Row],[20]]-Таблица5[[#This Row],[30]])</f>
        <v>НД</v>
      </c>
      <c r="AI115" s="511" t="str">
        <f>IF(((1-Таблица5[[#This Row],[30]]/Таблица5[[#This Row],[20]])=1),"НД",(1-Таблица5[[#This Row],[30]]/Таблица5[[#This Row],[20]]))</f>
        <v>НД</v>
      </c>
      <c r="AJ115" s="111"/>
      <c r="AK115" s="111"/>
      <c r="AL115" s="512"/>
      <c r="AM115" s="513"/>
      <c r="AN115" s="465"/>
      <c r="AO115" s="468" t="str">
        <f>РПЗ!AD115</f>
        <v>Нет</v>
      </c>
      <c r="AP115" s="472">
        <f>РПЗ!V115</f>
        <v>0</v>
      </c>
      <c r="AQ115" s="470">
        <f>IF(Таблица5[[#This Row],[11]]=0,,MONTH(Таблица5[[#This Row],[11]]))</f>
        <v>7</v>
      </c>
    </row>
    <row r="116" spans="1:43" ht="77.25" thickBot="1" x14ac:dyDescent="0.3">
      <c r="A116" s="233" t="str">
        <f t="shared" si="2"/>
        <v>1004-2017-00101</v>
      </c>
      <c r="B116" s="233" t="str">
        <f>РПЗ!$D116</f>
        <v>1004-2017-00101Поставка и  Закупка противопожарного оборудования (огнетушители, пожарные шкафы, пожарные стволы и рукава, кошма, наглядная агитация и т.п.) из бюджетных средств предприятия</v>
      </c>
      <c r="C116" s="233" t="str">
        <f>РПЗ!$AA116</f>
        <v>АО "НИИ "Полюс" им. М.Ф. Стельмаха" тел. отдела закупок 8-495-333-05-02</v>
      </c>
      <c r="D116" s="633" t="str">
        <f>РПЗ!$AB116</f>
        <v>Заказчик</v>
      </c>
      <c r="E116" s="96" t="s">
        <v>46</v>
      </c>
      <c r="F116" s="233" t="str">
        <f>РПЗ!Q116</f>
        <v>ОЗК</v>
      </c>
      <c r="G116" s="237"/>
      <c r="H116" s="237" t="str">
        <f>РПЗ!R116</f>
        <v>да</v>
      </c>
      <c r="I116" s="15">
        <f>РПЗ!W116</f>
        <v>0</v>
      </c>
      <c r="J116" s="233">
        <f>РПЗ!X116</f>
        <v>0</v>
      </c>
      <c r="K116" s="283">
        <f>РПЗ!Z116</f>
        <v>0</v>
      </c>
      <c r="L116" s="17"/>
      <c r="M116" s="18">
        <f>РПЗ!O116</f>
        <v>43040</v>
      </c>
      <c r="N116" s="238">
        <f>Таблица5[[#This Row],[10]]</f>
        <v>43040</v>
      </c>
      <c r="O116" s="17"/>
      <c r="P116" s="17"/>
      <c r="Q116" s="17"/>
      <c r="R116" s="17"/>
      <c r="S116" s="17"/>
      <c r="T116" s="686"/>
      <c r="U116" s="18">
        <f>РПЗ!P116</f>
        <v>43070</v>
      </c>
      <c r="V116" s="686"/>
      <c r="W116" s="236">
        <f>РПЗ!L116</f>
        <v>100000</v>
      </c>
      <c r="X116" s="689"/>
      <c r="Y116" s="689"/>
      <c r="Z116" s="690"/>
      <c r="AA116" s="691"/>
      <c r="AB116" s="111"/>
      <c r="AC116" s="17"/>
      <c r="AD116" s="690"/>
      <c r="AE116" s="686"/>
      <c r="AF116" s="474"/>
      <c r="AG116" s="692"/>
      <c r="AH116" s="236" t="str">
        <f>IF(Таблица5[[#This Row],[30]]=0,"НД",Таблица5[[#This Row],[20]]-Таблица5[[#This Row],[30]])</f>
        <v>НД</v>
      </c>
      <c r="AI116" s="511" t="str">
        <f>IF(((1-Таблица5[[#This Row],[30]]/Таблица5[[#This Row],[20]])=1),"НД",(1-Таблица5[[#This Row],[30]]/Таблица5[[#This Row],[20]]))</f>
        <v>НД</v>
      </c>
      <c r="AJ116" s="111"/>
      <c r="AK116" s="111"/>
      <c r="AL116" s="512"/>
      <c r="AM116" s="513"/>
      <c r="AN116" s="465"/>
      <c r="AO116" s="468" t="str">
        <f>РПЗ!AD116</f>
        <v>Нет</v>
      </c>
      <c r="AP116" s="472">
        <f>РПЗ!V116</f>
        <v>0</v>
      </c>
      <c r="AQ116" s="470">
        <f>IF(Таблица5[[#This Row],[11]]=0,,MONTH(Таблица5[[#This Row],[11]]))</f>
        <v>11</v>
      </c>
    </row>
    <row r="117" spans="1:43" ht="64.5" thickBot="1" x14ac:dyDescent="0.3">
      <c r="A117" s="233" t="str">
        <f t="shared" si="2"/>
        <v>1004-2017-00102</v>
      </c>
      <c r="B117" s="233" t="str">
        <f>РПЗ!$D117</f>
        <v xml:space="preserve">1004-2017-00102 Поставка и Закупка имущества ГО (противогазы, распираторы, аптечки медицинские индивид.и коллект.,  средства связи, наглядная агитация и т.п.) </v>
      </c>
      <c r="C117" s="233" t="str">
        <f>РПЗ!$AA117</f>
        <v>АО "НИИ "Полюс" им. М.Ф. Стельмаха" тел. отдела закупок 8-495-333-05-02</v>
      </c>
      <c r="D117" s="633" t="str">
        <f>РПЗ!$AB117</f>
        <v>Заказчик</v>
      </c>
      <c r="E117" s="96" t="s">
        <v>46</v>
      </c>
      <c r="F117" s="233" t="str">
        <f>РПЗ!Q117</f>
        <v>ОЗК</v>
      </c>
      <c r="G117" s="237"/>
      <c r="H117" s="237" t="str">
        <f>РПЗ!R117</f>
        <v>да</v>
      </c>
      <c r="I117" s="15">
        <f>РПЗ!W117</f>
        <v>0</v>
      </c>
      <c r="J117" s="233">
        <f>РПЗ!X117</f>
        <v>0</v>
      </c>
      <c r="K117" s="283">
        <f>РПЗ!Z117</f>
        <v>0</v>
      </c>
      <c r="L117" s="17"/>
      <c r="M117" s="18">
        <f>РПЗ!O117</f>
        <v>42767</v>
      </c>
      <c r="N117" s="238">
        <f>Таблица5[[#This Row],[10]]</f>
        <v>42767</v>
      </c>
      <c r="O117" s="17"/>
      <c r="P117" s="17"/>
      <c r="Q117" s="17"/>
      <c r="R117" s="17"/>
      <c r="S117" s="17"/>
      <c r="T117" s="686"/>
      <c r="U117" s="18">
        <f>РПЗ!P117</f>
        <v>42826</v>
      </c>
      <c r="V117" s="686"/>
      <c r="W117" s="236">
        <f>РПЗ!L117</f>
        <v>100000</v>
      </c>
      <c r="X117" s="689"/>
      <c r="Y117" s="689"/>
      <c r="Z117" s="690"/>
      <c r="AA117" s="691"/>
      <c r="AB117" s="111"/>
      <c r="AC117" s="17"/>
      <c r="AD117" s="690"/>
      <c r="AE117" s="686"/>
      <c r="AF117" s="474"/>
      <c r="AG117" s="692"/>
      <c r="AH117" s="236" t="str">
        <f>IF(Таблица5[[#This Row],[30]]=0,"НД",Таблица5[[#This Row],[20]]-Таблица5[[#This Row],[30]])</f>
        <v>НД</v>
      </c>
      <c r="AI117" s="511" t="str">
        <f>IF(((1-Таблица5[[#This Row],[30]]/Таблица5[[#This Row],[20]])=1),"НД",(1-Таблица5[[#This Row],[30]]/Таблица5[[#This Row],[20]]))</f>
        <v>НД</v>
      </c>
      <c r="AJ117" s="111"/>
      <c r="AK117" s="111"/>
      <c r="AL117" s="512"/>
      <c r="AM117" s="513"/>
      <c r="AN117" s="465"/>
      <c r="AO117" s="468" t="str">
        <f>РПЗ!AD117</f>
        <v>Нет</v>
      </c>
      <c r="AP117" s="472">
        <f>РПЗ!V117</f>
        <v>0</v>
      </c>
      <c r="AQ117" s="470">
        <f>IF(Таблица5[[#This Row],[11]]=0,,MONTH(Таблица5[[#This Row],[11]]))</f>
        <v>2</v>
      </c>
    </row>
    <row r="118" spans="1:43" ht="64.5" thickBot="1" x14ac:dyDescent="0.3">
      <c r="A118" s="233" t="str">
        <f t="shared" si="2"/>
        <v>1004-2017-00103</v>
      </c>
      <c r="B118" s="233" t="str">
        <f>РПЗ!$D118</f>
        <v>1004-2017-00103 Поставка и Закупка имущества ГО (противогазы, распираторы, аптечки медицинские индивид.и коллект.,  средства связи, наглядная агитация и т.п.)</v>
      </c>
      <c r="C118" s="233" t="str">
        <f>РПЗ!$AA118</f>
        <v>АО "НИИ "Полюс" им. М.Ф. Стельмаха" тел. отдела закупок 8-495-333-05-02</v>
      </c>
      <c r="D118" s="633" t="str">
        <f>РПЗ!$AB118</f>
        <v>Заказчик</v>
      </c>
      <c r="E118" s="96" t="s">
        <v>46</v>
      </c>
      <c r="F118" s="233" t="str">
        <f>РПЗ!Q118</f>
        <v>ОЗК</v>
      </c>
      <c r="G118" s="237"/>
      <c r="H118" s="237" t="str">
        <f>РПЗ!R118</f>
        <v>да</v>
      </c>
      <c r="I118" s="15">
        <f>РПЗ!W118</f>
        <v>0</v>
      </c>
      <c r="J118" s="233">
        <f>РПЗ!X118</f>
        <v>0</v>
      </c>
      <c r="K118" s="283">
        <f>РПЗ!Z118</f>
        <v>0</v>
      </c>
      <c r="L118" s="17"/>
      <c r="M118" s="18">
        <f>РПЗ!O118</f>
        <v>42856</v>
      </c>
      <c r="N118" s="238">
        <f>Таблица5[[#This Row],[10]]</f>
        <v>42856</v>
      </c>
      <c r="O118" s="17"/>
      <c r="P118" s="17"/>
      <c r="Q118" s="17"/>
      <c r="R118" s="17"/>
      <c r="S118" s="17"/>
      <c r="T118" s="686"/>
      <c r="U118" s="18">
        <f>РПЗ!P118</f>
        <v>42917</v>
      </c>
      <c r="V118" s="686"/>
      <c r="W118" s="236">
        <f>РПЗ!L118</f>
        <v>100000</v>
      </c>
      <c r="X118" s="689"/>
      <c r="Y118" s="689"/>
      <c r="Z118" s="690"/>
      <c r="AA118" s="691"/>
      <c r="AB118" s="111"/>
      <c r="AC118" s="17"/>
      <c r="AD118" s="690"/>
      <c r="AE118" s="686"/>
      <c r="AF118" s="474"/>
      <c r="AG118" s="692"/>
      <c r="AH118" s="236" t="str">
        <f>IF(Таблица5[[#This Row],[30]]=0,"НД",Таблица5[[#This Row],[20]]-Таблица5[[#This Row],[30]])</f>
        <v>НД</v>
      </c>
      <c r="AI118" s="511" t="str">
        <f>IF(((1-Таблица5[[#This Row],[30]]/Таблица5[[#This Row],[20]])=1),"НД",(1-Таблица5[[#This Row],[30]]/Таблица5[[#This Row],[20]]))</f>
        <v>НД</v>
      </c>
      <c r="AJ118" s="111"/>
      <c r="AK118" s="111"/>
      <c r="AL118" s="512"/>
      <c r="AM118" s="513"/>
      <c r="AN118" s="465"/>
      <c r="AO118" s="468" t="str">
        <f>РПЗ!AD118</f>
        <v>Нет</v>
      </c>
      <c r="AP118" s="472">
        <f>РПЗ!V118</f>
        <v>0</v>
      </c>
      <c r="AQ118" s="470">
        <f>IF(Таблица5[[#This Row],[11]]=0,,MONTH(Таблица5[[#This Row],[11]]))</f>
        <v>5</v>
      </c>
    </row>
    <row r="119" spans="1:43" ht="64.5" thickBot="1" x14ac:dyDescent="0.3">
      <c r="A119" s="233" t="str">
        <f t="shared" si="2"/>
        <v>1004-2017-00104</v>
      </c>
      <c r="B119" s="233" t="str">
        <f>РПЗ!$D119</f>
        <v>1004-2017-00104 Поставка и Закупка имущества ГО (противогазы, распираторы, аптечки медицинские индивид.и коллект.,  средства связи, наглядная агитация и т.п.)</v>
      </c>
      <c r="C119" s="233" t="str">
        <f>РПЗ!$AA119</f>
        <v>АО "НИИ "Полюс" им. М.Ф. Стельмаха" тел. отдела закупок 8-495-333-05-02</v>
      </c>
      <c r="D119" s="633" t="str">
        <f>РПЗ!$AB119</f>
        <v>Заказчик</v>
      </c>
      <c r="E119" s="96" t="s">
        <v>46</v>
      </c>
      <c r="F119" s="233" t="str">
        <f>РПЗ!Q119</f>
        <v>ОЗК</v>
      </c>
      <c r="G119" s="237"/>
      <c r="H119" s="237" t="str">
        <f>РПЗ!R119</f>
        <v>да</v>
      </c>
      <c r="I119" s="15">
        <f>РПЗ!W119</f>
        <v>0</v>
      </c>
      <c r="J119" s="233">
        <f>РПЗ!X119</f>
        <v>0</v>
      </c>
      <c r="K119" s="283">
        <f>РПЗ!Z119</f>
        <v>0</v>
      </c>
      <c r="L119" s="17"/>
      <c r="M119" s="18">
        <f>РПЗ!O119</f>
        <v>42917</v>
      </c>
      <c r="N119" s="238">
        <f>Таблица5[[#This Row],[10]]</f>
        <v>42917</v>
      </c>
      <c r="O119" s="17"/>
      <c r="P119" s="17"/>
      <c r="Q119" s="17"/>
      <c r="R119" s="17"/>
      <c r="S119" s="17"/>
      <c r="T119" s="686"/>
      <c r="U119" s="18">
        <f>РПЗ!P119</f>
        <v>42979</v>
      </c>
      <c r="V119" s="686"/>
      <c r="W119" s="236">
        <f>РПЗ!L119</f>
        <v>100000</v>
      </c>
      <c r="X119" s="689"/>
      <c r="Y119" s="689"/>
      <c r="Z119" s="690"/>
      <c r="AA119" s="691"/>
      <c r="AB119" s="111"/>
      <c r="AC119" s="17"/>
      <c r="AD119" s="690"/>
      <c r="AE119" s="686"/>
      <c r="AF119" s="474"/>
      <c r="AG119" s="692"/>
      <c r="AH119" s="236" t="str">
        <f>IF(Таблица5[[#This Row],[30]]=0,"НД",Таблица5[[#This Row],[20]]-Таблица5[[#This Row],[30]])</f>
        <v>НД</v>
      </c>
      <c r="AI119" s="511" t="str">
        <f>IF(((1-Таблица5[[#This Row],[30]]/Таблица5[[#This Row],[20]])=1),"НД",(1-Таблица5[[#This Row],[30]]/Таблица5[[#This Row],[20]]))</f>
        <v>НД</v>
      </c>
      <c r="AJ119" s="111"/>
      <c r="AK119" s="111"/>
      <c r="AL119" s="512"/>
      <c r="AM119" s="513"/>
      <c r="AN119" s="465"/>
      <c r="AO119" s="468" t="str">
        <f>РПЗ!AD119</f>
        <v>Нет</v>
      </c>
      <c r="AP119" s="472">
        <f>РПЗ!V119</f>
        <v>0</v>
      </c>
      <c r="AQ119" s="470">
        <f>IF(Таблица5[[#This Row],[11]]=0,,MONTH(Таблица5[[#This Row],[11]]))</f>
        <v>7</v>
      </c>
    </row>
    <row r="120" spans="1:43" ht="64.5" thickBot="1" x14ac:dyDescent="0.3">
      <c r="A120" s="233" t="str">
        <f t="shared" si="2"/>
        <v>1004-2017-00105</v>
      </c>
      <c r="B120" s="233" t="str">
        <f>РПЗ!$D120</f>
        <v xml:space="preserve">1004-2017-00105 Поставка и Закупка имущества ГО (противогазы, распираторы, аптечки медицинские индивид.и коллект.,  средства связи, наглядная агитация и т.п.) </v>
      </c>
      <c r="C120" s="233" t="str">
        <f>РПЗ!$AA120</f>
        <v>АО "НИИ "Полюс" им. М.Ф. Стельмаха" тел. отдела закупок 8-495-333-05-02</v>
      </c>
      <c r="D120" s="633" t="str">
        <f>РПЗ!$AB120</f>
        <v>Заказчик</v>
      </c>
      <c r="E120" s="96" t="s">
        <v>46</v>
      </c>
      <c r="F120" s="233" t="str">
        <f>РПЗ!Q120</f>
        <v>ОЗК</v>
      </c>
      <c r="G120" s="237"/>
      <c r="H120" s="237" t="str">
        <f>РПЗ!R120</f>
        <v>да</v>
      </c>
      <c r="I120" s="15">
        <f>РПЗ!W120</f>
        <v>0</v>
      </c>
      <c r="J120" s="233">
        <f>РПЗ!X120</f>
        <v>0</v>
      </c>
      <c r="K120" s="283">
        <f>РПЗ!Z120</f>
        <v>0</v>
      </c>
      <c r="L120" s="17"/>
      <c r="M120" s="18">
        <f>РПЗ!O120</f>
        <v>43040</v>
      </c>
      <c r="N120" s="238">
        <f>Таблица5[[#This Row],[10]]</f>
        <v>43040</v>
      </c>
      <c r="O120" s="17"/>
      <c r="P120" s="17"/>
      <c r="Q120" s="17"/>
      <c r="R120" s="17"/>
      <c r="S120" s="17"/>
      <c r="T120" s="686"/>
      <c r="U120" s="18">
        <f>РПЗ!P120</f>
        <v>43070</v>
      </c>
      <c r="V120" s="686"/>
      <c r="W120" s="236">
        <f>РПЗ!L120</f>
        <v>100000</v>
      </c>
      <c r="X120" s="689"/>
      <c r="Y120" s="689"/>
      <c r="Z120" s="690"/>
      <c r="AA120" s="691"/>
      <c r="AB120" s="111"/>
      <c r="AC120" s="17"/>
      <c r="AD120" s="690"/>
      <c r="AE120" s="686"/>
      <c r="AF120" s="474"/>
      <c r="AG120" s="692"/>
      <c r="AH120" s="236" t="str">
        <f>IF(Таблица5[[#This Row],[30]]=0,"НД",Таблица5[[#This Row],[20]]-Таблица5[[#This Row],[30]])</f>
        <v>НД</v>
      </c>
      <c r="AI120" s="511" t="str">
        <f>IF(((1-Таблица5[[#This Row],[30]]/Таблица5[[#This Row],[20]])=1),"НД",(1-Таблица5[[#This Row],[30]]/Таблица5[[#This Row],[20]]))</f>
        <v>НД</v>
      </c>
      <c r="AJ120" s="111"/>
      <c r="AK120" s="111"/>
      <c r="AL120" s="512"/>
      <c r="AM120" s="513"/>
      <c r="AN120" s="465"/>
      <c r="AO120" s="468" t="str">
        <f>РПЗ!AD120</f>
        <v>Нет</v>
      </c>
      <c r="AP120" s="472">
        <f>РПЗ!V120</f>
        <v>0</v>
      </c>
      <c r="AQ120" s="470">
        <f>IF(Таблица5[[#This Row],[11]]=0,,MONTH(Таблица5[[#This Row],[11]]))</f>
        <v>11</v>
      </c>
    </row>
    <row r="121" spans="1:43" ht="64.5" thickBot="1" x14ac:dyDescent="0.3">
      <c r="A121" s="233" t="str">
        <f t="shared" si="2"/>
        <v>1004-2017-00106</v>
      </c>
      <c r="B121" s="233" t="str">
        <f>РПЗ!$D121</f>
        <v xml:space="preserve">1004-2017-00106 Выполнение работ по Поверка электро- и радиотехнических средств измерений и рабочих эталонов, весов и мерительного инструмента </v>
      </c>
      <c r="C121" s="233" t="str">
        <f>РПЗ!$AA121</f>
        <v>АО "НИИ "Полюс" им. М.Ф. Стельмаха" тел. отдела закупок 8-495-333-05-02</v>
      </c>
      <c r="D121" s="633" t="str">
        <f>РПЗ!$AB121</f>
        <v>Заказчик</v>
      </c>
      <c r="E121" s="96" t="s">
        <v>46</v>
      </c>
      <c r="F121" s="233" t="str">
        <f>РПЗ!Q121</f>
        <v>ОЗК</v>
      </c>
      <c r="G121" s="237"/>
      <c r="H121" s="237" t="str">
        <f>РПЗ!R121</f>
        <v>да</v>
      </c>
      <c r="I121" s="15">
        <f>РПЗ!W121</f>
        <v>0</v>
      </c>
      <c r="J121" s="233">
        <f>РПЗ!X121</f>
        <v>0</v>
      </c>
      <c r="K121" s="283">
        <f>РПЗ!Z121</f>
        <v>0</v>
      </c>
      <c r="L121" s="17"/>
      <c r="M121" s="18">
        <f>РПЗ!O121</f>
        <v>42917</v>
      </c>
      <c r="N121" s="238">
        <f>Таблица5[[#This Row],[10]]</f>
        <v>42917</v>
      </c>
      <c r="O121" s="17"/>
      <c r="P121" s="17"/>
      <c r="Q121" s="17"/>
      <c r="R121" s="17"/>
      <c r="S121" s="17"/>
      <c r="T121" s="686"/>
      <c r="U121" s="18">
        <f>РПЗ!P121</f>
        <v>42948</v>
      </c>
      <c r="V121" s="686"/>
      <c r="W121" s="236">
        <f>РПЗ!L121</f>
        <v>2200000</v>
      </c>
      <c r="X121" s="689"/>
      <c r="Y121" s="689"/>
      <c r="Z121" s="690"/>
      <c r="AA121" s="691"/>
      <c r="AB121" s="111"/>
      <c r="AC121" s="17"/>
      <c r="AD121" s="690"/>
      <c r="AE121" s="686"/>
      <c r="AF121" s="474"/>
      <c r="AG121" s="692"/>
      <c r="AH121" s="236" t="str">
        <f>IF(Таблица5[[#This Row],[30]]=0,"НД",Таблица5[[#This Row],[20]]-Таблица5[[#This Row],[30]])</f>
        <v>НД</v>
      </c>
      <c r="AI121" s="511" t="str">
        <f>IF(((1-Таблица5[[#This Row],[30]]/Таблица5[[#This Row],[20]])=1),"НД",(1-Таблица5[[#This Row],[30]]/Таблица5[[#This Row],[20]]))</f>
        <v>НД</v>
      </c>
      <c r="AJ121" s="111"/>
      <c r="AK121" s="111"/>
      <c r="AL121" s="512"/>
      <c r="AM121" s="513"/>
      <c r="AN121" s="465"/>
      <c r="AO121" s="468" t="str">
        <f>РПЗ!AD121</f>
        <v>Нет</v>
      </c>
      <c r="AP121" s="472">
        <f>РПЗ!V121</f>
        <v>0</v>
      </c>
      <c r="AQ121" s="470">
        <f>IF(Таблица5[[#This Row],[11]]=0,,MONTH(Таблица5[[#This Row],[11]]))</f>
        <v>7</v>
      </c>
    </row>
    <row r="122" spans="1:43" ht="39" thickBot="1" x14ac:dyDescent="0.3">
      <c r="A122" s="233" t="str">
        <f t="shared" si="2"/>
        <v>1004-2017-00107</v>
      </c>
      <c r="B122" s="233" t="str">
        <f>РПЗ!$D122</f>
        <v>1004-2017-00107Поставка  Универсальный стандарт частоты Ч1-81/3</v>
      </c>
      <c r="C122" s="233" t="str">
        <f>РПЗ!$AA122</f>
        <v>АО "НИИ "Полюс" им. М.Ф. Стельмаха" тел. отдела закупок 8-495-333-05-02</v>
      </c>
      <c r="D122" s="633" t="str">
        <f>РПЗ!$AB122</f>
        <v>Заказчик</v>
      </c>
      <c r="E122" s="96" t="s">
        <v>46</v>
      </c>
      <c r="F122" s="233" t="str">
        <f>РПЗ!Q122</f>
        <v>ОЗК</v>
      </c>
      <c r="G122" s="237"/>
      <c r="H122" s="237" t="str">
        <f>РПЗ!R122</f>
        <v>да</v>
      </c>
      <c r="I122" s="15">
        <f>РПЗ!W122</f>
        <v>0</v>
      </c>
      <c r="J122" s="233">
        <f>РПЗ!X122</f>
        <v>0</v>
      </c>
      <c r="K122" s="283">
        <f>РПЗ!Z122</f>
        <v>0</v>
      </c>
      <c r="L122" s="17"/>
      <c r="M122" s="18">
        <f>РПЗ!O122</f>
        <v>42887</v>
      </c>
      <c r="N122" s="238">
        <f>Таблица5[[#This Row],[10]]</f>
        <v>42887</v>
      </c>
      <c r="O122" s="17"/>
      <c r="P122" s="17"/>
      <c r="Q122" s="17"/>
      <c r="R122" s="17"/>
      <c r="S122" s="17"/>
      <c r="T122" s="686"/>
      <c r="U122" s="18">
        <f>РПЗ!P122</f>
        <v>43070</v>
      </c>
      <c r="V122" s="686"/>
      <c r="W122" s="236">
        <f>РПЗ!L122</f>
        <v>900000</v>
      </c>
      <c r="X122" s="689"/>
      <c r="Y122" s="689"/>
      <c r="Z122" s="690"/>
      <c r="AA122" s="691"/>
      <c r="AB122" s="111"/>
      <c r="AC122" s="17"/>
      <c r="AD122" s="690"/>
      <c r="AE122" s="686"/>
      <c r="AF122" s="474"/>
      <c r="AG122" s="692"/>
      <c r="AH122" s="236" t="str">
        <f>IF(Таблица5[[#This Row],[30]]=0,"НД",Таблица5[[#This Row],[20]]-Таблица5[[#This Row],[30]])</f>
        <v>НД</v>
      </c>
      <c r="AI122" s="511" t="str">
        <f>IF(((1-Таблица5[[#This Row],[30]]/Таблица5[[#This Row],[20]])=1),"НД",(1-Таблица5[[#This Row],[30]]/Таблица5[[#This Row],[20]]))</f>
        <v>НД</v>
      </c>
      <c r="AJ122" s="111"/>
      <c r="AK122" s="111"/>
      <c r="AL122" s="512"/>
      <c r="AM122" s="513"/>
      <c r="AN122" s="465"/>
      <c r="AO122" s="468" t="str">
        <f>РПЗ!AD122</f>
        <v>Нет</v>
      </c>
      <c r="AP122" s="472">
        <f>РПЗ!V122</f>
        <v>0</v>
      </c>
      <c r="AQ122" s="470">
        <f>IF(Таблица5[[#This Row],[11]]=0,,MONTH(Таблица5[[#This Row],[11]]))</f>
        <v>6</v>
      </c>
    </row>
    <row r="123" spans="1:43" ht="38.25" x14ac:dyDescent="0.25">
      <c r="A123" s="233" t="str">
        <f t="shared" si="2"/>
        <v>1004-2017-00108</v>
      </c>
      <c r="B123" s="233" t="str">
        <f>РПЗ!$D123</f>
        <v>1004-2017-00108 Поставка и Осциллограф цифровой Tektronics TDS-2022</v>
      </c>
      <c r="C123" s="233" t="str">
        <f>РПЗ!$AA123</f>
        <v>АО "НИИ "Полюс" им. М.Ф. Стельмаха" тел. отдела закупок 8-495-333-05-02</v>
      </c>
      <c r="D123" s="633" t="str">
        <f>РПЗ!$AB123</f>
        <v>Заказчик</v>
      </c>
      <c r="E123" s="96" t="s">
        <v>46</v>
      </c>
      <c r="F123" s="233" t="str">
        <f>РПЗ!Q123</f>
        <v>ОЗК</v>
      </c>
      <c r="G123" s="237"/>
      <c r="H123" s="237" t="str">
        <f>РПЗ!R123</f>
        <v>да</v>
      </c>
      <c r="I123" s="15">
        <f>РПЗ!W123</f>
        <v>0</v>
      </c>
      <c r="J123" s="233">
        <f>РПЗ!X123</f>
        <v>0</v>
      </c>
      <c r="K123" s="283">
        <f>РПЗ!Z123</f>
        <v>0</v>
      </c>
      <c r="L123" s="17"/>
      <c r="M123" s="18" t="str">
        <f>РПЗ!O123</f>
        <v>сентябрь 2017</v>
      </c>
      <c r="N123" s="238" t="str">
        <f>Таблица5[[#This Row],[10]]</f>
        <v>сентябрь 2017</v>
      </c>
      <c r="O123" s="17"/>
      <c r="P123" s="17"/>
      <c r="Q123" s="17"/>
      <c r="R123" s="17"/>
      <c r="S123" s="17"/>
      <c r="T123" s="686"/>
      <c r="U123" s="18">
        <f>РПЗ!P123</f>
        <v>43040</v>
      </c>
      <c r="V123" s="686"/>
      <c r="W123" s="236">
        <f>РПЗ!L123</f>
        <v>200000</v>
      </c>
      <c r="X123" s="689"/>
      <c r="Y123" s="689"/>
      <c r="Z123" s="690"/>
      <c r="AA123" s="691"/>
      <c r="AB123" s="111"/>
      <c r="AC123" s="17"/>
      <c r="AD123" s="690"/>
      <c r="AE123" s="686"/>
      <c r="AF123" s="474"/>
      <c r="AG123" s="692"/>
      <c r="AH123" s="236" t="str">
        <f>IF(Таблица5[[#This Row],[30]]=0,"НД",Таблица5[[#This Row],[20]]-Таблица5[[#This Row],[30]])</f>
        <v>НД</v>
      </c>
      <c r="AI123" s="511" t="str">
        <f>IF(((1-Таблица5[[#This Row],[30]]/Таблица5[[#This Row],[20]])=1),"НД",(1-Таблица5[[#This Row],[30]]/Таблица5[[#This Row],[20]]))</f>
        <v>НД</v>
      </c>
      <c r="AJ123" s="111"/>
      <c r="AK123" s="111"/>
      <c r="AL123" s="512"/>
      <c r="AM123" s="513"/>
      <c r="AN123" s="465"/>
      <c r="AO123" s="468" t="str">
        <f>РПЗ!AD123</f>
        <v>Нет</v>
      </c>
      <c r="AP123" s="472">
        <f>РПЗ!V123</f>
        <v>0</v>
      </c>
      <c r="AQ123" s="470">
        <f>IF(Таблица5[[#This Row],[11]]=0,,MONTH(Таблица5[[#This Row],[11]]))</f>
        <v>9</v>
      </c>
    </row>
    <row r="124" spans="1:43" ht="51" x14ac:dyDescent="0.25">
      <c r="A124" s="233" t="str">
        <f t="shared" si="2"/>
        <v>1004-2017-00109</v>
      </c>
      <c r="B124" s="233" t="str">
        <f>РПЗ!$D124</f>
        <v>1004-2017-00109Поставка и  Антистатическая спецодежда и обувь</v>
      </c>
      <c r="C124" s="233" t="str">
        <f>РПЗ!$AA124</f>
        <v>АО "НИИ "Полюс" им. М.Ф. Стельмаха" тел. отдела закупок 8-495-333-05-02</v>
      </c>
      <c r="D124" s="633" t="str">
        <f>РПЗ!$AB124</f>
        <v>Заказчик</v>
      </c>
      <c r="E124" s="510" t="s">
        <v>62</v>
      </c>
      <c r="F124" s="233" t="str">
        <f>РПЗ!Q124</f>
        <v>ОЗК</v>
      </c>
      <c r="G124" s="237" t="str">
        <f>Таблица5[[#This Row],[6]]</f>
        <v>ОЗК</v>
      </c>
      <c r="H124" s="237" t="str">
        <f>РПЗ!R124</f>
        <v>да</v>
      </c>
      <c r="I124" s="15">
        <f>РПЗ!W124</f>
        <v>0</v>
      </c>
      <c r="J124" s="233">
        <f>РПЗ!X124</f>
        <v>0</v>
      </c>
      <c r="K124" s="283">
        <f>РПЗ!Z124</f>
        <v>0</v>
      </c>
      <c r="L124" s="17">
        <v>42927</v>
      </c>
      <c r="M124" s="18">
        <f>РПЗ!O124</f>
        <v>42917</v>
      </c>
      <c r="N124" s="238">
        <f>Таблица5[[#This Row],[10]]</f>
        <v>42917</v>
      </c>
      <c r="O124" s="17">
        <v>42933</v>
      </c>
      <c r="P124" s="17">
        <v>42936</v>
      </c>
      <c r="Q124" s="17">
        <v>42936</v>
      </c>
      <c r="R124" s="17">
        <v>42934</v>
      </c>
      <c r="S124" s="17">
        <v>42934</v>
      </c>
      <c r="T124" s="686">
        <v>42948</v>
      </c>
      <c r="U124" s="18">
        <f>РПЗ!P124</f>
        <v>43070</v>
      </c>
      <c r="V124" s="686">
        <v>43070</v>
      </c>
      <c r="W124" s="236">
        <f>РПЗ!L124</f>
        <v>359465.13</v>
      </c>
      <c r="X124" s="689">
        <v>1</v>
      </c>
      <c r="Y124" s="689">
        <v>0</v>
      </c>
      <c r="Z124" s="691">
        <v>7415055384</v>
      </c>
      <c r="AA124" s="691" t="s">
        <v>6809</v>
      </c>
      <c r="AB124" s="111">
        <v>307573.8</v>
      </c>
      <c r="AC124" s="17">
        <v>43070</v>
      </c>
      <c r="AD124" s="690" t="s">
        <v>6810</v>
      </c>
      <c r="AE124" s="686">
        <v>42948</v>
      </c>
      <c r="AF124" s="474"/>
      <c r="AG124" s="692">
        <v>307573.8</v>
      </c>
      <c r="AH124" s="236">
        <f>IF(Таблица5[[#This Row],[30]]=0,"НД",Таблица5[[#This Row],[20]]-Таблица5[[#This Row],[30]])</f>
        <v>51891.330000000016</v>
      </c>
      <c r="AI124" s="511">
        <f>IF(((1-Таблица5[[#This Row],[30]]/Таблица5[[#This Row],[20]])=1),"НД",(1-Таблица5[[#This Row],[30]]/Таблица5[[#This Row],[20]]))</f>
        <v>0.14435706183795916</v>
      </c>
      <c r="AJ124" s="111">
        <v>307573.8</v>
      </c>
      <c r="AK124" s="111"/>
      <c r="AL124" s="512"/>
      <c r="AM124" s="513" t="s">
        <v>113</v>
      </c>
      <c r="AN124" s="801">
        <v>31705314088</v>
      </c>
      <c r="AO124" s="468" t="str">
        <f>РПЗ!AD124</f>
        <v>Нет</v>
      </c>
      <c r="AP124" s="472">
        <f>РПЗ!V124</f>
        <v>0</v>
      </c>
      <c r="AQ124" s="470">
        <f>IF(Таблица5[[#This Row],[11]]=0,,MONTH(Таблица5[[#This Row],[11]]))</f>
        <v>7</v>
      </c>
    </row>
    <row r="125" spans="1:43" ht="39" thickBot="1" x14ac:dyDescent="0.3">
      <c r="A125" s="233" t="str">
        <f t="shared" si="2"/>
        <v>1004-2017-00110</v>
      </c>
      <c r="B125" s="233" t="str">
        <f>РПЗ!$D125</f>
        <v>1004-2017-00110Поставка   Текстильные изделия и вспомогательные материалы</v>
      </c>
      <c r="C125" s="233" t="str">
        <f>РПЗ!$AA125</f>
        <v>АО "НИИ "Полюс" им. М.Ф. Стельмаха" тел. отдела закупок 8-495-333-05-02</v>
      </c>
      <c r="D125" s="633" t="str">
        <f>РПЗ!$AB125</f>
        <v>Заказчик</v>
      </c>
      <c r="E125" s="510" t="s">
        <v>62</v>
      </c>
      <c r="F125" s="233" t="str">
        <f>РПЗ!Q125</f>
        <v>ОЗК</v>
      </c>
      <c r="G125" s="237" t="str">
        <f>Таблица5[[#This Row],[6]]</f>
        <v>ОЗК</v>
      </c>
      <c r="H125" s="237" t="str">
        <f>РПЗ!R125</f>
        <v>да</v>
      </c>
      <c r="I125" s="15">
        <f>РПЗ!W125</f>
        <v>0</v>
      </c>
      <c r="J125" s="233">
        <f>РПЗ!X125</f>
        <v>0</v>
      </c>
      <c r="K125" s="283">
        <f>РПЗ!Z125</f>
        <v>0</v>
      </c>
      <c r="L125" s="17"/>
      <c r="M125" s="18">
        <f>РПЗ!O125</f>
        <v>42767</v>
      </c>
      <c r="N125" s="238">
        <f>Таблица5[[#This Row],[10]]</f>
        <v>42767</v>
      </c>
      <c r="O125" s="804" t="s">
        <v>3003</v>
      </c>
      <c r="P125" s="804" t="s">
        <v>3090</v>
      </c>
      <c r="Q125" s="804" t="s">
        <v>3090</v>
      </c>
      <c r="R125" s="804" t="s">
        <v>3090</v>
      </c>
      <c r="S125" s="804" t="s">
        <v>3090</v>
      </c>
      <c r="T125" s="818" t="s">
        <v>3254</v>
      </c>
      <c r="U125" s="18">
        <f>РПЗ!P125</f>
        <v>43070</v>
      </c>
      <c r="V125" s="760">
        <v>43070</v>
      </c>
      <c r="W125" s="236">
        <f>РПЗ!L125</f>
        <v>2482163.37</v>
      </c>
      <c r="X125" s="689">
        <v>3</v>
      </c>
      <c r="Y125" s="689">
        <v>0</v>
      </c>
      <c r="Z125" s="765">
        <v>7743133500</v>
      </c>
      <c r="AA125" s="810" t="s">
        <v>3255</v>
      </c>
      <c r="AB125" s="111">
        <v>1364176.2</v>
      </c>
      <c r="AC125" s="17">
        <v>43070</v>
      </c>
      <c r="AD125" s="810" t="s">
        <v>3256</v>
      </c>
      <c r="AE125" s="694" t="s">
        <v>3254</v>
      </c>
      <c r="AF125" s="474"/>
      <c r="AG125" s="827">
        <v>1364176.2</v>
      </c>
      <c r="AH125" s="236">
        <f>IF(Таблица5[[#This Row],[30]]=0,"НД",Таблица5[[#This Row],[20]]-Таблица5[[#This Row],[30]])</f>
        <v>1117987.1700000002</v>
      </c>
      <c r="AI125" s="511">
        <f>IF(((1-Таблица5[[#This Row],[30]]/Таблица5[[#This Row],[20]])=1),"НД",(1-Таблица5[[#This Row],[30]]/Таблица5[[#This Row],[20]]))</f>
        <v>0.45040837501360764</v>
      </c>
      <c r="AJ125" s="111">
        <v>1364176.2</v>
      </c>
      <c r="AK125" s="111"/>
      <c r="AL125" s="512"/>
      <c r="AM125" s="513" t="s">
        <v>113</v>
      </c>
      <c r="AN125" s="801">
        <v>31704859197</v>
      </c>
      <c r="AO125" s="468" t="str">
        <f>РПЗ!AD125</f>
        <v>Нет</v>
      </c>
      <c r="AP125" s="472">
        <f>РПЗ!V125</f>
        <v>0</v>
      </c>
      <c r="AQ125" s="470">
        <f>IF(Таблица5[[#This Row],[11]]=0,,MONTH(Таблица5[[#This Row],[11]]))</f>
        <v>2</v>
      </c>
    </row>
    <row r="126" spans="1:43" ht="39" thickBot="1" x14ac:dyDescent="0.3">
      <c r="A126" s="233" t="str">
        <f t="shared" si="2"/>
        <v>1004-2017-00111</v>
      </c>
      <c r="B126" s="233" t="str">
        <f>РПЗ!$D126</f>
        <v>1004-2017-00111 Поставка Кисти всех видов</v>
      </c>
      <c r="C126" s="233" t="str">
        <f>РПЗ!$AA126</f>
        <v>АО "НИИ "Полюс" им. М.Ф. Стельмаха" тел. отдела закупок 8-495-333-05-02</v>
      </c>
      <c r="D126" s="633" t="str">
        <f>РПЗ!$AB126</f>
        <v>Заказчик</v>
      </c>
      <c r="E126" s="96" t="s">
        <v>46</v>
      </c>
      <c r="F126" s="233" t="str">
        <f>РПЗ!Q126</f>
        <v>ОЗК</v>
      </c>
      <c r="G126" s="237"/>
      <c r="H126" s="237" t="str">
        <f>РПЗ!R126</f>
        <v>да</v>
      </c>
      <c r="I126" s="15">
        <f>РПЗ!W126</f>
        <v>0</v>
      </c>
      <c r="J126" s="233">
        <f>РПЗ!X126</f>
        <v>0</v>
      </c>
      <c r="K126" s="283">
        <f>РПЗ!Z126</f>
        <v>0</v>
      </c>
      <c r="L126" s="17"/>
      <c r="M126" s="18">
        <f>РПЗ!O126</f>
        <v>42767</v>
      </c>
      <c r="N126" s="238">
        <f>Таблица5[[#This Row],[10]]</f>
        <v>42767</v>
      </c>
      <c r="O126" s="17"/>
      <c r="P126" s="17"/>
      <c r="Q126" s="17"/>
      <c r="R126" s="17"/>
      <c r="S126" s="17"/>
      <c r="T126" s="686"/>
      <c r="U126" s="18">
        <f>РПЗ!P126</f>
        <v>43070</v>
      </c>
      <c r="V126" s="686"/>
      <c r="W126" s="236">
        <f>РПЗ!L126</f>
        <v>750000</v>
      </c>
      <c r="X126" s="689"/>
      <c r="Y126" s="689"/>
      <c r="Z126" s="690"/>
      <c r="AA126" s="691"/>
      <c r="AB126" s="111"/>
      <c r="AC126" s="17"/>
      <c r="AD126" s="690"/>
      <c r="AE126" s="686"/>
      <c r="AF126" s="474"/>
      <c r="AG126" s="692"/>
      <c r="AH126" s="236" t="str">
        <f>IF(Таблица5[[#This Row],[30]]=0,"НД",Таблица5[[#This Row],[20]]-Таблица5[[#This Row],[30]])</f>
        <v>НД</v>
      </c>
      <c r="AI126" s="511" t="str">
        <f>IF(((1-Таблица5[[#This Row],[30]]/Таблица5[[#This Row],[20]])=1),"НД",(1-Таблица5[[#This Row],[30]]/Таблица5[[#This Row],[20]]))</f>
        <v>НД</v>
      </c>
      <c r="AJ126" s="111"/>
      <c r="AK126" s="111"/>
      <c r="AL126" s="512"/>
      <c r="AM126" s="513"/>
      <c r="AN126" s="465"/>
      <c r="AO126" s="468" t="str">
        <f>РПЗ!AD126</f>
        <v>Нет</v>
      </c>
      <c r="AP126" s="472">
        <f>РПЗ!V126</f>
        <v>0</v>
      </c>
      <c r="AQ126" s="470">
        <f>IF(Таблица5[[#This Row],[11]]=0,,MONTH(Таблица5[[#This Row],[11]]))</f>
        <v>2</v>
      </c>
    </row>
    <row r="127" spans="1:43" ht="38.25" x14ac:dyDescent="0.25">
      <c r="A127" s="233" t="str">
        <f t="shared" si="2"/>
        <v>1004-2017-00112</v>
      </c>
      <c r="B127" s="233" t="str">
        <f>РПЗ!$D127</f>
        <v>1004-2017-00112 Поставка Текстильные изделия</v>
      </c>
      <c r="C127" s="233" t="str">
        <f>РПЗ!$AA127</f>
        <v>АО "НИИ "Полюс" им. М.Ф. Стельмаха" тел. отдела закупок 8-495-333-05-02</v>
      </c>
      <c r="D127" s="633" t="str">
        <f>РПЗ!$AB127</f>
        <v>Заказчик</v>
      </c>
      <c r="E127" s="96" t="s">
        <v>46</v>
      </c>
      <c r="F127" s="233" t="str">
        <f>РПЗ!Q127</f>
        <v>ОЗК</v>
      </c>
      <c r="G127" s="237"/>
      <c r="H127" s="237" t="str">
        <f>РПЗ!R127</f>
        <v>да</v>
      </c>
      <c r="I127" s="15">
        <f>РПЗ!W127</f>
        <v>0</v>
      </c>
      <c r="J127" s="233">
        <f>РПЗ!X127</f>
        <v>0</v>
      </c>
      <c r="K127" s="283">
        <f>РПЗ!Z127</f>
        <v>0</v>
      </c>
      <c r="L127" s="17"/>
      <c r="M127" s="18">
        <f>РПЗ!O127</f>
        <v>42948</v>
      </c>
      <c r="N127" s="238">
        <f>Таблица5[[#This Row],[10]]</f>
        <v>42948</v>
      </c>
      <c r="O127" s="17"/>
      <c r="P127" s="17"/>
      <c r="Q127" s="17"/>
      <c r="R127" s="17"/>
      <c r="S127" s="17"/>
      <c r="T127" s="686"/>
      <c r="U127" s="18">
        <f>РПЗ!P127</f>
        <v>43070</v>
      </c>
      <c r="V127" s="686"/>
      <c r="W127" s="236">
        <f>РПЗ!L127</f>
        <v>200000</v>
      </c>
      <c r="X127" s="689"/>
      <c r="Y127" s="689"/>
      <c r="Z127" s="690"/>
      <c r="AA127" s="691"/>
      <c r="AB127" s="111"/>
      <c r="AC127" s="17"/>
      <c r="AD127" s="690"/>
      <c r="AE127" s="686"/>
      <c r="AF127" s="474"/>
      <c r="AG127" s="692"/>
      <c r="AH127" s="236" t="str">
        <f>IF(Таблица5[[#This Row],[30]]=0,"НД",Таблица5[[#This Row],[20]]-Таблица5[[#This Row],[30]])</f>
        <v>НД</v>
      </c>
      <c r="AI127" s="511" t="str">
        <f>IF(((1-Таблица5[[#This Row],[30]]/Таблица5[[#This Row],[20]])=1),"НД",(1-Таблица5[[#This Row],[30]]/Таблица5[[#This Row],[20]]))</f>
        <v>НД</v>
      </c>
      <c r="AJ127" s="111"/>
      <c r="AK127" s="111"/>
      <c r="AL127" s="512"/>
      <c r="AM127" s="513"/>
      <c r="AN127" s="465"/>
      <c r="AO127" s="468" t="str">
        <f>РПЗ!AD127</f>
        <v>Нет</v>
      </c>
      <c r="AP127" s="472">
        <f>РПЗ!V127</f>
        <v>0</v>
      </c>
      <c r="AQ127" s="470">
        <f>IF(Таблица5[[#This Row],[11]]=0,,MONTH(Таблица5[[#This Row],[11]]))</f>
        <v>8</v>
      </c>
    </row>
    <row r="128" spans="1:43" s="681" customFormat="1" ht="90.75" thickBot="1" x14ac:dyDescent="0.3">
      <c r="A128" s="771" t="str">
        <f t="shared" si="2"/>
        <v>1004-2017-00113</v>
      </c>
      <c r="B128" s="771" t="str">
        <f>РПЗ!$D128</f>
        <v>1004-2017-00113 Поставка Спецодежда, обувь и СИЗ</v>
      </c>
      <c r="C128" s="771" t="str">
        <f>РПЗ!$AA128</f>
        <v>АО "НИИ "Полюс" им. М.Ф. Стельмаха" тел. отдела закупок 8-495-333-05-02</v>
      </c>
      <c r="D128" s="790" t="str">
        <f>РПЗ!$AB128</f>
        <v>Заказчик</v>
      </c>
      <c r="E128" s="510" t="s">
        <v>62</v>
      </c>
      <c r="F128" s="691" t="str">
        <f>РПЗ!Q128</f>
        <v>ОЗК</v>
      </c>
      <c r="G128" s="691" t="str">
        <f>Таблица5[[#This Row],[6]]</f>
        <v>ОЗК</v>
      </c>
      <c r="H128" s="691" t="str">
        <f>РПЗ!R128</f>
        <v>да</v>
      </c>
      <c r="I128" s="707">
        <f>РПЗ!W128</f>
        <v>0</v>
      </c>
      <c r="J128" s="691">
        <f>РПЗ!X128</f>
        <v>0</v>
      </c>
      <c r="K128" s="708">
        <f>РПЗ!Z128</f>
        <v>0</v>
      </c>
      <c r="L128" s="776">
        <v>42794</v>
      </c>
      <c r="M128" s="687">
        <f>РПЗ!O128</f>
        <v>42767</v>
      </c>
      <c r="N128" s="775">
        <f>Таблица5[[#This Row],[10]]</f>
        <v>42767</v>
      </c>
      <c r="O128" s="776">
        <v>42801</v>
      </c>
      <c r="P128" s="776">
        <v>42808</v>
      </c>
      <c r="Q128" s="776">
        <v>42808</v>
      </c>
      <c r="R128" s="776">
        <v>42804</v>
      </c>
      <c r="S128" s="776">
        <v>42804</v>
      </c>
      <c r="T128" s="818" t="s">
        <v>3342</v>
      </c>
      <c r="U128" s="775">
        <f>РПЗ!P128</f>
        <v>43070</v>
      </c>
      <c r="V128" s="761">
        <v>43070</v>
      </c>
      <c r="W128" s="777">
        <f>РПЗ!L128</f>
        <v>2146143.79</v>
      </c>
      <c r="X128" s="689">
        <v>1</v>
      </c>
      <c r="Y128" s="689">
        <v>0</v>
      </c>
      <c r="Z128" s="789">
        <v>7724152603</v>
      </c>
      <c r="AA128" s="811" t="s">
        <v>3341</v>
      </c>
      <c r="AB128" s="777">
        <v>2069517.63</v>
      </c>
      <c r="AC128" s="776">
        <v>43070</v>
      </c>
      <c r="AD128" s="831" t="s">
        <v>3343</v>
      </c>
      <c r="AE128" s="813" t="s">
        <v>3342</v>
      </c>
      <c r="AF128" s="778"/>
      <c r="AG128" s="828">
        <v>2069517.63</v>
      </c>
      <c r="AH128" s="767">
        <f>IF(Таблица5[[#This Row],[30]]=0,"НД",Таблица5[[#This Row],[20]]-Таблица5[[#This Row],[30]])</f>
        <v>76626.160000000149</v>
      </c>
      <c r="AI128" s="786">
        <f>IF(((1-Таблица5[[#This Row],[30]]/Таблица5[[#This Row],[20]])=1),"НД",(1-Таблица5[[#This Row],[30]]/Таблица5[[#This Row],[20]]))</f>
        <v>3.5704112817156686E-2</v>
      </c>
      <c r="AJ128" s="767"/>
      <c r="AK128" s="767"/>
      <c r="AL128" s="787"/>
      <c r="AM128" s="788" t="s">
        <v>113</v>
      </c>
      <c r="AN128" s="768" t="s">
        <v>4812</v>
      </c>
      <c r="AO128" s="769" t="str">
        <f>РПЗ!AD128</f>
        <v>Нет</v>
      </c>
      <c r="AP128" s="770">
        <f>РПЗ!V128</f>
        <v>0</v>
      </c>
      <c r="AQ128" s="714">
        <f>IF(Таблица5[[#This Row],[11]]=0,,MONTH(Таблица5[[#This Row],[11]]))</f>
        <v>2</v>
      </c>
    </row>
    <row r="129" spans="1:43" ht="39" thickBot="1" x14ac:dyDescent="0.3">
      <c r="A129" s="233" t="str">
        <f t="shared" si="2"/>
        <v>1004-2017-00114</v>
      </c>
      <c r="B129" s="233" t="str">
        <f>РПЗ!$D129</f>
        <v>1004-2017-00114 Поставка керамика  (обечайки)</v>
      </c>
      <c r="C129" s="233" t="str">
        <f>РПЗ!$AA129</f>
        <v>АО "НИИ "Полюс" им. М.Ф. Стельмаха" тел. отдела закупок 8-495-333-05-02</v>
      </c>
      <c r="D129" s="633" t="str">
        <f>РПЗ!$AB129</f>
        <v>Заказчик</v>
      </c>
      <c r="E129" s="96" t="s">
        <v>46</v>
      </c>
      <c r="F129" s="233" t="str">
        <f>РПЗ!Q129</f>
        <v>ОЗК</v>
      </c>
      <c r="G129" s="237"/>
      <c r="H129" s="237" t="str">
        <f>РПЗ!R129</f>
        <v>да</v>
      </c>
      <c r="I129" s="15">
        <f>РПЗ!W129</f>
        <v>0</v>
      </c>
      <c r="J129" s="233">
        <f>РПЗ!X129</f>
        <v>0</v>
      </c>
      <c r="K129" s="283">
        <f>РПЗ!Z129</f>
        <v>0</v>
      </c>
      <c r="L129" s="17"/>
      <c r="M129" s="18">
        <f>РПЗ!O129</f>
        <v>42767</v>
      </c>
      <c r="N129" s="238">
        <f>Таблица5[[#This Row],[10]]</f>
        <v>42767</v>
      </c>
      <c r="O129" s="17"/>
      <c r="P129" s="17"/>
      <c r="Q129" s="17"/>
      <c r="R129" s="17"/>
      <c r="S129" s="17"/>
      <c r="T129" s="686"/>
      <c r="U129" s="18">
        <f>РПЗ!P129</f>
        <v>43070</v>
      </c>
      <c r="V129" s="686"/>
      <c r="W129" s="236">
        <f>РПЗ!L129</f>
        <v>100000</v>
      </c>
      <c r="X129" s="689"/>
      <c r="Y129" s="689"/>
      <c r="Z129" s="690"/>
      <c r="AA129" s="691"/>
      <c r="AB129" s="111"/>
      <c r="AC129" s="17"/>
      <c r="AD129" s="690"/>
      <c r="AE129" s="686"/>
      <c r="AF129" s="474"/>
      <c r="AG129" s="692"/>
      <c r="AH129" s="236" t="str">
        <f>IF(Таблица5[[#This Row],[30]]=0,"НД",Таблица5[[#This Row],[20]]-Таблица5[[#This Row],[30]])</f>
        <v>НД</v>
      </c>
      <c r="AI129" s="511" t="str">
        <f>IF(((1-Таблица5[[#This Row],[30]]/Таблица5[[#This Row],[20]])=1),"НД",(1-Таблица5[[#This Row],[30]]/Таблица5[[#This Row],[20]]))</f>
        <v>НД</v>
      </c>
      <c r="AJ129" s="111"/>
      <c r="AK129" s="111"/>
      <c r="AL129" s="512"/>
      <c r="AM129" s="513"/>
      <c r="AN129" s="465"/>
      <c r="AO129" s="468" t="str">
        <f>РПЗ!AD129</f>
        <v>Нет</v>
      </c>
      <c r="AP129" s="472">
        <f>РПЗ!V129</f>
        <v>0</v>
      </c>
      <c r="AQ129" s="470">
        <f>IF(Таблица5[[#This Row],[11]]=0,,MONTH(Таблица5[[#This Row],[11]]))</f>
        <v>2</v>
      </c>
    </row>
    <row r="130" spans="1:43" ht="39" thickBot="1" x14ac:dyDescent="0.3">
      <c r="A130" s="233" t="str">
        <f t="shared" si="2"/>
        <v>1004-2017-00115</v>
      </c>
      <c r="B130" s="233" t="str">
        <f>РПЗ!$D130</f>
        <v>1004-2017-00115Поставка Провода монтажный    и Кабели с ВП</v>
      </c>
      <c r="C130" s="233" t="str">
        <f>РПЗ!$AA130</f>
        <v>АО "НИИ "Полюс" им. М.Ф. Стельмаха" тел. отдела закупок 8-495-333-05-02</v>
      </c>
      <c r="D130" s="633" t="str">
        <f>РПЗ!$AB130</f>
        <v>Заказчик</v>
      </c>
      <c r="E130" s="96" t="s">
        <v>46</v>
      </c>
      <c r="F130" s="233" t="str">
        <f>РПЗ!Q130</f>
        <v>ОЗК</v>
      </c>
      <c r="G130" s="237"/>
      <c r="H130" s="237" t="str">
        <f>РПЗ!R130</f>
        <v>да</v>
      </c>
      <c r="I130" s="15">
        <f>РПЗ!W130</f>
        <v>0</v>
      </c>
      <c r="J130" s="233">
        <f>РПЗ!X130</f>
        <v>0</v>
      </c>
      <c r="K130" s="283">
        <f>РПЗ!Z130</f>
        <v>0</v>
      </c>
      <c r="L130" s="17"/>
      <c r="M130" s="18">
        <f>РПЗ!O130</f>
        <v>42795</v>
      </c>
      <c r="N130" s="238">
        <f>Таблица5[[#This Row],[10]]</f>
        <v>42795</v>
      </c>
      <c r="O130" s="17"/>
      <c r="P130" s="17"/>
      <c r="Q130" s="17"/>
      <c r="R130" s="17"/>
      <c r="S130" s="17"/>
      <c r="T130" s="686"/>
      <c r="U130" s="18">
        <f>РПЗ!P130</f>
        <v>43070</v>
      </c>
      <c r="V130" s="686"/>
      <c r="W130" s="236">
        <f>РПЗ!L130</f>
        <v>2500000</v>
      </c>
      <c r="X130" s="689"/>
      <c r="Y130" s="689"/>
      <c r="Z130" s="690"/>
      <c r="AA130" s="691"/>
      <c r="AB130" s="111"/>
      <c r="AC130" s="17"/>
      <c r="AD130" s="690"/>
      <c r="AE130" s="686"/>
      <c r="AF130" s="474"/>
      <c r="AG130" s="692"/>
      <c r="AH130" s="236" t="str">
        <f>IF(Таблица5[[#This Row],[30]]=0,"НД",Таблица5[[#This Row],[20]]-Таблица5[[#This Row],[30]])</f>
        <v>НД</v>
      </c>
      <c r="AI130" s="511" t="str">
        <f>IF(((1-Таблица5[[#This Row],[30]]/Таблица5[[#This Row],[20]])=1),"НД",(1-Таблица5[[#This Row],[30]]/Таблица5[[#This Row],[20]]))</f>
        <v>НД</v>
      </c>
      <c r="AJ130" s="111"/>
      <c r="AK130" s="111"/>
      <c r="AL130" s="512"/>
      <c r="AM130" s="513"/>
      <c r="AN130" s="465"/>
      <c r="AO130" s="468" t="str">
        <f>РПЗ!AD130</f>
        <v>Нет</v>
      </c>
      <c r="AP130" s="472">
        <f>РПЗ!V130</f>
        <v>0</v>
      </c>
      <c r="AQ130" s="470">
        <f>IF(Таблица5[[#This Row],[11]]=0,,MONTH(Таблица5[[#This Row],[11]]))</f>
        <v>3</v>
      </c>
    </row>
    <row r="131" spans="1:43" ht="39" thickBot="1" x14ac:dyDescent="0.3">
      <c r="A131" s="233" t="str">
        <f t="shared" si="2"/>
        <v>1004-2017-00116</v>
      </c>
      <c r="B131" s="233" t="str">
        <f>РПЗ!$D131</f>
        <v>1004-2017-00116 Поставка Оптические  заготовки</v>
      </c>
      <c r="C131" s="233" t="str">
        <f>РПЗ!$AA131</f>
        <v>АО "НИИ "Полюс" им. М.Ф. Стельмаха" тел. отдела закупок 8-495-333-05-02</v>
      </c>
      <c r="D131" s="633" t="str">
        <f>РПЗ!$AB131</f>
        <v>Заказчик</v>
      </c>
      <c r="E131" s="96" t="s">
        <v>46</v>
      </c>
      <c r="F131" s="233" t="str">
        <f>РПЗ!Q131</f>
        <v>ОЗК</v>
      </c>
      <c r="G131" s="237"/>
      <c r="H131" s="237" t="str">
        <f>РПЗ!R131</f>
        <v>да</v>
      </c>
      <c r="I131" s="15">
        <f>РПЗ!W131</f>
        <v>0</v>
      </c>
      <c r="J131" s="233">
        <f>РПЗ!X131</f>
        <v>0</v>
      </c>
      <c r="K131" s="283">
        <f>РПЗ!Z131</f>
        <v>0</v>
      </c>
      <c r="L131" s="17"/>
      <c r="M131" s="18">
        <f>РПЗ!O131</f>
        <v>42826</v>
      </c>
      <c r="N131" s="238">
        <f>Таблица5[[#This Row],[10]]</f>
        <v>42826</v>
      </c>
      <c r="O131" s="17"/>
      <c r="P131" s="17"/>
      <c r="Q131" s="17"/>
      <c r="R131" s="17"/>
      <c r="S131" s="17"/>
      <c r="T131" s="686"/>
      <c r="U131" s="18">
        <f>РПЗ!P131</f>
        <v>43070</v>
      </c>
      <c r="V131" s="686"/>
      <c r="W131" s="236">
        <f>РПЗ!L131</f>
        <v>1000000</v>
      </c>
      <c r="X131" s="689"/>
      <c r="Y131" s="689"/>
      <c r="Z131" s="690"/>
      <c r="AA131" s="691"/>
      <c r="AB131" s="111"/>
      <c r="AC131" s="17"/>
      <c r="AD131" s="690"/>
      <c r="AE131" s="686"/>
      <c r="AF131" s="474"/>
      <c r="AG131" s="692"/>
      <c r="AH131" s="236" t="str">
        <f>IF(Таблица5[[#This Row],[30]]=0,"НД",Таблица5[[#This Row],[20]]-Таблица5[[#This Row],[30]])</f>
        <v>НД</v>
      </c>
      <c r="AI131" s="511" t="str">
        <f>IF(((1-Таблица5[[#This Row],[30]]/Таблица5[[#This Row],[20]])=1),"НД",(1-Таблица5[[#This Row],[30]]/Таблица5[[#This Row],[20]]))</f>
        <v>НД</v>
      </c>
      <c r="AJ131" s="111"/>
      <c r="AK131" s="111"/>
      <c r="AL131" s="512"/>
      <c r="AM131" s="513"/>
      <c r="AN131" s="465"/>
      <c r="AO131" s="468" t="str">
        <f>РПЗ!AD131</f>
        <v>Нет</v>
      </c>
      <c r="AP131" s="472">
        <f>РПЗ!V131</f>
        <v>0</v>
      </c>
      <c r="AQ131" s="470">
        <f>IF(Таблица5[[#This Row],[11]]=0,,MONTH(Таблица5[[#This Row],[11]]))</f>
        <v>4</v>
      </c>
    </row>
    <row r="132" spans="1:43" ht="39" thickBot="1" x14ac:dyDescent="0.3">
      <c r="A132" s="233" t="str">
        <f t="shared" si="2"/>
        <v>1004-2017-00117</v>
      </c>
      <c r="B132" s="233" t="str">
        <f>РПЗ!$D132</f>
        <v>1004-2017-00117 Поставка оптические  трубы</v>
      </c>
      <c r="C132" s="233" t="str">
        <f>РПЗ!$AA132</f>
        <v>АО "НИИ "Полюс" им. М.Ф. Стельмаха" тел. отдела закупок 8-495-333-05-02</v>
      </c>
      <c r="D132" s="633" t="str">
        <f>РПЗ!$AB132</f>
        <v>Заказчик</v>
      </c>
      <c r="E132" s="96" t="s">
        <v>46</v>
      </c>
      <c r="F132" s="233" t="str">
        <f>РПЗ!Q132</f>
        <v>ОЗК</v>
      </c>
      <c r="G132" s="237"/>
      <c r="H132" s="237" t="str">
        <f>РПЗ!R132</f>
        <v>да</v>
      </c>
      <c r="I132" s="15">
        <f>РПЗ!W132</f>
        <v>0</v>
      </c>
      <c r="J132" s="233">
        <f>РПЗ!X132</f>
        <v>0</v>
      </c>
      <c r="K132" s="283">
        <f>РПЗ!Z132</f>
        <v>0</v>
      </c>
      <c r="L132" s="17"/>
      <c r="M132" s="18">
        <f>РПЗ!O132</f>
        <v>42826</v>
      </c>
      <c r="N132" s="238">
        <f>Таблица5[[#This Row],[10]]</f>
        <v>42826</v>
      </c>
      <c r="O132" s="17"/>
      <c r="P132" s="17"/>
      <c r="Q132" s="17"/>
      <c r="R132" s="17"/>
      <c r="S132" s="17"/>
      <c r="T132" s="686"/>
      <c r="U132" s="18">
        <f>РПЗ!P132</f>
        <v>43070</v>
      </c>
      <c r="V132" s="686"/>
      <c r="W132" s="236">
        <f>РПЗ!L132</f>
        <v>200000</v>
      </c>
      <c r="X132" s="689"/>
      <c r="Y132" s="689"/>
      <c r="Z132" s="690"/>
      <c r="AA132" s="691"/>
      <c r="AB132" s="111"/>
      <c r="AC132" s="17"/>
      <c r="AD132" s="690"/>
      <c r="AE132" s="686"/>
      <c r="AF132" s="474"/>
      <c r="AG132" s="692"/>
      <c r="AH132" s="236" t="str">
        <f>IF(Таблица5[[#This Row],[30]]=0,"НД",Таблица5[[#This Row],[20]]-Таблица5[[#This Row],[30]])</f>
        <v>НД</v>
      </c>
      <c r="AI132" s="511" t="str">
        <f>IF(((1-Таблица5[[#This Row],[30]]/Таблица5[[#This Row],[20]])=1),"НД",(1-Таблица5[[#This Row],[30]]/Таблица5[[#This Row],[20]]))</f>
        <v>НД</v>
      </c>
      <c r="AJ132" s="111"/>
      <c r="AK132" s="111"/>
      <c r="AL132" s="512"/>
      <c r="AM132" s="513"/>
      <c r="AN132" s="465"/>
      <c r="AO132" s="468" t="str">
        <f>РПЗ!AD132</f>
        <v>Нет</v>
      </c>
      <c r="AP132" s="472">
        <f>РПЗ!V132</f>
        <v>0</v>
      </c>
      <c r="AQ132" s="470">
        <f>IF(Таблица5[[#This Row],[11]]=0,,MONTH(Таблица5[[#This Row],[11]]))</f>
        <v>4</v>
      </c>
    </row>
    <row r="133" spans="1:43" ht="39" thickBot="1" x14ac:dyDescent="0.3">
      <c r="A133" s="233" t="str">
        <f t="shared" si="2"/>
        <v>1004-2017-00118</v>
      </c>
      <c r="B133" s="233" t="str">
        <f>РПЗ!$D133</f>
        <v>1004-2017-00118 Поставка кварцевые заготовки</v>
      </c>
      <c r="C133" s="233" t="str">
        <f>РПЗ!$AA133</f>
        <v>АО "НИИ "Полюс" им. М.Ф. Стельмаха" тел. отдела закупок 8-495-333-05-02</v>
      </c>
      <c r="D133" s="633" t="str">
        <f>РПЗ!$AB133</f>
        <v>Заказчик</v>
      </c>
      <c r="E133" s="96" t="s">
        <v>46</v>
      </c>
      <c r="F133" s="233" t="str">
        <f>РПЗ!Q133</f>
        <v>ОЗК</v>
      </c>
      <c r="G133" s="237"/>
      <c r="H133" s="237" t="str">
        <f>РПЗ!R133</f>
        <v>да</v>
      </c>
      <c r="I133" s="15">
        <f>РПЗ!W133</f>
        <v>0</v>
      </c>
      <c r="J133" s="233">
        <f>РПЗ!X133</f>
        <v>0</v>
      </c>
      <c r="K133" s="283">
        <f>РПЗ!Z133</f>
        <v>0</v>
      </c>
      <c r="L133" s="17"/>
      <c r="M133" s="18">
        <f>РПЗ!O133</f>
        <v>42826</v>
      </c>
      <c r="N133" s="238">
        <f>Таблица5[[#This Row],[10]]</f>
        <v>42826</v>
      </c>
      <c r="O133" s="17"/>
      <c r="P133" s="17"/>
      <c r="Q133" s="17"/>
      <c r="R133" s="17"/>
      <c r="S133" s="17"/>
      <c r="T133" s="686"/>
      <c r="U133" s="18">
        <f>РПЗ!P133</f>
        <v>43070</v>
      </c>
      <c r="V133" s="686"/>
      <c r="W133" s="236">
        <f>РПЗ!L133</f>
        <v>500000</v>
      </c>
      <c r="X133" s="689"/>
      <c r="Y133" s="689"/>
      <c r="Z133" s="690"/>
      <c r="AA133" s="691"/>
      <c r="AB133" s="111"/>
      <c r="AC133" s="17"/>
      <c r="AD133" s="690"/>
      <c r="AE133" s="686"/>
      <c r="AF133" s="474"/>
      <c r="AG133" s="692"/>
      <c r="AH133" s="236" t="str">
        <f>IF(Таблица5[[#This Row],[30]]=0,"НД",Таблица5[[#This Row],[20]]-Таблица5[[#This Row],[30]])</f>
        <v>НД</v>
      </c>
      <c r="AI133" s="511" t="str">
        <f>IF(((1-Таблица5[[#This Row],[30]]/Таблица5[[#This Row],[20]])=1),"НД",(1-Таблица5[[#This Row],[30]]/Таблица5[[#This Row],[20]]))</f>
        <v>НД</v>
      </c>
      <c r="AJ133" s="111"/>
      <c r="AK133" s="111"/>
      <c r="AL133" s="512"/>
      <c r="AM133" s="513"/>
      <c r="AN133" s="465"/>
      <c r="AO133" s="468" t="str">
        <f>РПЗ!AD133</f>
        <v>Нет</v>
      </c>
      <c r="AP133" s="472">
        <f>РПЗ!V133</f>
        <v>0</v>
      </c>
      <c r="AQ133" s="470">
        <f>IF(Таблица5[[#This Row],[11]]=0,,MONTH(Таблица5[[#This Row],[11]]))</f>
        <v>4</v>
      </c>
    </row>
    <row r="134" spans="1:43" ht="39" thickBot="1" x14ac:dyDescent="0.3">
      <c r="A134" s="233" t="str">
        <f t="shared" si="2"/>
        <v>1004-2017-00119</v>
      </c>
      <c r="B134" s="233" t="str">
        <f>РПЗ!$D134</f>
        <v>1004-2017-00119Поставка  кварцевые трубки</v>
      </c>
      <c r="C134" s="233" t="str">
        <f>РПЗ!$AA134</f>
        <v>АО "НИИ "Полюс" им. М.Ф. Стельмаха" тел. отдела закупок 8-495-333-05-02</v>
      </c>
      <c r="D134" s="633" t="str">
        <f>РПЗ!$AB134</f>
        <v>Заказчик</v>
      </c>
      <c r="E134" s="96" t="s">
        <v>46</v>
      </c>
      <c r="F134" s="233" t="str">
        <f>РПЗ!Q134</f>
        <v>ОЗК</v>
      </c>
      <c r="G134" s="237"/>
      <c r="H134" s="237" t="str">
        <f>РПЗ!R134</f>
        <v>да</v>
      </c>
      <c r="I134" s="15">
        <f>РПЗ!W134</f>
        <v>0</v>
      </c>
      <c r="J134" s="233">
        <f>РПЗ!X134</f>
        <v>0</v>
      </c>
      <c r="K134" s="283">
        <f>РПЗ!Z134</f>
        <v>0</v>
      </c>
      <c r="L134" s="17"/>
      <c r="M134" s="18">
        <f>РПЗ!O134</f>
        <v>42856</v>
      </c>
      <c r="N134" s="238">
        <f>Таблица5[[#This Row],[10]]</f>
        <v>42856</v>
      </c>
      <c r="O134" s="17"/>
      <c r="P134" s="17"/>
      <c r="Q134" s="17"/>
      <c r="R134" s="17"/>
      <c r="S134" s="17"/>
      <c r="T134" s="686"/>
      <c r="U134" s="18">
        <f>РПЗ!P134</f>
        <v>43070</v>
      </c>
      <c r="V134" s="686"/>
      <c r="W134" s="236">
        <f>РПЗ!L134</f>
        <v>200000</v>
      </c>
      <c r="X134" s="689"/>
      <c r="Y134" s="689"/>
      <c r="Z134" s="690"/>
      <c r="AA134" s="691"/>
      <c r="AB134" s="111"/>
      <c r="AC134" s="17"/>
      <c r="AD134" s="690"/>
      <c r="AE134" s="686"/>
      <c r="AF134" s="474"/>
      <c r="AG134" s="692"/>
      <c r="AH134" s="236" t="str">
        <f>IF(Таблица5[[#This Row],[30]]=0,"НД",Таблица5[[#This Row],[20]]-Таблица5[[#This Row],[30]])</f>
        <v>НД</v>
      </c>
      <c r="AI134" s="511" t="str">
        <f>IF(((1-Таблица5[[#This Row],[30]]/Таблица5[[#This Row],[20]])=1),"НД",(1-Таблица5[[#This Row],[30]]/Таблица5[[#This Row],[20]]))</f>
        <v>НД</v>
      </c>
      <c r="AJ134" s="111"/>
      <c r="AK134" s="111"/>
      <c r="AL134" s="512"/>
      <c r="AM134" s="513"/>
      <c r="AN134" s="465"/>
      <c r="AO134" s="468" t="str">
        <f>РПЗ!AD134</f>
        <v>Нет</v>
      </c>
      <c r="AP134" s="472">
        <f>РПЗ!V134</f>
        <v>0</v>
      </c>
      <c r="AQ134" s="470">
        <f>IF(Таблица5[[#This Row],[11]]=0,,MONTH(Таблица5[[#This Row],[11]]))</f>
        <v>5</v>
      </c>
    </row>
    <row r="135" spans="1:43" ht="39" thickBot="1" x14ac:dyDescent="0.3">
      <c r="A135" s="233" t="str">
        <f t="shared" si="2"/>
        <v>1004-2017-00120</v>
      </c>
      <c r="B135" s="233" t="str">
        <f>РПЗ!$D135</f>
        <v>1004-2017-00120Поставка тигли иридиевые</v>
      </c>
      <c r="C135" s="233" t="str">
        <f>РПЗ!$AA135</f>
        <v>АО "НИИ "Полюс" им. М.Ф. Стельмаха" тел. отдела закупок 8-495-333-05-02</v>
      </c>
      <c r="D135" s="633" t="str">
        <f>РПЗ!$AB135</f>
        <v>Заказчик</v>
      </c>
      <c r="E135" s="96" t="s">
        <v>46</v>
      </c>
      <c r="F135" s="233" t="str">
        <f>РПЗ!Q135</f>
        <v>ОЗК</v>
      </c>
      <c r="G135" s="237"/>
      <c r="H135" s="237" t="str">
        <f>РПЗ!R135</f>
        <v>да</v>
      </c>
      <c r="I135" s="15">
        <f>РПЗ!W135</f>
        <v>0</v>
      </c>
      <c r="J135" s="233">
        <f>РПЗ!X135</f>
        <v>0</v>
      </c>
      <c r="K135" s="283">
        <f>РПЗ!Z135</f>
        <v>0</v>
      </c>
      <c r="L135" s="17"/>
      <c r="M135" s="18">
        <f>РПЗ!O135</f>
        <v>42767</v>
      </c>
      <c r="N135" s="238">
        <f>Таблица5[[#This Row],[10]]</f>
        <v>42767</v>
      </c>
      <c r="O135" s="17"/>
      <c r="P135" s="17"/>
      <c r="Q135" s="17"/>
      <c r="R135" s="17"/>
      <c r="S135" s="17"/>
      <c r="T135" s="686"/>
      <c r="U135" s="18">
        <f>РПЗ!P135</f>
        <v>43070</v>
      </c>
      <c r="V135" s="686"/>
      <c r="W135" s="236">
        <f>РПЗ!L135</f>
        <v>800000</v>
      </c>
      <c r="X135" s="689"/>
      <c r="Y135" s="689"/>
      <c r="Z135" s="690"/>
      <c r="AA135" s="691"/>
      <c r="AB135" s="111"/>
      <c r="AC135" s="17"/>
      <c r="AD135" s="690"/>
      <c r="AE135" s="686"/>
      <c r="AF135" s="474"/>
      <c r="AG135" s="692"/>
      <c r="AH135" s="236" t="str">
        <f>IF(Таблица5[[#This Row],[30]]=0,"НД",Таблица5[[#This Row],[20]]-Таблица5[[#This Row],[30]])</f>
        <v>НД</v>
      </c>
      <c r="AI135" s="511" t="str">
        <f>IF(((1-Таблица5[[#This Row],[30]]/Таблица5[[#This Row],[20]])=1),"НД",(1-Таблица5[[#This Row],[30]]/Таблица5[[#This Row],[20]]))</f>
        <v>НД</v>
      </c>
      <c r="AJ135" s="111"/>
      <c r="AK135" s="111"/>
      <c r="AL135" s="512"/>
      <c r="AM135" s="513"/>
      <c r="AN135" s="465"/>
      <c r="AO135" s="468" t="str">
        <f>РПЗ!AD135</f>
        <v>Нет</v>
      </c>
      <c r="AP135" s="472">
        <f>РПЗ!V135</f>
        <v>0</v>
      </c>
      <c r="AQ135" s="470">
        <f>IF(Таблица5[[#This Row],[11]]=0,,MONTH(Таблица5[[#This Row],[11]]))</f>
        <v>2</v>
      </c>
    </row>
    <row r="136" spans="1:43" ht="39" thickBot="1" x14ac:dyDescent="0.3">
      <c r="A136" s="233" t="str">
        <f t="shared" si="2"/>
        <v>1004-2017-00121</v>
      </c>
      <c r="B136" s="233" t="str">
        <f>РПЗ!$D136</f>
        <v>1004-2017-00121 Поставка тигли платиновые</v>
      </c>
      <c r="C136" s="233" t="str">
        <f>РПЗ!$AA136</f>
        <v>АО "НИИ "Полюс" им. М.Ф. Стельмаха" тел. отдела закупок 8-495-333-05-02</v>
      </c>
      <c r="D136" s="633" t="str">
        <f>РПЗ!$AB136</f>
        <v>Заказчик</v>
      </c>
      <c r="E136" s="96" t="s">
        <v>46</v>
      </c>
      <c r="F136" s="233" t="str">
        <f>РПЗ!Q136</f>
        <v>ОЗК</v>
      </c>
      <c r="G136" s="237"/>
      <c r="H136" s="237" t="str">
        <f>РПЗ!R136</f>
        <v>да</v>
      </c>
      <c r="I136" s="15">
        <f>РПЗ!W136</f>
        <v>0</v>
      </c>
      <c r="J136" s="233">
        <f>РПЗ!X136</f>
        <v>0</v>
      </c>
      <c r="K136" s="283">
        <f>РПЗ!Z136</f>
        <v>0</v>
      </c>
      <c r="L136" s="17"/>
      <c r="M136" s="18">
        <f>РПЗ!O136</f>
        <v>42795</v>
      </c>
      <c r="N136" s="238">
        <f>Таблица5[[#This Row],[10]]</f>
        <v>42795</v>
      </c>
      <c r="O136" s="17"/>
      <c r="P136" s="17"/>
      <c r="Q136" s="17"/>
      <c r="R136" s="17"/>
      <c r="S136" s="17"/>
      <c r="T136" s="686"/>
      <c r="U136" s="18">
        <f>РПЗ!P136</f>
        <v>43070</v>
      </c>
      <c r="V136" s="686"/>
      <c r="W136" s="236">
        <f>РПЗ!L136</f>
        <v>400000</v>
      </c>
      <c r="X136" s="689"/>
      <c r="Y136" s="689"/>
      <c r="Z136" s="690"/>
      <c r="AA136" s="691"/>
      <c r="AB136" s="111"/>
      <c r="AC136" s="17"/>
      <c r="AD136" s="690"/>
      <c r="AE136" s="686"/>
      <c r="AF136" s="474"/>
      <c r="AG136" s="692"/>
      <c r="AH136" s="236" t="str">
        <f>IF(Таблица5[[#This Row],[30]]=0,"НД",Таблица5[[#This Row],[20]]-Таблица5[[#This Row],[30]])</f>
        <v>НД</v>
      </c>
      <c r="AI136" s="511" t="str">
        <f>IF(((1-Таблица5[[#This Row],[30]]/Таблица5[[#This Row],[20]])=1),"НД",(1-Таблица5[[#This Row],[30]]/Таблица5[[#This Row],[20]]))</f>
        <v>НД</v>
      </c>
      <c r="AJ136" s="111"/>
      <c r="AK136" s="111"/>
      <c r="AL136" s="512"/>
      <c r="AM136" s="513"/>
      <c r="AN136" s="465"/>
      <c r="AO136" s="468" t="str">
        <f>РПЗ!AD136</f>
        <v>Нет</v>
      </c>
      <c r="AP136" s="472">
        <f>РПЗ!V136</f>
        <v>0</v>
      </c>
      <c r="AQ136" s="470">
        <f>IF(Таблица5[[#This Row],[11]]=0,,MONTH(Таблица5[[#This Row],[11]]))</f>
        <v>3</v>
      </c>
    </row>
    <row r="137" spans="1:43" ht="39" thickBot="1" x14ac:dyDescent="0.3">
      <c r="A137" s="233" t="str">
        <f t="shared" si="2"/>
        <v>1004-2017-00122</v>
      </c>
      <c r="B137" s="233" t="str">
        <f>РПЗ!$D137</f>
        <v>1004-2017-00122Поставка  мишень золотая</v>
      </c>
      <c r="C137" s="233" t="str">
        <f>РПЗ!$AA137</f>
        <v>АО "НИИ "Полюс" им. М.Ф. Стельмаха" тел. отдела закупок 8-495-333-05-02</v>
      </c>
      <c r="D137" s="633" t="str">
        <f>РПЗ!$AB137</f>
        <v>Заказчик</v>
      </c>
      <c r="E137" s="96" t="s">
        <v>46</v>
      </c>
      <c r="F137" s="233" t="str">
        <f>РПЗ!Q137</f>
        <v>ОЗК</v>
      </c>
      <c r="G137" s="237"/>
      <c r="H137" s="237" t="str">
        <f>РПЗ!R137</f>
        <v>да</v>
      </c>
      <c r="I137" s="15">
        <f>РПЗ!W137</f>
        <v>0</v>
      </c>
      <c r="J137" s="233">
        <f>РПЗ!X137</f>
        <v>0</v>
      </c>
      <c r="K137" s="283">
        <f>РПЗ!Z137</f>
        <v>0</v>
      </c>
      <c r="L137" s="17"/>
      <c r="M137" s="18">
        <f>РПЗ!O137</f>
        <v>42826</v>
      </c>
      <c r="N137" s="238">
        <f>Таблица5[[#This Row],[10]]</f>
        <v>42826</v>
      </c>
      <c r="O137" s="17"/>
      <c r="P137" s="17"/>
      <c r="Q137" s="17"/>
      <c r="R137" s="17"/>
      <c r="S137" s="17"/>
      <c r="T137" s="686"/>
      <c r="U137" s="18">
        <f>РПЗ!P137</f>
        <v>43070</v>
      </c>
      <c r="V137" s="686"/>
      <c r="W137" s="236">
        <f>РПЗ!L137</f>
        <v>200000</v>
      </c>
      <c r="X137" s="689"/>
      <c r="Y137" s="689"/>
      <c r="Z137" s="690"/>
      <c r="AA137" s="691"/>
      <c r="AB137" s="111"/>
      <c r="AC137" s="17"/>
      <c r="AD137" s="690"/>
      <c r="AE137" s="686"/>
      <c r="AF137" s="474"/>
      <c r="AG137" s="692"/>
      <c r="AH137" s="236" t="str">
        <f>IF(Таблица5[[#This Row],[30]]=0,"НД",Таблица5[[#This Row],[20]]-Таблица5[[#This Row],[30]])</f>
        <v>НД</v>
      </c>
      <c r="AI137" s="511" t="str">
        <f>IF(((1-Таблица5[[#This Row],[30]]/Таблица5[[#This Row],[20]])=1),"НД",(1-Таблица5[[#This Row],[30]]/Таблица5[[#This Row],[20]]))</f>
        <v>НД</v>
      </c>
      <c r="AJ137" s="111"/>
      <c r="AK137" s="111"/>
      <c r="AL137" s="512"/>
      <c r="AM137" s="513"/>
      <c r="AN137" s="465"/>
      <c r="AO137" s="468" t="str">
        <f>РПЗ!AD137</f>
        <v>Нет</v>
      </c>
      <c r="AP137" s="472">
        <f>РПЗ!V137</f>
        <v>0</v>
      </c>
      <c r="AQ137" s="470">
        <f>IF(Таблица5[[#This Row],[11]]=0,,MONTH(Таблица5[[#This Row],[11]]))</f>
        <v>4</v>
      </c>
    </row>
    <row r="138" spans="1:43" ht="39" thickBot="1" x14ac:dyDescent="0.3">
      <c r="A138" s="233" t="str">
        <f t="shared" si="2"/>
        <v>1004-2017-00123</v>
      </c>
      <c r="B138" s="233" t="str">
        <f>РПЗ!$D138</f>
        <v>1004-2017-00123 Поставка золотая проволока</v>
      </c>
      <c r="C138" s="233" t="str">
        <f>РПЗ!$AA138</f>
        <v>АО "НИИ "Полюс" им. М.Ф. Стельмаха" тел. отдела закупок 8-495-333-05-02</v>
      </c>
      <c r="D138" s="633" t="str">
        <f>РПЗ!$AB138</f>
        <v>Заказчик</v>
      </c>
      <c r="E138" s="96" t="s">
        <v>46</v>
      </c>
      <c r="F138" s="233" t="str">
        <f>РПЗ!Q138</f>
        <v>ОЗК</v>
      </c>
      <c r="G138" s="237"/>
      <c r="H138" s="237" t="str">
        <f>РПЗ!R138</f>
        <v>да</v>
      </c>
      <c r="I138" s="15">
        <f>РПЗ!W138</f>
        <v>0</v>
      </c>
      <c r="J138" s="233">
        <f>РПЗ!X138</f>
        <v>0</v>
      </c>
      <c r="K138" s="283">
        <f>РПЗ!Z138</f>
        <v>0</v>
      </c>
      <c r="L138" s="17"/>
      <c r="M138" s="18">
        <f>РПЗ!O138</f>
        <v>42826</v>
      </c>
      <c r="N138" s="238">
        <f>Таблица5[[#This Row],[10]]</f>
        <v>42826</v>
      </c>
      <c r="O138" s="17"/>
      <c r="P138" s="17"/>
      <c r="Q138" s="17"/>
      <c r="R138" s="17"/>
      <c r="S138" s="17"/>
      <c r="T138" s="686"/>
      <c r="U138" s="18">
        <f>РПЗ!P138</f>
        <v>43070</v>
      </c>
      <c r="V138" s="686"/>
      <c r="W138" s="236">
        <f>РПЗ!L138</f>
        <v>500000</v>
      </c>
      <c r="X138" s="689"/>
      <c r="Y138" s="689"/>
      <c r="Z138" s="690"/>
      <c r="AA138" s="691"/>
      <c r="AB138" s="111"/>
      <c r="AC138" s="17"/>
      <c r="AD138" s="690"/>
      <c r="AE138" s="686"/>
      <c r="AF138" s="474"/>
      <c r="AG138" s="692"/>
      <c r="AH138" s="236" t="str">
        <f>IF(Таблица5[[#This Row],[30]]=0,"НД",Таблица5[[#This Row],[20]]-Таблица5[[#This Row],[30]])</f>
        <v>НД</v>
      </c>
      <c r="AI138" s="511" t="str">
        <f>IF(((1-Таблица5[[#This Row],[30]]/Таблица5[[#This Row],[20]])=1),"НД",(1-Таблица5[[#This Row],[30]]/Таблица5[[#This Row],[20]]))</f>
        <v>НД</v>
      </c>
      <c r="AJ138" s="111"/>
      <c r="AK138" s="111"/>
      <c r="AL138" s="512"/>
      <c r="AM138" s="513"/>
      <c r="AN138" s="465"/>
      <c r="AO138" s="468" t="str">
        <f>РПЗ!AD138</f>
        <v>Нет</v>
      </c>
      <c r="AP138" s="472">
        <f>РПЗ!V138</f>
        <v>0</v>
      </c>
      <c r="AQ138" s="470">
        <f>IF(Таблица5[[#This Row],[11]]=0,,MONTH(Таблица5[[#This Row],[11]]))</f>
        <v>4</v>
      </c>
    </row>
    <row r="139" spans="1:43" ht="39" thickBot="1" x14ac:dyDescent="0.3">
      <c r="A139" s="233" t="str">
        <f t="shared" si="2"/>
        <v>1004-2017-00124</v>
      </c>
      <c r="B139" s="233" t="str">
        <f>РПЗ!$D139</f>
        <v>1004-2017-00124 Поставка азотнокислое серебро</v>
      </c>
      <c r="C139" s="233" t="str">
        <f>РПЗ!$AA139</f>
        <v>АО "НИИ "Полюс" им. М.Ф. Стельмаха" тел. отдела закупок 8-495-333-05-02</v>
      </c>
      <c r="D139" s="633" t="str">
        <f>РПЗ!$AB139</f>
        <v>Заказчик</v>
      </c>
      <c r="E139" s="96" t="s">
        <v>46</v>
      </c>
      <c r="F139" s="233" t="str">
        <f>РПЗ!Q139</f>
        <v>ОЗК</v>
      </c>
      <c r="G139" s="237"/>
      <c r="H139" s="237" t="str">
        <f>РПЗ!R139</f>
        <v>да</v>
      </c>
      <c r="I139" s="15">
        <f>РПЗ!W139</f>
        <v>0</v>
      </c>
      <c r="J139" s="233">
        <f>РПЗ!X139</f>
        <v>0</v>
      </c>
      <c r="K139" s="283">
        <f>РПЗ!Z139</f>
        <v>0</v>
      </c>
      <c r="L139" s="17"/>
      <c r="M139" s="18">
        <f>РПЗ!O139</f>
        <v>42767</v>
      </c>
      <c r="N139" s="238">
        <f>Таблица5[[#This Row],[10]]</f>
        <v>42767</v>
      </c>
      <c r="O139" s="17"/>
      <c r="P139" s="17"/>
      <c r="Q139" s="17"/>
      <c r="R139" s="17"/>
      <c r="S139" s="17"/>
      <c r="T139" s="686"/>
      <c r="U139" s="18">
        <f>РПЗ!P139</f>
        <v>43070</v>
      </c>
      <c r="V139" s="686"/>
      <c r="W139" s="236">
        <f>РПЗ!L139</f>
        <v>100000</v>
      </c>
      <c r="X139" s="689"/>
      <c r="Y139" s="689"/>
      <c r="Z139" s="690"/>
      <c r="AA139" s="691"/>
      <c r="AB139" s="111"/>
      <c r="AC139" s="17"/>
      <c r="AD139" s="690"/>
      <c r="AE139" s="686"/>
      <c r="AF139" s="474"/>
      <c r="AG139" s="692"/>
      <c r="AH139" s="236" t="str">
        <f>IF(Таблица5[[#This Row],[30]]=0,"НД",Таблица5[[#This Row],[20]]-Таблица5[[#This Row],[30]])</f>
        <v>НД</v>
      </c>
      <c r="AI139" s="511" t="str">
        <f>IF(((1-Таблица5[[#This Row],[30]]/Таблица5[[#This Row],[20]])=1),"НД",(1-Таблица5[[#This Row],[30]]/Таблица5[[#This Row],[20]]))</f>
        <v>НД</v>
      </c>
      <c r="AJ139" s="111"/>
      <c r="AK139" s="111"/>
      <c r="AL139" s="512"/>
      <c r="AM139" s="513"/>
      <c r="AN139" s="465"/>
      <c r="AO139" s="468" t="str">
        <f>РПЗ!AD139</f>
        <v>Нет</v>
      </c>
      <c r="AP139" s="472">
        <f>РПЗ!V139</f>
        <v>0</v>
      </c>
      <c r="AQ139" s="470">
        <f>IF(Таблица5[[#This Row],[11]]=0,,MONTH(Таблица5[[#This Row],[11]]))</f>
        <v>2</v>
      </c>
    </row>
    <row r="140" spans="1:43" ht="39" thickBot="1" x14ac:dyDescent="0.3">
      <c r="A140" s="233" t="str">
        <f t="shared" si="2"/>
        <v>1004-2017-00125</v>
      </c>
      <c r="B140" s="233" t="str">
        <f>РПЗ!$D140</f>
        <v>1004-2017-00125Поставка  Индий -оо</v>
      </c>
      <c r="C140" s="233" t="str">
        <f>РПЗ!$AA140</f>
        <v>АО "НИИ "Полюс" им. М.Ф. Стельмаха" тел. отдела закупок 8-495-333-05-02</v>
      </c>
      <c r="D140" s="633" t="str">
        <f>РПЗ!$AB140</f>
        <v>Заказчик</v>
      </c>
      <c r="E140" s="96" t="s">
        <v>46</v>
      </c>
      <c r="F140" s="233" t="str">
        <f>РПЗ!Q140</f>
        <v>ОЗК</v>
      </c>
      <c r="G140" s="237"/>
      <c r="H140" s="237" t="str">
        <f>РПЗ!R140</f>
        <v>да</v>
      </c>
      <c r="I140" s="15">
        <f>РПЗ!W140</f>
        <v>0</v>
      </c>
      <c r="J140" s="233">
        <f>РПЗ!X140</f>
        <v>0</v>
      </c>
      <c r="K140" s="283">
        <f>РПЗ!Z140</f>
        <v>0</v>
      </c>
      <c r="L140" s="17"/>
      <c r="M140" s="18">
        <f>РПЗ!O140</f>
        <v>42795</v>
      </c>
      <c r="N140" s="238">
        <f>Таблица5[[#This Row],[10]]</f>
        <v>42795</v>
      </c>
      <c r="O140" s="17"/>
      <c r="P140" s="17"/>
      <c r="Q140" s="17"/>
      <c r="R140" s="17"/>
      <c r="S140" s="17"/>
      <c r="T140" s="686"/>
      <c r="U140" s="18">
        <f>РПЗ!P140</f>
        <v>43070</v>
      </c>
      <c r="V140" s="686"/>
      <c r="W140" s="236">
        <f>РПЗ!L140</f>
        <v>100000</v>
      </c>
      <c r="X140" s="689"/>
      <c r="Y140" s="689"/>
      <c r="Z140" s="690"/>
      <c r="AA140" s="691"/>
      <c r="AB140" s="111"/>
      <c r="AC140" s="17"/>
      <c r="AD140" s="690"/>
      <c r="AE140" s="686"/>
      <c r="AF140" s="474"/>
      <c r="AG140" s="692"/>
      <c r="AH140" s="236" t="str">
        <f>IF(Таблица5[[#This Row],[30]]=0,"НД",Таблица5[[#This Row],[20]]-Таблица5[[#This Row],[30]])</f>
        <v>НД</v>
      </c>
      <c r="AI140" s="511" t="str">
        <f>IF(((1-Таблица5[[#This Row],[30]]/Таблица5[[#This Row],[20]])=1),"НД",(1-Таблица5[[#This Row],[30]]/Таблица5[[#This Row],[20]]))</f>
        <v>НД</v>
      </c>
      <c r="AJ140" s="111"/>
      <c r="AK140" s="111"/>
      <c r="AL140" s="512"/>
      <c r="AM140" s="513"/>
      <c r="AN140" s="465"/>
      <c r="AO140" s="468" t="str">
        <f>РПЗ!AD140</f>
        <v>Нет</v>
      </c>
      <c r="AP140" s="472">
        <f>РПЗ!V140</f>
        <v>0</v>
      </c>
      <c r="AQ140" s="470">
        <f>IF(Таблица5[[#This Row],[11]]=0,,MONTH(Таблица5[[#This Row],[11]]))</f>
        <v>3</v>
      </c>
    </row>
    <row r="141" spans="1:43" ht="39" thickBot="1" x14ac:dyDescent="0.3">
      <c r="A141" s="233" t="str">
        <f t="shared" si="2"/>
        <v>1004-2017-00126</v>
      </c>
      <c r="B141" s="233" t="str">
        <f>РПЗ!$D141</f>
        <v>1004-2017-00126Поставка  припой ПОС 61          о 1.0;0.5;0,8</v>
      </c>
      <c r="C141" s="233" t="str">
        <f>РПЗ!$AA141</f>
        <v>АО "НИИ "Полюс" им. М.Ф. Стельмаха" тел. отдела закупок 8-495-333-05-02</v>
      </c>
      <c r="D141" s="633" t="str">
        <f>РПЗ!$AB141</f>
        <v>Заказчик</v>
      </c>
      <c r="E141" s="96" t="s">
        <v>46</v>
      </c>
      <c r="F141" s="233" t="str">
        <f>РПЗ!Q141</f>
        <v>ОЗК</v>
      </c>
      <c r="G141" s="237"/>
      <c r="H141" s="237" t="str">
        <f>РПЗ!R141</f>
        <v>да</v>
      </c>
      <c r="I141" s="15">
        <f>РПЗ!W141</f>
        <v>0</v>
      </c>
      <c r="J141" s="233">
        <f>РПЗ!X141</f>
        <v>0</v>
      </c>
      <c r="K141" s="283">
        <f>РПЗ!Z141</f>
        <v>0</v>
      </c>
      <c r="L141" s="17"/>
      <c r="M141" s="18">
        <f>РПЗ!O141</f>
        <v>42767</v>
      </c>
      <c r="N141" s="238">
        <f>Таблица5[[#This Row],[10]]</f>
        <v>42767</v>
      </c>
      <c r="O141" s="17"/>
      <c r="P141" s="17"/>
      <c r="Q141" s="17"/>
      <c r="R141" s="17"/>
      <c r="S141" s="17"/>
      <c r="T141" s="686"/>
      <c r="U141" s="18">
        <f>РПЗ!P141</f>
        <v>43070</v>
      </c>
      <c r="V141" s="686"/>
      <c r="W141" s="236">
        <f>РПЗ!L141</f>
        <v>100000</v>
      </c>
      <c r="X141" s="689"/>
      <c r="Y141" s="689"/>
      <c r="Z141" s="690"/>
      <c r="AA141" s="691"/>
      <c r="AB141" s="111"/>
      <c r="AC141" s="17"/>
      <c r="AD141" s="690"/>
      <c r="AE141" s="686"/>
      <c r="AF141" s="474"/>
      <c r="AG141" s="692"/>
      <c r="AH141" s="236" t="str">
        <f>IF(Таблица5[[#This Row],[30]]=0,"НД",Таблица5[[#This Row],[20]]-Таблица5[[#This Row],[30]])</f>
        <v>НД</v>
      </c>
      <c r="AI141" s="511" t="str">
        <f>IF(((1-Таблица5[[#This Row],[30]]/Таблица5[[#This Row],[20]])=1),"НД",(1-Таблица5[[#This Row],[30]]/Таблица5[[#This Row],[20]]))</f>
        <v>НД</v>
      </c>
      <c r="AJ141" s="111"/>
      <c r="AK141" s="111"/>
      <c r="AL141" s="512"/>
      <c r="AM141" s="513"/>
      <c r="AN141" s="465"/>
      <c r="AO141" s="468" t="str">
        <f>РПЗ!AD141</f>
        <v>Нет</v>
      </c>
      <c r="AP141" s="472">
        <f>РПЗ!V141</f>
        <v>0</v>
      </c>
      <c r="AQ141" s="470">
        <f>IF(Таблица5[[#This Row],[11]]=0,,MONTH(Таблица5[[#This Row],[11]]))</f>
        <v>2</v>
      </c>
    </row>
    <row r="142" spans="1:43" ht="39" thickBot="1" x14ac:dyDescent="0.3">
      <c r="A142" s="233" t="str">
        <f t="shared" si="2"/>
        <v>1004-2017-00127</v>
      </c>
      <c r="B142" s="233" t="str">
        <f>РПЗ!$D142</f>
        <v>1004-2017-00127Поставка припой ПОС 40          о0.5 ;0.8;1.0</v>
      </c>
      <c r="C142" s="233" t="str">
        <f>РПЗ!$AA142</f>
        <v>АО "НИИ "Полюс" им. М.Ф. Стельмаха" тел. отдела закупок 8-495-333-05-02</v>
      </c>
      <c r="D142" s="633" t="str">
        <f>РПЗ!$AB142</f>
        <v>Заказчик</v>
      </c>
      <c r="E142" s="96" t="s">
        <v>46</v>
      </c>
      <c r="F142" s="233" t="str">
        <f>РПЗ!Q142</f>
        <v>ОЗК</v>
      </c>
      <c r="G142" s="237"/>
      <c r="H142" s="237" t="str">
        <f>РПЗ!R142</f>
        <v>да</v>
      </c>
      <c r="I142" s="15">
        <f>РПЗ!W142</f>
        <v>0</v>
      </c>
      <c r="J142" s="233">
        <f>РПЗ!X142</f>
        <v>0</v>
      </c>
      <c r="K142" s="283">
        <f>РПЗ!Z142</f>
        <v>0</v>
      </c>
      <c r="L142" s="17"/>
      <c r="M142" s="18">
        <f>РПЗ!O142</f>
        <v>42767</v>
      </c>
      <c r="N142" s="238">
        <f>Таблица5[[#This Row],[10]]</f>
        <v>42767</v>
      </c>
      <c r="O142" s="17"/>
      <c r="P142" s="17"/>
      <c r="Q142" s="17"/>
      <c r="R142" s="17"/>
      <c r="S142" s="17"/>
      <c r="T142" s="686"/>
      <c r="U142" s="18">
        <f>РПЗ!P142</f>
        <v>43070</v>
      </c>
      <c r="V142" s="686"/>
      <c r="W142" s="236">
        <f>РПЗ!L142</f>
        <v>100000</v>
      </c>
      <c r="X142" s="689"/>
      <c r="Y142" s="689"/>
      <c r="Z142" s="690"/>
      <c r="AA142" s="691"/>
      <c r="AB142" s="111"/>
      <c r="AC142" s="17"/>
      <c r="AD142" s="690"/>
      <c r="AE142" s="686"/>
      <c r="AF142" s="474"/>
      <c r="AG142" s="692"/>
      <c r="AH142" s="236" t="str">
        <f>IF(Таблица5[[#This Row],[30]]=0,"НД",Таблица5[[#This Row],[20]]-Таблица5[[#This Row],[30]])</f>
        <v>НД</v>
      </c>
      <c r="AI142" s="511" t="str">
        <f>IF(((1-Таблица5[[#This Row],[30]]/Таблица5[[#This Row],[20]])=1),"НД",(1-Таблица5[[#This Row],[30]]/Таблица5[[#This Row],[20]]))</f>
        <v>НД</v>
      </c>
      <c r="AJ142" s="111"/>
      <c r="AK142" s="111"/>
      <c r="AL142" s="512"/>
      <c r="AM142" s="513"/>
      <c r="AN142" s="465"/>
      <c r="AO142" s="468" t="str">
        <f>РПЗ!AD142</f>
        <v>Нет</v>
      </c>
      <c r="AP142" s="472">
        <f>РПЗ!V142</f>
        <v>0</v>
      </c>
      <c r="AQ142" s="470">
        <f>IF(Таблица5[[#This Row],[11]]=0,,MONTH(Таблица5[[#This Row],[11]]))</f>
        <v>2</v>
      </c>
    </row>
    <row r="143" spans="1:43" ht="39" thickBot="1" x14ac:dyDescent="0.3">
      <c r="A143" s="233" t="str">
        <f t="shared" si="2"/>
        <v>1004-2017-00128</v>
      </c>
      <c r="B143" s="233" t="str">
        <f>РПЗ!$D143</f>
        <v>1004-2017-00128 Поставка мишень из титан    14х14</v>
      </c>
      <c r="C143" s="233" t="str">
        <f>РПЗ!$AA143</f>
        <v>АО "НИИ "Полюс" им. М.Ф. Стельмаха" тел. отдела закупок 8-495-333-05-02</v>
      </c>
      <c r="D143" s="633" t="str">
        <f>РПЗ!$AB143</f>
        <v>Заказчик</v>
      </c>
      <c r="E143" s="96" t="s">
        <v>46</v>
      </c>
      <c r="F143" s="233" t="str">
        <f>РПЗ!Q143</f>
        <v>ОЗК</v>
      </c>
      <c r="G143" s="237"/>
      <c r="H143" s="237" t="str">
        <f>РПЗ!R143</f>
        <v>да</v>
      </c>
      <c r="I143" s="15">
        <f>РПЗ!W143</f>
        <v>0</v>
      </c>
      <c r="J143" s="233">
        <f>РПЗ!X143</f>
        <v>0</v>
      </c>
      <c r="K143" s="283">
        <f>РПЗ!Z143</f>
        <v>0</v>
      </c>
      <c r="L143" s="17"/>
      <c r="M143" s="18">
        <f>РПЗ!O143</f>
        <v>42795</v>
      </c>
      <c r="N143" s="238">
        <f>Таблица5[[#This Row],[10]]</f>
        <v>42795</v>
      </c>
      <c r="O143" s="17"/>
      <c r="P143" s="17"/>
      <c r="Q143" s="17"/>
      <c r="R143" s="17"/>
      <c r="S143" s="17"/>
      <c r="T143" s="686"/>
      <c r="U143" s="18">
        <f>РПЗ!P143</f>
        <v>43070</v>
      </c>
      <c r="V143" s="686"/>
      <c r="W143" s="236">
        <f>РПЗ!L143</f>
        <v>100000</v>
      </c>
      <c r="X143" s="689"/>
      <c r="Y143" s="689"/>
      <c r="Z143" s="690"/>
      <c r="AA143" s="691"/>
      <c r="AB143" s="111"/>
      <c r="AC143" s="17"/>
      <c r="AD143" s="690"/>
      <c r="AE143" s="686"/>
      <c r="AF143" s="474"/>
      <c r="AG143" s="692"/>
      <c r="AH143" s="236" t="str">
        <f>IF(Таблица5[[#This Row],[30]]=0,"НД",Таблица5[[#This Row],[20]]-Таблица5[[#This Row],[30]])</f>
        <v>НД</v>
      </c>
      <c r="AI143" s="511" t="str">
        <f>IF(((1-Таблица5[[#This Row],[30]]/Таблица5[[#This Row],[20]])=1),"НД",(1-Таблица5[[#This Row],[30]]/Таблица5[[#This Row],[20]]))</f>
        <v>НД</v>
      </c>
      <c r="AJ143" s="111"/>
      <c r="AK143" s="111"/>
      <c r="AL143" s="512"/>
      <c r="AM143" s="513"/>
      <c r="AN143" s="465"/>
      <c r="AO143" s="468" t="str">
        <f>РПЗ!AD143</f>
        <v>Нет</v>
      </c>
      <c r="AP143" s="472">
        <f>РПЗ!V143</f>
        <v>0</v>
      </c>
      <c r="AQ143" s="470">
        <f>IF(Таблица5[[#This Row],[11]]=0,,MONTH(Таблица5[[#This Row],[11]]))</f>
        <v>3</v>
      </c>
    </row>
    <row r="144" spans="1:43" ht="39" thickBot="1" x14ac:dyDescent="0.3">
      <c r="A144" s="233" t="str">
        <f t="shared" si="2"/>
        <v>1004-2017-00129</v>
      </c>
      <c r="B144" s="233" t="str">
        <f>РПЗ!$D144</f>
        <v>1004-2017-00129 Поставка мишень из хром</v>
      </c>
      <c r="C144" s="233" t="str">
        <f>РПЗ!$AA144</f>
        <v>АО "НИИ "Полюс" им. М.Ф. Стельмаха" тел. отдела закупок 8-495-333-05-02</v>
      </c>
      <c r="D144" s="633" t="str">
        <f>РПЗ!$AB144</f>
        <v>Заказчик</v>
      </c>
      <c r="E144" s="96" t="s">
        <v>46</v>
      </c>
      <c r="F144" s="233" t="str">
        <f>РПЗ!Q144</f>
        <v>ОЗК</v>
      </c>
      <c r="G144" s="237"/>
      <c r="H144" s="237" t="str">
        <f>РПЗ!R144</f>
        <v>да</v>
      </c>
      <c r="I144" s="15">
        <f>РПЗ!W144</f>
        <v>0</v>
      </c>
      <c r="J144" s="233">
        <f>РПЗ!X144</f>
        <v>0</v>
      </c>
      <c r="K144" s="283">
        <f>РПЗ!Z144</f>
        <v>0</v>
      </c>
      <c r="L144" s="17"/>
      <c r="M144" s="18">
        <f>РПЗ!O144</f>
        <v>42795</v>
      </c>
      <c r="N144" s="238">
        <f>Таблица5[[#This Row],[10]]</f>
        <v>42795</v>
      </c>
      <c r="O144" s="17"/>
      <c r="P144" s="17"/>
      <c r="Q144" s="17"/>
      <c r="R144" s="17"/>
      <c r="S144" s="17"/>
      <c r="T144" s="686"/>
      <c r="U144" s="18">
        <f>РПЗ!P144</f>
        <v>43070</v>
      </c>
      <c r="V144" s="686"/>
      <c r="W144" s="236">
        <f>РПЗ!L144</f>
        <v>100000</v>
      </c>
      <c r="X144" s="689"/>
      <c r="Y144" s="689"/>
      <c r="Z144" s="690"/>
      <c r="AA144" s="691"/>
      <c r="AB144" s="111"/>
      <c r="AC144" s="17"/>
      <c r="AD144" s="690"/>
      <c r="AE144" s="686"/>
      <c r="AF144" s="474"/>
      <c r="AG144" s="692"/>
      <c r="AH144" s="236" t="str">
        <f>IF(Таблица5[[#This Row],[30]]=0,"НД",Таблица5[[#This Row],[20]]-Таблица5[[#This Row],[30]])</f>
        <v>НД</v>
      </c>
      <c r="AI144" s="511" t="str">
        <f>IF(((1-Таблица5[[#This Row],[30]]/Таблица5[[#This Row],[20]])=1),"НД",(1-Таблица5[[#This Row],[30]]/Таблица5[[#This Row],[20]]))</f>
        <v>НД</v>
      </c>
      <c r="AJ144" s="111"/>
      <c r="AK144" s="111"/>
      <c r="AL144" s="512"/>
      <c r="AM144" s="513"/>
      <c r="AN144" s="465"/>
      <c r="AO144" s="468" t="str">
        <f>РПЗ!AD144</f>
        <v>Нет</v>
      </c>
      <c r="AP144" s="472">
        <f>РПЗ!V144</f>
        <v>0</v>
      </c>
      <c r="AQ144" s="470">
        <f>IF(Таблица5[[#This Row],[11]]=0,,MONTH(Таблица5[[#This Row],[11]]))</f>
        <v>3</v>
      </c>
    </row>
    <row r="145" spans="1:43" ht="39" thickBot="1" x14ac:dyDescent="0.3">
      <c r="A145" s="233" t="str">
        <f t="shared" si="2"/>
        <v>1004-2017-00130</v>
      </c>
      <c r="B145" s="233" t="str">
        <f>РПЗ!$D145</f>
        <v>1004-2017-00130 Поставка мишень из титана ВТ-1-0 17х17</v>
      </c>
      <c r="C145" s="233" t="str">
        <f>РПЗ!$AA145</f>
        <v>АО "НИИ "Полюс" им. М.Ф. Стельмаха" тел. отдела закупок 8-495-333-05-02</v>
      </c>
      <c r="D145" s="633" t="str">
        <f>РПЗ!$AB145</f>
        <v>Заказчик</v>
      </c>
      <c r="E145" s="96" t="s">
        <v>46</v>
      </c>
      <c r="F145" s="233" t="str">
        <f>РПЗ!Q145</f>
        <v>ОЗК</v>
      </c>
      <c r="G145" s="237"/>
      <c r="H145" s="237" t="str">
        <f>РПЗ!R145</f>
        <v>да</v>
      </c>
      <c r="I145" s="15">
        <f>РПЗ!W145</f>
        <v>0</v>
      </c>
      <c r="J145" s="233">
        <f>РПЗ!X145</f>
        <v>0</v>
      </c>
      <c r="K145" s="283">
        <f>РПЗ!Z145</f>
        <v>0</v>
      </c>
      <c r="L145" s="17"/>
      <c r="M145" s="18">
        <f>РПЗ!O145</f>
        <v>42795</v>
      </c>
      <c r="N145" s="238">
        <f>Таблица5[[#This Row],[10]]</f>
        <v>42795</v>
      </c>
      <c r="O145" s="17"/>
      <c r="P145" s="17"/>
      <c r="Q145" s="17"/>
      <c r="R145" s="17"/>
      <c r="S145" s="17"/>
      <c r="T145" s="686"/>
      <c r="U145" s="18">
        <f>РПЗ!P145</f>
        <v>43070</v>
      </c>
      <c r="V145" s="686"/>
      <c r="W145" s="236">
        <f>РПЗ!L145</f>
        <v>100000</v>
      </c>
      <c r="X145" s="689"/>
      <c r="Y145" s="689"/>
      <c r="Z145" s="690"/>
      <c r="AA145" s="691"/>
      <c r="AB145" s="111"/>
      <c r="AC145" s="17"/>
      <c r="AD145" s="690"/>
      <c r="AE145" s="686"/>
      <c r="AF145" s="474"/>
      <c r="AG145" s="692"/>
      <c r="AH145" s="236" t="str">
        <f>IF(Таблица5[[#This Row],[30]]=0,"НД",Таблица5[[#This Row],[20]]-Таблица5[[#This Row],[30]])</f>
        <v>НД</v>
      </c>
      <c r="AI145" s="511" t="str">
        <f>IF(((1-Таблица5[[#This Row],[30]]/Таблица5[[#This Row],[20]])=1),"НД",(1-Таблица5[[#This Row],[30]]/Таблица5[[#This Row],[20]]))</f>
        <v>НД</v>
      </c>
      <c r="AJ145" s="111"/>
      <c r="AK145" s="111"/>
      <c r="AL145" s="512"/>
      <c r="AM145" s="513"/>
      <c r="AN145" s="465"/>
      <c r="AO145" s="468" t="str">
        <f>РПЗ!AD145</f>
        <v>Нет</v>
      </c>
      <c r="AP145" s="472">
        <f>РПЗ!V145</f>
        <v>0</v>
      </c>
      <c r="AQ145" s="470">
        <f>IF(Таблица5[[#This Row],[11]]=0,,MONTH(Таблица5[[#This Row],[11]]))</f>
        <v>3</v>
      </c>
    </row>
    <row r="146" spans="1:43" ht="39" thickBot="1" x14ac:dyDescent="0.3">
      <c r="A146" s="233" t="str">
        <f t="shared" si="2"/>
        <v>1004-2017-00131</v>
      </c>
      <c r="B146" s="233" t="str">
        <f>РПЗ!$D146</f>
        <v>1004-2017-00131 Поставка мишень  из молибдена  о 152</v>
      </c>
      <c r="C146" s="233" t="str">
        <f>РПЗ!$AA146</f>
        <v>АО "НИИ "Полюс" им. М.Ф. Стельмаха" тел. отдела закупок 8-495-333-05-02</v>
      </c>
      <c r="D146" s="633" t="str">
        <f>РПЗ!$AB146</f>
        <v>Заказчик</v>
      </c>
      <c r="E146" s="96" t="s">
        <v>46</v>
      </c>
      <c r="F146" s="233" t="str">
        <f>РПЗ!Q146</f>
        <v>ОЗК</v>
      </c>
      <c r="G146" s="237"/>
      <c r="H146" s="237" t="str">
        <f>РПЗ!R146</f>
        <v>да</v>
      </c>
      <c r="I146" s="15">
        <f>РПЗ!W146</f>
        <v>0</v>
      </c>
      <c r="J146" s="233">
        <f>РПЗ!X146</f>
        <v>0</v>
      </c>
      <c r="K146" s="283">
        <f>РПЗ!Z146</f>
        <v>0</v>
      </c>
      <c r="L146" s="17"/>
      <c r="M146" s="18">
        <f>РПЗ!O146</f>
        <v>42795</v>
      </c>
      <c r="N146" s="238">
        <f>Таблица5[[#This Row],[10]]</f>
        <v>42795</v>
      </c>
      <c r="O146" s="17"/>
      <c r="P146" s="17"/>
      <c r="Q146" s="17"/>
      <c r="R146" s="17"/>
      <c r="S146" s="17"/>
      <c r="T146" s="686"/>
      <c r="U146" s="18">
        <f>РПЗ!P146</f>
        <v>43070</v>
      </c>
      <c r="V146" s="686"/>
      <c r="W146" s="236">
        <f>РПЗ!L146</f>
        <v>100000</v>
      </c>
      <c r="X146" s="689"/>
      <c r="Y146" s="689"/>
      <c r="Z146" s="690"/>
      <c r="AA146" s="691"/>
      <c r="AB146" s="111"/>
      <c r="AC146" s="17"/>
      <c r="AD146" s="690"/>
      <c r="AE146" s="686"/>
      <c r="AF146" s="474"/>
      <c r="AG146" s="692"/>
      <c r="AH146" s="236" t="str">
        <f>IF(Таблица5[[#This Row],[30]]=0,"НД",Таблица5[[#This Row],[20]]-Таблица5[[#This Row],[30]])</f>
        <v>НД</v>
      </c>
      <c r="AI146" s="511" t="str">
        <f>IF(((1-Таблица5[[#This Row],[30]]/Таблица5[[#This Row],[20]])=1),"НД",(1-Таблица5[[#This Row],[30]]/Таблица5[[#This Row],[20]]))</f>
        <v>НД</v>
      </c>
      <c r="AJ146" s="111"/>
      <c r="AK146" s="111"/>
      <c r="AL146" s="512"/>
      <c r="AM146" s="513"/>
      <c r="AN146" s="465"/>
      <c r="AO146" s="468" t="str">
        <f>РПЗ!AD146</f>
        <v>Нет</v>
      </c>
      <c r="AP146" s="472">
        <f>РПЗ!V146</f>
        <v>0</v>
      </c>
      <c r="AQ146" s="470">
        <f>IF(Таблица5[[#This Row],[11]]=0,,MONTH(Таблица5[[#This Row],[11]]))</f>
        <v>3</v>
      </c>
    </row>
    <row r="147" spans="1:43" ht="39" thickBot="1" x14ac:dyDescent="0.3">
      <c r="A147" s="233" t="str">
        <f t="shared" si="2"/>
        <v>1004-2017-00132</v>
      </c>
      <c r="B147" s="233" t="str">
        <f>РПЗ!$D147</f>
        <v>1004-2017-00132 Поставка мишень из никеля о 152</v>
      </c>
      <c r="C147" s="233" t="str">
        <f>РПЗ!$AA147</f>
        <v>АО "НИИ "Полюс" им. М.Ф. Стельмаха" тел. отдела закупок 8-495-333-05-02</v>
      </c>
      <c r="D147" s="633" t="str">
        <f>РПЗ!$AB147</f>
        <v>Заказчик</v>
      </c>
      <c r="E147" s="96" t="s">
        <v>46</v>
      </c>
      <c r="F147" s="233" t="str">
        <f>РПЗ!Q147</f>
        <v>ОЗК</v>
      </c>
      <c r="G147" s="237"/>
      <c r="H147" s="237" t="str">
        <f>РПЗ!R147</f>
        <v>да</v>
      </c>
      <c r="I147" s="15">
        <f>РПЗ!W147</f>
        <v>0</v>
      </c>
      <c r="J147" s="233">
        <f>РПЗ!X147</f>
        <v>0</v>
      </c>
      <c r="K147" s="283">
        <f>РПЗ!Z147</f>
        <v>0</v>
      </c>
      <c r="L147" s="17"/>
      <c r="M147" s="18">
        <f>РПЗ!O147</f>
        <v>42795</v>
      </c>
      <c r="N147" s="238">
        <f>Таблица5[[#This Row],[10]]</f>
        <v>42795</v>
      </c>
      <c r="O147" s="17"/>
      <c r="P147" s="17"/>
      <c r="Q147" s="17"/>
      <c r="R147" s="17"/>
      <c r="S147" s="17"/>
      <c r="T147" s="686"/>
      <c r="U147" s="18">
        <f>РПЗ!P147</f>
        <v>43070</v>
      </c>
      <c r="V147" s="686"/>
      <c r="W147" s="236">
        <f>РПЗ!L147</f>
        <v>100000</v>
      </c>
      <c r="X147" s="689"/>
      <c r="Y147" s="689"/>
      <c r="Z147" s="690"/>
      <c r="AA147" s="691"/>
      <c r="AB147" s="111"/>
      <c r="AC147" s="17"/>
      <c r="AD147" s="690"/>
      <c r="AE147" s="686"/>
      <c r="AF147" s="474"/>
      <c r="AG147" s="692"/>
      <c r="AH147" s="236" t="str">
        <f>IF(Таблица5[[#This Row],[30]]=0,"НД",Таблица5[[#This Row],[20]]-Таблица5[[#This Row],[30]])</f>
        <v>НД</v>
      </c>
      <c r="AI147" s="511" t="str">
        <f>IF(((1-Таблица5[[#This Row],[30]]/Таблица5[[#This Row],[20]])=1),"НД",(1-Таблица5[[#This Row],[30]]/Таблица5[[#This Row],[20]]))</f>
        <v>НД</v>
      </c>
      <c r="AJ147" s="111"/>
      <c r="AK147" s="111"/>
      <c r="AL147" s="512"/>
      <c r="AM147" s="513"/>
      <c r="AN147" s="465"/>
      <c r="AO147" s="468" t="str">
        <f>РПЗ!AD147</f>
        <v>Нет</v>
      </c>
      <c r="AP147" s="472">
        <f>РПЗ!V147</f>
        <v>0</v>
      </c>
      <c r="AQ147" s="470">
        <f>IF(Таблица5[[#This Row],[11]]=0,,MONTH(Таблица5[[#This Row],[11]]))</f>
        <v>3</v>
      </c>
    </row>
    <row r="148" spans="1:43" ht="39" thickBot="1" x14ac:dyDescent="0.3">
      <c r="A148" s="233" t="str">
        <f t="shared" si="2"/>
        <v>1004-2017-00133</v>
      </c>
      <c r="B148" s="233" t="str">
        <f>РПЗ!$D148</f>
        <v>1004-2017-00133 Поставка мишень из титана  ВТ1-0 о 152</v>
      </c>
      <c r="C148" s="233" t="str">
        <f>РПЗ!$AA148</f>
        <v>АО "НИИ "Полюс" им. М.Ф. Стельмаха" тел. отдела закупок 8-495-333-05-02</v>
      </c>
      <c r="D148" s="633" t="str">
        <f>РПЗ!$AB148</f>
        <v>Заказчик</v>
      </c>
      <c r="E148" s="96" t="s">
        <v>46</v>
      </c>
      <c r="F148" s="233" t="str">
        <f>РПЗ!Q148</f>
        <v>ОЗК</v>
      </c>
      <c r="G148" s="237"/>
      <c r="H148" s="237" t="str">
        <f>РПЗ!R148</f>
        <v>да</v>
      </c>
      <c r="I148" s="15">
        <f>РПЗ!W148</f>
        <v>0</v>
      </c>
      <c r="J148" s="233">
        <f>РПЗ!X148</f>
        <v>0</v>
      </c>
      <c r="K148" s="283">
        <f>РПЗ!Z148</f>
        <v>0</v>
      </c>
      <c r="L148" s="17"/>
      <c r="M148" s="18">
        <f>РПЗ!O148</f>
        <v>42795</v>
      </c>
      <c r="N148" s="238">
        <f>Таблица5[[#This Row],[10]]</f>
        <v>42795</v>
      </c>
      <c r="O148" s="17"/>
      <c r="P148" s="17"/>
      <c r="Q148" s="17"/>
      <c r="R148" s="17"/>
      <c r="S148" s="17"/>
      <c r="T148" s="686"/>
      <c r="U148" s="18">
        <f>РПЗ!P148</f>
        <v>43070</v>
      </c>
      <c r="V148" s="686"/>
      <c r="W148" s="236">
        <f>РПЗ!L148</f>
        <v>100000</v>
      </c>
      <c r="X148" s="689"/>
      <c r="Y148" s="689"/>
      <c r="Z148" s="690"/>
      <c r="AA148" s="691"/>
      <c r="AB148" s="111"/>
      <c r="AC148" s="17"/>
      <c r="AD148" s="690"/>
      <c r="AE148" s="686"/>
      <c r="AF148" s="474"/>
      <c r="AG148" s="692"/>
      <c r="AH148" s="236" t="str">
        <f>IF(Таблица5[[#This Row],[30]]=0,"НД",Таблица5[[#This Row],[20]]-Таблица5[[#This Row],[30]])</f>
        <v>НД</v>
      </c>
      <c r="AI148" s="511" t="str">
        <f>IF(((1-Таблица5[[#This Row],[30]]/Таблица5[[#This Row],[20]])=1),"НД",(1-Таблица5[[#This Row],[30]]/Таблица5[[#This Row],[20]]))</f>
        <v>НД</v>
      </c>
      <c r="AJ148" s="111"/>
      <c r="AK148" s="111"/>
      <c r="AL148" s="512"/>
      <c r="AM148" s="513"/>
      <c r="AN148" s="465"/>
      <c r="AO148" s="468" t="str">
        <f>РПЗ!AD148</f>
        <v>Нет</v>
      </c>
      <c r="AP148" s="472">
        <f>РПЗ!V148</f>
        <v>0</v>
      </c>
      <c r="AQ148" s="470">
        <f>IF(Таблица5[[#This Row],[11]]=0,,MONTH(Таблица5[[#This Row],[11]]))</f>
        <v>3</v>
      </c>
    </row>
    <row r="149" spans="1:43" ht="39" thickBot="1" x14ac:dyDescent="0.3">
      <c r="A149" s="233" t="str">
        <f t="shared" si="2"/>
        <v>1004-2017-00134</v>
      </c>
      <c r="B149" s="233" t="str">
        <f>РПЗ!$D149</f>
        <v>1004-2017-00134 Поставка мишень из хрома  эрх о 152</v>
      </c>
      <c r="C149" s="233" t="str">
        <f>РПЗ!$AA149</f>
        <v>АО "НИИ "Полюс" им. М.Ф. Стельмаха" тел. отдела закупок 8-495-333-05-02</v>
      </c>
      <c r="D149" s="633" t="str">
        <f>РПЗ!$AB149</f>
        <v>Заказчик</v>
      </c>
      <c r="E149" s="96" t="s">
        <v>46</v>
      </c>
      <c r="F149" s="233" t="str">
        <f>РПЗ!Q149</f>
        <v>ОЗК</v>
      </c>
      <c r="G149" s="237"/>
      <c r="H149" s="237" t="str">
        <f>РПЗ!R149</f>
        <v>да</v>
      </c>
      <c r="I149" s="15">
        <f>РПЗ!W149</f>
        <v>0</v>
      </c>
      <c r="J149" s="233">
        <f>РПЗ!X149</f>
        <v>0</v>
      </c>
      <c r="K149" s="283">
        <f>РПЗ!Z149</f>
        <v>0</v>
      </c>
      <c r="L149" s="17"/>
      <c r="M149" s="18">
        <f>РПЗ!O149</f>
        <v>42795</v>
      </c>
      <c r="N149" s="238">
        <f>Таблица5[[#This Row],[10]]</f>
        <v>42795</v>
      </c>
      <c r="O149" s="17"/>
      <c r="P149" s="17"/>
      <c r="Q149" s="17"/>
      <c r="R149" s="17"/>
      <c r="S149" s="17"/>
      <c r="T149" s="686"/>
      <c r="U149" s="18">
        <f>РПЗ!P149</f>
        <v>43070</v>
      </c>
      <c r="V149" s="686"/>
      <c r="W149" s="236">
        <f>РПЗ!L149</f>
        <v>100000</v>
      </c>
      <c r="X149" s="689"/>
      <c r="Y149" s="689"/>
      <c r="Z149" s="690"/>
      <c r="AA149" s="691"/>
      <c r="AB149" s="111"/>
      <c r="AC149" s="17"/>
      <c r="AD149" s="690"/>
      <c r="AE149" s="686"/>
      <c r="AF149" s="474"/>
      <c r="AG149" s="692"/>
      <c r="AH149" s="236" t="str">
        <f>IF(Таблица5[[#This Row],[30]]=0,"НД",Таблица5[[#This Row],[20]]-Таблица5[[#This Row],[30]])</f>
        <v>НД</v>
      </c>
      <c r="AI149" s="511" t="str">
        <f>IF(((1-Таблица5[[#This Row],[30]]/Таблица5[[#This Row],[20]])=1),"НД",(1-Таблица5[[#This Row],[30]]/Таблица5[[#This Row],[20]]))</f>
        <v>НД</v>
      </c>
      <c r="AJ149" s="111"/>
      <c r="AK149" s="111"/>
      <c r="AL149" s="512"/>
      <c r="AM149" s="513"/>
      <c r="AN149" s="465"/>
      <c r="AO149" s="468" t="str">
        <f>РПЗ!AD149</f>
        <v>Нет</v>
      </c>
      <c r="AP149" s="472">
        <f>РПЗ!V149</f>
        <v>0</v>
      </c>
      <c r="AQ149" s="470">
        <f>IF(Таблица5[[#This Row],[11]]=0,,MONTH(Таблица5[[#This Row],[11]]))</f>
        <v>3</v>
      </c>
    </row>
    <row r="150" spans="1:43" ht="39" thickBot="1" x14ac:dyDescent="0.3">
      <c r="A150" s="233" t="str">
        <f t="shared" si="2"/>
        <v>1004-2017-00135</v>
      </c>
      <c r="B150" s="233" t="str">
        <f>РПЗ!$D150</f>
        <v>1004-2017-00135Поставка  медь вакумная( гранулы)</v>
      </c>
      <c r="C150" s="233" t="str">
        <f>РПЗ!$AA150</f>
        <v>АО "НИИ "Полюс" им. М.Ф. Стельмаха" тел. отдела закупок 8-495-333-05-02</v>
      </c>
      <c r="D150" s="633" t="str">
        <f>РПЗ!$AB150</f>
        <v>Заказчик</v>
      </c>
      <c r="E150" s="96" t="s">
        <v>46</v>
      </c>
      <c r="F150" s="233" t="str">
        <f>РПЗ!Q150</f>
        <v>ОЗК</v>
      </c>
      <c r="G150" s="237"/>
      <c r="H150" s="237" t="str">
        <f>РПЗ!R150</f>
        <v>да</v>
      </c>
      <c r="I150" s="15">
        <f>РПЗ!W150</f>
        <v>0</v>
      </c>
      <c r="J150" s="233">
        <f>РПЗ!X150</f>
        <v>0</v>
      </c>
      <c r="K150" s="283">
        <f>РПЗ!Z150</f>
        <v>0</v>
      </c>
      <c r="L150" s="17"/>
      <c r="M150" s="18">
        <f>РПЗ!O150</f>
        <v>42767</v>
      </c>
      <c r="N150" s="238">
        <f>Таблица5[[#This Row],[10]]</f>
        <v>42767</v>
      </c>
      <c r="O150" s="17"/>
      <c r="P150" s="17"/>
      <c r="Q150" s="17"/>
      <c r="R150" s="17"/>
      <c r="S150" s="17"/>
      <c r="T150" s="686"/>
      <c r="U150" s="18">
        <f>РПЗ!P150</f>
        <v>43070</v>
      </c>
      <c r="V150" s="686"/>
      <c r="W150" s="236">
        <f>РПЗ!L150</f>
        <v>100000</v>
      </c>
      <c r="X150" s="689"/>
      <c r="Y150" s="689"/>
      <c r="Z150" s="690"/>
      <c r="AA150" s="691"/>
      <c r="AB150" s="111"/>
      <c r="AC150" s="17"/>
      <c r="AD150" s="690"/>
      <c r="AE150" s="686"/>
      <c r="AF150" s="474"/>
      <c r="AG150" s="692"/>
      <c r="AH150" s="236" t="str">
        <f>IF(Таблица5[[#This Row],[30]]=0,"НД",Таблица5[[#This Row],[20]]-Таблица5[[#This Row],[30]])</f>
        <v>НД</v>
      </c>
      <c r="AI150" s="511" t="str">
        <f>IF(((1-Таблица5[[#This Row],[30]]/Таблица5[[#This Row],[20]])=1),"НД",(1-Таблица5[[#This Row],[30]]/Таблица5[[#This Row],[20]]))</f>
        <v>НД</v>
      </c>
      <c r="AJ150" s="111"/>
      <c r="AK150" s="111"/>
      <c r="AL150" s="512"/>
      <c r="AM150" s="513"/>
      <c r="AN150" s="465"/>
      <c r="AO150" s="468" t="str">
        <f>РПЗ!AD150</f>
        <v>Нет</v>
      </c>
      <c r="AP150" s="472">
        <f>РПЗ!V150</f>
        <v>0</v>
      </c>
      <c r="AQ150" s="470">
        <f>IF(Таблица5[[#This Row],[11]]=0,,MONTH(Таблица5[[#This Row],[11]]))</f>
        <v>2</v>
      </c>
    </row>
    <row r="151" spans="1:43" ht="39" thickBot="1" x14ac:dyDescent="0.3">
      <c r="A151" s="233" t="str">
        <f t="shared" si="2"/>
        <v>1004-2017-00136</v>
      </c>
      <c r="B151" s="233" t="str">
        <f>РПЗ!$D151</f>
        <v>1004-2017-00136 Поставка припой  ЗУБР 55-51-100-10</v>
      </c>
      <c r="C151" s="233" t="str">
        <f>РПЗ!$AA151</f>
        <v>АО "НИИ "Полюс" им. М.Ф. Стельмаха" тел. отдела закупок 8-495-333-05-02</v>
      </c>
      <c r="D151" s="633" t="str">
        <f>РПЗ!$AB151</f>
        <v>Заказчик</v>
      </c>
      <c r="E151" s="96" t="s">
        <v>46</v>
      </c>
      <c r="F151" s="233" t="str">
        <f>РПЗ!Q151</f>
        <v>ОЗК</v>
      </c>
      <c r="G151" s="237"/>
      <c r="H151" s="237" t="str">
        <f>РПЗ!R151</f>
        <v>да</v>
      </c>
      <c r="I151" s="15">
        <f>РПЗ!W151</f>
        <v>0</v>
      </c>
      <c r="J151" s="233">
        <f>РПЗ!X151</f>
        <v>0</v>
      </c>
      <c r="K151" s="283">
        <f>РПЗ!Z151</f>
        <v>0</v>
      </c>
      <c r="L151" s="17"/>
      <c r="M151" s="18">
        <f>РПЗ!O151</f>
        <v>42767</v>
      </c>
      <c r="N151" s="238">
        <f>Таблица5[[#This Row],[10]]</f>
        <v>42767</v>
      </c>
      <c r="O151" s="17"/>
      <c r="P151" s="17"/>
      <c r="Q151" s="17"/>
      <c r="R151" s="17"/>
      <c r="S151" s="17"/>
      <c r="T151" s="686"/>
      <c r="U151" s="18">
        <f>РПЗ!P151</f>
        <v>43070</v>
      </c>
      <c r="V151" s="686"/>
      <c r="W151" s="236">
        <f>РПЗ!L151</f>
        <v>100000</v>
      </c>
      <c r="X151" s="689"/>
      <c r="Y151" s="689"/>
      <c r="Z151" s="690"/>
      <c r="AA151" s="691"/>
      <c r="AB151" s="111"/>
      <c r="AC151" s="17"/>
      <c r="AD151" s="690"/>
      <c r="AE151" s="686"/>
      <c r="AF151" s="474"/>
      <c r="AG151" s="692"/>
      <c r="AH151" s="236" t="str">
        <f>IF(Таблица5[[#This Row],[30]]=0,"НД",Таблица5[[#This Row],[20]]-Таблица5[[#This Row],[30]])</f>
        <v>НД</v>
      </c>
      <c r="AI151" s="511" t="str">
        <f>IF(((1-Таблица5[[#This Row],[30]]/Таблица5[[#This Row],[20]])=1),"НД",(1-Таблица5[[#This Row],[30]]/Таблица5[[#This Row],[20]]))</f>
        <v>НД</v>
      </c>
      <c r="AJ151" s="111"/>
      <c r="AK151" s="111"/>
      <c r="AL151" s="512"/>
      <c r="AM151" s="513"/>
      <c r="AN151" s="465"/>
      <c r="AO151" s="468" t="str">
        <f>РПЗ!AD151</f>
        <v>Нет</v>
      </c>
      <c r="AP151" s="472">
        <f>РПЗ!V151</f>
        <v>0</v>
      </c>
      <c r="AQ151" s="470">
        <f>IF(Таблица5[[#This Row],[11]]=0,,MONTH(Таблица5[[#This Row],[11]]))</f>
        <v>2</v>
      </c>
    </row>
    <row r="152" spans="1:43" ht="39" thickBot="1" x14ac:dyDescent="0.3">
      <c r="A152" s="233" t="str">
        <f t="shared" si="2"/>
        <v>1004-2017-00137</v>
      </c>
      <c r="B152" s="233" t="str">
        <f>РПЗ!$D152</f>
        <v>1004-2017-00137 Поставка припой с глицерином флюс</v>
      </c>
      <c r="C152" s="233" t="str">
        <f>РПЗ!$AA152</f>
        <v>АО "НИИ "Полюс" им. М.Ф. Стельмаха" тел. отдела закупок 8-495-333-05-02</v>
      </c>
      <c r="D152" s="633" t="str">
        <f>РПЗ!$AB152</f>
        <v>Заказчик</v>
      </c>
      <c r="E152" s="96" t="s">
        <v>46</v>
      </c>
      <c r="F152" s="233" t="str">
        <f>РПЗ!Q152</f>
        <v>ОЗК</v>
      </c>
      <c r="G152" s="237"/>
      <c r="H152" s="237" t="str">
        <f>РПЗ!R152</f>
        <v>да</v>
      </c>
      <c r="I152" s="15">
        <f>РПЗ!W152</f>
        <v>0</v>
      </c>
      <c r="J152" s="233">
        <f>РПЗ!X152</f>
        <v>0</v>
      </c>
      <c r="K152" s="283">
        <f>РПЗ!Z152</f>
        <v>0</v>
      </c>
      <c r="L152" s="17"/>
      <c r="M152" s="18">
        <f>РПЗ!O152</f>
        <v>42767</v>
      </c>
      <c r="N152" s="238">
        <f>Таблица5[[#This Row],[10]]</f>
        <v>42767</v>
      </c>
      <c r="O152" s="17"/>
      <c r="P152" s="17"/>
      <c r="Q152" s="17"/>
      <c r="R152" s="17"/>
      <c r="S152" s="17"/>
      <c r="T152" s="686"/>
      <c r="U152" s="18">
        <f>РПЗ!P152</f>
        <v>43070</v>
      </c>
      <c r="V152" s="686"/>
      <c r="W152" s="236">
        <f>РПЗ!L152</f>
        <v>100000</v>
      </c>
      <c r="X152" s="689"/>
      <c r="Y152" s="689"/>
      <c r="Z152" s="690"/>
      <c r="AA152" s="691"/>
      <c r="AB152" s="111"/>
      <c r="AC152" s="17"/>
      <c r="AD152" s="690"/>
      <c r="AE152" s="686"/>
      <c r="AF152" s="474"/>
      <c r="AG152" s="692"/>
      <c r="AH152" s="236" t="str">
        <f>IF(Таблица5[[#This Row],[30]]=0,"НД",Таблица5[[#This Row],[20]]-Таблица5[[#This Row],[30]])</f>
        <v>НД</v>
      </c>
      <c r="AI152" s="511" t="str">
        <f>IF(((1-Таблица5[[#This Row],[30]]/Таблица5[[#This Row],[20]])=1),"НД",(1-Таблица5[[#This Row],[30]]/Таблица5[[#This Row],[20]]))</f>
        <v>НД</v>
      </c>
      <c r="AJ152" s="111"/>
      <c r="AK152" s="111"/>
      <c r="AL152" s="512"/>
      <c r="AM152" s="513"/>
      <c r="AN152" s="465"/>
      <c r="AO152" s="468" t="str">
        <f>РПЗ!AD152</f>
        <v>Нет</v>
      </c>
      <c r="AP152" s="472">
        <f>РПЗ!V152</f>
        <v>0</v>
      </c>
      <c r="AQ152" s="470">
        <f>IF(Таблица5[[#This Row],[11]]=0,,MONTH(Таблица5[[#This Row],[11]]))</f>
        <v>2</v>
      </c>
    </row>
    <row r="153" spans="1:43" ht="39" thickBot="1" x14ac:dyDescent="0.3">
      <c r="A153" s="233" t="str">
        <f t="shared" si="2"/>
        <v>1004-2017-00138</v>
      </c>
      <c r="B153" s="233" t="str">
        <f>РПЗ!$D153</f>
        <v>1004-2017-00138 Поставка редкие зем.материал</v>
      </c>
      <c r="C153" s="233" t="str">
        <f>РПЗ!$AA153</f>
        <v>АО "НИИ "Полюс" им. М.Ф. Стельмаха" тел. отдела закупок 8-495-333-05-02</v>
      </c>
      <c r="D153" s="633" t="str">
        <f>РПЗ!$AB153</f>
        <v>Заказчик</v>
      </c>
      <c r="E153" s="96" t="s">
        <v>46</v>
      </c>
      <c r="F153" s="233" t="str">
        <f>РПЗ!Q153</f>
        <v>ОЗК</v>
      </c>
      <c r="G153" s="237"/>
      <c r="H153" s="237" t="str">
        <f>РПЗ!R153</f>
        <v>да</v>
      </c>
      <c r="I153" s="15">
        <f>РПЗ!W153</f>
        <v>0</v>
      </c>
      <c r="J153" s="233">
        <f>РПЗ!X153</f>
        <v>0</v>
      </c>
      <c r="K153" s="283">
        <f>РПЗ!Z153</f>
        <v>0</v>
      </c>
      <c r="L153" s="17"/>
      <c r="M153" s="18">
        <f>РПЗ!O153</f>
        <v>42795</v>
      </c>
      <c r="N153" s="238">
        <f>Таблица5[[#This Row],[10]]</f>
        <v>42795</v>
      </c>
      <c r="O153" s="17"/>
      <c r="P153" s="17"/>
      <c r="Q153" s="17"/>
      <c r="R153" s="17"/>
      <c r="S153" s="17"/>
      <c r="T153" s="686"/>
      <c r="U153" s="18">
        <f>РПЗ!P153</f>
        <v>43070</v>
      </c>
      <c r="V153" s="686"/>
      <c r="W153" s="236">
        <f>РПЗ!L153</f>
        <v>100000</v>
      </c>
      <c r="X153" s="689"/>
      <c r="Y153" s="689"/>
      <c r="Z153" s="690"/>
      <c r="AA153" s="691"/>
      <c r="AB153" s="111"/>
      <c r="AC153" s="17"/>
      <c r="AD153" s="690"/>
      <c r="AE153" s="686"/>
      <c r="AF153" s="474"/>
      <c r="AG153" s="692"/>
      <c r="AH153" s="236" t="str">
        <f>IF(Таблица5[[#This Row],[30]]=0,"НД",Таблица5[[#This Row],[20]]-Таблица5[[#This Row],[30]])</f>
        <v>НД</v>
      </c>
      <c r="AI153" s="511" t="str">
        <f>IF(((1-Таблица5[[#This Row],[30]]/Таблица5[[#This Row],[20]])=1),"НД",(1-Таблица5[[#This Row],[30]]/Таблица5[[#This Row],[20]]))</f>
        <v>НД</v>
      </c>
      <c r="AJ153" s="111"/>
      <c r="AK153" s="111"/>
      <c r="AL153" s="512"/>
      <c r="AM153" s="513"/>
      <c r="AN153" s="465"/>
      <c r="AO153" s="468" t="str">
        <f>РПЗ!AD153</f>
        <v>Нет</v>
      </c>
      <c r="AP153" s="472">
        <f>РПЗ!V153</f>
        <v>0</v>
      </c>
      <c r="AQ153" s="470">
        <f>IF(Таблица5[[#This Row],[11]]=0,,MONTH(Таблица5[[#This Row],[11]]))</f>
        <v>3</v>
      </c>
    </row>
    <row r="154" spans="1:43" ht="39" thickBot="1" x14ac:dyDescent="0.3">
      <c r="A154" s="233" t="str">
        <f t="shared" si="2"/>
        <v>1004-2017-00139</v>
      </c>
      <c r="B154" s="233" t="str">
        <f>РПЗ!$D154</f>
        <v>1004-2017-00139 Поставка строительно-отделочные материалы</v>
      </c>
      <c r="C154" s="233" t="str">
        <f>РПЗ!$AA154</f>
        <v>АО "НИИ "Полюс" им. М.Ф. Стельмаха" тел. отдела закупок 8-495-333-05-02</v>
      </c>
      <c r="D154" s="633" t="str">
        <f>РПЗ!$AB154</f>
        <v>Заказчик</v>
      </c>
      <c r="E154" s="96" t="s">
        <v>46</v>
      </c>
      <c r="F154" s="233" t="str">
        <f>РПЗ!Q154</f>
        <v>ОЗК</v>
      </c>
      <c r="G154" s="237"/>
      <c r="H154" s="237" t="str">
        <f>РПЗ!R154</f>
        <v>да</v>
      </c>
      <c r="I154" s="15">
        <f>РПЗ!W154</f>
        <v>0</v>
      </c>
      <c r="J154" s="233">
        <f>РПЗ!X154</f>
        <v>0</v>
      </c>
      <c r="K154" s="283">
        <f>РПЗ!Z154</f>
        <v>0</v>
      </c>
      <c r="L154" s="17"/>
      <c r="M154" s="18">
        <f>РПЗ!O154</f>
        <v>42767</v>
      </c>
      <c r="N154" s="238">
        <f>Таблица5[[#This Row],[10]]</f>
        <v>42767</v>
      </c>
      <c r="O154" s="17"/>
      <c r="P154" s="17"/>
      <c r="Q154" s="17"/>
      <c r="R154" s="17"/>
      <c r="S154" s="17"/>
      <c r="T154" s="686"/>
      <c r="U154" s="18">
        <f>РПЗ!P154</f>
        <v>43070</v>
      </c>
      <c r="V154" s="686"/>
      <c r="W154" s="236">
        <f>РПЗ!L154</f>
        <v>1402882</v>
      </c>
      <c r="X154" s="689"/>
      <c r="Y154" s="689"/>
      <c r="Z154" s="690"/>
      <c r="AA154" s="691"/>
      <c r="AB154" s="111"/>
      <c r="AC154" s="17"/>
      <c r="AD154" s="690"/>
      <c r="AE154" s="686"/>
      <c r="AF154" s="474"/>
      <c r="AG154" s="692"/>
      <c r="AH154" s="236" t="str">
        <f>IF(Таблица5[[#This Row],[30]]=0,"НД",Таблица5[[#This Row],[20]]-Таблица5[[#This Row],[30]])</f>
        <v>НД</v>
      </c>
      <c r="AI154" s="511" t="str">
        <f>IF(((1-Таблица5[[#This Row],[30]]/Таблица5[[#This Row],[20]])=1),"НД",(1-Таблица5[[#This Row],[30]]/Таблица5[[#This Row],[20]]))</f>
        <v>НД</v>
      </c>
      <c r="AJ154" s="111"/>
      <c r="AK154" s="111"/>
      <c r="AL154" s="512"/>
      <c r="AM154" s="513"/>
      <c r="AN154" s="465"/>
      <c r="AO154" s="468" t="str">
        <f>РПЗ!AD154</f>
        <v>Нет</v>
      </c>
      <c r="AP154" s="472">
        <f>РПЗ!V154</f>
        <v>0</v>
      </c>
      <c r="AQ154" s="470">
        <f>IF(Таблица5[[#This Row],[11]]=0,,MONTH(Таблица5[[#This Row],[11]]))</f>
        <v>2</v>
      </c>
    </row>
    <row r="155" spans="1:43" ht="39" thickBot="1" x14ac:dyDescent="0.3">
      <c r="A155" s="233" t="str">
        <f t="shared" si="2"/>
        <v>1004-2017-00140</v>
      </c>
      <c r="B155" s="233" t="str">
        <f>РПЗ!$D155</f>
        <v>1004-2017-00140 Поставка строительно-отделочные материалы</v>
      </c>
      <c r="C155" s="233" t="str">
        <f>РПЗ!$AA155</f>
        <v>АО "НИИ "Полюс" им. М.Ф. Стельмаха" тел. отдела закупок 8-495-333-05-02</v>
      </c>
      <c r="D155" s="633" t="str">
        <f>РПЗ!$AB155</f>
        <v>Заказчик</v>
      </c>
      <c r="E155" s="96" t="s">
        <v>46</v>
      </c>
      <c r="F155" s="233" t="str">
        <f>РПЗ!Q155</f>
        <v>ОЗК</v>
      </c>
      <c r="G155" s="237"/>
      <c r="H155" s="237" t="str">
        <f>РПЗ!R155</f>
        <v>да</v>
      </c>
      <c r="I155" s="15">
        <f>РПЗ!W155</f>
        <v>0</v>
      </c>
      <c r="J155" s="233">
        <f>РПЗ!X155</f>
        <v>0</v>
      </c>
      <c r="K155" s="283">
        <f>РПЗ!Z155</f>
        <v>0</v>
      </c>
      <c r="L155" s="17"/>
      <c r="M155" s="18">
        <f>РПЗ!O155</f>
        <v>42856</v>
      </c>
      <c r="N155" s="238">
        <f>Таблица5[[#This Row],[10]]</f>
        <v>42856</v>
      </c>
      <c r="O155" s="17"/>
      <c r="P155" s="17"/>
      <c r="Q155" s="17"/>
      <c r="R155" s="17"/>
      <c r="S155" s="17"/>
      <c r="T155" s="686"/>
      <c r="U155" s="18">
        <f>РПЗ!P155</f>
        <v>43070</v>
      </c>
      <c r="V155" s="686"/>
      <c r="W155" s="236">
        <f>РПЗ!L155</f>
        <v>1510486</v>
      </c>
      <c r="X155" s="689"/>
      <c r="Y155" s="689"/>
      <c r="Z155" s="690"/>
      <c r="AA155" s="691"/>
      <c r="AB155" s="111"/>
      <c r="AC155" s="17"/>
      <c r="AD155" s="690"/>
      <c r="AE155" s="686"/>
      <c r="AF155" s="474"/>
      <c r="AG155" s="692"/>
      <c r="AH155" s="236" t="str">
        <f>IF(Таблица5[[#This Row],[30]]=0,"НД",Таблица5[[#This Row],[20]]-Таблица5[[#This Row],[30]])</f>
        <v>НД</v>
      </c>
      <c r="AI155" s="511" t="str">
        <f>IF(((1-Таблица5[[#This Row],[30]]/Таблица5[[#This Row],[20]])=1),"НД",(1-Таблица5[[#This Row],[30]]/Таблица5[[#This Row],[20]]))</f>
        <v>НД</v>
      </c>
      <c r="AJ155" s="111"/>
      <c r="AK155" s="111"/>
      <c r="AL155" s="512"/>
      <c r="AM155" s="513"/>
      <c r="AN155" s="465"/>
      <c r="AO155" s="468" t="str">
        <f>РПЗ!AD155</f>
        <v>Нет</v>
      </c>
      <c r="AP155" s="472">
        <f>РПЗ!V155</f>
        <v>0</v>
      </c>
      <c r="AQ155" s="470">
        <f>IF(Таблица5[[#This Row],[11]]=0,,MONTH(Таблица5[[#This Row],[11]]))</f>
        <v>5</v>
      </c>
    </row>
    <row r="156" spans="1:43" ht="39" thickBot="1" x14ac:dyDescent="0.3">
      <c r="A156" s="233" t="str">
        <f t="shared" si="2"/>
        <v>1004-2017-00141</v>
      </c>
      <c r="B156" s="233" t="str">
        <f>РПЗ!$D156</f>
        <v>1004-2017-00141Поставка строительно-отделочные материалы</v>
      </c>
      <c r="C156" s="233" t="str">
        <f>РПЗ!$AA156</f>
        <v>АО "НИИ "Полюс" им. М.Ф. Стельмаха" тел. отдела закупок 8-495-333-05-02</v>
      </c>
      <c r="D156" s="633" t="str">
        <f>РПЗ!$AB156</f>
        <v>Заказчик</v>
      </c>
      <c r="E156" s="96" t="s">
        <v>46</v>
      </c>
      <c r="F156" s="233" t="str">
        <f>РПЗ!Q156</f>
        <v>ОЗК</v>
      </c>
      <c r="G156" s="237"/>
      <c r="H156" s="237" t="str">
        <f>РПЗ!R156</f>
        <v>да</v>
      </c>
      <c r="I156" s="15">
        <f>РПЗ!W156</f>
        <v>0</v>
      </c>
      <c r="J156" s="233">
        <f>РПЗ!X156</f>
        <v>0</v>
      </c>
      <c r="K156" s="283">
        <f>РПЗ!Z156</f>
        <v>0</v>
      </c>
      <c r="L156" s="17"/>
      <c r="M156" s="18">
        <f>РПЗ!O156</f>
        <v>42917</v>
      </c>
      <c r="N156" s="238">
        <f>Таблица5[[#This Row],[10]]</f>
        <v>42917</v>
      </c>
      <c r="O156" s="17"/>
      <c r="P156" s="17"/>
      <c r="Q156" s="17"/>
      <c r="R156" s="17"/>
      <c r="S156" s="17"/>
      <c r="T156" s="686"/>
      <c r="U156" s="18">
        <f>РПЗ!P156</f>
        <v>43070</v>
      </c>
      <c r="V156" s="686"/>
      <c r="W156" s="236">
        <f>РПЗ!L156</f>
        <v>1350456</v>
      </c>
      <c r="X156" s="689"/>
      <c r="Y156" s="689"/>
      <c r="Z156" s="690"/>
      <c r="AA156" s="691"/>
      <c r="AB156" s="111"/>
      <c r="AC156" s="17"/>
      <c r="AD156" s="690"/>
      <c r="AE156" s="686"/>
      <c r="AF156" s="474"/>
      <c r="AG156" s="692"/>
      <c r="AH156" s="236" t="str">
        <f>IF(Таблица5[[#This Row],[30]]=0,"НД",Таблица5[[#This Row],[20]]-Таблица5[[#This Row],[30]])</f>
        <v>НД</v>
      </c>
      <c r="AI156" s="511" t="str">
        <f>IF(((1-Таблица5[[#This Row],[30]]/Таблица5[[#This Row],[20]])=1),"НД",(1-Таблица5[[#This Row],[30]]/Таблица5[[#This Row],[20]]))</f>
        <v>НД</v>
      </c>
      <c r="AJ156" s="111"/>
      <c r="AK156" s="111"/>
      <c r="AL156" s="512"/>
      <c r="AM156" s="513"/>
      <c r="AN156" s="465"/>
      <c r="AO156" s="468" t="str">
        <f>РПЗ!AD156</f>
        <v>Нет</v>
      </c>
      <c r="AP156" s="472">
        <f>РПЗ!V156</f>
        <v>0</v>
      </c>
      <c r="AQ156" s="470">
        <f>IF(Таблица5[[#This Row],[11]]=0,,MONTH(Таблица5[[#This Row],[11]]))</f>
        <v>7</v>
      </c>
    </row>
    <row r="157" spans="1:43" ht="39" thickBot="1" x14ac:dyDescent="0.3">
      <c r="A157" s="233" t="str">
        <f t="shared" si="2"/>
        <v>1004-2017-00142</v>
      </c>
      <c r="B157" s="233" t="str">
        <f>РПЗ!$D157</f>
        <v>1004-2017-00142 поставка строительно-отделочные материалы</v>
      </c>
      <c r="C157" s="233" t="str">
        <f>РПЗ!$AA157</f>
        <v>АО "НИИ "Полюс" им. М.Ф. Стельмаха" тел. отдела закупок 8-495-333-05-02</v>
      </c>
      <c r="D157" s="633" t="str">
        <f>РПЗ!$AB157</f>
        <v>Заказчик</v>
      </c>
      <c r="E157" s="96" t="s">
        <v>46</v>
      </c>
      <c r="F157" s="233" t="str">
        <f>РПЗ!Q157</f>
        <v>ОЗК</v>
      </c>
      <c r="G157" s="237"/>
      <c r="H157" s="237" t="str">
        <f>РПЗ!R157</f>
        <v>да</v>
      </c>
      <c r="I157" s="15">
        <f>РПЗ!W157</f>
        <v>0</v>
      </c>
      <c r="J157" s="233">
        <f>РПЗ!X157</f>
        <v>0</v>
      </c>
      <c r="K157" s="283">
        <f>РПЗ!Z157</f>
        <v>0</v>
      </c>
      <c r="L157" s="17"/>
      <c r="M157" s="18">
        <f>РПЗ!O157</f>
        <v>42979</v>
      </c>
      <c r="N157" s="238">
        <f>Таблица5[[#This Row],[10]]</f>
        <v>42979</v>
      </c>
      <c r="O157" s="17"/>
      <c r="P157" s="17"/>
      <c r="Q157" s="17"/>
      <c r="R157" s="17"/>
      <c r="S157" s="17"/>
      <c r="T157" s="686"/>
      <c r="U157" s="18">
        <f>РПЗ!P157</f>
        <v>43070</v>
      </c>
      <c r="V157" s="686"/>
      <c r="W157" s="236">
        <f>РПЗ!L157</f>
        <v>1450655</v>
      </c>
      <c r="X157" s="689"/>
      <c r="Y157" s="689"/>
      <c r="Z157" s="690"/>
      <c r="AA157" s="691"/>
      <c r="AB157" s="111"/>
      <c r="AC157" s="17"/>
      <c r="AD157" s="690"/>
      <c r="AE157" s="686"/>
      <c r="AF157" s="474"/>
      <c r="AG157" s="692"/>
      <c r="AH157" s="236" t="str">
        <f>IF(Таблица5[[#This Row],[30]]=0,"НД",Таблица5[[#This Row],[20]]-Таблица5[[#This Row],[30]])</f>
        <v>НД</v>
      </c>
      <c r="AI157" s="511" t="str">
        <f>IF(((1-Таблица5[[#This Row],[30]]/Таблица5[[#This Row],[20]])=1),"НД",(1-Таблица5[[#This Row],[30]]/Таблица5[[#This Row],[20]]))</f>
        <v>НД</v>
      </c>
      <c r="AJ157" s="111"/>
      <c r="AK157" s="111"/>
      <c r="AL157" s="512"/>
      <c r="AM157" s="513"/>
      <c r="AN157" s="465"/>
      <c r="AO157" s="468" t="str">
        <f>РПЗ!AD157</f>
        <v>Нет</v>
      </c>
      <c r="AP157" s="472">
        <f>РПЗ!V157</f>
        <v>0</v>
      </c>
      <c r="AQ157" s="470">
        <f>IF(Таблица5[[#This Row],[11]]=0,,MONTH(Таблица5[[#This Row],[11]]))</f>
        <v>9</v>
      </c>
    </row>
    <row r="158" spans="1:43" ht="39" thickBot="1" x14ac:dyDescent="0.3">
      <c r="A158" s="233" t="str">
        <f t="shared" si="2"/>
        <v>1004-2017-00143</v>
      </c>
      <c r="B158" s="233" t="str">
        <f>РПЗ!$D158</f>
        <v>1004-2017-00143 Поставка строительно-отделочные материалы</v>
      </c>
      <c r="C158" s="233" t="str">
        <f>РПЗ!$AA158</f>
        <v>АО "НИИ "Полюс" им. М.Ф. Стельмаха" тел. отдела закупок 8-495-333-05-02</v>
      </c>
      <c r="D158" s="633" t="str">
        <f>РПЗ!$AB158</f>
        <v>Заказчик</v>
      </c>
      <c r="E158" s="96" t="s">
        <v>46</v>
      </c>
      <c r="F158" s="233" t="str">
        <f>РПЗ!Q158</f>
        <v>ОЗК</v>
      </c>
      <c r="G158" s="237"/>
      <c r="H158" s="237" t="str">
        <f>РПЗ!R158</f>
        <v>да</v>
      </c>
      <c r="I158" s="15">
        <f>РПЗ!W158</f>
        <v>0</v>
      </c>
      <c r="J158" s="233">
        <f>РПЗ!X158</f>
        <v>0</v>
      </c>
      <c r="K158" s="283">
        <f>РПЗ!Z158</f>
        <v>0</v>
      </c>
      <c r="L158" s="17"/>
      <c r="M158" s="18">
        <f>РПЗ!O158</f>
        <v>42856</v>
      </c>
      <c r="N158" s="238">
        <f>Таблица5[[#This Row],[10]]</f>
        <v>42856</v>
      </c>
      <c r="O158" s="17"/>
      <c r="P158" s="17"/>
      <c r="Q158" s="17"/>
      <c r="R158" s="17"/>
      <c r="S158" s="17"/>
      <c r="T158" s="686"/>
      <c r="U158" s="18">
        <f>РПЗ!P158</f>
        <v>43070</v>
      </c>
      <c r="V158" s="686"/>
      <c r="W158" s="236">
        <f>РПЗ!L158</f>
        <v>1299631.4000000004</v>
      </c>
      <c r="X158" s="689"/>
      <c r="Y158" s="689"/>
      <c r="Z158" s="690"/>
      <c r="AA158" s="691"/>
      <c r="AB158" s="111"/>
      <c r="AC158" s="17"/>
      <c r="AD158" s="690"/>
      <c r="AE158" s="686"/>
      <c r="AF158" s="474"/>
      <c r="AG158" s="692"/>
      <c r="AH158" s="236" t="str">
        <f>IF(Таблица5[[#This Row],[30]]=0,"НД",Таблица5[[#This Row],[20]]-Таблица5[[#This Row],[30]])</f>
        <v>НД</v>
      </c>
      <c r="AI158" s="511" t="str">
        <f>IF(((1-Таблица5[[#This Row],[30]]/Таблица5[[#This Row],[20]])=1),"НД",(1-Таблица5[[#This Row],[30]]/Таблица5[[#This Row],[20]]))</f>
        <v>НД</v>
      </c>
      <c r="AJ158" s="111"/>
      <c r="AK158" s="111"/>
      <c r="AL158" s="512"/>
      <c r="AM158" s="513"/>
      <c r="AN158" s="465"/>
      <c r="AO158" s="468" t="str">
        <f>РПЗ!AD158</f>
        <v>Нет</v>
      </c>
      <c r="AP158" s="472">
        <f>РПЗ!V158</f>
        <v>0</v>
      </c>
      <c r="AQ158" s="470">
        <f>IF(Таблица5[[#This Row],[11]]=0,,MONTH(Таблица5[[#This Row],[11]]))</f>
        <v>5</v>
      </c>
    </row>
    <row r="159" spans="1:43" ht="39" thickBot="1" x14ac:dyDescent="0.3">
      <c r="A159" s="233" t="str">
        <f t="shared" si="2"/>
        <v>1004-2017-00144</v>
      </c>
      <c r="B159" s="233" t="str">
        <f>РПЗ!$D159</f>
        <v>1004-2017-00144 Поставка Трубы и трубные изделия</v>
      </c>
      <c r="C159" s="233" t="str">
        <f>РПЗ!$AA159</f>
        <v>АО "НИИ "Полюс" им. М.Ф. Стельмаха" тел. отдела закупок 8-495-333-05-02</v>
      </c>
      <c r="D159" s="633" t="str">
        <f>РПЗ!$AB159</f>
        <v>Заказчик</v>
      </c>
      <c r="E159" s="96" t="s">
        <v>46</v>
      </c>
      <c r="F159" s="233" t="str">
        <f>РПЗ!Q159</f>
        <v>ОЗК</v>
      </c>
      <c r="G159" s="237"/>
      <c r="H159" s="237" t="str">
        <f>РПЗ!R159</f>
        <v>да</v>
      </c>
      <c r="I159" s="15">
        <f>РПЗ!W159</f>
        <v>0</v>
      </c>
      <c r="J159" s="233">
        <f>РПЗ!X159</f>
        <v>0</v>
      </c>
      <c r="K159" s="283">
        <f>РПЗ!Z159</f>
        <v>0</v>
      </c>
      <c r="L159" s="17"/>
      <c r="M159" s="18">
        <f>РПЗ!O159</f>
        <v>42856</v>
      </c>
      <c r="N159" s="238">
        <f>Таблица5[[#This Row],[10]]</f>
        <v>42856</v>
      </c>
      <c r="O159" s="17"/>
      <c r="P159" s="17"/>
      <c r="Q159" s="17"/>
      <c r="R159" s="17"/>
      <c r="S159" s="17"/>
      <c r="T159" s="686"/>
      <c r="U159" s="18">
        <f>РПЗ!P159</f>
        <v>43070</v>
      </c>
      <c r="V159" s="686"/>
      <c r="W159" s="236">
        <f>РПЗ!L159</f>
        <v>1638161.5</v>
      </c>
      <c r="X159" s="689"/>
      <c r="Y159" s="689"/>
      <c r="Z159" s="690"/>
      <c r="AA159" s="691"/>
      <c r="AB159" s="111"/>
      <c r="AC159" s="17"/>
      <c r="AD159" s="690"/>
      <c r="AE159" s="686"/>
      <c r="AF159" s="474"/>
      <c r="AG159" s="692"/>
      <c r="AH159" s="236" t="str">
        <f>IF(Таблица5[[#This Row],[30]]=0,"НД",Таблица5[[#This Row],[20]]-Таблица5[[#This Row],[30]])</f>
        <v>НД</v>
      </c>
      <c r="AI159" s="511" t="str">
        <f>IF(((1-Таблица5[[#This Row],[30]]/Таблица5[[#This Row],[20]])=1),"НД",(1-Таблица5[[#This Row],[30]]/Таблица5[[#This Row],[20]]))</f>
        <v>НД</v>
      </c>
      <c r="AJ159" s="111"/>
      <c r="AK159" s="111"/>
      <c r="AL159" s="512"/>
      <c r="AM159" s="513"/>
      <c r="AN159" s="465"/>
      <c r="AO159" s="468" t="str">
        <f>РПЗ!AD159</f>
        <v>Нет</v>
      </c>
      <c r="AP159" s="472">
        <f>РПЗ!V159</f>
        <v>0</v>
      </c>
      <c r="AQ159" s="470">
        <f>IF(Таблица5[[#This Row],[11]]=0,,MONTH(Таблица5[[#This Row],[11]]))</f>
        <v>5</v>
      </c>
    </row>
    <row r="160" spans="1:43" ht="39" thickBot="1" x14ac:dyDescent="0.3">
      <c r="A160" s="233" t="str">
        <f t="shared" si="2"/>
        <v>1004-2017-00145</v>
      </c>
      <c r="B160" s="233" t="str">
        <f>РПЗ!$D160</f>
        <v>1004-2017-00145 Поставка Трубы и фитинги пластиковые</v>
      </c>
      <c r="C160" s="233" t="str">
        <f>РПЗ!$AA160</f>
        <v>АО "НИИ "Полюс" им. М.Ф. Стельмаха" тел. отдела закупок 8-495-333-05-02</v>
      </c>
      <c r="D160" s="633" t="str">
        <f>РПЗ!$AB160</f>
        <v>Заказчик</v>
      </c>
      <c r="E160" s="96" t="s">
        <v>46</v>
      </c>
      <c r="F160" s="233" t="str">
        <f>РПЗ!Q160</f>
        <v>ОЗК</v>
      </c>
      <c r="G160" s="237"/>
      <c r="H160" s="237" t="str">
        <f>РПЗ!R160</f>
        <v>да</v>
      </c>
      <c r="I160" s="15">
        <f>РПЗ!W160</f>
        <v>0</v>
      </c>
      <c r="J160" s="233">
        <f>РПЗ!X160</f>
        <v>0</v>
      </c>
      <c r="K160" s="283">
        <f>РПЗ!Z160</f>
        <v>0</v>
      </c>
      <c r="L160" s="17"/>
      <c r="M160" s="18">
        <f>РПЗ!O160</f>
        <v>42795</v>
      </c>
      <c r="N160" s="238">
        <f>Таблица5[[#This Row],[10]]</f>
        <v>42795</v>
      </c>
      <c r="O160" s="17"/>
      <c r="P160" s="17"/>
      <c r="Q160" s="17"/>
      <c r="R160" s="17"/>
      <c r="S160" s="17"/>
      <c r="T160" s="686"/>
      <c r="U160" s="18">
        <f>РПЗ!P160</f>
        <v>43070</v>
      </c>
      <c r="V160" s="686"/>
      <c r="W160" s="236">
        <f>РПЗ!L160</f>
        <v>887332</v>
      </c>
      <c r="X160" s="689"/>
      <c r="Y160" s="689"/>
      <c r="Z160" s="690"/>
      <c r="AA160" s="691"/>
      <c r="AB160" s="111"/>
      <c r="AC160" s="17"/>
      <c r="AD160" s="690"/>
      <c r="AE160" s="686"/>
      <c r="AF160" s="474"/>
      <c r="AG160" s="692"/>
      <c r="AH160" s="236" t="str">
        <f>IF(Таблица5[[#This Row],[30]]=0,"НД",Таблица5[[#This Row],[20]]-Таблица5[[#This Row],[30]])</f>
        <v>НД</v>
      </c>
      <c r="AI160" s="511" t="str">
        <f>IF(((1-Таблица5[[#This Row],[30]]/Таблица5[[#This Row],[20]])=1),"НД",(1-Таблица5[[#This Row],[30]]/Таблица5[[#This Row],[20]]))</f>
        <v>НД</v>
      </c>
      <c r="AJ160" s="111"/>
      <c r="AK160" s="111"/>
      <c r="AL160" s="512"/>
      <c r="AM160" s="513"/>
      <c r="AN160" s="465"/>
      <c r="AO160" s="468" t="str">
        <f>РПЗ!AD160</f>
        <v>Нет</v>
      </c>
      <c r="AP160" s="472">
        <f>РПЗ!V160</f>
        <v>0</v>
      </c>
      <c r="AQ160" s="470">
        <f>IF(Таблица5[[#This Row],[11]]=0,,MONTH(Таблица5[[#This Row],[11]]))</f>
        <v>3</v>
      </c>
    </row>
    <row r="161" spans="1:43" ht="39" thickBot="1" x14ac:dyDescent="0.3">
      <c r="A161" s="233" t="str">
        <f t="shared" si="2"/>
        <v>1004-2017-00146</v>
      </c>
      <c r="B161" s="233" t="str">
        <f>РПЗ!$D161</f>
        <v>1004-2017-00146 Поставка Трубы и фитинги пластиковые</v>
      </c>
      <c r="C161" s="233" t="str">
        <f>РПЗ!$AA161</f>
        <v>АО "НИИ "Полюс" им. М.Ф. Стельмаха" тел. отдела закупок 8-495-333-05-02</v>
      </c>
      <c r="D161" s="633" t="str">
        <f>РПЗ!$AB161</f>
        <v>Заказчик</v>
      </c>
      <c r="E161" s="96" t="s">
        <v>46</v>
      </c>
      <c r="F161" s="233" t="str">
        <f>РПЗ!Q161</f>
        <v>ОЗК</v>
      </c>
      <c r="G161" s="237"/>
      <c r="H161" s="237" t="str">
        <f>РПЗ!R161</f>
        <v>да</v>
      </c>
      <c r="I161" s="15">
        <f>РПЗ!W161</f>
        <v>0</v>
      </c>
      <c r="J161" s="233">
        <f>РПЗ!X161</f>
        <v>0</v>
      </c>
      <c r="K161" s="283">
        <f>РПЗ!Z161</f>
        <v>0</v>
      </c>
      <c r="L161" s="17"/>
      <c r="M161" s="18">
        <f>РПЗ!O161</f>
        <v>42887</v>
      </c>
      <c r="N161" s="238">
        <f>Таблица5[[#This Row],[10]]</f>
        <v>42887</v>
      </c>
      <c r="O161" s="17"/>
      <c r="P161" s="17"/>
      <c r="Q161" s="17"/>
      <c r="R161" s="17"/>
      <c r="S161" s="17"/>
      <c r="T161" s="686"/>
      <c r="U161" s="18">
        <f>РПЗ!P161</f>
        <v>43070</v>
      </c>
      <c r="V161" s="686"/>
      <c r="W161" s="236">
        <f>РПЗ!L161</f>
        <v>886564</v>
      </c>
      <c r="X161" s="689"/>
      <c r="Y161" s="689"/>
      <c r="Z161" s="690"/>
      <c r="AA161" s="691"/>
      <c r="AB161" s="111"/>
      <c r="AC161" s="17"/>
      <c r="AD161" s="690"/>
      <c r="AE161" s="686"/>
      <c r="AF161" s="474"/>
      <c r="AG161" s="692"/>
      <c r="AH161" s="236" t="str">
        <f>IF(Таблица5[[#This Row],[30]]=0,"НД",Таблица5[[#This Row],[20]]-Таблица5[[#This Row],[30]])</f>
        <v>НД</v>
      </c>
      <c r="AI161" s="511" t="str">
        <f>IF(((1-Таблица5[[#This Row],[30]]/Таблица5[[#This Row],[20]])=1),"НД",(1-Таблица5[[#This Row],[30]]/Таблица5[[#This Row],[20]]))</f>
        <v>НД</v>
      </c>
      <c r="AJ161" s="111"/>
      <c r="AK161" s="111"/>
      <c r="AL161" s="512"/>
      <c r="AM161" s="513"/>
      <c r="AN161" s="465"/>
      <c r="AO161" s="468" t="str">
        <f>РПЗ!AD161</f>
        <v>Нет</v>
      </c>
      <c r="AP161" s="472">
        <f>РПЗ!V161</f>
        <v>0</v>
      </c>
      <c r="AQ161" s="470">
        <f>IF(Таблица5[[#This Row],[11]]=0,,MONTH(Таблица5[[#This Row],[11]]))</f>
        <v>6</v>
      </c>
    </row>
    <row r="162" spans="1:43" ht="39" thickBot="1" x14ac:dyDescent="0.3">
      <c r="A162" s="233" t="str">
        <f t="shared" si="2"/>
        <v>1004-2017-00147</v>
      </c>
      <c r="B162" s="233" t="str">
        <f>РПЗ!$D162</f>
        <v>1004-2017-00147 Поставка Трубы и фитинги пластиковые</v>
      </c>
      <c r="C162" s="233" t="str">
        <f>РПЗ!$AA162</f>
        <v>АО "НИИ "Полюс" им. М.Ф. Стельмаха" тел. отдела закупок 8-495-333-05-02</v>
      </c>
      <c r="D162" s="633" t="str">
        <f>РПЗ!$AB162</f>
        <v>Заказчик</v>
      </c>
      <c r="E162" s="96" t="s">
        <v>46</v>
      </c>
      <c r="F162" s="233" t="str">
        <f>РПЗ!Q162</f>
        <v>ОЗК</v>
      </c>
      <c r="G162" s="237"/>
      <c r="H162" s="237" t="str">
        <f>РПЗ!R162</f>
        <v>да</v>
      </c>
      <c r="I162" s="15">
        <f>РПЗ!W162</f>
        <v>0</v>
      </c>
      <c r="J162" s="233">
        <f>РПЗ!X162</f>
        <v>0</v>
      </c>
      <c r="K162" s="283">
        <f>РПЗ!Z162</f>
        <v>0</v>
      </c>
      <c r="L162" s="17"/>
      <c r="M162" s="18">
        <f>РПЗ!O162</f>
        <v>42979</v>
      </c>
      <c r="N162" s="238">
        <f>Таблица5[[#This Row],[10]]</f>
        <v>42979</v>
      </c>
      <c r="O162" s="17"/>
      <c r="P162" s="17"/>
      <c r="Q162" s="17"/>
      <c r="R162" s="17"/>
      <c r="S162" s="17"/>
      <c r="T162" s="686"/>
      <c r="U162" s="18">
        <f>РПЗ!P162</f>
        <v>43070</v>
      </c>
      <c r="V162" s="686"/>
      <c r="W162" s="236">
        <f>РПЗ!L162</f>
        <v>892651</v>
      </c>
      <c r="X162" s="689"/>
      <c r="Y162" s="689"/>
      <c r="Z162" s="690"/>
      <c r="AA162" s="691"/>
      <c r="AB162" s="111"/>
      <c r="AC162" s="17"/>
      <c r="AD162" s="690"/>
      <c r="AE162" s="686"/>
      <c r="AF162" s="474"/>
      <c r="AG162" s="692"/>
      <c r="AH162" s="236" t="str">
        <f>IF(Таблица5[[#This Row],[30]]=0,"НД",Таблица5[[#This Row],[20]]-Таблица5[[#This Row],[30]])</f>
        <v>НД</v>
      </c>
      <c r="AI162" s="511" t="str">
        <f>IF(((1-Таблица5[[#This Row],[30]]/Таблица5[[#This Row],[20]])=1),"НД",(1-Таблица5[[#This Row],[30]]/Таблица5[[#This Row],[20]]))</f>
        <v>НД</v>
      </c>
      <c r="AJ162" s="111"/>
      <c r="AK162" s="111"/>
      <c r="AL162" s="512"/>
      <c r="AM162" s="513"/>
      <c r="AN162" s="465"/>
      <c r="AO162" s="468" t="str">
        <f>РПЗ!AD162</f>
        <v>Нет</v>
      </c>
      <c r="AP162" s="472">
        <f>РПЗ!V162</f>
        <v>0</v>
      </c>
      <c r="AQ162" s="470">
        <f>IF(Таблица5[[#This Row],[11]]=0,,MONTH(Таблица5[[#This Row],[11]]))</f>
        <v>9</v>
      </c>
    </row>
    <row r="163" spans="1:43" ht="39" thickBot="1" x14ac:dyDescent="0.3">
      <c r="A163" s="233" t="str">
        <f t="shared" si="2"/>
        <v>1004-2017-00148</v>
      </c>
      <c r="B163" s="233" t="str">
        <f>РПЗ!$D163</f>
        <v>1004-2017-00148 ПоставкаТрубы и трубные изделия</v>
      </c>
      <c r="C163" s="233" t="str">
        <f>РПЗ!$AA163</f>
        <v>АО "НИИ "Полюс" им. М.Ф. Стельмаха" тел. отдела закупок 8-495-333-05-02</v>
      </c>
      <c r="D163" s="633" t="str">
        <f>РПЗ!$AB163</f>
        <v>Заказчик</v>
      </c>
      <c r="E163" s="96" t="s">
        <v>46</v>
      </c>
      <c r="F163" s="233" t="str">
        <f>РПЗ!Q163</f>
        <v>ОЗК</v>
      </c>
      <c r="G163" s="237"/>
      <c r="H163" s="237" t="str">
        <f>РПЗ!R163</f>
        <v>да</v>
      </c>
      <c r="I163" s="15">
        <f>РПЗ!W163</f>
        <v>0</v>
      </c>
      <c r="J163" s="233">
        <f>РПЗ!X163</f>
        <v>0</v>
      </c>
      <c r="K163" s="283">
        <f>РПЗ!Z163</f>
        <v>0</v>
      </c>
      <c r="L163" s="17"/>
      <c r="M163" s="18">
        <f>РПЗ!O163</f>
        <v>42917</v>
      </c>
      <c r="N163" s="238">
        <f>Таблица5[[#This Row],[10]]</f>
        <v>42917</v>
      </c>
      <c r="O163" s="17"/>
      <c r="P163" s="17"/>
      <c r="Q163" s="17"/>
      <c r="R163" s="17"/>
      <c r="S163" s="17"/>
      <c r="T163" s="686"/>
      <c r="U163" s="18">
        <f>РПЗ!P163</f>
        <v>43070</v>
      </c>
      <c r="V163" s="686"/>
      <c r="W163" s="236">
        <f>РПЗ!L163</f>
        <v>331254</v>
      </c>
      <c r="X163" s="689"/>
      <c r="Y163" s="689"/>
      <c r="Z163" s="690"/>
      <c r="AA163" s="691"/>
      <c r="AB163" s="111"/>
      <c r="AC163" s="17"/>
      <c r="AD163" s="690"/>
      <c r="AE163" s="686"/>
      <c r="AF163" s="474"/>
      <c r="AG163" s="692"/>
      <c r="AH163" s="236" t="str">
        <f>IF(Таблица5[[#This Row],[30]]=0,"НД",Таблица5[[#This Row],[20]]-Таблица5[[#This Row],[30]])</f>
        <v>НД</v>
      </c>
      <c r="AI163" s="511" t="str">
        <f>IF(((1-Таблица5[[#This Row],[30]]/Таблица5[[#This Row],[20]])=1),"НД",(1-Таблица5[[#This Row],[30]]/Таблица5[[#This Row],[20]]))</f>
        <v>НД</v>
      </c>
      <c r="AJ163" s="111"/>
      <c r="AK163" s="111"/>
      <c r="AL163" s="512"/>
      <c r="AM163" s="513"/>
      <c r="AN163" s="465"/>
      <c r="AO163" s="468" t="str">
        <f>РПЗ!AD163</f>
        <v>Нет</v>
      </c>
      <c r="AP163" s="472">
        <f>РПЗ!V163</f>
        <v>0</v>
      </c>
      <c r="AQ163" s="470">
        <f>IF(Таблица5[[#This Row],[11]]=0,,MONTH(Таблица5[[#This Row],[11]]))</f>
        <v>7</v>
      </c>
    </row>
    <row r="164" spans="1:43" ht="39" thickBot="1" x14ac:dyDescent="0.3">
      <c r="A164" s="233" t="str">
        <f t="shared" si="2"/>
        <v>1004-2017-00149</v>
      </c>
      <c r="B164" s="233" t="str">
        <f>РПЗ!$D164</f>
        <v>1004-2017-00149 Поставка Электротехнические изделия</v>
      </c>
      <c r="C164" s="233" t="str">
        <f>РПЗ!$AA164</f>
        <v>АО "НИИ "Полюс" им. М.Ф. Стельмаха" тел. отдела закупок 8-495-333-05-02</v>
      </c>
      <c r="D164" s="633" t="str">
        <f>РПЗ!$AB164</f>
        <v>Заказчик</v>
      </c>
      <c r="E164" s="96" t="s">
        <v>46</v>
      </c>
      <c r="F164" s="233" t="str">
        <f>РПЗ!Q164</f>
        <v>ОК</v>
      </c>
      <c r="G164" s="237"/>
      <c r="H164" s="237" t="str">
        <f>РПЗ!R164</f>
        <v>да</v>
      </c>
      <c r="I164" s="15">
        <f>РПЗ!W164</f>
        <v>0</v>
      </c>
      <c r="J164" s="233">
        <f>РПЗ!X164</f>
        <v>0</v>
      </c>
      <c r="K164" s="283">
        <f>РПЗ!Z164</f>
        <v>0</v>
      </c>
      <c r="L164" s="17"/>
      <c r="M164" s="18">
        <f>РПЗ!O164</f>
        <v>42767</v>
      </c>
      <c r="N164" s="238">
        <f>Таблица5[[#This Row],[10]]</f>
        <v>42767</v>
      </c>
      <c r="O164" s="17"/>
      <c r="P164" s="17"/>
      <c r="Q164" s="17"/>
      <c r="R164" s="17"/>
      <c r="S164" s="17"/>
      <c r="T164" s="686"/>
      <c r="U164" s="18">
        <f>РПЗ!P164</f>
        <v>43070</v>
      </c>
      <c r="V164" s="686"/>
      <c r="W164" s="236">
        <f>РПЗ!L164</f>
        <v>5534000</v>
      </c>
      <c r="X164" s="689"/>
      <c r="Y164" s="689"/>
      <c r="Z164" s="690"/>
      <c r="AA164" s="691"/>
      <c r="AB164" s="111"/>
      <c r="AC164" s="17"/>
      <c r="AD164" s="690"/>
      <c r="AE164" s="686"/>
      <c r="AF164" s="474"/>
      <c r="AG164" s="692"/>
      <c r="AH164" s="236" t="str">
        <f>IF(Таблица5[[#This Row],[30]]=0,"НД",Таблица5[[#This Row],[20]]-Таблица5[[#This Row],[30]])</f>
        <v>НД</v>
      </c>
      <c r="AI164" s="511" t="str">
        <f>IF(((1-Таблица5[[#This Row],[30]]/Таблица5[[#This Row],[20]])=1),"НД",(1-Таблица5[[#This Row],[30]]/Таблица5[[#This Row],[20]]))</f>
        <v>НД</v>
      </c>
      <c r="AJ164" s="111"/>
      <c r="AK164" s="111"/>
      <c r="AL164" s="512"/>
      <c r="AM164" s="513"/>
      <c r="AN164" s="465"/>
      <c r="AO164" s="468" t="str">
        <f>РПЗ!AD164</f>
        <v>Нет</v>
      </c>
      <c r="AP164" s="472">
        <f>РПЗ!V164</f>
        <v>0</v>
      </c>
      <c r="AQ164" s="470">
        <f>IF(Таблица5[[#This Row],[11]]=0,,MONTH(Таблица5[[#This Row],[11]]))</f>
        <v>2</v>
      </c>
    </row>
    <row r="165" spans="1:43" ht="39" thickBot="1" x14ac:dyDescent="0.3">
      <c r="A165" s="233" t="str">
        <f t="shared" si="2"/>
        <v>1004-2017-00150</v>
      </c>
      <c r="B165" s="233" t="str">
        <f>РПЗ!$D165</f>
        <v>1004-2017-00150 Поставка Электротехнические изделия</v>
      </c>
      <c r="C165" s="233" t="str">
        <f>РПЗ!$AA165</f>
        <v>АО "НИИ "Полюс" им. М.Ф. Стельмаха" тел. отдела закупок 8-495-333-05-02</v>
      </c>
      <c r="D165" s="633" t="str">
        <f>РПЗ!$AB165</f>
        <v>Заказчик</v>
      </c>
      <c r="E165" s="96" t="s">
        <v>46</v>
      </c>
      <c r="F165" s="233" t="str">
        <f>РПЗ!Q165</f>
        <v>ОЗК</v>
      </c>
      <c r="G165" s="237"/>
      <c r="H165" s="237" t="str">
        <f>РПЗ!R165</f>
        <v>да</v>
      </c>
      <c r="I165" s="15">
        <f>РПЗ!W165</f>
        <v>0</v>
      </c>
      <c r="J165" s="233">
        <f>РПЗ!X165</f>
        <v>0</v>
      </c>
      <c r="K165" s="283">
        <f>РПЗ!Z165</f>
        <v>0</v>
      </c>
      <c r="L165" s="17"/>
      <c r="M165" s="18">
        <f>РПЗ!O165</f>
        <v>42826</v>
      </c>
      <c r="N165" s="238">
        <f>Таблица5[[#This Row],[10]]</f>
        <v>42826</v>
      </c>
      <c r="O165" s="17"/>
      <c r="P165" s="17"/>
      <c r="Q165" s="17"/>
      <c r="R165" s="17"/>
      <c r="S165" s="17"/>
      <c r="T165" s="686"/>
      <c r="U165" s="18">
        <f>РПЗ!P165</f>
        <v>43070</v>
      </c>
      <c r="V165" s="686"/>
      <c r="W165" s="236">
        <f>РПЗ!L165</f>
        <v>4739000</v>
      </c>
      <c r="X165" s="689"/>
      <c r="Y165" s="689"/>
      <c r="Z165" s="690"/>
      <c r="AA165" s="691"/>
      <c r="AB165" s="111"/>
      <c r="AC165" s="17"/>
      <c r="AD165" s="690"/>
      <c r="AE165" s="686"/>
      <c r="AF165" s="474"/>
      <c r="AG165" s="692"/>
      <c r="AH165" s="236" t="str">
        <f>IF(Таблица5[[#This Row],[30]]=0,"НД",Таблица5[[#This Row],[20]]-Таблица5[[#This Row],[30]])</f>
        <v>НД</v>
      </c>
      <c r="AI165" s="511" t="str">
        <f>IF(((1-Таблица5[[#This Row],[30]]/Таблица5[[#This Row],[20]])=1),"НД",(1-Таблица5[[#This Row],[30]]/Таблица5[[#This Row],[20]]))</f>
        <v>НД</v>
      </c>
      <c r="AJ165" s="111"/>
      <c r="AK165" s="111"/>
      <c r="AL165" s="512"/>
      <c r="AM165" s="513"/>
      <c r="AN165" s="465"/>
      <c r="AO165" s="468" t="str">
        <f>РПЗ!AD165</f>
        <v>Нет</v>
      </c>
      <c r="AP165" s="472">
        <f>РПЗ!V165</f>
        <v>0</v>
      </c>
      <c r="AQ165" s="470">
        <f>IF(Таблица5[[#This Row],[11]]=0,,MONTH(Таблица5[[#This Row],[11]]))</f>
        <v>4</v>
      </c>
    </row>
    <row r="166" spans="1:43" ht="39" thickBot="1" x14ac:dyDescent="0.3">
      <c r="A166" s="233" t="str">
        <f t="shared" si="2"/>
        <v>1004-2017-00151</v>
      </c>
      <c r="B166" s="233" t="str">
        <f>РПЗ!$D166</f>
        <v>1004-2017-00151 Поставка Электротехнические изделия</v>
      </c>
      <c r="C166" s="233" t="str">
        <f>РПЗ!$AA166</f>
        <v>АО "НИИ "Полюс" им. М.Ф. Стельмаха" тел. отдела закупок 8-495-333-05-02</v>
      </c>
      <c r="D166" s="633" t="str">
        <f>РПЗ!$AB166</f>
        <v>Заказчик</v>
      </c>
      <c r="E166" s="96" t="s">
        <v>46</v>
      </c>
      <c r="F166" s="233" t="str">
        <f>РПЗ!Q166</f>
        <v>ОЗК</v>
      </c>
      <c r="G166" s="237"/>
      <c r="H166" s="237" t="str">
        <f>РПЗ!R166</f>
        <v>да</v>
      </c>
      <c r="I166" s="15">
        <f>РПЗ!W166</f>
        <v>0</v>
      </c>
      <c r="J166" s="233">
        <f>РПЗ!X166</f>
        <v>0</v>
      </c>
      <c r="K166" s="283">
        <f>РПЗ!Z166</f>
        <v>0</v>
      </c>
      <c r="L166" s="17"/>
      <c r="M166" s="18">
        <f>РПЗ!O166</f>
        <v>42917</v>
      </c>
      <c r="N166" s="238">
        <f>Таблица5[[#This Row],[10]]</f>
        <v>42917</v>
      </c>
      <c r="O166" s="17"/>
      <c r="P166" s="17"/>
      <c r="Q166" s="17"/>
      <c r="R166" s="17"/>
      <c r="S166" s="17"/>
      <c r="T166" s="686"/>
      <c r="U166" s="18">
        <f>РПЗ!P166</f>
        <v>43070</v>
      </c>
      <c r="V166" s="686"/>
      <c r="W166" s="236">
        <f>РПЗ!L166</f>
        <v>3962000</v>
      </c>
      <c r="X166" s="689"/>
      <c r="Y166" s="689"/>
      <c r="Z166" s="690"/>
      <c r="AA166" s="691"/>
      <c r="AB166" s="111"/>
      <c r="AC166" s="17"/>
      <c r="AD166" s="690"/>
      <c r="AE166" s="686"/>
      <c r="AF166" s="474"/>
      <c r="AG166" s="692"/>
      <c r="AH166" s="236" t="str">
        <f>IF(Таблица5[[#This Row],[30]]=0,"НД",Таблица5[[#This Row],[20]]-Таблица5[[#This Row],[30]])</f>
        <v>НД</v>
      </c>
      <c r="AI166" s="511" t="str">
        <f>IF(((1-Таблица5[[#This Row],[30]]/Таблица5[[#This Row],[20]])=1),"НД",(1-Таблица5[[#This Row],[30]]/Таблица5[[#This Row],[20]]))</f>
        <v>НД</v>
      </c>
      <c r="AJ166" s="111"/>
      <c r="AK166" s="111"/>
      <c r="AL166" s="512"/>
      <c r="AM166" s="513"/>
      <c r="AN166" s="465"/>
      <c r="AO166" s="468" t="str">
        <f>РПЗ!AD166</f>
        <v>Нет</v>
      </c>
      <c r="AP166" s="472">
        <f>РПЗ!V166</f>
        <v>0</v>
      </c>
      <c r="AQ166" s="470">
        <f>IF(Таблица5[[#This Row],[11]]=0,,MONTH(Таблица5[[#This Row],[11]]))</f>
        <v>7</v>
      </c>
    </row>
    <row r="167" spans="1:43" ht="39" thickBot="1" x14ac:dyDescent="0.3">
      <c r="A167" s="233" t="str">
        <f t="shared" si="2"/>
        <v>1004-2017-00152</v>
      </c>
      <c r="B167" s="233" t="str">
        <f>РПЗ!$D167</f>
        <v>1004-2017-00152 Поставка Электротехнические изделия</v>
      </c>
      <c r="C167" s="233" t="str">
        <f>РПЗ!$AA167</f>
        <v>АО "НИИ "Полюс" им. М.Ф. Стельмаха" тел. отдела закупок 8-495-333-05-02</v>
      </c>
      <c r="D167" s="633" t="str">
        <f>РПЗ!$AB167</f>
        <v>Заказчик</v>
      </c>
      <c r="E167" s="96" t="s">
        <v>46</v>
      </c>
      <c r="F167" s="233" t="str">
        <f>РПЗ!Q167</f>
        <v>ОЗК</v>
      </c>
      <c r="G167" s="237"/>
      <c r="H167" s="237" t="str">
        <f>РПЗ!R167</f>
        <v>да</v>
      </c>
      <c r="I167" s="15">
        <f>РПЗ!W167</f>
        <v>0</v>
      </c>
      <c r="J167" s="233">
        <f>РПЗ!X167</f>
        <v>0</v>
      </c>
      <c r="K167" s="283">
        <f>РПЗ!Z167</f>
        <v>0</v>
      </c>
      <c r="L167" s="17"/>
      <c r="M167" s="18">
        <f>РПЗ!O167</f>
        <v>43009</v>
      </c>
      <c r="N167" s="238">
        <f>Таблица5[[#This Row],[10]]</f>
        <v>43009</v>
      </c>
      <c r="O167" s="17"/>
      <c r="P167" s="17"/>
      <c r="Q167" s="17"/>
      <c r="R167" s="17"/>
      <c r="S167" s="17"/>
      <c r="T167" s="686"/>
      <c r="U167" s="18">
        <f>РПЗ!P167</f>
        <v>43070</v>
      </c>
      <c r="V167" s="686"/>
      <c r="W167" s="236">
        <f>РПЗ!L167</f>
        <v>3821000</v>
      </c>
      <c r="X167" s="689"/>
      <c r="Y167" s="689"/>
      <c r="Z167" s="690"/>
      <c r="AA167" s="691"/>
      <c r="AB167" s="111"/>
      <c r="AC167" s="17"/>
      <c r="AD167" s="690"/>
      <c r="AE167" s="686"/>
      <c r="AF167" s="474"/>
      <c r="AG167" s="692"/>
      <c r="AH167" s="236" t="str">
        <f>IF(Таблица5[[#This Row],[30]]=0,"НД",Таблица5[[#This Row],[20]]-Таблица5[[#This Row],[30]])</f>
        <v>НД</v>
      </c>
      <c r="AI167" s="511" t="str">
        <f>IF(((1-Таблица5[[#This Row],[30]]/Таблица5[[#This Row],[20]])=1),"НД",(1-Таблица5[[#This Row],[30]]/Таблица5[[#This Row],[20]]))</f>
        <v>НД</v>
      </c>
      <c r="AJ167" s="111"/>
      <c r="AK167" s="111"/>
      <c r="AL167" s="512"/>
      <c r="AM167" s="513"/>
      <c r="AN167" s="465"/>
      <c r="AO167" s="468" t="str">
        <f>РПЗ!AD167</f>
        <v>Нет</v>
      </c>
      <c r="AP167" s="472">
        <f>РПЗ!V167</f>
        <v>0</v>
      </c>
      <c r="AQ167" s="470">
        <f>IF(Таблица5[[#This Row],[11]]=0,,MONTH(Таблица5[[#This Row],[11]]))</f>
        <v>10</v>
      </c>
    </row>
    <row r="168" spans="1:43" ht="39" thickBot="1" x14ac:dyDescent="0.3">
      <c r="A168" s="233" t="str">
        <f t="shared" si="2"/>
        <v>1004-2017-00153</v>
      </c>
      <c r="B168" s="233" t="str">
        <f>РПЗ!$D168</f>
        <v>1004-2017-00153 Поставка Электротехнические изделия</v>
      </c>
      <c r="C168" s="233" t="str">
        <f>РПЗ!$AA168</f>
        <v>АО "НИИ "Полюс" им. М.Ф. Стельмаха" тел. отдела закупок 8-495-333-05-02</v>
      </c>
      <c r="D168" s="633" t="str">
        <f>РПЗ!$AB168</f>
        <v>Заказчик</v>
      </c>
      <c r="E168" s="96" t="s">
        <v>46</v>
      </c>
      <c r="F168" s="233" t="str">
        <f>РПЗ!Q168</f>
        <v>ОЗК</v>
      </c>
      <c r="G168" s="237"/>
      <c r="H168" s="237" t="str">
        <f>РПЗ!R168</f>
        <v>да</v>
      </c>
      <c r="I168" s="15">
        <f>РПЗ!W168</f>
        <v>0</v>
      </c>
      <c r="J168" s="233">
        <f>РПЗ!X168</f>
        <v>0</v>
      </c>
      <c r="K168" s="283">
        <f>РПЗ!Z168</f>
        <v>0</v>
      </c>
      <c r="L168" s="17"/>
      <c r="M168" s="18">
        <f>РПЗ!O168</f>
        <v>42767</v>
      </c>
      <c r="N168" s="238">
        <f>Таблица5[[#This Row],[10]]</f>
        <v>42767</v>
      </c>
      <c r="O168" s="17"/>
      <c r="P168" s="17"/>
      <c r="Q168" s="17"/>
      <c r="R168" s="17"/>
      <c r="S168" s="17"/>
      <c r="T168" s="686"/>
      <c r="U168" s="18">
        <f>РПЗ!P168</f>
        <v>43070</v>
      </c>
      <c r="V168" s="686"/>
      <c r="W168" s="236">
        <f>РПЗ!L168</f>
        <v>1059000</v>
      </c>
      <c r="X168" s="689"/>
      <c r="Y168" s="689"/>
      <c r="Z168" s="690"/>
      <c r="AA168" s="691"/>
      <c r="AB168" s="111"/>
      <c r="AC168" s="17"/>
      <c r="AD168" s="690"/>
      <c r="AE168" s="686"/>
      <c r="AF168" s="474"/>
      <c r="AG168" s="692"/>
      <c r="AH168" s="236" t="str">
        <f>IF(Таблица5[[#This Row],[30]]=0,"НД",Таблица5[[#This Row],[20]]-Таблица5[[#This Row],[30]])</f>
        <v>НД</v>
      </c>
      <c r="AI168" s="511" t="str">
        <f>IF(((1-Таблица5[[#This Row],[30]]/Таблица5[[#This Row],[20]])=1),"НД",(1-Таблица5[[#This Row],[30]]/Таблица5[[#This Row],[20]]))</f>
        <v>НД</v>
      </c>
      <c r="AJ168" s="111"/>
      <c r="AK168" s="111"/>
      <c r="AL168" s="512"/>
      <c r="AM168" s="513"/>
      <c r="AN168" s="465"/>
      <c r="AO168" s="468" t="str">
        <f>РПЗ!AD168</f>
        <v>Нет</v>
      </c>
      <c r="AP168" s="472">
        <f>РПЗ!V168</f>
        <v>0</v>
      </c>
      <c r="AQ168" s="470">
        <f>IF(Таблица5[[#This Row],[11]]=0,,MONTH(Таблица5[[#This Row],[11]]))</f>
        <v>2</v>
      </c>
    </row>
    <row r="169" spans="1:43" ht="39" thickBot="1" x14ac:dyDescent="0.3">
      <c r="A169" s="233" t="str">
        <f t="shared" si="2"/>
        <v>1004-2017-00154</v>
      </c>
      <c r="B169" s="233" t="str">
        <f>РПЗ!$D169</f>
        <v>1004-2017-00154 Поставка Электротехнические изделия</v>
      </c>
      <c r="C169" s="233" t="str">
        <f>РПЗ!$AA169</f>
        <v>АО "НИИ "Полюс" им. М.Ф. Стельмаха" тел. отдела закупок 8-495-333-05-02</v>
      </c>
      <c r="D169" s="633" t="str">
        <f>РПЗ!$AB169</f>
        <v>Заказчик</v>
      </c>
      <c r="E169" s="96" t="s">
        <v>46</v>
      </c>
      <c r="F169" s="233" t="str">
        <f>РПЗ!Q169</f>
        <v>ОЗК</v>
      </c>
      <c r="G169" s="237"/>
      <c r="H169" s="237" t="str">
        <f>РПЗ!R169</f>
        <v>да</v>
      </c>
      <c r="I169" s="15">
        <f>РПЗ!W169</f>
        <v>0</v>
      </c>
      <c r="J169" s="233">
        <f>РПЗ!X169</f>
        <v>0</v>
      </c>
      <c r="K169" s="283">
        <f>РПЗ!Z169</f>
        <v>0</v>
      </c>
      <c r="L169" s="17"/>
      <c r="M169" s="18">
        <f>РПЗ!O169</f>
        <v>42826</v>
      </c>
      <c r="N169" s="238">
        <f>Таблица5[[#This Row],[10]]</f>
        <v>42826</v>
      </c>
      <c r="O169" s="17"/>
      <c r="P169" s="17"/>
      <c r="Q169" s="17"/>
      <c r="R169" s="17"/>
      <c r="S169" s="17"/>
      <c r="T169" s="686"/>
      <c r="U169" s="18">
        <f>РПЗ!P169</f>
        <v>43070</v>
      </c>
      <c r="V169" s="686"/>
      <c r="W169" s="236">
        <f>РПЗ!L169</f>
        <v>1765000</v>
      </c>
      <c r="X169" s="689"/>
      <c r="Y169" s="689"/>
      <c r="Z169" s="690"/>
      <c r="AA169" s="691"/>
      <c r="AB169" s="111"/>
      <c r="AC169" s="17"/>
      <c r="AD169" s="690"/>
      <c r="AE169" s="686"/>
      <c r="AF169" s="474"/>
      <c r="AG169" s="692"/>
      <c r="AH169" s="236" t="str">
        <f>IF(Таблица5[[#This Row],[30]]=0,"НД",Таблица5[[#This Row],[20]]-Таблица5[[#This Row],[30]])</f>
        <v>НД</v>
      </c>
      <c r="AI169" s="511" t="str">
        <f>IF(((1-Таблица5[[#This Row],[30]]/Таблица5[[#This Row],[20]])=1),"НД",(1-Таблица5[[#This Row],[30]]/Таблица5[[#This Row],[20]]))</f>
        <v>НД</v>
      </c>
      <c r="AJ169" s="111"/>
      <c r="AK169" s="111"/>
      <c r="AL169" s="512"/>
      <c r="AM169" s="513"/>
      <c r="AN169" s="465"/>
      <c r="AO169" s="468" t="str">
        <f>РПЗ!AD169</f>
        <v>Нет</v>
      </c>
      <c r="AP169" s="472">
        <f>РПЗ!V169</f>
        <v>0</v>
      </c>
      <c r="AQ169" s="470">
        <f>IF(Таблица5[[#This Row],[11]]=0,,MONTH(Таблица5[[#This Row],[11]]))</f>
        <v>4</v>
      </c>
    </row>
    <row r="170" spans="1:43" ht="39" thickBot="1" x14ac:dyDescent="0.3">
      <c r="A170" s="233" t="str">
        <f t="shared" si="2"/>
        <v>1004-2017-00155</v>
      </c>
      <c r="B170" s="233" t="str">
        <f>РПЗ!$D170</f>
        <v>1004-2017-00155Поставка Электротехнические изделия</v>
      </c>
      <c r="C170" s="233" t="str">
        <f>РПЗ!$AA170</f>
        <v>АО "НИИ "Полюс" им. М.Ф. Стельмаха" тел. отдела закупок 8-495-333-05-02</v>
      </c>
      <c r="D170" s="633" t="str">
        <f>РПЗ!$AB170</f>
        <v>Заказчик</v>
      </c>
      <c r="E170" s="96" t="s">
        <v>46</v>
      </c>
      <c r="F170" s="233" t="str">
        <f>РПЗ!Q170</f>
        <v>ОЗК</v>
      </c>
      <c r="G170" s="237"/>
      <c r="H170" s="237" t="str">
        <f>РПЗ!R170</f>
        <v>да</v>
      </c>
      <c r="I170" s="15">
        <f>РПЗ!W170</f>
        <v>0</v>
      </c>
      <c r="J170" s="233">
        <f>РПЗ!X170</f>
        <v>0</v>
      </c>
      <c r="K170" s="283">
        <f>РПЗ!Z170</f>
        <v>0</v>
      </c>
      <c r="L170" s="17"/>
      <c r="M170" s="18">
        <f>РПЗ!O170</f>
        <v>42917</v>
      </c>
      <c r="N170" s="238">
        <f>Таблица5[[#This Row],[10]]</f>
        <v>42917</v>
      </c>
      <c r="O170" s="17"/>
      <c r="P170" s="17"/>
      <c r="Q170" s="17"/>
      <c r="R170" s="17"/>
      <c r="S170" s="17"/>
      <c r="T170" s="686"/>
      <c r="U170" s="18">
        <f>РПЗ!P170</f>
        <v>43070</v>
      </c>
      <c r="V170" s="686"/>
      <c r="W170" s="236">
        <f>РПЗ!L170</f>
        <v>1764000</v>
      </c>
      <c r="X170" s="689"/>
      <c r="Y170" s="689"/>
      <c r="Z170" s="690"/>
      <c r="AA170" s="691"/>
      <c r="AB170" s="111"/>
      <c r="AC170" s="17"/>
      <c r="AD170" s="690"/>
      <c r="AE170" s="686"/>
      <c r="AF170" s="474"/>
      <c r="AG170" s="692"/>
      <c r="AH170" s="236" t="str">
        <f>IF(Таблица5[[#This Row],[30]]=0,"НД",Таблица5[[#This Row],[20]]-Таблица5[[#This Row],[30]])</f>
        <v>НД</v>
      </c>
      <c r="AI170" s="511" t="str">
        <f>IF(((1-Таблица5[[#This Row],[30]]/Таблица5[[#This Row],[20]])=1),"НД",(1-Таблица5[[#This Row],[30]]/Таблица5[[#This Row],[20]]))</f>
        <v>НД</v>
      </c>
      <c r="AJ170" s="111"/>
      <c r="AK170" s="111"/>
      <c r="AL170" s="512"/>
      <c r="AM170" s="513"/>
      <c r="AN170" s="465"/>
      <c r="AO170" s="468" t="str">
        <f>РПЗ!AD170</f>
        <v>Нет</v>
      </c>
      <c r="AP170" s="472">
        <f>РПЗ!V170</f>
        <v>0</v>
      </c>
      <c r="AQ170" s="470">
        <f>IF(Таблица5[[#This Row],[11]]=0,,MONTH(Таблица5[[#This Row],[11]]))</f>
        <v>7</v>
      </c>
    </row>
    <row r="171" spans="1:43" ht="39" thickBot="1" x14ac:dyDescent="0.3">
      <c r="A171" s="233" t="str">
        <f t="shared" si="2"/>
        <v>1004-2017-00156</v>
      </c>
      <c r="B171" s="233" t="str">
        <f>РПЗ!$D171</f>
        <v>1004-2017-00156 Поставка Светильники светодиодные</v>
      </c>
      <c r="C171" s="233" t="str">
        <f>РПЗ!$AA171</f>
        <v>АО "НИИ "Полюс" им. М.Ф. Стельмаха" тел. отдела закупок 8-495-333-05-02</v>
      </c>
      <c r="D171" s="633" t="str">
        <f>РПЗ!$AB171</f>
        <v>Заказчик</v>
      </c>
      <c r="E171" s="96" t="s">
        <v>46</v>
      </c>
      <c r="F171" s="233" t="str">
        <f>РПЗ!Q171</f>
        <v>ОЗК</v>
      </c>
      <c r="G171" s="237"/>
      <c r="H171" s="237" t="str">
        <f>РПЗ!R171</f>
        <v>да</v>
      </c>
      <c r="I171" s="15">
        <f>РПЗ!W171</f>
        <v>0</v>
      </c>
      <c r="J171" s="233">
        <f>РПЗ!X171</f>
        <v>0</v>
      </c>
      <c r="K171" s="283">
        <f>РПЗ!Z171</f>
        <v>0</v>
      </c>
      <c r="L171" s="17"/>
      <c r="M171" s="18">
        <f>РПЗ!O171</f>
        <v>42767</v>
      </c>
      <c r="N171" s="238">
        <f>Таблица5[[#This Row],[10]]</f>
        <v>42767</v>
      </c>
      <c r="O171" s="17"/>
      <c r="P171" s="17"/>
      <c r="Q171" s="17"/>
      <c r="R171" s="17"/>
      <c r="S171" s="17"/>
      <c r="T171" s="686"/>
      <c r="U171" s="18">
        <f>РПЗ!P171</f>
        <v>43070</v>
      </c>
      <c r="V171" s="686"/>
      <c r="W171" s="236">
        <f>РПЗ!L171</f>
        <v>273000</v>
      </c>
      <c r="X171" s="689"/>
      <c r="Y171" s="689"/>
      <c r="Z171" s="690"/>
      <c r="AA171" s="691"/>
      <c r="AB171" s="111"/>
      <c r="AC171" s="17"/>
      <c r="AD171" s="690"/>
      <c r="AE171" s="686"/>
      <c r="AF171" s="474"/>
      <c r="AG171" s="692"/>
      <c r="AH171" s="236" t="str">
        <f>IF(Таблица5[[#This Row],[30]]=0,"НД",Таблица5[[#This Row],[20]]-Таблица5[[#This Row],[30]])</f>
        <v>НД</v>
      </c>
      <c r="AI171" s="511" t="str">
        <f>IF(((1-Таблица5[[#This Row],[30]]/Таблица5[[#This Row],[20]])=1),"НД",(1-Таблица5[[#This Row],[30]]/Таблица5[[#This Row],[20]]))</f>
        <v>НД</v>
      </c>
      <c r="AJ171" s="111"/>
      <c r="AK171" s="111"/>
      <c r="AL171" s="512"/>
      <c r="AM171" s="513"/>
      <c r="AN171" s="465"/>
      <c r="AO171" s="468" t="str">
        <f>РПЗ!AD171</f>
        <v>Нет</v>
      </c>
      <c r="AP171" s="472">
        <f>РПЗ!V171</f>
        <v>0</v>
      </c>
      <c r="AQ171" s="470">
        <f>IF(Таблица5[[#This Row],[11]]=0,,MONTH(Таблица5[[#This Row],[11]]))</f>
        <v>2</v>
      </c>
    </row>
    <row r="172" spans="1:43" ht="39" thickBot="1" x14ac:dyDescent="0.3">
      <c r="A172" s="233" t="str">
        <f t="shared" si="2"/>
        <v>1004-2017-00157</v>
      </c>
      <c r="B172" s="233" t="str">
        <f>РПЗ!$D172</f>
        <v>1004-2017-00157 Поставка Светильники светодиодные</v>
      </c>
      <c r="C172" s="233" t="str">
        <f>РПЗ!$AA172</f>
        <v>АО "НИИ "Полюс" им. М.Ф. Стельмаха" тел. отдела закупок 8-495-333-05-02</v>
      </c>
      <c r="D172" s="633" t="str">
        <f>РПЗ!$AB172</f>
        <v>Заказчик</v>
      </c>
      <c r="E172" s="96" t="s">
        <v>46</v>
      </c>
      <c r="F172" s="233" t="str">
        <f>РПЗ!Q172</f>
        <v>ОЗК</v>
      </c>
      <c r="G172" s="237"/>
      <c r="H172" s="237" t="str">
        <f>РПЗ!R172</f>
        <v>да</v>
      </c>
      <c r="I172" s="15">
        <f>РПЗ!W172</f>
        <v>0</v>
      </c>
      <c r="J172" s="233">
        <f>РПЗ!X172</f>
        <v>0</v>
      </c>
      <c r="K172" s="283">
        <f>РПЗ!Z172</f>
        <v>0</v>
      </c>
      <c r="L172" s="17"/>
      <c r="M172" s="18">
        <f>РПЗ!O172</f>
        <v>42826</v>
      </c>
      <c r="N172" s="238">
        <f>Таблица5[[#This Row],[10]]</f>
        <v>42826</v>
      </c>
      <c r="O172" s="17"/>
      <c r="P172" s="17"/>
      <c r="Q172" s="17"/>
      <c r="R172" s="17"/>
      <c r="S172" s="17"/>
      <c r="T172" s="686"/>
      <c r="U172" s="18">
        <f>РПЗ!P172</f>
        <v>43070</v>
      </c>
      <c r="V172" s="686"/>
      <c r="W172" s="236">
        <f>РПЗ!L172</f>
        <v>280000</v>
      </c>
      <c r="X172" s="689"/>
      <c r="Y172" s="689"/>
      <c r="Z172" s="690"/>
      <c r="AA172" s="691"/>
      <c r="AB172" s="111"/>
      <c r="AC172" s="17"/>
      <c r="AD172" s="690"/>
      <c r="AE172" s="686"/>
      <c r="AF172" s="474"/>
      <c r="AG172" s="692"/>
      <c r="AH172" s="236" t="str">
        <f>IF(Таблица5[[#This Row],[30]]=0,"НД",Таблица5[[#This Row],[20]]-Таблица5[[#This Row],[30]])</f>
        <v>НД</v>
      </c>
      <c r="AI172" s="511" t="str">
        <f>IF(((1-Таблица5[[#This Row],[30]]/Таблица5[[#This Row],[20]])=1),"НД",(1-Таблица5[[#This Row],[30]]/Таблица5[[#This Row],[20]]))</f>
        <v>НД</v>
      </c>
      <c r="AJ172" s="111"/>
      <c r="AK172" s="111"/>
      <c r="AL172" s="512"/>
      <c r="AM172" s="513"/>
      <c r="AN172" s="465"/>
      <c r="AO172" s="468" t="str">
        <f>РПЗ!AD172</f>
        <v>Нет</v>
      </c>
      <c r="AP172" s="472">
        <f>РПЗ!V172</f>
        <v>0</v>
      </c>
      <c r="AQ172" s="470">
        <f>IF(Таблица5[[#This Row],[11]]=0,,MONTH(Таблица5[[#This Row],[11]]))</f>
        <v>4</v>
      </c>
    </row>
    <row r="173" spans="1:43" ht="39" thickBot="1" x14ac:dyDescent="0.3">
      <c r="A173" s="233" t="str">
        <f t="shared" si="2"/>
        <v>1004-2017-00158</v>
      </c>
      <c r="B173" s="233" t="str">
        <f>РПЗ!$D173</f>
        <v>1004-2017-00158Поставка Светильники светодиодные</v>
      </c>
      <c r="C173" s="233" t="str">
        <f>РПЗ!$AA173</f>
        <v>АО "НИИ "Полюс" им. М.Ф. Стельмаха" тел. отдела закупок 8-495-333-05-02</v>
      </c>
      <c r="D173" s="633" t="str">
        <f>РПЗ!$AB173</f>
        <v>Заказчик</v>
      </c>
      <c r="E173" s="96" t="s">
        <v>46</v>
      </c>
      <c r="F173" s="233" t="str">
        <f>РПЗ!Q173</f>
        <v>ОЗК</v>
      </c>
      <c r="G173" s="237"/>
      <c r="H173" s="237" t="str">
        <f>РПЗ!R173</f>
        <v>да</v>
      </c>
      <c r="I173" s="15">
        <f>РПЗ!W173</f>
        <v>0</v>
      </c>
      <c r="J173" s="233">
        <f>РПЗ!X173</f>
        <v>0</v>
      </c>
      <c r="K173" s="283">
        <f>РПЗ!Z173</f>
        <v>0</v>
      </c>
      <c r="L173" s="17"/>
      <c r="M173" s="18">
        <f>РПЗ!O173</f>
        <v>42917</v>
      </c>
      <c r="N173" s="238">
        <f>Таблица5[[#This Row],[10]]</f>
        <v>42917</v>
      </c>
      <c r="O173" s="17"/>
      <c r="P173" s="17"/>
      <c r="Q173" s="17"/>
      <c r="R173" s="17"/>
      <c r="S173" s="17"/>
      <c r="T173" s="686"/>
      <c r="U173" s="18">
        <f>РПЗ!P173</f>
        <v>43070</v>
      </c>
      <c r="V173" s="686"/>
      <c r="W173" s="236">
        <f>РПЗ!L173</f>
        <v>260000</v>
      </c>
      <c r="X173" s="689"/>
      <c r="Y173" s="689"/>
      <c r="Z173" s="690"/>
      <c r="AA173" s="691"/>
      <c r="AB173" s="111"/>
      <c r="AC173" s="17"/>
      <c r="AD173" s="690"/>
      <c r="AE173" s="686"/>
      <c r="AF173" s="474"/>
      <c r="AG173" s="692"/>
      <c r="AH173" s="236" t="str">
        <f>IF(Таблица5[[#This Row],[30]]=0,"НД",Таблица5[[#This Row],[20]]-Таблица5[[#This Row],[30]])</f>
        <v>НД</v>
      </c>
      <c r="AI173" s="511" t="str">
        <f>IF(((1-Таблица5[[#This Row],[30]]/Таблица5[[#This Row],[20]])=1),"НД",(1-Таблица5[[#This Row],[30]]/Таблица5[[#This Row],[20]]))</f>
        <v>НД</v>
      </c>
      <c r="AJ173" s="111"/>
      <c r="AK173" s="111"/>
      <c r="AL173" s="512"/>
      <c r="AM173" s="513"/>
      <c r="AN173" s="465"/>
      <c r="AO173" s="468" t="str">
        <f>РПЗ!AD173</f>
        <v>Нет</v>
      </c>
      <c r="AP173" s="472">
        <f>РПЗ!V173</f>
        <v>0</v>
      </c>
      <c r="AQ173" s="470">
        <f>IF(Таблица5[[#This Row],[11]]=0,,MONTH(Таблица5[[#This Row],[11]]))</f>
        <v>7</v>
      </c>
    </row>
    <row r="174" spans="1:43" ht="39" thickBot="1" x14ac:dyDescent="0.3">
      <c r="A174" s="233" t="str">
        <f t="shared" si="2"/>
        <v>1004-2017-00159</v>
      </c>
      <c r="B174" s="233" t="str">
        <f>РПЗ!$D174</f>
        <v>1004-2017-00159 Поставка Светильники светодиодные</v>
      </c>
      <c r="C174" s="233" t="str">
        <f>РПЗ!$AA174</f>
        <v>АО "НИИ "Полюс" им. М.Ф. Стельмаха" тел. отдела закупок 8-495-333-05-02</v>
      </c>
      <c r="D174" s="633" t="str">
        <f>РПЗ!$AB174</f>
        <v>Заказчик</v>
      </c>
      <c r="E174" s="96" t="s">
        <v>46</v>
      </c>
      <c r="F174" s="233" t="str">
        <f>РПЗ!Q174</f>
        <v>ОЗК</v>
      </c>
      <c r="G174" s="237"/>
      <c r="H174" s="237" t="str">
        <f>РПЗ!R174</f>
        <v>да</v>
      </c>
      <c r="I174" s="15">
        <f>РПЗ!W174</f>
        <v>0</v>
      </c>
      <c r="J174" s="233">
        <f>РПЗ!X174</f>
        <v>0</v>
      </c>
      <c r="K174" s="283">
        <f>РПЗ!Z174</f>
        <v>0</v>
      </c>
      <c r="L174" s="17"/>
      <c r="M174" s="18">
        <f>РПЗ!O174</f>
        <v>43009</v>
      </c>
      <c r="N174" s="238">
        <f>Таблица5[[#This Row],[10]]</f>
        <v>43009</v>
      </c>
      <c r="O174" s="17"/>
      <c r="P174" s="17"/>
      <c r="Q174" s="17"/>
      <c r="R174" s="17"/>
      <c r="S174" s="17"/>
      <c r="T174" s="686"/>
      <c r="U174" s="18">
        <f>РПЗ!P174</f>
        <v>43070</v>
      </c>
      <c r="V174" s="686"/>
      <c r="W174" s="236">
        <f>РПЗ!L174</f>
        <v>300000</v>
      </c>
      <c r="X174" s="689"/>
      <c r="Y174" s="689"/>
      <c r="Z174" s="690"/>
      <c r="AA174" s="691"/>
      <c r="AB174" s="111"/>
      <c r="AC174" s="17"/>
      <c r="AD174" s="690"/>
      <c r="AE174" s="686"/>
      <c r="AF174" s="474"/>
      <c r="AG174" s="692"/>
      <c r="AH174" s="236" t="str">
        <f>IF(Таблица5[[#This Row],[30]]=0,"НД",Таблица5[[#This Row],[20]]-Таблица5[[#This Row],[30]])</f>
        <v>НД</v>
      </c>
      <c r="AI174" s="511" t="str">
        <f>IF(((1-Таблица5[[#This Row],[30]]/Таблица5[[#This Row],[20]])=1),"НД",(1-Таблица5[[#This Row],[30]]/Таблица5[[#This Row],[20]]))</f>
        <v>НД</v>
      </c>
      <c r="AJ174" s="111"/>
      <c r="AK174" s="111"/>
      <c r="AL174" s="512"/>
      <c r="AM174" s="513"/>
      <c r="AN174" s="465"/>
      <c r="AO174" s="468" t="str">
        <f>РПЗ!AD174</f>
        <v>Нет</v>
      </c>
      <c r="AP174" s="472">
        <f>РПЗ!V174</f>
        <v>0</v>
      </c>
      <c r="AQ174" s="470">
        <f>IF(Таблица5[[#This Row],[11]]=0,,MONTH(Таблица5[[#This Row],[11]]))</f>
        <v>10</v>
      </c>
    </row>
    <row r="175" spans="1:43" ht="39" thickBot="1" x14ac:dyDescent="0.3">
      <c r="A175" s="233" t="str">
        <f t="shared" si="2"/>
        <v>1004-2017-00160</v>
      </c>
      <c r="B175" s="233" t="str">
        <f>РПЗ!$D175</f>
        <v>1004-2017-00160 Поставка Расходные материалы для монтажа кондиционеров</v>
      </c>
      <c r="C175" s="233" t="str">
        <f>РПЗ!$AA175</f>
        <v>АО "НИИ "Полюс" им. М.Ф. Стельмаха" тел. отдела закупок 8-495-333-05-02</v>
      </c>
      <c r="D175" s="633" t="str">
        <f>РПЗ!$AB175</f>
        <v>Заказчик</v>
      </c>
      <c r="E175" s="96" t="s">
        <v>46</v>
      </c>
      <c r="F175" s="233" t="str">
        <f>РПЗ!Q175</f>
        <v>ОЗК</v>
      </c>
      <c r="G175" s="237"/>
      <c r="H175" s="237" t="str">
        <f>РПЗ!R175</f>
        <v>да</v>
      </c>
      <c r="I175" s="15">
        <f>РПЗ!W175</f>
        <v>0</v>
      </c>
      <c r="J175" s="233">
        <f>РПЗ!X175</f>
        <v>0</v>
      </c>
      <c r="K175" s="283">
        <f>РПЗ!Z175</f>
        <v>0</v>
      </c>
      <c r="L175" s="17"/>
      <c r="M175" s="18">
        <f>РПЗ!O175</f>
        <v>42826</v>
      </c>
      <c r="N175" s="238">
        <f>Таблица5[[#This Row],[10]]</f>
        <v>42826</v>
      </c>
      <c r="O175" s="17"/>
      <c r="P175" s="17"/>
      <c r="Q175" s="17"/>
      <c r="R175" s="17"/>
      <c r="S175" s="17"/>
      <c r="T175" s="686"/>
      <c r="U175" s="18">
        <f>РПЗ!P175</f>
        <v>43070</v>
      </c>
      <c r="V175" s="686"/>
      <c r="W175" s="236">
        <f>РПЗ!L175</f>
        <v>600000</v>
      </c>
      <c r="X175" s="689"/>
      <c r="Y175" s="689"/>
      <c r="Z175" s="690"/>
      <c r="AA175" s="691"/>
      <c r="AB175" s="111"/>
      <c r="AC175" s="17"/>
      <c r="AD175" s="690"/>
      <c r="AE175" s="686"/>
      <c r="AF175" s="474"/>
      <c r="AG175" s="692"/>
      <c r="AH175" s="236" t="str">
        <f>IF(Таблица5[[#This Row],[30]]=0,"НД",Таблица5[[#This Row],[20]]-Таблица5[[#This Row],[30]])</f>
        <v>НД</v>
      </c>
      <c r="AI175" s="511" t="str">
        <f>IF(((1-Таблица5[[#This Row],[30]]/Таблица5[[#This Row],[20]])=1),"НД",(1-Таблица5[[#This Row],[30]]/Таблица5[[#This Row],[20]]))</f>
        <v>НД</v>
      </c>
      <c r="AJ175" s="111"/>
      <c r="AK175" s="111"/>
      <c r="AL175" s="512"/>
      <c r="AM175" s="513"/>
      <c r="AN175" s="465"/>
      <c r="AO175" s="468" t="str">
        <f>РПЗ!AD175</f>
        <v>Нет</v>
      </c>
      <c r="AP175" s="472">
        <f>РПЗ!V175</f>
        <v>0</v>
      </c>
      <c r="AQ175" s="470">
        <f>IF(Таблица5[[#This Row],[11]]=0,,MONTH(Таблица5[[#This Row],[11]]))</f>
        <v>4</v>
      </c>
    </row>
    <row r="176" spans="1:43" ht="39" thickBot="1" x14ac:dyDescent="0.3">
      <c r="A176" s="233" t="str">
        <f t="shared" si="2"/>
        <v>1004-2017-00161</v>
      </c>
      <c r="B176" s="233" t="str">
        <f>РПЗ!$D176</f>
        <v>1004-2017-00161Поставка  Расходные материалы для монтажа кондиционеров</v>
      </c>
      <c r="C176" s="233" t="str">
        <f>РПЗ!$AA176</f>
        <v>АО "НИИ "Полюс" им. М.Ф. Стельмаха" тел. отдела закупок 8-495-333-05-02</v>
      </c>
      <c r="D176" s="633" t="str">
        <f>РПЗ!$AB176</f>
        <v>Заказчик</v>
      </c>
      <c r="E176" s="96" t="s">
        <v>46</v>
      </c>
      <c r="F176" s="233" t="str">
        <f>РПЗ!Q176</f>
        <v>ОЗК</v>
      </c>
      <c r="G176" s="237"/>
      <c r="H176" s="237" t="str">
        <f>РПЗ!R176</f>
        <v>да</v>
      </c>
      <c r="I176" s="15">
        <f>РПЗ!W176</f>
        <v>0</v>
      </c>
      <c r="J176" s="233">
        <f>РПЗ!X176</f>
        <v>0</v>
      </c>
      <c r="K176" s="283">
        <f>РПЗ!Z176</f>
        <v>0</v>
      </c>
      <c r="L176" s="17"/>
      <c r="M176" s="18">
        <f>РПЗ!O176</f>
        <v>42917</v>
      </c>
      <c r="N176" s="238">
        <f>Таблица5[[#This Row],[10]]</f>
        <v>42917</v>
      </c>
      <c r="O176" s="17"/>
      <c r="P176" s="17"/>
      <c r="Q176" s="17"/>
      <c r="R176" s="17"/>
      <c r="S176" s="17"/>
      <c r="T176" s="686"/>
      <c r="U176" s="18">
        <f>РПЗ!P176</f>
        <v>43070</v>
      </c>
      <c r="V176" s="686"/>
      <c r="W176" s="236">
        <f>РПЗ!L176</f>
        <v>800000</v>
      </c>
      <c r="X176" s="689"/>
      <c r="Y176" s="689"/>
      <c r="Z176" s="690"/>
      <c r="AA176" s="691"/>
      <c r="AB176" s="111"/>
      <c r="AC176" s="17"/>
      <c r="AD176" s="690"/>
      <c r="AE176" s="686"/>
      <c r="AF176" s="474"/>
      <c r="AG176" s="692"/>
      <c r="AH176" s="236" t="str">
        <f>IF(Таблица5[[#This Row],[30]]=0,"НД",Таблица5[[#This Row],[20]]-Таблица5[[#This Row],[30]])</f>
        <v>НД</v>
      </c>
      <c r="AI176" s="511" t="str">
        <f>IF(((1-Таблица5[[#This Row],[30]]/Таблица5[[#This Row],[20]])=1),"НД",(1-Таблица5[[#This Row],[30]]/Таблица5[[#This Row],[20]]))</f>
        <v>НД</v>
      </c>
      <c r="AJ176" s="111"/>
      <c r="AK176" s="111"/>
      <c r="AL176" s="512"/>
      <c r="AM176" s="513"/>
      <c r="AN176" s="465"/>
      <c r="AO176" s="468" t="str">
        <f>РПЗ!AD176</f>
        <v>Нет</v>
      </c>
      <c r="AP176" s="472">
        <f>РПЗ!V176</f>
        <v>0</v>
      </c>
      <c r="AQ176" s="470">
        <f>IF(Таблица5[[#This Row],[11]]=0,,MONTH(Таблица5[[#This Row],[11]]))</f>
        <v>7</v>
      </c>
    </row>
    <row r="177" spans="1:43" ht="39" thickBot="1" x14ac:dyDescent="0.3">
      <c r="A177" s="233" t="str">
        <f t="shared" si="2"/>
        <v>1004-2017-00162</v>
      </c>
      <c r="B177" s="233" t="str">
        <f>РПЗ!$D177</f>
        <v>1004-2017-00162 Поставка Прокат стальной</v>
      </c>
      <c r="C177" s="233" t="str">
        <f>РПЗ!$AA177</f>
        <v>АО "НИИ "Полюс" им. М.Ф. Стельмаха" тел. отдела закупок 8-495-333-05-02</v>
      </c>
      <c r="D177" s="633" t="str">
        <f>РПЗ!$AB177</f>
        <v>Заказчик</v>
      </c>
      <c r="E177" s="96" t="s">
        <v>46</v>
      </c>
      <c r="F177" s="233" t="str">
        <f>РПЗ!Q177</f>
        <v>ОЗК</v>
      </c>
      <c r="G177" s="237"/>
      <c r="H177" s="237" t="str">
        <f>РПЗ!R177</f>
        <v>да</v>
      </c>
      <c r="I177" s="15">
        <f>РПЗ!W177</f>
        <v>0</v>
      </c>
      <c r="J177" s="233">
        <f>РПЗ!X177</f>
        <v>0</v>
      </c>
      <c r="K177" s="283">
        <f>РПЗ!Z177</f>
        <v>0</v>
      </c>
      <c r="L177" s="17"/>
      <c r="M177" s="18">
        <f>РПЗ!O177</f>
        <v>42767</v>
      </c>
      <c r="N177" s="238">
        <f>Таблица5[[#This Row],[10]]</f>
        <v>42767</v>
      </c>
      <c r="O177" s="17"/>
      <c r="P177" s="17"/>
      <c r="Q177" s="17"/>
      <c r="R177" s="17"/>
      <c r="S177" s="17"/>
      <c r="T177" s="686"/>
      <c r="U177" s="18">
        <f>РПЗ!P177</f>
        <v>43070</v>
      </c>
      <c r="V177" s="686"/>
      <c r="W177" s="236">
        <f>РПЗ!L177</f>
        <v>1800000</v>
      </c>
      <c r="X177" s="689"/>
      <c r="Y177" s="689"/>
      <c r="Z177" s="690"/>
      <c r="AA177" s="691"/>
      <c r="AB177" s="111"/>
      <c r="AC177" s="17"/>
      <c r="AD177" s="690"/>
      <c r="AE177" s="686"/>
      <c r="AF177" s="474"/>
      <c r="AG177" s="692"/>
      <c r="AH177" s="236" t="str">
        <f>IF(Таблица5[[#This Row],[30]]=0,"НД",Таблица5[[#This Row],[20]]-Таблица5[[#This Row],[30]])</f>
        <v>НД</v>
      </c>
      <c r="AI177" s="511" t="str">
        <f>IF(((1-Таблица5[[#This Row],[30]]/Таблица5[[#This Row],[20]])=1),"НД",(1-Таблица5[[#This Row],[30]]/Таблица5[[#This Row],[20]]))</f>
        <v>НД</v>
      </c>
      <c r="AJ177" s="111"/>
      <c r="AK177" s="111"/>
      <c r="AL177" s="512"/>
      <c r="AM177" s="513"/>
      <c r="AN177" s="465"/>
      <c r="AO177" s="468" t="str">
        <f>РПЗ!AD177</f>
        <v>Нет</v>
      </c>
      <c r="AP177" s="472">
        <f>РПЗ!V177</f>
        <v>0</v>
      </c>
      <c r="AQ177" s="470">
        <f>IF(Таблица5[[#This Row],[11]]=0,,MONTH(Таблица5[[#This Row],[11]]))</f>
        <v>2</v>
      </c>
    </row>
    <row r="178" spans="1:43" ht="39" thickBot="1" x14ac:dyDescent="0.3">
      <c r="A178" s="233" t="str">
        <f t="shared" si="2"/>
        <v>1004-2017-00163</v>
      </c>
      <c r="B178" s="233" t="str">
        <f>РПЗ!$D178</f>
        <v>1004-2017-00163 Поставка Алюминиевые сплавы</v>
      </c>
      <c r="C178" s="233" t="str">
        <f>РПЗ!$AA178</f>
        <v>АО "НИИ "Полюс" им. М.Ф. Стельмаха" тел. отдела закупок 8-495-333-05-02</v>
      </c>
      <c r="D178" s="633" t="str">
        <f>РПЗ!$AB178</f>
        <v>Заказчик</v>
      </c>
      <c r="E178" s="96" t="s">
        <v>46</v>
      </c>
      <c r="F178" s="233" t="str">
        <f>РПЗ!Q178</f>
        <v>ОЗК</v>
      </c>
      <c r="G178" s="237"/>
      <c r="H178" s="237" t="str">
        <f>РПЗ!R178</f>
        <v>да</v>
      </c>
      <c r="I178" s="15">
        <f>РПЗ!W178</f>
        <v>0</v>
      </c>
      <c r="J178" s="233">
        <f>РПЗ!X178</f>
        <v>0</v>
      </c>
      <c r="K178" s="283">
        <f>РПЗ!Z178</f>
        <v>0</v>
      </c>
      <c r="L178" s="17"/>
      <c r="M178" s="18">
        <f>РПЗ!O178</f>
        <v>42767</v>
      </c>
      <c r="N178" s="238">
        <f>Таблица5[[#This Row],[10]]</f>
        <v>42767</v>
      </c>
      <c r="O178" s="17"/>
      <c r="P178" s="17"/>
      <c r="Q178" s="17"/>
      <c r="R178" s="17"/>
      <c r="S178" s="17"/>
      <c r="T178" s="686"/>
      <c r="U178" s="18">
        <f>РПЗ!P178</f>
        <v>43070</v>
      </c>
      <c r="V178" s="686"/>
      <c r="W178" s="236">
        <f>РПЗ!L178</f>
        <v>1600000</v>
      </c>
      <c r="X178" s="689"/>
      <c r="Y178" s="689"/>
      <c r="Z178" s="690"/>
      <c r="AA178" s="691"/>
      <c r="AB178" s="111"/>
      <c r="AC178" s="17"/>
      <c r="AD178" s="690"/>
      <c r="AE178" s="686"/>
      <c r="AF178" s="474"/>
      <c r="AG178" s="692"/>
      <c r="AH178" s="236" t="str">
        <f>IF(Таблица5[[#This Row],[30]]=0,"НД",Таблица5[[#This Row],[20]]-Таблица5[[#This Row],[30]])</f>
        <v>НД</v>
      </c>
      <c r="AI178" s="511" t="str">
        <f>IF(((1-Таблица5[[#This Row],[30]]/Таблица5[[#This Row],[20]])=1),"НД",(1-Таблица5[[#This Row],[30]]/Таблица5[[#This Row],[20]]))</f>
        <v>НД</v>
      </c>
      <c r="AJ178" s="111"/>
      <c r="AK178" s="111"/>
      <c r="AL178" s="512"/>
      <c r="AM178" s="513"/>
      <c r="AN178" s="465"/>
      <c r="AO178" s="468" t="str">
        <f>РПЗ!AD178</f>
        <v>Нет</v>
      </c>
      <c r="AP178" s="472">
        <f>РПЗ!V178</f>
        <v>0</v>
      </c>
      <c r="AQ178" s="470">
        <f>IF(Таблица5[[#This Row],[11]]=0,,MONTH(Таблица5[[#This Row],[11]]))</f>
        <v>2</v>
      </c>
    </row>
    <row r="179" spans="1:43" ht="39" thickBot="1" x14ac:dyDescent="0.3">
      <c r="A179" s="233" t="str">
        <f t="shared" ref="A179:A242" si="3">INDEX(Диапазон1,ROW(), COLUMN())</f>
        <v>1004-2017-00164</v>
      </c>
      <c r="B179" s="233" t="str">
        <f>РПЗ!$D179</f>
        <v>1004-2017-00164 Поставка Титановые сплавы</v>
      </c>
      <c r="C179" s="233" t="str">
        <f>РПЗ!$AA179</f>
        <v>АО "НИИ "Полюс" им. М.Ф. Стельмаха" тел. отдела закупок 8-495-333-05-02</v>
      </c>
      <c r="D179" s="633" t="str">
        <f>РПЗ!$AB179</f>
        <v>Заказчик</v>
      </c>
      <c r="E179" s="96" t="s">
        <v>46</v>
      </c>
      <c r="F179" s="233" t="str">
        <f>РПЗ!Q179</f>
        <v>ОЗК</v>
      </c>
      <c r="G179" s="237"/>
      <c r="H179" s="237" t="str">
        <f>РПЗ!R179</f>
        <v>да</v>
      </c>
      <c r="I179" s="15">
        <f>РПЗ!W179</f>
        <v>0</v>
      </c>
      <c r="J179" s="233">
        <f>РПЗ!X179</f>
        <v>0</v>
      </c>
      <c r="K179" s="283">
        <f>РПЗ!Z179</f>
        <v>0</v>
      </c>
      <c r="L179" s="17"/>
      <c r="M179" s="18">
        <f>РПЗ!O179</f>
        <v>42767</v>
      </c>
      <c r="N179" s="238">
        <f>Таблица5[[#This Row],[10]]</f>
        <v>42767</v>
      </c>
      <c r="O179" s="17"/>
      <c r="P179" s="17"/>
      <c r="Q179" s="17"/>
      <c r="R179" s="17"/>
      <c r="S179" s="17"/>
      <c r="T179" s="686"/>
      <c r="U179" s="18">
        <f>РПЗ!P179</f>
        <v>43070</v>
      </c>
      <c r="V179" s="686"/>
      <c r="W179" s="236">
        <f>РПЗ!L179</f>
        <v>3000000</v>
      </c>
      <c r="X179" s="689"/>
      <c r="Y179" s="689"/>
      <c r="Z179" s="690"/>
      <c r="AA179" s="691"/>
      <c r="AB179" s="111"/>
      <c r="AC179" s="17"/>
      <c r="AD179" s="690"/>
      <c r="AE179" s="686"/>
      <c r="AF179" s="474"/>
      <c r="AG179" s="692"/>
      <c r="AH179" s="236" t="str">
        <f>IF(Таблица5[[#This Row],[30]]=0,"НД",Таблица5[[#This Row],[20]]-Таблица5[[#This Row],[30]])</f>
        <v>НД</v>
      </c>
      <c r="AI179" s="511" t="str">
        <f>IF(((1-Таблица5[[#This Row],[30]]/Таблица5[[#This Row],[20]])=1),"НД",(1-Таблица5[[#This Row],[30]]/Таблица5[[#This Row],[20]]))</f>
        <v>НД</v>
      </c>
      <c r="AJ179" s="111"/>
      <c r="AK179" s="111"/>
      <c r="AL179" s="512"/>
      <c r="AM179" s="513"/>
      <c r="AN179" s="465"/>
      <c r="AO179" s="468" t="str">
        <f>РПЗ!AD179</f>
        <v>Нет</v>
      </c>
      <c r="AP179" s="472">
        <f>РПЗ!V179</f>
        <v>0</v>
      </c>
      <c r="AQ179" s="470">
        <f>IF(Таблица5[[#This Row],[11]]=0,,MONTH(Таблица5[[#This Row],[11]]))</f>
        <v>2</v>
      </c>
    </row>
    <row r="180" spans="1:43" ht="39" thickBot="1" x14ac:dyDescent="0.3">
      <c r="A180" s="233" t="str">
        <f t="shared" si="3"/>
        <v>1004-2017-00165</v>
      </c>
      <c r="B180" s="233" t="str">
        <f>РПЗ!$D180</f>
        <v>1004-2017-00165 Поставка Соединители (вилки, розетки)</v>
      </c>
      <c r="C180" s="233" t="str">
        <f>РПЗ!$AA180</f>
        <v>АО "НИИ "Полюс" им. М.Ф. Стельмаха" тел. отдела закупок 8-495-333-05-02</v>
      </c>
      <c r="D180" s="633" t="str">
        <f>РПЗ!$AB180</f>
        <v>Заказчик</v>
      </c>
      <c r="E180" s="96" t="s">
        <v>46</v>
      </c>
      <c r="F180" s="233" t="str">
        <f>РПЗ!Q180</f>
        <v>ЕП</v>
      </c>
      <c r="G180" s="237"/>
      <c r="H180" s="237" t="str">
        <f>РПЗ!R180</f>
        <v>Нет</v>
      </c>
      <c r="I180" s="15" t="str">
        <f>РПЗ!W180</f>
        <v>6.6.2(10)</v>
      </c>
      <c r="J180" s="233" t="str">
        <f>РПЗ!X180</f>
        <v>3254511340</v>
      </c>
      <c r="K180" s="283">
        <f>РПЗ!Z180</f>
        <v>0</v>
      </c>
      <c r="L180" s="17"/>
      <c r="M180" s="18">
        <f>РПЗ!O180</f>
        <v>42767</v>
      </c>
      <c r="N180" s="238">
        <f>Таблица5[[#This Row],[10]]</f>
        <v>42767</v>
      </c>
      <c r="O180" s="17"/>
      <c r="P180" s="17"/>
      <c r="Q180" s="17"/>
      <c r="R180" s="17"/>
      <c r="S180" s="17"/>
      <c r="T180" s="686"/>
      <c r="U180" s="18">
        <f>РПЗ!P180</f>
        <v>43070</v>
      </c>
      <c r="V180" s="686"/>
      <c r="W180" s="236">
        <f>РПЗ!L180</f>
        <v>5000000</v>
      </c>
      <c r="X180" s="689"/>
      <c r="Y180" s="689"/>
      <c r="Z180" s="690"/>
      <c r="AA180" s="691"/>
      <c r="AB180" s="111"/>
      <c r="AC180" s="17"/>
      <c r="AD180" s="690"/>
      <c r="AE180" s="686"/>
      <c r="AF180" s="474"/>
      <c r="AG180" s="692"/>
      <c r="AH180" s="236" t="str">
        <f>IF(Таблица5[[#This Row],[30]]=0,"НД",Таблица5[[#This Row],[20]]-Таблица5[[#This Row],[30]])</f>
        <v>НД</v>
      </c>
      <c r="AI180" s="511" t="str">
        <f>IF(((1-Таблица5[[#This Row],[30]]/Таблица5[[#This Row],[20]])=1),"НД",(1-Таблица5[[#This Row],[30]]/Таблица5[[#This Row],[20]]))</f>
        <v>НД</v>
      </c>
      <c r="AJ180" s="111"/>
      <c r="AK180" s="111"/>
      <c r="AL180" s="512"/>
      <c r="AM180" s="513"/>
      <c r="AN180" s="465"/>
      <c r="AO180" s="468" t="str">
        <f>РПЗ!AD180</f>
        <v>Нет</v>
      </c>
      <c r="AP180" s="472">
        <f>РПЗ!V180</f>
        <v>0</v>
      </c>
      <c r="AQ180" s="470">
        <f>IF(Таблица5[[#This Row],[11]]=0,,MONTH(Таблица5[[#This Row],[11]]))</f>
        <v>2</v>
      </c>
    </row>
    <row r="181" spans="1:43" ht="39" thickBot="1" x14ac:dyDescent="0.3">
      <c r="A181" s="233" t="str">
        <f t="shared" si="3"/>
        <v>1004-2017-00166</v>
      </c>
      <c r="B181" s="233" t="str">
        <f>РПЗ!$D181</f>
        <v>1004-2017-00166 Поставка Соединители (импорт)</v>
      </c>
      <c r="C181" s="233" t="str">
        <f>РПЗ!$AA181</f>
        <v>АО "НИИ "Полюс" им. М.Ф. Стельмаха" тел. отдела закупок 8-495-333-05-02</v>
      </c>
      <c r="D181" s="633" t="str">
        <f>РПЗ!$AB181</f>
        <v>Заказчик</v>
      </c>
      <c r="E181" s="96" t="s">
        <v>46</v>
      </c>
      <c r="F181" s="233" t="str">
        <f>РПЗ!Q181</f>
        <v>ОЗК</v>
      </c>
      <c r="G181" s="237"/>
      <c r="H181" s="237" t="str">
        <f>РПЗ!R181</f>
        <v>да</v>
      </c>
      <c r="I181" s="15">
        <f>РПЗ!W181</f>
        <v>0</v>
      </c>
      <c r="J181" s="233">
        <f>РПЗ!X181</f>
        <v>0</v>
      </c>
      <c r="K181" s="283">
        <f>РПЗ!Z181</f>
        <v>0</v>
      </c>
      <c r="L181" s="17"/>
      <c r="M181" s="18">
        <f>РПЗ!O181</f>
        <v>42767</v>
      </c>
      <c r="N181" s="238">
        <f>Таблица5[[#This Row],[10]]</f>
        <v>42767</v>
      </c>
      <c r="O181" s="17"/>
      <c r="P181" s="17"/>
      <c r="Q181" s="17"/>
      <c r="R181" s="17"/>
      <c r="S181" s="17"/>
      <c r="T181" s="686"/>
      <c r="U181" s="18">
        <f>РПЗ!P181</f>
        <v>43070</v>
      </c>
      <c r="V181" s="686"/>
      <c r="W181" s="236">
        <f>РПЗ!L181</f>
        <v>120000</v>
      </c>
      <c r="X181" s="689"/>
      <c r="Y181" s="689"/>
      <c r="Z181" s="690"/>
      <c r="AA181" s="691"/>
      <c r="AB181" s="111"/>
      <c r="AC181" s="17"/>
      <c r="AD181" s="690"/>
      <c r="AE181" s="686"/>
      <c r="AF181" s="474"/>
      <c r="AG181" s="692"/>
      <c r="AH181" s="236" t="str">
        <f>IF(Таблица5[[#This Row],[30]]=0,"НД",Таблица5[[#This Row],[20]]-Таблица5[[#This Row],[30]])</f>
        <v>НД</v>
      </c>
      <c r="AI181" s="511" t="str">
        <f>IF(((1-Таблица5[[#This Row],[30]]/Таблица5[[#This Row],[20]])=1),"НД",(1-Таблица5[[#This Row],[30]]/Таблица5[[#This Row],[20]]))</f>
        <v>НД</v>
      </c>
      <c r="AJ181" s="111"/>
      <c r="AK181" s="111"/>
      <c r="AL181" s="512"/>
      <c r="AM181" s="513"/>
      <c r="AN181" s="465"/>
      <c r="AO181" s="468" t="str">
        <f>РПЗ!AD181</f>
        <v>Нет</v>
      </c>
      <c r="AP181" s="472">
        <f>РПЗ!V181</f>
        <v>0</v>
      </c>
      <c r="AQ181" s="470">
        <f>IF(Таблица5[[#This Row],[11]]=0,,MONTH(Таблица5[[#This Row],[11]]))</f>
        <v>2</v>
      </c>
    </row>
    <row r="182" spans="1:43" ht="39" thickBot="1" x14ac:dyDescent="0.3">
      <c r="A182" s="233" t="str">
        <f t="shared" si="3"/>
        <v>1004-2017-00167</v>
      </c>
      <c r="B182" s="233" t="str">
        <f>РПЗ!$D182</f>
        <v>1004-2017-00167 Поставка Трансформаторы и дроссели</v>
      </c>
      <c r="C182" s="233" t="str">
        <f>РПЗ!$AA182</f>
        <v>АО "НИИ "Полюс" им. М.Ф. Стельмаха" тел. отдела закупок 8-495-333-05-02</v>
      </c>
      <c r="D182" s="633" t="str">
        <f>РПЗ!$AB182</f>
        <v>Заказчик</v>
      </c>
      <c r="E182" s="96" t="s">
        <v>46</v>
      </c>
      <c r="F182" s="233" t="str">
        <f>РПЗ!Q182</f>
        <v>ЕП</v>
      </c>
      <c r="G182" s="237"/>
      <c r="H182" s="237" t="str">
        <f>РПЗ!R182</f>
        <v>Нет</v>
      </c>
      <c r="I182" s="15" t="str">
        <f>РПЗ!W182</f>
        <v>6.6.2(10)</v>
      </c>
      <c r="J182" s="233">
        <f>РПЗ!X182</f>
        <v>5321036103</v>
      </c>
      <c r="K182" s="283">
        <f>РПЗ!Z182</f>
        <v>134000</v>
      </c>
      <c r="L182" s="17"/>
      <c r="M182" s="18">
        <f>РПЗ!O182</f>
        <v>42767</v>
      </c>
      <c r="N182" s="238">
        <f>Таблица5[[#This Row],[10]]</f>
        <v>42767</v>
      </c>
      <c r="O182" s="17"/>
      <c r="P182" s="17"/>
      <c r="Q182" s="17"/>
      <c r="R182" s="17"/>
      <c r="S182" s="17"/>
      <c r="T182" s="686"/>
      <c r="U182" s="18">
        <f>РПЗ!P182</f>
        <v>43070</v>
      </c>
      <c r="V182" s="686"/>
      <c r="W182" s="236">
        <f>РПЗ!L182</f>
        <v>134000</v>
      </c>
      <c r="X182" s="689"/>
      <c r="Y182" s="689"/>
      <c r="Z182" s="690"/>
      <c r="AA182" s="691"/>
      <c r="AB182" s="111"/>
      <c r="AC182" s="17"/>
      <c r="AD182" s="690"/>
      <c r="AE182" s="686"/>
      <c r="AF182" s="474"/>
      <c r="AG182" s="692"/>
      <c r="AH182" s="236" t="str">
        <f>IF(Таблица5[[#This Row],[30]]=0,"НД",Таблица5[[#This Row],[20]]-Таблица5[[#This Row],[30]])</f>
        <v>НД</v>
      </c>
      <c r="AI182" s="511" t="str">
        <f>IF(((1-Таблица5[[#This Row],[30]]/Таблица5[[#This Row],[20]])=1),"НД",(1-Таблица5[[#This Row],[30]]/Таблица5[[#This Row],[20]]))</f>
        <v>НД</v>
      </c>
      <c r="AJ182" s="111"/>
      <c r="AK182" s="111"/>
      <c r="AL182" s="512"/>
      <c r="AM182" s="513"/>
      <c r="AN182" s="465"/>
      <c r="AO182" s="468" t="str">
        <f>РПЗ!AD182</f>
        <v>Нет</v>
      </c>
      <c r="AP182" s="472">
        <f>РПЗ!V182</f>
        <v>0</v>
      </c>
      <c r="AQ182" s="470">
        <f>IF(Таблица5[[#This Row],[11]]=0,,MONTH(Таблица5[[#This Row],[11]]))</f>
        <v>2</v>
      </c>
    </row>
    <row r="183" spans="1:43" ht="39" thickBot="1" x14ac:dyDescent="0.3">
      <c r="A183" s="233" t="str">
        <f t="shared" si="3"/>
        <v>1004-2017-00168</v>
      </c>
      <c r="B183" s="233" t="str">
        <f>РПЗ!$D183</f>
        <v xml:space="preserve">1004-2017-00168 Поставка Амортизаторы </v>
      </c>
      <c r="C183" s="233" t="str">
        <f>РПЗ!$AA183</f>
        <v>АО "НИИ "Полюс" им. М.Ф. Стельмаха" тел. отдела закупок 8-495-333-05-02</v>
      </c>
      <c r="D183" s="633" t="str">
        <f>РПЗ!$AB183</f>
        <v>Заказчик</v>
      </c>
      <c r="E183" s="96" t="s">
        <v>46</v>
      </c>
      <c r="F183" s="233" t="str">
        <f>РПЗ!Q183</f>
        <v>ЕП</v>
      </c>
      <c r="G183" s="237"/>
      <c r="H183" s="237" t="str">
        <f>РПЗ!R183</f>
        <v>Нет</v>
      </c>
      <c r="I183" s="15" t="str">
        <f>РПЗ!W183</f>
        <v>6.6.2(10)</v>
      </c>
      <c r="J183" s="233">
        <f>РПЗ!X183</f>
        <v>5260900066</v>
      </c>
      <c r="K183" s="283">
        <f>РПЗ!Z183</f>
        <v>340000</v>
      </c>
      <c r="L183" s="17"/>
      <c r="M183" s="18">
        <f>РПЗ!O183</f>
        <v>42767</v>
      </c>
      <c r="N183" s="238">
        <f>Таблица5[[#This Row],[10]]</f>
        <v>42767</v>
      </c>
      <c r="O183" s="17"/>
      <c r="P183" s="17"/>
      <c r="Q183" s="17"/>
      <c r="R183" s="17"/>
      <c r="S183" s="17"/>
      <c r="T183" s="686"/>
      <c r="U183" s="18">
        <f>РПЗ!P183</f>
        <v>43070</v>
      </c>
      <c r="V183" s="686"/>
      <c r="W183" s="236">
        <f>РПЗ!L183</f>
        <v>340000</v>
      </c>
      <c r="X183" s="689"/>
      <c r="Y183" s="689"/>
      <c r="Z183" s="690"/>
      <c r="AA183" s="691"/>
      <c r="AB183" s="111"/>
      <c r="AC183" s="17"/>
      <c r="AD183" s="690"/>
      <c r="AE183" s="686"/>
      <c r="AF183" s="474"/>
      <c r="AG183" s="692"/>
      <c r="AH183" s="236" t="str">
        <f>IF(Таблица5[[#This Row],[30]]=0,"НД",Таблица5[[#This Row],[20]]-Таблица5[[#This Row],[30]])</f>
        <v>НД</v>
      </c>
      <c r="AI183" s="511" t="str">
        <f>IF(((1-Таблица5[[#This Row],[30]]/Таблица5[[#This Row],[20]])=1),"НД",(1-Таблица5[[#This Row],[30]]/Таблица5[[#This Row],[20]]))</f>
        <v>НД</v>
      </c>
      <c r="AJ183" s="111"/>
      <c r="AK183" s="111"/>
      <c r="AL183" s="512"/>
      <c r="AM183" s="513"/>
      <c r="AN183" s="465"/>
      <c r="AO183" s="468" t="str">
        <f>РПЗ!AD183</f>
        <v>Нет</v>
      </c>
      <c r="AP183" s="472">
        <f>РПЗ!V183</f>
        <v>0</v>
      </c>
      <c r="AQ183" s="470">
        <f>IF(Таблица5[[#This Row],[11]]=0,,MONTH(Таблица5[[#This Row],[11]]))</f>
        <v>2</v>
      </c>
    </row>
    <row r="184" spans="1:43" ht="39" thickBot="1" x14ac:dyDescent="0.3">
      <c r="A184" s="233" t="str">
        <f t="shared" si="3"/>
        <v>1004-2017-00169</v>
      </c>
      <c r="B184" s="233" t="str">
        <f>РПЗ!$D184</f>
        <v xml:space="preserve">1004-2017-00169 Поставка Сердечники (ферриты) </v>
      </c>
      <c r="C184" s="233" t="str">
        <f>РПЗ!$AA184</f>
        <v>АО "НИИ "Полюс" им. М.Ф. Стельмаха" тел. отдела закупок 8-495-333-05-02</v>
      </c>
      <c r="D184" s="633" t="str">
        <f>РПЗ!$AB184</f>
        <v>Заказчик</v>
      </c>
      <c r="E184" s="96" t="s">
        <v>46</v>
      </c>
      <c r="F184" s="233" t="str">
        <f>РПЗ!Q184</f>
        <v>ЕП</v>
      </c>
      <c r="G184" s="237"/>
      <c r="H184" s="237" t="str">
        <f>РПЗ!R184</f>
        <v>Нет</v>
      </c>
      <c r="I184" s="15" t="str">
        <f>РПЗ!W184</f>
        <v>6.6.2(10)</v>
      </c>
      <c r="J184" s="233">
        <f>РПЗ!X184</f>
        <v>7807026923</v>
      </c>
      <c r="K184" s="283">
        <f>РПЗ!Z184</f>
        <v>160000</v>
      </c>
      <c r="L184" s="17"/>
      <c r="M184" s="18">
        <f>РПЗ!O184</f>
        <v>42767</v>
      </c>
      <c r="N184" s="238">
        <f>Таблица5[[#This Row],[10]]</f>
        <v>42767</v>
      </c>
      <c r="O184" s="17"/>
      <c r="P184" s="17"/>
      <c r="Q184" s="17"/>
      <c r="R184" s="17"/>
      <c r="S184" s="17"/>
      <c r="T184" s="686"/>
      <c r="U184" s="18">
        <f>РПЗ!P184</f>
        <v>43070</v>
      </c>
      <c r="V184" s="686"/>
      <c r="W184" s="236">
        <f>РПЗ!L184</f>
        <v>160000</v>
      </c>
      <c r="X184" s="689"/>
      <c r="Y184" s="689"/>
      <c r="Z184" s="690"/>
      <c r="AA184" s="691"/>
      <c r="AB184" s="111"/>
      <c r="AC184" s="17"/>
      <c r="AD184" s="690"/>
      <c r="AE184" s="686"/>
      <c r="AF184" s="474"/>
      <c r="AG184" s="692"/>
      <c r="AH184" s="236" t="str">
        <f>IF(Таблица5[[#This Row],[30]]=0,"НД",Таблица5[[#This Row],[20]]-Таблица5[[#This Row],[30]])</f>
        <v>НД</v>
      </c>
      <c r="AI184" s="511" t="str">
        <f>IF(((1-Таблица5[[#This Row],[30]]/Таблица5[[#This Row],[20]])=1),"НД",(1-Таблица5[[#This Row],[30]]/Таблица5[[#This Row],[20]]))</f>
        <v>НД</v>
      </c>
      <c r="AJ184" s="111"/>
      <c r="AK184" s="111"/>
      <c r="AL184" s="512"/>
      <c r="AM184" s="513"/>
      <c r="AN184" s="465"/>
      <c r="AO184" s="468" t="str">
        <f>РПЗ!AD184</f>
        <v>Нет</v>
      </c>
      <c r="AP184" s="472">
        <f>РПЗ!V184</f>
        <v>0</v>
      </c>
      <c r="AQ184" s="470">
        <f>IF(Таблица5[[#This Row],[11]]=0,,MONTH(Таблица5[[#This Row],[11]]))</f>
        <v>2</v>
      </c>
    </row>
    <row r="185" spans="1:43" ht="39" thickBot="1" x14ac:dyDescent="0.3">
      <c r="A185" s="233" t="str">
        <f t="shared" si="3"/>
        <v>1004-2017-00170</v>
      </c>
      <c r="B185" s="233" t="str">
        <f>РПЗ!$D185</f>
        <v xml:space="preserve">1004-2017-00170 Поставка Коммутационные изделия </v>
      </c>
      <c r="C185" s="233" t="str">
        <f>РПЗ!$AA185</f>
        <v>АО "НИИ "Полюс" им. М.Ф. Стельмаха" тел. отдела закупок 8-495-333-05-02</v>
      </c>
      <c r="D185" s="633" t="str">
        <f>РПЗ!$AB185</f>
        <v>Заказчик</v>
      </c>
      <c r="E185" s="96" t="s">
        <v>46</v>
      </c>
      <c r="F185" s="233" t="str">
        <f>РПЗ!Q185</f>
        <v>ЕП</v>
      </c>
      <c r="G185" s="237"/>
      <c r="H185" s="237" t="str">
        <f>РПЗ!R185</f>
        <v>Нет</v>
      </c>
      <c r="I185" s="15" t="str">
        <f>РПЗ!W185</f>
        <v>6.6.2(10)</v>
      </c>
      <c r="J185" s="233">
        <f>РПЗ!X185</f>
        <v>7706265403</v>
      </c>
      <c r="K185" s="283">
        <f>РПЗ!Z185</f>
        <v>410000</v>
      </c>
      <c r="L185" s="17"/>
      <c r="M185" s="18">
        <f>РПЗ!O185</f>
        <v>42767</v>
      </c>
      <c r="N185" s="238">
        <f>Таблица5[[#This Row],[10]]</f>
        <v>42767</v>
      </c>
      <c r="O185" s="17"/>
      <c r="P185" s="17"/>
      <c r="Q185" s="17"/>
      <c r="R185" s="17"/>
      <c r="S185" s="17"/>
      <c r="T185" s="686"/>
      <c r="U185" s="18">
        <f>РПЗ!P185</f>
        <v>43070</v>
      </c>
      <c r="V185" s="686"/>
      <c r="W185" s="236">
        <f>РПЗ!L185</f>
        <v>410000</v>
      </c>
      <c r="X185" s="689"/>
      <c r="Y185" s="689"/>
      <c r="Z185" s="690"/>
      <c r="AA185" s="691"/>
      <c r="AB185" s="111"/>
      <c r="AC185" s="17"/>
      <c r="AD185" s="690"/>
      <c r="AE185" s="686"/>
      <c r="AF185" s="474"/>
      <c r="AG185" s="692"/>
      <c r="AH185" s="236" t="str">
        <f>IF(Таблица5[[#This Row],[30]]=0,"НД",Таблица5[[#This Row],[20]]-Таблица5[[#This Row],[30]])</f>
        <v>НД</v>
      </c>
      <c r="AI185" s="511" t="str">
        <f>IF(((1-Таблица5[[#This Row],[30]]/Таблица5[[#This Row],[20]])=1),"НД",(1-Таблица5[[#This Row],[30]]/Таблица5[[#This Row],[20]]))</f>
        <v>НД</v>
      </c>
      <c r="AJ185" s="111"/>
      <c r="AK185" s="111"/>
      <c r="AL185" s="512"/>
      <c r="AM185" s="513"/>
      <c r="AN185" s="465"/>
      <c r="AO185" s="468" t="str">
        <f>РПЗ!AD185</f>
        <v>Нет</v>
      </c>
      <c r="AP185" s="472">
        <f>РПЗ!V185</f>
        <v>0</v>
      </c>
      <c r="AQ185" s="470">
        <f>IF(Таблица5[[#This Row],[11]]=0,,MONTH(Таблица5[[#This Row],[11]]))</f>
        <v>2</v>
      </c>
    </row>
    <row r="186" spans="1:43" ht="39" thickBot="1" x14ac:dyDescent="0.3">
      <c r="A186" s="233" t="str">
        <f t="shared" si="3"/>
        <v>1004-2017-00171</v>
      </c>
      <c r="B186" s="233" t="str">
        <f>РПЗ!$D186</f>
        <v xml:space="preserve">1004-2017-00171 Поставка Транзисторы </v>
      </c>
      <c r="C186" s="233" t="str">
        <f>РПЗ!$AA186</f>
        <v>АО "НИИ "Полюс" им. М.Ф. Стельмаха" тел. отдела закупок 8-495-333-05-02</v>
      </c>
      <c r="D186" s="633" t="str">
        <f>РПЗ!$AB186</f>
        <v>Заказчик</v>
      </c>
      <c r="E186" s="96" t="s">
        <v>46</v>
      </c>
      <c r="F186" s="233" t="str">
        <f>РПЗ!Q186</f>
        <v>ЕП</v>
      </c>
      <c r="G186" s="237"/>
      <c r="H186" s="237" t="str">
        <f>РПЗ!R186</f>
        <v>Нет</v>
      </c>
      <c r="I186" s="15" t="str">
        <f>РПЗ!W186</f>
        <v>6.6.2(10)</v>
      </c>
      <c r="J186" s="233">
        <f>РПЗ!X186</f>
        <v>3301028439</v>
      </c>
      <c r="K186" s="283">
        <f>РПЗ!Z186</f>
        <v>515000</v>
      </c>
      <c r="L186" s="17"/>
      <c r="M186" s="18">
        <f>РПЗ!O186</f>
        <v>42767</v>
      </c>
      <c r="N186" s="238">
        <f>Таблица5[[#This Row],[10]]</f>
        <v>42767</v>
      </c>
      <c r="O186" s="17"/>
      <c r="P186" s="17"/>
      <c r="Q186" s="17"/>
      <c r="R186" s="17"/>
      <c r="S186" s="17"/>
      <c r="T186" s="686"/>
      <c r="U186" s="18">
        <f>РПЗ!P186</f>
        <v>43070</v>
      </c>
      <c r="V186" s="686"/>
      <c r="W186" s="236">
        <f>РПЗ!L186</f>
        <v>515000</v>
      </c>
      <c r="X186" s="689"/>
      <c r="Y186" s="689"/>
      <c r="Z186" s="690"/>
      <c r="AA186" s="691"/>
      <c r="AB186" s="111"/>
      <c r="AC186" s="17"/>
      <c r="AD186" s="690"/>
      <c r="AE186" s="686"/>
      <c r="AF186" s="474"/>
      <c r="AG186" s="692"/>
      <c r="AH186" s="236" t="str">
        <f>IF(Таблица5[[#This Row],[30]]=0,"НД",Таблица5[[#This Row],[20]]-Таблица5[[#This Row],[30]])</f>
        <v>НД</v>
      </c>
      <c r="AI186" s="511" t="str">
        <f>IF(((1-Таблица5[[#This Row],[30]]/Таблица5[[#This Row],[20]])=1),"НД",(1-Таблица5[[#This Row],[30]]/Таблица5[[#This Row],[20]]))</f>
        <v>НД</v>
      </c>
      <c r="AJ186" s="111"/>
      <c r="AK186" s="111"/>
      <c r="AL186" s="512"/>
      <c r="AM186" s="513"/>
      <c r="AN186" s="465"/>
      <c r="AO186" s="468" t="str">
        <f>РПЗ!AD186</f>
        <v>Нет</v>
      </c>
      <c r="AP186" s="472">
        <f>РПЗ!V186</f>
        <v>0</v>
      </c>
      <c r="AQ186" s="470">
        <f>IF(Таблица5[[#This Row],[11]]=0,,MONTH(Таблица5[[#This Row],[11]]))</f>
        <v>2</v>
      </c>
    </row>
    <row r="187" spans="1:43" ht="39" thickBot="1" x14ac:dyDescent="0.3">
      <c r="A187" s="233" t="str">
        <f t="shared" si="3"/>
        <v>1004-2017-00172</v>
      </c>
      <c r="B187" s="233" t="str">
        <f>РПЗ!$D187</f>
        <v xml:space="preserve">1004-2017-00172Поставка  Транзисторы </v>
      </c>
      <c r="C187" s="233" t="str">
        <f>РПЗ!$AA187</f>
        <v>АО "НИИ "Полюс" им. М.Ф. Стельмаха" тел. отдела закупок 8-495-333-05-02</v>
      </c>
      <c r="D187" s="633" t="str">
        <f>РПЗ!$AB187</f>
        <v>Заказчик</v>
      </c>
      <c r="E187" s="96" t="s">
        <v>46</v>
      </c>
      <c r="F187" s="233" t="str">
        <f>РПЗ!Q187</f>
        <v>ОЗК</v>
      </c>
      <c r="G187" s="237"/>
      <c r="H187" s="237" t="str">
        <f>РПЗ!R187</f>
        <v>да</v>
      </c>
      <c r="I187" s="15">
        <f>РПЗ!W187</f>
        <v>0</v>
      </c>
      <c r="J187" s="233">
        <f>РПЗ!X187</f>
        <v>0</v>
      </c>
      <c r="K187" s="283">
        <f>РПЗ!Z187</f>
        <v>0</v>
      </c>
      <c r="L187" s="17"/>
      <c r="M187" s="18">
        <f>РПЗ!O187</f>
        <v>42767</v>
      </c>
      <c r="N187" s="238">
        <f>Таблица5[[#This Row],[10]]</f>
        <v>42767</v>
      </c>
      <c r="O187" s="17"/>
      <c r="P187" s="17"/>
      <c r="Q187" s="17"/>
      <c r="R187" s="17"/>
      <c r="S187" s="17"/>
      <c r="T187" s="686"/>
      <c r="U187" s="18">
        <f>РПЗ!P187</f>
        <v>43070</v>
      </c>
      <c r="V187" s="686"/>
      <c r="W187" s="236">
        <f>РПЗ!L187</f>
        <v>100000</v>
      </c>
      <c r="X187" s="689"/>
      <c r="Y187" s="689"/>
      <c r="Z187" s="690"/>
      <c r="AA187" s="691"/>
      <c r="AB187" s="111"/>
      <c r="AC187" s="17"/>
      <c r="AD187" s="690"/>
      <c r="AE187" s="686"/>
      <c r="AF187" s="474"/>
      <c r="AG187" s="692"/>
      <c r="AH187" s="236" t="str">
        <f>IF(Таблица5[[#This Row],[30]]=0,"НД",Таблица5[[#This Row],[20]]-Таблица5[[#This Row],[30]])</f>
        <v>НД</v>
      </c>
      <c r="AI187" s="511" t="str">
        <f>IF(((1-Таблица5[[#This Row],[30]]/Таблица5[[#This Row],[20]])=1),"НД",(1-Таблица5[[#This Row],[30]]/Таблица5[[#This Row],[20]]))</f>
        <v>НД</v>
      </c>
      <c r="AJ187" s="111"/>
      <c r="AK187" s="111"/>
      <c r="AL187" s="512"/>
      <c r="AM187" s="513"/>
      <c r="AN187" s="465"/>
      <c r="AO187" s="468" t="str">
        <f>РПЗ!AD187</f>
        <v>Нет</v>
      </c>
      <c r="AP187" s="472">
        <f>РПЗ!V187</f>
        <v>0</v>
      </c>
      <c r="AQ187" s="470">
        <f>IF(Таблица5[[#This Row],[11]]=0,,MONTH(Таблица5[[#This Row],[11]]))</f>
        <v>2</v>
      </c>
    </row>
    <row r="188" spans="1:43" ht="39" thickBot="1" x14ac:dyDescent="0.3">
      <c r="A188" s="233" t="str">
        <f t="shared" si="3"/>
        <v>1004-2017-00173</v>
      </c>
      <c r="B188" s="233" t="str">
        <f>РПЗ!$D188</f>
        <v xml:space="preserve">1004-2017-00173Поставка  Диоды </v>
      </c>
      <c r="C188" s="233" t="str">
        <f>РПЗ!$AA188</f>
        <v>АО "НИИ "Полюс" им. М.Ф. Стельмаха" тел. отдела закупок 8-495-333-05-02</v>
      </c>
      <c r="D188" s="633" t="str">
        <f>РПЗ!$AB188</f>
        <v>Заказчик</v>
      </c>
      <c r="E188" s="96" t="s">
        <v>46</v>
      </c>
      <c r="F188" s="233" t="str">
        <f>РПЗ!Q188</f>
        <v>ЕП</v>
      </c>
      <c r="G188" s="237"/>
      <c r="H188" s="237" t="str">
        <f>РПЗ!R188</f>
        <v>Нет</v>
      </c>
      <c r="I188" s="15" t="str">
        <f>РПЗ!W188</f>
        <v>6.6.2(10)</v>
      </c>
      <c r="J188" s="233">
        <f>РПЗ!X188</f>
        <v>3661033635</v>
      </c>
      <c r="K188" s="283">
        <f>РПЗ!Z188</f>
        <v>2100000</v>
      </c>
      <c r="L188" s="17"/>
      <c r="M188" s="18">
        <f>РПЗ!O188</f>
        <v>42767</v>
      </c>
      <c r="N188" s="238">
        <f>Таблица5[[#This Row],[10]]</f>
        <v>42767</v>
      </c>
      <c r="O188" s="17"/>
      <c r="P188" s="17"/>
      <c r="Q188" s="17"/>
      <c r="R188" s="17"/>
      <c r="S188" s="17"/>
      <c r="T188" s="686"/>
      <c r="U188" s="18">
        <f>РПЗ!P188</f>
        <v>43070</v>
      </c>
      <c r="V188" s="686"/>
      <c r="W188" s="236">
        <f>РПЗ!L188</f>
        <v>2100000</v>
      </c>
      <c r="X188" s="689"/>
      <c r="Y188" s="689"/>
      <c r="Z188" s="690"/>
      <c r="AA188" s="691"/>
      <c r="AB188" s="111"/>
      <c r="AC188" s="17"/>
      <c r="AD188" s="690"/>
      <c r="AE188" s="686"/>
      <c r="AF188" s="474"/>
      <c r="AG188" s="692"/>
      <c r="AH188" s="236" t="str">
        <f>IF(Таблица5[[#This Row],[30]]=0,"НД",Таблица5[[#This Row],[20]]-Таблица5[[#This Row],[30]])</f>
        <v>НД</v>
      </c>
      <c r="AI188" s="511" t="str">
        <f>IF(((1-Таблица5[[#This Row],[30]]/Таблица5[[#This Row],[20]])=1),"НД",(1-Таблица5[[#This Row],[30]]/Таблица5[[#This Row],[20]]))</f>
        <v>НД</v>
      </c>
      <c r="AJ188" s="111"/>
      <c r="AK188" s="111"/>
      <c r="AL188" s="512"/>
      <c r="AM188" s="513"/>
      <c r="AN188" s="465"/>
      <c r="AO188" s="468" t="str">
        <f>РПЗ!AD188</f>
        <v>Нет</v>
      </c>
      <c r="AP188" s="472">
        <f>РПЗ!V188</f>
        <v>0</v>
      </c>
      <c r="AQ188" s="470">
        <f>IF(Таблица5[[#This Row],[11]]=0,,MONTH(Таблица5[[#This Row],[11]]))</f>
        <v>2</v>
      </c>
    </row>
    <row r="189" spans="1:43" ht="39" thickBot="1" x14ac:dyDescent="0.3">
      <c r="A189" s="233" t="str">
        <f t="shared" si="3"/>
        <v>1004-2017-00174</v>
      </c>
      <c r="B189" s="233" t="str">
        <f>РПЗ!$D189</f>
        <v>1004-2017-00174 Поставка Диоды  (импорт)</v>
      </c>
      <c r="C189" s="233" t="str">
        <f>РПЗ!$AA189</f>
        <v>АО "НИИ "Полюс" им. М.Ф. Стельмаха" тел. отдела закупок 8-495-333-05-02</v>
      </c>
      <c r="D189" s="633" t="str">
        <f>РПЗ!$AB189</f>
        <v>Заказчик</v>
      </c>
      <c r="E189" s="96" t="s">
        <v>46</v>
      </c>
      <c r="F189" s="233" t="str">
        <f>РПЗ!Q189</f>
        <v>ОЗК</v>
      </c>
      <c r="G189" s="237"/>
      <c r="H189" s="237" t="str">
        <f>РПЗ!R189</f>
        <v>да</v>
      </c>
      <c r="I189" s="15">
        <f>РПЗ!W189</f>
        <v>0</v>
      </c>
      <c r="J189" s="233">
        <f>РПЗ!X189</f>
        <v>0</v>
      </c>
      <c r="K189" s="283">
        <f>РПЗ!Z189</f>
        <v>0</v>
      </c>
      <c r="L189" s="17"/>
      <c r="M189" s="18">
        <f>РПЗ!O189</f>
        <v>42767</v>
      </c>
      <c r="N189" s="238">
        <f>Таблица5[[#This Row],[10]]</f>
        <v>42767</v>
      </c>
      <c r="O189" s="17"/>
      <c r="P189" s="17"/>
      <c r="Q189" s="17"/>
      <c r="R189" s="17"/>
      <c r="S189" s="17"/>
      <c r="T189" s="686"/>
      <c r="U189" s="18">
        <f>РПЗ!P189</f>
        <v>43070</v>
      </c>
      <c r="V189" s="686"/>
      <c r="W189" s="236">
        <f>РПЗ!L189</f>
        <v>100000</v>
      </c>
      <c r="X189" s="689"/>
      <c r="Y189" s="689"/>
      <c r="Z189" s="690"/>
      <c r="AA189" s="691"/>
      <c r="AB189" s="111"/>
      <c r="AC189" s="17"/>
      <c r="AD189" s="690"/>
      <c r="AE189" s="686"/>
      <c r="AF189" s="474"/>
      <c r="AG189" s="692"/>
      <c r="AH189" s="236" t="str">
        <f>IF(Таблица5[[#This Row],[30]]=0,"НД",Таблица5[[#This Row],[20]]-Таблица5[[#This Row],[30]])</f>
        <v>НД</v>
      </c>
      <c r="AI189" s="511" t="str">
        <f>IF(((1-Таблица5[[#This Row],[30]]/Таблица5[[#This Row],[20]])=1),"НД",(1-Таблица5[[#This Row],[30]]/Таблица5[[#This Row],[20]]))</f>
        <v>НД</v>
      </c>
      <c r="AJ189" s="111"/>
      <c r="AK189" s="111"/>
      <c r="AL189" s="512"/>
      <c r="AM189" s="513"/>
      <c r="AN189" s="465"/>
      <c r="AO189" s="468" t="str">
        <f>РПЗ!AD189</f>
        <v>Нет</v>
      </c>
      <c r="AP189" s="472">
        <f>РПЗ!V189</f>
        <v>0</v>
      </c>
      <c r="AQ189" s="470">
        <f>IF(Таблица5[[#This Row],[11]]=0,,MONTH(Таблица5[[#This Row],[11]]))</f>
        <v>2</v>
      </c>
    </row>
    <row r="190" spans="1:43" ht="39" thickBot="1" x14ac:dyDescent="0.3">
      <c r="A190" s="233" t="str">
        <f t="shared" si="3"/>
        <v>1004-2017-00175</v>
      </c>
      <c r="B190" s="233" t="str">
        <f>РПЗ!$D190</f>
        <v>1004-2017-00175Поставка  Тиристоры</v>
      </c>
      <c r="C190" s="233" t="str">
        <f>РПЗ!$AA190</f>
        <v>АО "НИИ "Полюс" им. М.Ф. Стельмаха" тел. отдела закупок 8-495-333-05-02</v>
      </c>
      <c r="D190" s="633" t="str">
        <f>РПЗ!$AB190</f>
        <v>Заказчик</v>
      </c>
      <c r="E190" s="96" t="s">
        <v>46</v>
      </c>
      <c r="F190" s="233" t="str">
        <f>РПЗ!Q190</f>
        <v>ЕП</v>
      </c>
      <c r="G190" s="237"/>
      <c r="H190" s="237" t="str">
        <f>РПЗ!R190</f>
        <v>Нет</v>
      </c>
      <c r="I190" s="15" t="str">
        <f>РПЗ!W190</f>
        <v>6.6.2(10)</v>
      </c>
      <c r="J190" s="233">
        <f>РПЗ!X190</f>
        <v>7841479761</v>
      </c>
      <c r="K190" s="283">
        <f>РПЗ!Z190</f>
        <v>250000</v>
      </c>
      <c r="L190" s="17"/>
      <c r="M190" s="18">
        <f>РПЗ!O190</f>
        <v>42767</v>
      </c>
      <c r="N190" s="238">
        <f>Таблица5[[#This Row],[10]]</f>
        <v>42767</v>
      </c>
      <c r="O190" s="17"/>
      <c r="P190" s="17"/>
      <c r="Q190" s="17"/>
      <c r="R190" s="17"/>
      <c r="S190" s="17"/>
      <c r="T190" s="686"/>
      <c r="U190" s="18">
        <f>РПЗ!P190</f>
        <v>43070</v>
      </c>
      <c r="V190" s="686"/>
      <c r="W190" s="236">
        <f>РПЗ!L190</f>
        <v>250000</v>
      </c>
      <c r="X190" s="689"/>
      <c r="Y190" s="689"/>
      <c r="Z190" s="690"/>
      <c r="AA190" s="691"/>
      <c r="AB190" s="111"/>
      <c r="AC190" s="17"/>
      <c r="AD190" s="690"/>
      <c r="AE190" s="686"/>
      <c r="AF190" s="474"/>
      <c r="AG190" s="692"/>
      <c r="AH190" s="236" t="str">
        <f>IF(Таблица5[[#This Row],[30]]=0,"НД",Таблица5[[#This Row],[20]]-Таблица5[[#This Row],[30]])</f>
        <v>НД</v>
      </c>
      <c r="AI190" s="511" t="str">
        <f>IF(((1-Таблица5[[#This Row],[30]]/Таблица5[[#This Row],[20]])=1),"НД",(1-Таблица5[[#This Row],[30]]/Таблица5[[#This Row],[20]]))</f>
        <v>НД</v>
      </c>
      <c r="AJ190" s="111"/>
      <c r="AK190" s="111"/>
      <c r="AL190" s="512"/>
      <c r="AM190" s="513"/>
      <c r="AN190" s="465"/>
      <c r="AO190" s="468" t="str">
        <f>РПЗ!AD190</f>
        <v>Нет</v>
      </c>
      <c r="AP190" s="472">
        <f>РПЗ!V190</f>
        <v>0</v>
      </c>
      <c r="AQ190" s="470">
        <f>IF(Таблица5[[#This Row],[11]]=0,,MONTH(Таблица5[[#This Row],[11]]))</f>
        <v>2</v>
      </c>
    </row>
    <row r="191" spans="1:43" ht="39" thickBot="1" x14ac:dyDescent="0.3">
      <c r="A191" s="233" t="str">
        <f t="shared" si="3"/>
        <v>1004-2017-00176</v>
      </c>
      <c r="B191" s="233" t="str">
        <f>РПЗ!$D191</f>
        <v xml:space="preserve">1004-2017-00176 Поставка Модули питания </v>
      </c>
      <c r="C191" s="233" t="str">
        <f>РПЗ!$AA191</f>
        <v>АО "НИИ "Полюс" им. М.Ф. Стельмаха" тел. отдела закупок 8-495-333-05-02</v>
      </c>
      <c r="D191" s="633" t="str">
        <f>РПЗ!$AB191</f>
        <v>Заказчик</v>
      </c>
      <c r="E191" s="96" t="s">
        <v>46</v>
      </c>
      <c r="F191" s="233" t="str">
        <f>РПЗ!Q191</f>
        <v>ЕП</v>
      </c>
      <c r="G191" s="237"/>
      <c r="H191" s="237" t="str">
        <f>РПЗ!R191</f>
        <v>Нет</v>
      </c>
      <c r="I191" s="15" t="str">
        <f>РПЗ!W191</f>
        <v>6.6.2(10)</v>
      </c>
      <c r="J191" s="233">
        <f>РПЗ!X191</f>
        <v>7702231308</v>
      </c>
      <c r="K191" s="283">
        <f>РПЗ!Z191</f>
        <v>250000</v>
      </c>
      <c r="L191" s="17"/>
      <c r="M191" s="18">
        <f>РПЗ!O191</f>
        <v>42767</v>
      </c>
      <c r="N191" s="238">
        <f>Таблица5[[#This Row],[10]]</f>
        <v>42767</v>
      </c>
      <c r="O191" s="17"/>
      <c r="P191" s="17"/>
      <c r="Q191" s="17"/>
      <c r="R191" s="17"/>
      <c r="S191" s="17"/>
      <c r="T191" s="686"/>
      <c r="U191" s="18">
        <f>РПЗ!P191</f>
        <v>43070</v>
      </c>
      <c r="V191" s="686"/>
      <c r="W191" s="236">
        <f>РПЗ!L191</f>
        <v>250000</v>
      </c>
      <c r="X191" s="689"/>
      <c r="Y191" s="689"/>
      <c r="Z191" s="690"/>
      <c r="AA191" s="691"/>
      <c r="AB191" s="111"/>
      <c r="AC191" s="17"/>
      <c r="AD191" s="690"/>
      <c r="AE191" s="686"/>
      <c r="AF191" s="474"/>
      <c r="AG191" s="692"/>
      <c r="AH191" s="236" t="str">
        <f>IF(Таблица5[[#This Row],[30]]=0,"НД",Таблица5[[#This Row],[20]]-Таблица5[[#This Row],[30]])</f>
        <v>НД</v>
      </c>
      <c r="AI191" s="511" t="str">
        <f>IF(((1-Таблица5[[#This Row],[30]]/Таблица5[[#This Row],[20]])=1),"НД",(1-Таблица5[[#This Row],[30]]/Таблица5[[#This Row],[20]]))</f>
        <v>НД</v>
      </c>
      <c r="AJ191" s="111"/>
      <c r="AK191" s="111"/>
      <c r="AL191" s="512"/>
      <c r="AM191" s="513"/>
      <c r="AN191" s="465"/>
      <c r="AO191" s="468" t="str">
        <f>РПЗ!AD191</f>
        <v>Нет</v>
      </c>
      <c r="AP191" s="472">
        <f>РПЗ!V191</f>
        <v>0</v>
      </c>
      <c r="AQ191" s="470">
        <f>IF(Таблица5[[#This Row],[11]]=0,,MONTH(Таблица5[[#This Row],[11]]))</f>
        <v>2</v>
      </c>
    </row>
    <row r="192" spans="1:43" ht="39" thickBot="1" x14ac:dyDescent="0.3">
      <c r="A192" s="233" t="str">
        <f t="shared" si="3"/>
        <v>1004-2017-00177</v>
      </c>
      <c r="B192" s="233" t="str">
        <f>РПЗ!$D192</f>
        <v>1004-2017-00177 Поставка Актюаторы</v>
      </c>
      <c r="C192" s="233" t="str">
        <f>РПЗ!$AA192</f>
        <v>АО "НИИ "Полюс" им. М.Ф. Стельмаха" тел. отдела закупок 8-495-333-05-02</v>
      </c>
      <c r="D192" s="633" t="str">
        <f>РПЗ!$AB192</f>
        <v>Заказчик</v>
      </c>
      <c r="E192" s="96" t="s">
        <v>46</v>
      </c>
      <c r="F192" s="233" t="str">
        <f>РПЗ!Q192</f>
        <v>ЕП</v>
      </c>
      <c r="G192" s="237"/>
      <c r="H192" s="237" t="str">
        <f>РПЗ!R192</f>
        <v>Нет</v>
      </c>
      <c r="I192" s="15" t="str">
        <f>РПЗ!W192</f>
        <v>6.6.2(11)</v>
      </c>
      <c r="J192" s="233">
        <f>РПЗ!X192</f>
        <v>7735064772</v>
      </c>
      <c r="K192" s="283">
        <f>РПЗ!Z192</f>
        <v>635000</v>
      </c>
      <c r="L192" s="17"/>
      <c r="M192" s="18">
        <f>РПЗ!O192</f>
        <v>42767</v>
      </c>
      <c r="N192" s="238">
        <f>Таблица5[[#This Row],[10]]</f>
        <v>42767</v>
      </c>
      <c r="O192" s="17"/>
      <c r="P192" s="17"/>
      <c r="Q192" s="17"/>
      <c r="R192" s="17"/>
      <c r="S192" s="17"/>
      <c r="T192" s="686"/>
      <c r="U192" s="18">
        <f>РПЗ!P192</f>
        <v>43070</v>
      </c>
      <c r="V192" s="686"/>
      <c r="W192" s="236">
        <f>РПЗ!L192</f>
        <v>635000</v>
      </c>
      <c r="X192" s="689"/>
      <c r="Y192" s="689"/>
      <c r="Z192" s="690"/>
      <c r="AA192" s="691"/>
      <c r="AB192" s="111"/>
      <c r="AC192" s="17"/>
      <c r="AD192" s="690"/>
      <c r="AE192" s="686"/>
      <c r="AF192" s="474"/>
      <c r="AG192" s="692"/>
      <c r="AH192" s="236" t="str">
        <f>IF(Таблица5[[#This Row],[30]]=0,"НД",Таблица5[[#This Row],[20]]-Таблица5[[#This Row],[30]])</f>
        <v>НД</v>
      </c>
      <c r="AI192" s="511" t="str">
        <f>IF(((1-Таблица5[[#This Row],[30]]/Таблица5[[#This Row],[20]])=1),"НД",(1-Таблица5[[#This Row],[30]]/Таблица5[[#This Row],[20]]))</f>
        <v>НД</v>
      </c>
      <c r="AJ192" s="111"/>
      <c r="AK192" s="111"/>
      <c r="AL192" s="512"/>
      <c r="AM192" s="513"/>
      <c r="AN192" s="465"/>
      <c r="AO192" s="468" t="str">
        <f>РПЗ!AD192</f>
        <v>Нет</v>
      </c>
      <c r="AP192" s="472">
        <f>РПЗ!V192</f>
        <v>0</v>
      </c>
      <c r="AQ192" s="470">
        <f>IF(Таблица5[[#This Row],[11]]=0,,MONTH(Таблица5[[#This Row],[11]]))</f>
        <v>2</v>
      </c>
    </row>
    <row r="193" spans="1:43" ht="39" thickBot="1" x14ac:dyDescent="0.3">
      <c r="A193" s="233" t="str">
        <f t="shared" si="3"/>
        <v>1004-2017-00178</v>
      </c>
      <c r="B193" s="233" t="str">
        <f>РПЗ!$D193</f>
        <v xml:space="preserve">1004-2017-00178 Поставка микросхемы </v>
      </c>
      <c r="C193" s="233" t="str">
        <f>РПЗ!$AA193</f>
        <v>АО "НИИ "Полюс" им. М.Ф. Стельмаха" тел. отдела закупок 8-495-333-05-02</v>
      </c>
      <c r="D193" s="633" t="str">
        <f>РПЗ!$AB193</f>
        <v>Заказчик</v>
      </c>
      <c r="E193" s="96" t="s">
        <v>46</v>
      </c>
      <c r="F193" s="233" t="str">
        <f>РПЗ!Q193</f>
        <v>ЕП</v>
      </c>
      <c r="G193" s="237"/>
      <c r="H193" s="237" t="str">
        <f>РПЗ!R193</f>
        <v>Нет</v>
      </c>
      <c r="I193" s="15" t="str">
        <f>РПЗ!W193</f>
        <v>6.6.2(10)</v>
      </c>
      <c r="J193" s="233">
        <f>РПЗ!X193</f>
        <v>7735007358</v>
      </c>
      <c r="K193" s="283">
        <f>РПЗ!Z193</f>
        <v>4300000</v>
      </c>
      <c r="L193" s="17"/>
      <c r="M193" s="18">
        <f>РПЗ!O193</f>
        <v>42767</v>
      </c>
      <c r="N193" s="238">
        <f>Таблица5[[#This Row],[10]]</f>
        <v>42767</v>
      </c>
      <c r="O193" s="17"/>
      <c r="P193" s="17"/>
      <c r="Q193" s="17"/>
      <c r="R193" s="17"/>
      <c r="S193" s="17"/>
      <c r="T193" s="686"/>
      <c r="U193" s="18">
        <f>РПЗ!P193</f>
        <v>43070</v>
      </c>
      <c r="V193" s="686"/>
      <c r="W193" s="236">
        <f>РПЗ!L193</f>
        <v>4300000</v>
      </c>
      <c r="X193" s="689"/>
      <c r="Y193" s="689"/>
      <c r="Z193" s="690"/>
      <c r="AA193" s="691"/>
      <c r="AB193" s="111"/>
      <c r="AC193" s="17"/>
      <c r="AD193" s="690"/>
      <c r="AE193" s="686"/>
      <c r="AF193" s="474"/>
      <c r="AG193" s="692"/>
      <c r="AH193" s="236" t="str">
        <f>IF(Таблица5[[#This Row],[30]]=0,"НД",Таблица5[[#This Row],[20]]-Таблица5[[#This Row],[30]])</f>
        <v>НД</v>
      </c>
      <c r="AI193" s="511" t="str">
        <f>IF(((1-Таблица5[[#This Row],[30]]/Таблица5[[#This Row],[20]])=1),"НД",(1-Таблица5[[#This Row],[30]]/Таблица5[[#This Row],[20]]))</f>
        <v>НД</v>
      </c>
      <c r="AJ193" s="111"/>
      <c r="AK193" s="111"/>
      <c r="AL193" s="512"/>
      <c r="AM193" s="513"/>
      <c r="AN193" s="465"/>
      <c r="AO193" s="468" t="str">
        <f>РПЗ!AD193</f>
        <v>Нет</v>
      </c>
      <c r="AP193" s="472">
        <f>РПЗ!V193</f>
        <v>0</v>
      </c>
      <c r="AQ193" s="470">
        <f>IF(Таблица5[[#This Row],[11]]=0,,MONTH(Таблица5[[#This Row],[11]]))</f>
        <v>2</v>
      </c>
    </row>
    <row r="194" spans="1:43" ht="39" thickBot="1" x14ac:dyDescent="0.3">
      <c r="A194" s="233" t="str">
        <f t="shared" si="3"/>
        <v>1004-2017-00179</v>
      </c>
      <c r="B194" s="233" t="str">
        <f>РПЗ!$D194</f>
        <v>1004-2017-00179 Поставка микросхемы импортные</v>
      </c>
      <c r="C194" s="233" t="str">
        <f>РПЗ!$AA194</f>
        <v>АО "НИИ "Полюс" им. М.Ф. Стельмаха" тел. отдела закупок 8-495-333-05-02</v>
      </c>
      <c r="D194" s="633" t="str">
        <f>РПЗ!$AB194</f>
        <v>Заказчик</v>
      </c>
      <c r="E194" s="96" t="s">
        <v>46</v>
      </c>
      <c r="F194" s="233" t="str">
        <f>РПЗ!Q194</f>
        <v>ОК</v>
      </c>
      <c r="G194" s="237"/>
      <c r="H194" s="237" t="str">
        <f>РПЗ!R194</f>
        <v>да</v>
      </c>
      <c r="I194" s="15">
        <f>РПЗ!W194</f>
        <v>0</v>
      </c>
      <c r="J194" s="233">
        <f>РПЗ!X194</f>
        <v>0</v>
      </c>
      <c r="K194" s="283">
        <f>РПЗ!Z194</f>
        <v>0</v>
      </c>
      <c r="L194" s="17"/>
      <c r="M194" s="18">
        <f>РПЗ!O194</f>
        <v>42767</v>
      </c>
      <c r="N194" s="238">
        <f>Таблица5[[#This Row],[10]]</f>
        <v>42767</v>
      </c>
      <c r="O194" s="17"/>
      <c r="P194" s="17"/>
      <c r="Q194" s="17"/>
      <c r="R194" s="17"/>
      <c r="S194" s="17"/>
      <c r="T194" s="686"/>
      <c r="U194" s="18">
        <f>РПЗ!P194</f>
        <v>43070</v>
      </c>
      <c r="V194" s="686"/>
      <c r="W194" s="236">
        <f>РПЗ!L194</f>
        <v>11000000</v>
      </c>
      <c r="X194" s="689"/>
      <c r="Y194" s="689"/>
      <c r="Z194" s="690"/>
      <c r="AA194" s="691"/>
      <c r="AB194" s="111"/>
      <c r="AC194" s="17"/>
      <c r="AD194" s="690"/>
      <c r="AE194" s="686"/>
      <c r="AF194" s="474"/>
      <c r="AG194" s="692"/>
      <c r="AH194" s="236" t="str">
        <f>IF(Таблица5[[#This Row],[30]]=0,"НД",Таблица5[[#This Row],[20]]-Таблица5[[#This Row],[30]])</f>
        <v>НД</v>
      </c>
      <c r="AI194" s="511" t="str">
        <f>IF(((1-Таблица5[[#This Row],[30]]/Таблица5[[#This Row],[20]])=1),"НД",(1-Таблица5[[#This Row],[30]]/Таблица5[[#This Row],[20]]))</f>
        <v>НД</v>
      </c>
      <c r="AJ194" s="111"/>
      <c r="AK194" s="111"/>
      <c r="AL194" s="512"/>
      <c r="AM194" s="513"/>
      <c r="AN194" s="465"/>
      <c r="AO194" s="468" t="str">
        <f>РПЗ!AD194</f>
        <v>Нет</v>
      </c>
      <c r="AP194" s="472">
        <f>РПЗ!V194</f>
        <v>0</v>
      </c>
      <c r="AQ194" s="470">
        <f>IF(Таблица5[[#This Row],[11]]=0,,MONTH(Таблица5[[#This Row],[11]]))</f>
        <v>2</v>
      </c>
    </row>
    <row r="195" spans="1:43" ht="39" thickBot="1" x14ac:dyDescent="0.3">
      <c r="A195" s="233" t="str">
        <f t="shared" si="3"/>
        <v>1004-2017-00180</v>
      </c>
      <c r="B195" s="233" t="str">
        <f>РПЗ!$D195</f>
        <v>1004-2017-00180 Поставка лампы импульсные</v>
      </c>
      <c r="C195" s="233" t="str">
        <f>РПЗ!$AA195</f>
        <v>АО "НИИ "Полюс" им. М.Ф. Стельмаха" тел. отдела закупок 8-495-333-05-02</v>
      </c>
      <c r="D195" s="633" t="str">
        <f>РПЗ!$AB195</f>
        <v>Заказчик</v>
      </c>
      <c r="E195" s="96" t="s">
        <v>46</v>
      </c>
      <c r="F195" s="233" t="str">
        <f>РПЗ!Q195</f>
        <v>ЕП</v>
      </c>
      <c r="G195" s="237"/>
      <c r="H195" s="237" t="str">
        <f>РПЗ!R195</f>
        <v>Нет</v>
      </c>
      <c r="I195" s="15" t="str">
        <f>РПЗ!W195</f>
        <v>6.6.2(10)</v>
      </c>
      <c r="J195" s="233">
        <f>РПЗ!X195</f>
        <v>7728816598</v>
      </c>
      <c r="K195" s="283">
        <f>РПЗ!Z195</f>
        <v>2900000</v>
      </c>
      <c r="L195" s="17"/>
      <c r="M195" s="18">
        <f>РПЗ!O195</f>
        <v>42767</v>
      </c>
      <c r="N195" s="238">
        <f>Таблица5[[#This Row],[10]]</f>
        <v>42767</v>
      </c>
      <c r="O195" s="17"/>
      <c r="P195" s="17"/>
      <c r="Q195" s="17"/>
      <c r="R195" s="17"/>
      <c r="S195" s="17"/>
      <c r="T195" s="686"/>
      <c r="U195" s="18">
        <f>РПЗ!P195</f>
        <v>43070</v>
      </c>
      <c r="V195" s="686"/>
      <c r="W195" s="236">
        <f>РПЗ!L195</f>
        <v>2900000</v>
      </c>
      <c r="X195" s="689"/>
      <c r="Y195" s="689"/>
      <c r="Z195" s="690"/>
      <c r="AA195" s="691"/>
      <c r="AB195" s="111"/>
      <c r="AC195" s="17"/>
      <c r="AD195" s="690"/>
      <c r="AE195" s="686"/>
      <c r="AF195" s="474"/>
      <c r="AG195" s="692"/>
      <c r="AH195" s="236" t="str">
        <f>IF(Таблица5[[#This Row],[30]]=0,"НД",Таблица5[[#This Row],[20]]-Таблица5[[#This Row],[30]])</f>
        <v>НД</v>
      </c>
      <c r="AI195" s="511" t="str">
        <f>IF(((1-Таблица5[[#This Row],[30]]/Таблица5[[#This Row],[20]])=1),"НД",(1-Таблица5[[#This Row],[30]]/Таблица5[[#This Row],[20]]))</f>
        <v>НД</v>
      </c>
      <c r="AJ195" s="111"/>
      <c r="AK195" s="111"/>
      <c r="AL195" s="512"/>
      <c r="AM195" s="513"/>
      <c r="AN195" s="465"/>
      <c r="AO195" s="468" t="str">
        <f>РПЗ!AD195</f>
        <v>Нет</v>
      </c>
      <c r="AP195" s="472">
        <f>РПЗ!V195</f>
        <v>0</v>
      </c>
      <c r="AQ195" s="470">
        <f>IF(Таблица5[[#This Row],[11]]=0,,MONTH(Таблица5[[#This Row],[11]]))</f>
        <v>2</v>
      </c>
    </row>
    <row r="196" spans="1:43" ht="39" thickBot="1" x14ac:dyDescent="0.3">
      <c r="A196" s="233" t="str">
        <f t="shared" si="3"/>
        <v>1004-2017-00181</v>
      </c>
      <c r="B196" s="233" t="str">
        <f>РПЗ!$D196</f>
        <v xml:space="preserve">1004-2017-00181Поставка индикаторы </v>
      </c>
      <c r="C196" s="233" t="str">
        <f>РПЗ!$AA196</f>
        <v>АО "НИИ "Полюс" им. М.Ф. Стельмаха" тел. отдела закупок 8-495-333-05-02</v>
      </c>
      <c r="D196" s="633" t="str">
        <f>РПЗ!$AB196</f>
        <v>Заказчик</v>
      </c>
      <c r="E196" s="96" t="s">
        <v>46</v>
      </c>
      <c r="F196" s="233" t="str">
        <f>РПЗ!Q196</f>
        <v>ЕП</v>
      </c>
      <c r="G196" s="237"/>
      <c r="H196" s="237" t="str">
        <f>РПЗ!R196</f>
        <v>Нет</v>
      </c>
      <c r="I196" s="15" t="str">
        <f>РПЗ!W196</f>
        <v>6.6.2(10)</v>
      </c>
      <c r="J196" s="233">
        <f>РПЗ!X196</f>
        <v>5753018359</v>
      </c>
      <c r="K196" s="283">
        <f>РПЗ!Z196</f>
        <v>240000</v>
      </c>
      <c r="L196" s="17"/>
      <c r="M196" s="18">
        <f>РПЗ!O196</f>
        <v>42767</v>
      </c>
      <c r="N196" s="238">
        <f>Таблица5[[#This Row],[10]]</f>
        <v>42767</v>
      </c>
      <c r="O196" s="17"/>
      <c r="P196" s="17"/>
      <c r="Q196" s="17"/>
      <c r="R196" s="17"/>
      <c r="S196" s="17"/>
      <c r="T196" s="686"/>
      <c r="U196" s="18">
        <f>РПЗ!P196</f>
        <v>43070</v>
      </c>
      <c r="V196" s="686"/>
      <c r="W196" s="236">
        <f>РПЗ!L196</f>
        <v>240000</v>
      </c>
      <c r="X196" s="689"/>
      <c r="Y196" s="689"/>
      <c r="Z196" s="690"/>
      <c r="AA196" s="691"/>
      <c r="AB196" s="111"/>
      <c r="AC196" s="17"/>
      <c r="AD196" s="690"/>
      <c r="AE196" s="686"/>
      <c r="AF196" s="474"/>
      <c r="AG196" s="692"/>
      <c r="AH196" s="236" t="str">
        <f>IF(Таблица5[[#This Row],[30]]=0,"НД",Таблица5[[#This Row],[20]]-Таблица5[[#This Row],[30]])</f>
        <v>НД</v>
      </c>
      <c r="AI196" s="511" t="str">
        <f>IF(((1-Таблица5[[#This Row],[30]]/Таблица5[[#This Row],[20]])=1),"НД",(1-Таблица5[[#This Row],[30]]/Таблица5[[#This Row],[20]]))</f>
        <v>НД</v>
      </c>
      <c r="AJ196" s="111"/>
      <c r="AK196" s="111"/>
      <c r="AL196" s="512"/>
      <c r="AM196" s="513"/>
      <c r="AN196" s="465"/>
      <c r="AO196" s="468" t="str">
        <f>РПЗ!AD196</f>
        <v>Нет</v>
      </c>
      <c r="AP196" s="472">
        <f>РПЗ!V196</f>
        <v>0</v>
      </c>
      <c r="AQ196" s="470">
        <f>IF(Таблица5[[#This Row],[11]]=0,,MONTH(Таблица5[[#This Row],[11]]))</f>
        <v>2</v>
      </c>
    </row>
    <row r="197" spans="1:43" ht="39" thickBot="1" x14ac:dyDescent="0.3">
      <c r="A197" s="233" t="str">
        <f t="shared" si="3"/>
        <v>1004-2017-00182</v>
      </c>
      <c r="B197" s="233" t="str">
        <f>РПЗ!$D197</f>
        <v>1004-2017-00182 Поставка конденсаторы</v>
      </c>
      <c r="C197" s="233" t="str">
        <f>РПЗ!$AA197</f>
        <v>АО "НИИ "Полюс" им. М.Ф. Стельмаха" тел. отдела закупок 8-495-333-05-02</v>
      </c>
      <c r="D197" s="633" t="str">
        <f>РПЗ!$AB197</f>
        <v>Заказчик</v>
      </c>
      <c r="E197" s="96" t="s">
        <v>46</v>
      </c>
      <c r="F197" s="233" t="str">
        <f>РПЗ!Q197</f>
        <v>ЕП</v>
      </c>
      <c r="G197" s="237"/>
      <c r="H197" s="237" t="str">
        <f>РПЗ!R197</f>
        <v>Нет</v>
      </c>
      <c r="I197" s="15" t="str">
        <f>РПЗ!W197</f>
        <v>6.6.2(10)</v>
      </c>
      <c r="J197" s="233">
        <f>РПЗ!X197</f>
        <v>1827003592</v>
      </c>
      <c r="K197" s="283">
        <f>РПЗ!Z197</f>
        <v>2200000</v>
      </c>
      <c r="L197" s="17"/>
      <c r="M197" s="18">
        <f>РПЗ!O197</f>
        <v>42767</v>
      </c>
      <c r="N197" s="238">
        <f>Таблица5[[#This Row],[10]]</f>
        <v>42767</v>
      </c>
      <c r="O197" s="17"/>
      <c r="P197" s="17"/>
      <c r="Q197" s="17"/>
      <c r="R197" s="17"/>
      <c r="S197" s="17"/>
      <c r="T197" s="686"/>
      <c r="U197" s="18">
        <f>РПЗ!P197</f>
        <v>43070</v>
      </c>
      <c r="V197" s="686"/>
      <c r="W197" s="236">
        <f>РПЗ!L197</f>
        <v>2200000</v>
      </c>
      <c r="X197" s="689"/>
      <c r="Y197" s="689"/>
      <c r="Z197" s="690"/>
      <c r="AA197" s="691"/>
      <c r="AB197" s="111"/>
      <c r="AC197" s="17"/>
      <c r="AD197" s="690"/>
      <c r="AE197" s="686"/>
      <c r="AF197" s="474"/>
      <c r="AG197" s="692"/>
      <c r="AH197" s="236" t="str">
        <f>IF(Таблица5[[#This Row],[30]]=0,"НД",Таблица5[[#This Row],[20]]-Таблица5[[#This Row],[30]])</f>
        <v>НД</v>
      </c>
      <c r="AI197" s="511" t="str">
        <f>IF(((1-Таблица5[[#This Row],[30]]/Таблица5[[#This Row],[20]])=1),"НД",(1-Таблица5[[#This Row],[30]]/Таблица5[[#This Row],[20]]))</f>
        <v>НД</v>
      </c>
      <c r="AJ197" s="111"/>
      <c r="AK197" s="111"/>
      <c r="AL197" s="512"/>
      <c r="AM197" s="513"/>
      <c r="AN197" s="465"/>
      <c r="AO197" s="468" t="str">
        <f>РПЗ!AD197</f>
        <v>Нет</v>
      </c>
      <c r="AP197" s="472">
        <f>РПЗ!V197</f>
        <v>0</v>
      </c>
      <c r="AQ197" s="470">
        <f>IF(Таблица5[[#This Row],[11]]=0,,MONTH(Таблица5[[#This Row],[11]]))</f>
        <v>2</v>
      </c>
    </row>
    <row r="198" spans="1:43" ht="39" thickBot="1" x14ac:dyDescent="0.3">
      <c r="A198" s="233" t="str">
        <f t="shared" si="3"/>
        <v>1004-2017-00183</v>
      </c>
      <c r="B198" s="233" t="str">
        <f>РПЗ!$D198</f>
        <v>1004-2017-00183 Поставка Электродвигатели</v>
      </c>
      <c r="C198" s="233" t="str">
        <f>РПЗ!$AA198</f>
        <v>АО "НИИ "Полюс" им. М.Ф. Стельмаха" тел. отдела закупок 8-495-333-05-02</v>
      </c>
      <c r="D198" s="633" t="str">
        <f>РПЗ!$AB198</f>
        <v>Заказчик</v>
      </c>
      <c r="E198" s="96" t="s">
        <v>46</v>
      </c>
      <c r="F198" s="233" t="str">
        <f>РПЗ!Q198</f>
        <v>ЕП</v>
      </c>
      <c r="G198" s="237"/>
      <c r="H198" s="237" t="str">
        <f>РПЗ!R198</f>
        <v>Нет</v>
      </c>
      <c r="I198" s="15" t="str">
        <f>РПЗ!W198</f>
        <v>6.6.2(10)</v>
      </c>
      <c r="J198" s="233">
        <f>РПЗ!X198</f>
        <v>3664122185</v>
      </c>
      <c r="K198" s="283">
        <f>РПЗ!Z198</f>
        <v>2950000</v>
      </c>
      <c r="L198" s="17"/>
      <c r="M198" s="18">
        <f>РПЗ!O198</f>
        <v>42767</v>
      </c>
      <c r="N198" s="238">
        <f>Таблица5[[#This Row],[10]]</f>
        <v>42767</v>
      </c>
      <c r="O198" s="17"/>
      <c r="P198" s="17"/>
      <c r="Q198" s="17"/>
      <c r="R198" s="17"/>
      <c r="S198" s="17"/>
      <c r="T198" s="686"/>
      <c r="U198" s="18">
        <f>РПЗ!P198</f>
        <v>43070</v>
      </c>
      <c r="V198" s="686"/>
      <c r="W198" s="236">
        <f>РПЗ!L198</f>
        <v>2950000</v>
      </c>
      <c r="X198" s="689"/>
      <c r="Y198" s="689"/>
      <c r="Z198" s="690"/>
      <c r="AA198" s="691"/>
      <c r="AB198" s="111"/>
      <c r="AC198" s="17"/>
      <c r="AD198" s="690"/>
      <c r="AE198" s="686"/>
      <c r="AF198" s="474"/>
      <c r="AG198" s="692"/>
      <c r="AH198" s="236" t="str">
        <f>IF(Таблица5[[#This Row],[30]]=0,"НД",Таблица5[[#This Row],[20]]-Таблица5[[#This Row],[30]])</f>
        <v>НД</v>
      </c>
      <c r="AI198" s="511" t="str">
        <f>IF(((1-Таблица5[[#This Row],[30]]/Таблица5[[#This Row],[20]])=1),"НД",(1-Таблица5[[#This Row],[30]]/Таблица5[[#This Row],[20]]))</f>
        <v>НД</v>
      </c>
      <c r="AJ198" s="111"/>
      <c r="AK198" s="111"/>
      <c r="AL198" s="512"/>
      <c r="AM198" s="513"/>
      <c r="AN198" s="465"/>
      <c r="AO198" s="468" t="str">
        <f>РПЗ!AD198</f>
        <v>Нет</v>
      </c>
      <c r="AP198" s="472">
        <f>РПЗ!V198</f>
        <v>0</v>
      </c>
      <c r="AQ198" s="470">
        <f>IF(Таблица5[[#This Row],[11]]=0,,MONTH(Таблица5[[#This Row],[11]]))</f>
        <v>2</v>
      </c>
    </row>
    <row r="199" spans="1:43" ht="39" thickBot="1" x14ac:dyDescent="0.3">
      <c r="A199" s="233" t="str">
        <f t="shared" si="3"/>
        <v>1004-2017-00184</v>
      </c>
      <c r="B199" s="233" t="str">
        <f>РПЗ!$D199</f>
        <v>1004-2017-00184 Поставка Крепёжные изделия</v>
      </c>
      <c r="C199" s="233" t="str">
        <f>РПЗ!$AA199</f>
        <v>АО "НИИ "Полюс" им. М.Ф. Стельмаха" тел. отдела закупок 8-495-333-05-02</v>
      </c>
      <c r="D199" s="633" t="str">
        <f>РПЗ!$AB199</f>
        <v>Заказчик</v>
      </c>
      <c r="E199" s="96" t="s">
        <v>46</v>
      </c>
      <c r="F199" s="233" t="str">
        <f>РПЗ!Q199</f>
        <v>ОЗК</v>
      </c>
      <c r="G199" s="237"/>
      <c r="H199" s="237" t="str">
        <f>РПЗ!R199</f>
        <v>да</v>
      </c>
      <c r="I199" s="15">
        <f>РПЗ!W199</f>
        <v>0</v>
      </c>
      <c r="J199" s="233">
        <f>РПЗ!X199</f>
        <v>0</v>
      </c>
      <c r="K199" s="283">
        <f>РПЗ!Z199</f>
        <v>0</v>
      </c>
      <c r="L199" s="17"/>
      <c r="M199" s="18">
        <f>РПЗ!O199</f>
        <v>42767</v>
      </c>
      <c r="N199" s="238">
        <f>Таблица5[[#This Row],[10]]</f>
        <v>42767</v>
      </c>
      <c r="O199" s="17"/>
      <c r="P199" s="17"/>
      <c r="Q199" s="17"/>
      <c r="R199" s="17"/>
      <c r="S199" s="17"/>
      <c r="T199" s="686"/>
      <c r="U199" s="18">
        <f>РПЗ!P199</f>
        <v>43070</v>
      </c>
      <c r="V199" s="686"/>
      <c r="W199" s="236">
        <f>РПЗ!L199</f>
        <v>3000000</v>
      </c>
      <c r="X199" s="689"/>
      <c r="Y199" s="689"/>
      <c r="Z199" s="690"/>
      <c r="AA199" s="691"/>
      <c r="AB199" s="111"/>
      <c r="AC199" s="17"/>
      <c r="AD199" s="690"/>
      <c r="AE199" s="686"/>
      <c r="AF199" s="474"/>
      <c r="AG199" s="692"/>
      <c r="AH199" s="236" t="str">
        <f>IF(Таблица5[[#This Row],[30]]=0,"НД",Таблица5[[#This Row],[20]]-Таблица5[[#This Row],[30]])</f>
        <v>НД</v>
      </c>
      <c r="AI199" s="511" t="str">
        <f>IF(((1-Таблица5[[#This Row],[30]]/Таблица5[[#This Row],[20]])=1),"НД",(1-Таблица5[[#This Row],[30]]/Таблица5[[#This Row],[20]]))</f>
        <v>НД</v>
      </c>
      <c r="AJ199" s="111"/>
      <c r="AK199" s="111"/>
      <c r="AL199" s="512"/>
      <c r="AM199" s="513"/>
      <c r="AN199" s="465"/>
      <c r="AO199" s="468" t="str">
        <f>РПЗ!AD199</f>
        <v>Нет</v>
      </c>
      <c r="AP199" s="472">
        <f>РПЗ!V199</f>
        <v>0</v>
      </c>
      <c r="AQ199" s="470">
        <f>IF(Таблица5[[#This Row],[11]]=0,,MONTH(Таблица5[[#This Row],[11]]))</f>
        <v>2</v>
      </c>
    </row>
    <row r="200" spans="1:43" ht="39" thickBot="1" x14ac:dyDescent="0.3">
      <c r="A200" s="233" t="str">
        <f t="shared" si="3"/>
        <v>1004-2017-00185</v>
      </c>
      <c r="B200" s="233" t="str">
        <f>РПЗ!$D200</f>
        <v>1004-2017-00185 Поставка Кварцевые резонаторы и генераторы</v>
      </c>
      <c r="C200" s="233" t="str">
        <f>РПЗ!$AA200</f>
        <v>АО "НИИ "Полюс" им. М.Ф. Стельмаха" тел. отдела закупок 8-495-333-05-02</v>
      </c>
      <c r="D200" s="633" t="str">
        <f>РПЗ!$AB200</f>
        <v>Заказчик</v>
      </c>
      <c r="E200" s="96" t="s">
        <v>46</v>
      </c>
      <c r="F200" s="233" t="str">
        <f>РПЗ!Q200</f>
        <v>ЕП</v>
      </c>
      <c r="G200" s="237"/>
      <c r="H200" s="237" t="str">
        <f>РПЗ!R200</f>
        <v>Нет</v>
      </c>
      <c r="I200" s="15" t="str">
        <f>РПЗ!W200</f>
        <v>6.6.2(10)</v>
      </c>
      <c r="J200" s="233">
        <f>РПЗ!X200</f>
        <v>3435000717</v>
      </c>
      <c r="K200" s="283">
        <f>РПЗ!Z200</f>
        <v>350000</v>
      </c>
      <c r="L200" s="17"/>
      <c r="M200" s="18">
        <f>РПЗ!O200</f>
        <v>42767</v>
      </c>
      <c r="N200" s="238">
        <f>Таблица5[[#This Row],[10]]</f>
        <v>42767</v>
      </c>
      <c r="O200" s="17"/>
      <c r="P200" s="17"/>
      <c r="Q200" s="17"/>
      <c r="R200" s="17"/>
      <c r="S200" s="17"/>
      <c r="T200" s="686"/>
      <c r="U200" s="18">
        <f>РПЗ!P200</f>
        <v>43070</v>
      </c>
      <c r="V200" s="686"/>
      <c r="W200" s="236">
        <f>РПЗ!L200</f>
        <v>350000</v>
      </c>
      <c r="X200" s="689"/>
      <c r="Y200" s="689"/>
      <c r="Z200" s="690"/>
      <c r="AA200" s="691"/>
      <c r="AB200" s="111"/>
      <c r="AC200" s="17"/>
      <c r="AD200" s="690"/>
      <c r="AE200" s="686"/>
      <c r="AF200" s="474"/>
      <c r="AG200" s="692"/>
      <c r="AH200" s="236" t="str">
        <f>IF(Таблица5[[#This Row],[30]]=0,"НД",Таблица5[[#This Row],[20]]-Таблица5[[#This Row],[30]])</f>
        <v>НД</v>
      </c>
      <c r="AI200" s="511" t="str">
        <f>IF(((1-Таблица5[[#This Row],[30]]/Таблица5[[#This Row],[20]])=1),"НД",(1-Таблица5[[#This Row],[30]]/Таблица5[[#This Row],[20]]))</f>
        <v>НД</v>
      </c>
      <c r="AJ200" s="111"/>
      <c r="AK200" s="111"/>
      <c r="AL200" s="512"/>
      <c r="AM200" s="513"/>
      <c r="AN200" s="465"/>
      <c r="AO200" s="468" t="str">
        <f>РПЗ!AD200</f>
        <v>Нет</v>
      </c>
      <c r="AP200" s="472">
        <f>РПЗ!V200</f>
        <v>0</v>
      </c>
      <c r="AQ200" s="470">
        <f>IF(Таблица5[[#This Row],[11]]=0,,MONTH(Таблица5[[#This Row],[11]]))</f>
        <v>2</v>
      </c>
    </row>
    <row r="201" spans="1:43" ht="39" thickBot="1" x14ac:dyDescent="0.3">
      <c r="A201" s="233" t="str">
        <f t="shared" si="3"/>
        <v>1004-2017-00186</v>
      </c>
      <c r="B201" s="233" t="str">
        <f>РПЗ!$D201</f>
        <v>1004-2017-00186Поставка Электровентилятор</v>
      </c>
      <c r="C201" s="233" t="str">
        <f>РПЗ!$AA201</f>
        <v>АО "НИИ "Полюс" им. М.Ф. Стельмаха" тел. отдела закупок 8-495-333-05-02</v>
      </c>
      <c r="D201" s="633" t="str">
        <f>РПЗ!$AB201</f>
        <v>Заказчик</v>
      </c>
      <c r="E201" s="96" t="s">
        <v>46</v>
      </c>
      <c r="F201" s="233" t="str">
        <f>РПЗ!Q201</f>
        <v>ЕП</v>
      </c>
      <c r="G201" s="237"/>
      <c r="H201" s="237" t="str">
        <f>РПЗ!R201</f>
        <v>Нет</v>
      </c>
      <c r="I201" s="15" t="str">
        <f>РПЗ!W201</f>
        <v>6.6.2(10)</v>
      </c>
      <c r="J201" s="233">
        <f>РПЗ!X201</f>
        <v>7810528095</v>
      </c>
      <c r="K201" s="283">
        <f>РПЗ!Z201</f>
        <v>325000</v>
      </c>
      <c r="L201" s="17"/>
      <c r="M201" s="18">
        <f>РПЗ!O201</f>
        <v>42767</v>
      </c>
      <c r="N201" s="238">
        <f>Таблица5[[#This Row],[10]]</f>
        <v>42767</v>
      </c>
      <c r="O201" s="17"/>
      <c r="P201" s="17"/>
      <c r="Q201" s="17"/>
      <c r="R201" s="17"/>
      <c r="S201" s="17"/>
      <c r="T201" s="686"/>
      <c r="U201" s="18">
        <f>РПЗ!P201</f>
        <v>43070</v>
      </c>
      <c r="V201" s="686"/>
      <c r="W201" s="236">
        <f>РПЗ!L201</f>
        <v>325000</v>
      </c>
      <c r="X201" s="689"/>
      <c r="Y201" s="689"/>
      <c r="Z201" s="690"/>
      <c r="AA201" s="691"/>
      <c r="AB201" s="111"/>
      <c r="AC201" s="17"/>
      <c r="AD201" s="690"/>
      <c r="AE201" s="686"/>
      <c r="AF201" s="474"/>
      <c r="AG201" s="692"/>
      <c r="AH201" s="236" t="str">
        <f>IF(Таблица5[[#This Row],[30]]=0,"НД",Таблица5[[#This Row],[20]]-Таблица5[[#This Row],[30]])</f>
        <v>НД</v>
      </c>
      <c r="AI201" s="511" t="str">
        <f>IF(((1-Таблица5[[#This Row],[30]]/Таблица5[[#This Row],[20]])=1),"НД",(1-Таблица5[[#This Row],[30]]/Таблица5[[#This Row],[20]]))</f>
        <v>НД</v>
      </c>
      <c r="AJ201" s="111"/>
      <c r="AK201" s="111"/>
      <c r="AL201" s="512"/>
      <c r="AM201" s="513"/>
      <c r="AN201" s="465"/>
      <c r="AO201" s="468" t="str">
        <f>РПЗ!AD201</f>
        <v>Нет</v>
      </c>
      <c r="AP201" s="472">
        <f>РПЗ!V201</f>
        <v>0</v>
      </c>
      <c r="AQ201" s="470">
        <f>IF(Таблица5[[#This Row],[11]]=0,,MONTH(Таблица5[[#This Row],[11]]))</f>
        <v>2</v>
      </c>
    </row>
    <row r="202" spans="1:43" ht="39" thickBot="1" x14ac:dyDescent="0.3">
      <c r="A202" s="233" t="str">
        <f t="shared" si="3"/>
        <v>1004-2017-00187</v>
      </c>
      <c r="B202" s="233" t="str">
        <f>РПЗ!$D202</f>
        <v>1004-2017-00187 Поставка Корпуса для РЭА</v>
      </c>
      <c r="C202" s="233" t="str">
        <f>РПЗ!$AA202</f>
        <v>АО "НИИ "Полюс" им. М.Ф. Стельмаха" тел. отдела закупок 8-495-333-05-02</v>
      </c>
      <c r="D202" s="633" t="str">
        <f>РПЗ!$AB202</f>
        <v>Заказчик</v>
      </c>
      <c r="E202" s="96" t="s">
        <v>46</v>
      </c>
      <c r="F202" s="233" t="str">
        <f>РПЗ!Q202</f>
        <v>ОЗК</v>
      </c>
      <c r="G202" s="237"/>
      <c r="H202" s="237" t="str">
        <f>РПЗ!R202</f>
        <v>да</v>
      </c>
      <c r="I202" s="15">
        <f>РПЗ!W202</f>
        <v>0</v>
      </c>
      <c r="J202" s="233">
        <f>РПЗ!X202</f>
        <v>0</v>
      </c>
      <c r="K202" s="283">
        <f>РПЗ!Z202</f>
        <v>0</v>
      </c>
      <c r="L202" s="17"/>
      <c r="M202" s="18">
        <f>РПЗ!O202</f>
        <v>42767</v>
      </c>
      <c r="N202" s="238">
        <f>Таблица5[[#This Row],[10]]</f>
        <v>42767</v>
      </c>
      <c r="O202" s="17"/>
      <c r="P202" s="17"/>
      <c r="Q202" s="17"/>
      <c r="R202" s="17"/>
      <c r="S202" s="17"/>
      <c r="T202" s="686"/>
      <c r="U202" s="18">
        <f>РПЗ!P202</f>
        <v>43070</v>
      </c>
      <c r="V202" s="686"/>
      <c r="W202" s="236">
        <f>РПЗ!L202</f>
        <v>300000</v>
      </c>
      <c r="X202" s="689"/>
      <c r="Y202" s="689"/>
      <c r="Z202" s="690"/>
      <c r="AA202" s="691"/>
      <c r="AB202" s="111"/>
      <c r="AC202" s="17"/>
      <c r="AD202" s="690"/>
      <c r="AE202" s="686"/>
      <c r="AF202" s="474"/>
      <c r="AG202" s="692"/>
      <c r="AH202" s="236" t="str">
        <f>IF(Таблица5[[#This Row],[30]]=0,"НД",Таблица5[[#This Row],[20]]-Таблица5[[#This Row],[30]])</f>
        <v>НД</v>
      </c>
      <c r="AI202" s="511" t="str">
        <f>IF(((1-Таблица5[[#This Row],[30]]/Таблица5[[#This Row],[20]])=1),"НД",(1-Таблица5[[#This Row],[30]]/Таблица5[[#This Row],[20]]))</f>
        <v>НД</v>
      </c>
      <c r="AJ202" s="111"/>
      <c r="AK202" s="111"/>
      <c r="AL202" s="512"/>
      <c r="AM202" s="513"/>
      <c r="AN202" s="465"/>
      <c r="AO202" s="468" t="str">
        <f>РПЗ!AD202</f>
        <v>Нет</v>
      </c>
      <c r="AP202" s="472">
        <f>РПЗ!V202</f>
        <v>0</v>
      </c>
      <c r="AQ202" s="470">
        <f>IF(Таблица5[[#This Row],[11]]=0,,MONTH(Таблица5[[#This Row],[11]]))</f>
        <v>2</v>
      </c>
    </row>
    <row r="203" spans="1:43" ht="38.25" x14ac:dyDescent="0.25">
      <c r="A203" s="233" t="str">
        <f t="shared" si="3"/>
        <v>1004-2017-00188</v>
      </c>
      <c r="B203" s="233" t="str">
        <f>РПЗ!$D203</f>
        <v>1004-2017-00188 Поставка резисторы</v>
      </c>
      <c r="C203" s="233" t="str">
        <f>РПЗ!$AA203</f>
        <v>АО "НИИ "Полюс" им. М.Ф. Стельмаха" тел. отдела закупок 8-495-333-05-02</v>
      </c>
      <c r="D203" s="633" t="str">
        <f>РПЗ!$AB203</f>
        <v>Заказчик</v>
      </c>
      <c r="E203" s="96" t="s">
        <v>46</v>
      </c>
      <c r="F203" s="233" t="str">
        <f>РПЗ!Q203</f>
        <v>ЕП</v>
      </c>
      <c r="G203" s="237"/>
      <c r="H203" s="237" t="str">
        <f>РПЗ!R203</f>
        <v>Нет</v>
      </c>
      <c r="I203" s="15" t="str">
        <f>РПЗ!W203</f>
        <v>6.6.2(10)</v>
      </c>
      <c r="J203" s="233">
        <f>РПЗ!X203</f>
        <v>5262073044</v>
      </c>
      <c r="K203" s="283">
        <f>РПЗ!Z203</f>
        <v>650000</v>
      </c>
      <c r="L203" s="17"/>
      <c r="M203" s="18">
        <f>РПЗ!O203</f>
        <v>42767</v>
      </c>
      <c r="N203" s="238">
        <f>Таблица5[[#This Row],[10]]</f>
        <v>42767</v>
      </c>
      <c r="O203" s="17"/>
      <c r="P203" s="17"/>
      <c r="Q203" s="17"/>
      <c r="R203" s="17"/>
      <c r="S203" s="17"/>
      <c r="T203" s="686"/>
      <c r="U203" s="18">
        <f>РПЗ!P203</f>
        <v>43070</v>
      </c>
      <c r="V203" s="686"/>
      <c r="W203" s="236">
        <f>РПЗ!L203</f>
        <v>650000</v>
      </c>
      <c r="X203" s="689"/>
      <c r="Y203" s="689"/>
      <c r="Z203" s="690"/>
      <c r="AA203" s="691"/>
      <c r="AB203" s="111"/>
      <c r="AC203" s="17"/>
      <c r="AD203" s="690"/>
      <c r="AE203" s="686"/>
      <c r="AF203" s="474"/>
      <c r="AG203" s="692"/>
      <c r="AH203" s="236" t="str">
        <f>IF(Таблица5[[#This Row],[30]]=0,"НД",Таблица5[[#This Row],[20]]-Таблица5[[#This Row],[30]])</f>
        <v>НД</v>
      </c>
      <c r="AI203" s="511" t="str">
        <f>IF(((1-Таблица5[[#This Row],[30]]/Таблица5[[#This Row],[20]])=1),"НД",(1-Таблица5[[#This Row],[30]]/Таблица5[[#This Row],[20]]))</f>
        <v>НД</v>
      </c>
      <c r="AJ203" s="111"/>
      <c r="AK203" s="111"/>
      <c r="AL203" s="512"/>
      <c r="AM203" s="513"/>
      <c r="AN203" s="465"/>
      <c r="AO203" s="468" t="str">
        <f>РПЗ!AD203</f>
        <v>Нет</v>
      </c>
      <c r="AP203" s="472">
        <f>РПЗ!V203</f>
        <v>0</v>
      </c>
      <c r="AQ203" s="470">
        <f>IF(Таблица5[[#This Row],[11]]=0,,MONTH(Таблица5[[#This Row],[11]]))</f>
        <v>2</v>
      </c>
    </row>
    <row r="204" spans="1:43" s="676" customFormat="1" ht="38.25" x14ac:dyDescent="0.25">
      <c r="A204" s="237" t="str">
        <f t="shared" si="3"/>
        <v>1004-2017-00189</v>
      </c>
      <c r="B204" s="237" t="str">
        <f>РПЗ!$D204</f>
        <v>1004-2017-00189Поставка азот</v>
      </c>
      <c r="C204" s="237" t="str">
        <f>РПЗ!$AA204</f>
        <v>АО "НИИ "Полюс" им. М.Ф. Стельмаха" тел. отдела закупок 8-495-333-05-02</v>
      </c>
      <c r="D204" s="672" t="str">
        <f>РПЗ!$AB204</f>
        <v>Заказчик</v>
      </c>
      <c r="E204" s="510" t="s">
        <v>62</v>
      </c>
      <c r="F204" s="237" t="str">
        <f>РПЗ!Q204</f>
        <v>ОЗК</v>
      </c>
      <c r="G204" s="237" t="str">
        <f>Таблица5[[#This Row],[6]]</f>
        <v>ОЗК</v>
      </c>
      <c r="H204" s="237" t="str">
        <f>РПЗ!R204</f>
        <v>да</v>
      </c>
      <c r="I204" s="16">
        <f>РПЗ!W204</f>
        <v>0</v>
      </c>
      <c r="J204" s="237">
        <f>РПЗ!X204</f>
        <v>0</v>
      </c>
      <c r="K204" s="673">
        <f>РПЗ!Z204</f>
        <v>0</v>
      </c>
      <c r="L204" s="17"/>
      <c r="M204" s="238">
        <f>РПЗ!O204</f>
        <v>42767</v>
      </c>
      <c r="N204" s="238">
        <f>Таблица5[[#This Row],[10]]</f>
        <v>42767</v>
      </c>
      <c r="O204" s="817" t="s">
        <v>2347</v>
      </c>
      <c r="P204" s="817" t="s">
        <v>2340</v>
      </c>
      <c r="Q204" s="817" t="s">
        <v>2340</v>
      </c>
      <c r="R204" s="817" t="s">
        <v>2340</v>
      </c>
      <c r="S204" s="817" t="s">
        <v>2340</v>
      </c>
      <c r="T204" s="818" t="s">
        <v>3080</v>
      </c>
      <c r="U204" s="238">
        <f>РПЗ!P204</f>
        <v>43070</v>
      </c>
      <c r="V204" s="760">
        <v>43132</v>
      </c>
      <c r="W204" s="111">
        <f>РПЗ!L204</f>
        <v>1954935</v>
      </c>
      <c r="X204" s="689">
        <v>3</v>
      </c>
      <c r="Y204" s="689">
        <v>0</v>
      </c>
      <c r="Z204" s="765">
        <v>5001000041</v>
      </c>
      <c r="AA204" s="810" t="s">
        <v>3257</v>
      </c>
      <c r="AB204" s="111">
        <v>1049185.2</v>
      </c>
      <c r="AC204" s="17">
        <v>43132</v>
      </c>
      <c r="AD204" s="810" t="s">
        <v>3258</v>
      </c>
      <c r="AE204" s="694" t="s">
        <v>3080</v>
      </c>
      <c r="AF204" s="474"/>
      <c r="AG204" s="827">
        <v>1049185.2</v>
      </c>
      <c r="AH204" s="111">
        <f>IF(Таблица5[[#This Row],[30]]=0,"НД",Таблица5[[#This Row],[20]]-Таблица5[[#This Row],[30]])</f>
        <v>905749.8</v>
      </c>
      <c r="AI204" s="674">
        <f>IF(((1-Таблица5[[#This Row],[30]]/Таблица5[[#This Row],[20]])=1),"НД",(1-Таблица5[[#This Row],[30]]/Таблица5[[#This Row],[20]]))</f>
        <v>0.46331453475435247</v>
      </c>
      <c r="AJ204" s="111"/>
      <c r="AK204" s="111"/>
      <c r="AL204" s="512"/>
      <c r="AM204" s="788" t="s">
        <v>113</v>
      </c>
      <c r="AN204" s="801">
        <v>31704706826</v>
      </c>
      <c r="AO204" s="468" t="str">
        <f>РПЗ!AD204</f>
        <v>Нет</v>
      </c>
      <c r="AP204" s="472">
        <f>РПЗ!V204</f>
        <v>0</v>
      </c>
      <c r="AQ204" s="675">
        <f>IF(Таблица5[[#This Row],[11]]=0,,MONTH(Таблица5[[#This Row],[11]]))</f>
        <v>2</v>
      </c>
    </row>
    <row r="205" spans="1:43" ht="39" thickBot="1" x14ac:dyDescent="0.3">
      <c r="A205" s="233" t="str">
        <f t="shared" si="3"/>
        <v>1004-2017-00190</v>
      </c>
      <c r="B205" s="233" t="str">
        <f>РПЗ!$D205</f>
        <v>1004-2017-00190 Поставка Технические газы</v>
      </c>
      <c r="C205" s="233" t="str">
        <f>РПЗ!$AA205</f>
        <v>АО "НИИ "Полюс" им. М.Ф. Стельмаха" тел. отдела закупок 8-495-333-05-02</v>
      </c>
      <c r="D205" s="633" t="str">
        <f>РПЗ!$AB205</f>
        <v>Заказчик</v>
      </c>
      <c r="E205" s="510" t="s">
        <v>62</v>
      </c>
      <c r="F205" s="233" t="str">
        <f>РПЗ!Q205</f>
        <v>ОЗК</v>
      </c>
      <c r="G205" s="237" t="str">
        <f>Таблица5[[#This Row],[6]]</f>
        <v>ОЗК</v>
      </c>
      <c r="H205" s="237" t="str">
        <f>РПЗ!R205</f>
        <v>да</v>
      </c>
      <c r="I205" s="15">
        <f>РПЗ!W205</f>
        <v>0</v>
      </c>
      <c r="J205" s="233">
        <f>РПЗ!X205</f>
        <v>0</v>
      </c>
      <c r="K205" s="283">
        <f>РПЗ!Z205</f>
        <v>0</v>
      </c>
      <c r="L205" s="17">
        <v>42877</v>
      </c>
      <c r="M205" s="18">
        <f>РПЗ!O205</f>
        <v>42856</v>
      </c>
      <c r="N205" s="238">
        <f>Таблица5[[#This Row],[10]]</f>
        <v>42856</v>
      </c>
      <c r="O205" s="17">
        <v>42885</v>
      </c>
      <c r="P205" s="17">
        <v>42891</v>
      </c>
      <c r="Q205" s="17">
        <v>42891</v>
      </c>
      <c r="R205" s="17">
        <v>42887</v>
      </c>
      <c r="S205" s="17">
        <v>42887</v>
      </c>
      <c r="T205" s="686">
        <v>42899</v>
      </c>
      <c r="U205" s="18">
        <f>РПЗ!P205</f>
        <v>43070</v>
      </c>
      <c r="V205" s="686">
        <v>43070</v>
      </c>
      <c r="W205" s="236">
        <f>РПЗ!L205</f>
        <v>691516.45</v>
      </c>
      <c r="X205" s="689">
        <v>3</v>
      </c>
      <c r="Y205" s="689">
        <v>0</v>
      </c>
      <c r="Z205" s="691">
        <v>7706130928</v>
      </c>
      <c r="AA205" s="691" t="s">
        <v>5986</v>
      </c>
      <c r="AB205" s="111">
        <v>641910</v>
      </c>
      <c r="AC205" s="17">
        <v>43070</v>
      </c>
      <c r="AD205" s="690" t="s">
        <v>5987</v>
      </c>
      <c r="AE205" s="686">
        <v>42899</v>
      </c>
      <c r="AF205" s="474"/>
      <c r="AG205" s="692">
        <v>641910</v>
      </c>
      <c r="AH205" s="236">
        <f>IF(Таблица5[[#This Row],[30]]=0,"НД",Таблица5[[#This Row],[20]]-Таблица5[[#This Row],[30]])</f>
        <v>49606.449999999953</v>
      </c>
      <c r="AI205" s="511">
        <f>IF(((1-Таблица5[[#This Row],[30]]/Таблица5[[#This Row],[20]])=1),"НД",(1-Таблица5[[#This Row],[30]]/Таблица5[[#This Row],[20]]))</f>
        <v>7.173574829637086E-2</v>
      </c>
      <c r="AJ205" s="111">
        <v>641910</v>
      </c>
      <c r="AK205" s="111"/>
      <c r="AL205" s="512"/>
      <c r="AM205" s="513" t="s">
        <v>113</v>
      </c>
      <c r="AN205" s="465">
        <v>31705135143</v>
      </c>
      <c r="AO205" s="468" t="str">
        <f>РПЗ!AD205</f>
        <v>Нет</v>
      </c>
      <c r="AP205" s="472">
        <f>РПЗ!V205</f>
        <v>0</v>
      </c>
      <c r="AQ205" s="470">
        <f>IF(Таблица5[[#This Row],[11]]=0,,MONTH(Таблица5[[#This Row],[11]]))</f>
        <v>5</v>
      </c>
    </row>
    <row r="206" spans="1:43" ht="39" thickBot="1" x14ac:dyDescent="0.3">
      <c r="A206" s="233" t="str">
        <f t="shared" si="3"/>
        <v>1004-2017-00191</v>
      </c>
      <c r="B206" s="233" t="str">
        <f>РПЗ!$D206</f>
        <v>1004-2017-00191Поставка Фотоматериалы</v>
      </c>
      <c r="C206" s="233" t="str">
        <f>РПЗ!$AA206</f>
        <v>АО "НИИ "Полюс" им. М.Ф. Стельмаха" тел. отдела закупок 8-495-333-05-02</v>
      </c>
      <c r="D206" s="633" t="str">
        <f>РПЗ!$AB206</f>
        <v>Заказчик</v>
      </c>
      <c r="E206" s="96" t="s">
        <v>46</v>
      </c>
      <c r="F206" s="233" t="str">
        <f>РПЗ!Q206</f>
        <v>ОЗК</v>
      </c>
      <c r="G206" s="237"/>
      <c r="H206" s="237" t="str">
        <f>РПЗ!R206</f>
        <v>да</v>
      </c>
      <c r="I206" s="15">
        <f>РПЗ!W206</f>
        <v>0</v>
      </c>
      <c r="J206" s="233">
        <f>РПЗ!X206</f>
        <v>0</v>
      </c>
      <c r="K206" s="283">
        <f>РПЗ!Z206</f>
        <v>0</v>
      </c>
      <c r="L206" s="17"/>
      <c r="M206" s="18">
        <f>РПЗ!O206</f>
        <v>42767</v>
      </c>
      <c r="N206" s="238">
        <f>Таблица5[[#This Row],[10]]</f>
        <v>42767</v>
      </c>
      <c r="O206" s="17"/>
      <c r="P206" s="17"/>
      <c r="Q206" s="17"/>
      <c r="R206" s="17"/>
      <c r="S206" s="17"/>
      <c r="T206" s="686"/>
      <c r="U206" s="18">
        <f>РПЗ!P206</f>
        <v>43070</v>
      </c>
      <c r="V206" s="686"/>
      <c r="W206" s="236">
        <f>РПЗ!L206</f>
        <v>560000</v>
      </c>
      <c r="X206" s="689"/>
      <c r="Y206" s="689"/>
      <c r="Z206" s="690"/>
      <c r="AA206" s="691"/>
      <c r="AB206" s="111"/>
      <c r="AC206" s="17"/>
      <c r="AD206" s="690"/>
      <c r="AE206" s="686"/>
      <c r="AF206" s="474"/>
      <c r="AG206" s="692"/>
      <c r="AH206" s="236" t="str">
        <f>IF(Таблица5[[#This Row],[30]]=0,"НД",Таблица5[[#This Row],[20]]-Таблица5[[#This Row],[30]])</f>
        <v>НД</v>
      </c>
      <c r="AI206" s="511" t="str">
        <f>IF(((1-Таблица5[[#This Row],[30]]/Таблица5[[#This Row],[20]])=1),"НД",(1-Таблица5[[#This Row],[30]]/Таблица5[[#This Row],[20]]))</f>
        <v>НД</v>
      </c>
      <c r="AJ206" s="111"/>
      <c r="AK206" s="111"/>
      <c r="AL206" s="512"/>
      <c r="AM206" s="513"/>
      <c r="AN206" s="465"/>
      <c r="AO206" s="468" t="str">
        <f>РПЗ!AD206</f>
        <v>Нет</v>
      </c>
      <c r="AP206" s="472">
        <f>РПЗ!V206</f>
        <v>0</v>
      </c>
      <c r="AQ206" s="470">
        <f>IF(Таблица5[[#This Row],[11]]=0,,MONTH(Таблица5[[#This Row],[11]]))</f>
        <v>2</v>
      </c>
    </row>
    <row r="207" spans="1:43" ht="39" thickBot="1" x14ac:dyDescent="0.3">
      <c r="A207" s="233" t="str">
        <f t="shared" si="3"/>
        <v>1004-2017-00192</v>
      </c>
      <c r="B207" s="233" t="str">
        <f>РПЗ!$D207</f>
        <v xml:space="preserve">1004-2017-00192 Поставка Спирты </v>
      </c>
      <c r="C207" s="233" t="str">
        <f>РПЗ!$AA207</f>
        <v>АО "НИИ "Полюс" им. М.Ф. Стельмаха" тел. отдела закупок 8-495-333-05-02</v>
      </c>
      <c r="D207" s="633" t="str">
        <f>РПЗ!$AB207</f>
        <v>Заказчик</v>
      </c>
      <c r="E207" s="96" t="s">
        <v>46</v>
      </c>
      <c r="F207" s="233" t="str">
        <f>РПЗ!Q207</f>
        <v>ОЗК</v>
      </c>
      <c r="G207" s="237"/>
      <c r="H207" s="237" t="str">
        <f>РПЗ!R207</f>
        <v>да</v>
      </c>
      <c r="I207" s="15">
        <f>РПЗ!W207</f>
        <v>0</v>
      </c>
      <c r="J207" s="233">
        <f>РПЗ!X207</f>
        <v>0</v>
      </c>
      <c r="K207" s="283">
        <f>РПЗ!Z207</f>
        <v>0</v>
      </c>
      <c r="L207" s="17"/>
      <c r="M207" s="18">
        <f>РПЗ!O207</f>
        <v>42767</v>
      </c>
      <c r="N207" s="238">
        <f>Таблица5[[#This Row],[10]]</f>
        <v>42767</v>
      </c>
      <c r="O207" s="17"/>
      <c r="P207" s="17"/>
      <c r="Q207" s="17"/>
      <c r="R207" s="17"/>
      <c r="S207" s="17"/>
      <c r="T207" s="686"/>
      <c r="U207" s="18">
        <f>РПЗ!P207</f>
        <v>43070</v>
      </c>
      <c r="V207" s="686"/>
      <c r="W207" s="236">
        <f>РПЗ!L207</f>
        <v>308000</v>
      </c>
      <c r="X207" s="689"/>
      <c r="Y207" s="689"/>
      <c r="Z207" s="690"/>
      <c r="AA207" s="691"/>
      <c r="AB207" s="111"/>
      <c r="AC207" s="17"/>
      <c r="AD207" s="690"/>
      <c r="AE207" s="686"/>
      <c r="AF207" s="474"/>
      <c r="AG207" s="692"/>
      <c r="AH207" s="236" t="str">
        <f>IF(Таблица5[[#This Row],[30]]=0,"НД",Таблица5[[#This Row],[20]]-Таблица5[[#This Row],[30]])</f>
        <v>НД</v>
      </c>
      <c r="AI207" s="511" t="str">
        <f>IF(((1-Таблица5[[#This Row],[30]]/Таблица5[[#This Row],[20]])=1),"НД",(1-Таблица5[[#This Row],[30]]/Таблица5[[#This Row],[20]]))</f>
        <v>НД</v>
      </c>
      <c r="AJ207" s="111"/>
      <c r="AK207" s="111"/>
      <c r="AL207" s="512"/>
      <c r="AM207" s="513"/>
      <c r="AN207" s="465"/>
      <c r="AO207" s="468" t="str">
        <f>РПЗ!AD207</f>
        <v>Нет</v>
      </c>
      <c r="AP207" s="472">
        <f>РПЗ!V207</f>
        <v>0</v>
      </c>
      <c r="AQ207" s="470">
        <f>IF(Таблица5[[#This Row],[11]]=0,,MONTH(Таблица5[[#This Row],[11]]))</f>
        <v>2</v>
      </c>
    </row>
    <row r="208" spans="1:43" s="681" customFormat="1" ht="39" thickBot="1" x14ac:dyDescent="0.3">
      <c r="A208" s="691" t="str">
        <f t="shared" si="3"/>
        <v>1004-2017-00193</v>
      </c>
      <c r="B208" s="691" t="str">
        <f>РПЗ!$D208</f>
        <v xml:space="preserve">1004-2017-00193Поставка Спирты </v>
      </c>
      <c r="C208" s="691" t="str">
        <f>РПЗ!$AA208</f>
        <v>АО "НИИ "Полюс" им. М.Ф. Стельмаха" тел. отдела закупок 8-495-333-05-02</v>
      </c>
      <c r="D208" s="706" t="str">
        <f>РПЗ!$AB208</f>
        <v>Заказчик</v>
      </c>
      <c r="E208" s="96" t="s">
        <v>46</v>
      </c>
      <c r="F208" s="691" t="str">
        <f>РПЗ!Q208</f>
        <v>ОЗК</v>
      </c>
      <c r="G208" s="691" t="str">
        <f>Таблица5[[#This Row],[6]]</f>
        <v>ОЗК</v>
      </c>
      <c r="H208" s="691" t="str">
        <f>РПЗ!R208</f>
        <v>да</v>
      </c>
      <c r="I208" s="707">
        <f>РПЗ!W208</f>
        <v>0</v>
      </c>
      <c r="J208" s="691">
        <f>РПЗ!X208</f>
        <v>0</v>
      </c>
      <c r="K208" s="708">
        <f>РПЗ!Z208</f>
        <v>0</v>
      </c>
      <c r="L208" s="686"/>
      <c r="M208" s="687">
        <f>РПЗ!O208</f>
        <v>42767</v>
      </c>
      <c r="N208" s="687">
        <f>Таблица5[[#This Row],[10]]</f>
        <v>42767</v>
      </c>
      <c r="O208" s="686">
        <v>42779</v>
      </c>
      <c r="P208" s="686">
        <v>42782</v>
      </c>
      <c r="Q208" s="686">
        <v>42782</v>
      </c>
      <c r="R208" s="686">
        <v>42782</v>
      </c>
      <c r="S208" s="686">
        <v>42782</v>
      </c>
      <c r="T208" s="686"/>
      <c r="U208" s="687">
        <f>РПЗ!P208</f>
        <v>43070</v>
      </c>
      <c r="V208" s="761"/>
      <c r="W208" s="692">
        <f>РПЗ!L208</f>
        <v>440000</v>
      </c>
      <c r="X208" s="689">
        <v>0</v>
      </c>
      <c r="Y208" s="689">
        <v>0</v>
      </c>
      <c r="Z208" s="690"/>
      <c r="AA208" s="691"/>
      <c r="AB208" s="777"/>
      <c r="AC208" s="776"/>
      <c r="AD208" s="690"/>
      <c r="AE208" s="686"/>
      <c r="AF208" s="778"/>
      <c r="AG208" s="814"/>
      <c r="AH208" s="777" t="str">
        <f>IF(Таблица5[[#This Row],[30]]=0,"НД",Таблица5[[#This Row],[20]]-Таблица5[[#This Row],[30]])</f>
        <v>НД</v>
      </c>
      <c r="AI208" s="793" t="str">
        <f>IF(((1-Таблица5[[#This Row],[30]]/Таблица5[[#This Row],[20]])=1),"НД",(1-Таблица5[[#This Row],[30]]/Таблица5[[#This Row],[20]]))</f>
        <v>НД</v>
      </c>
      <c r="AJ208" s="777"/>
      <c r="AK208" s="777"/>
      <c r="AL208" s="794"/>
      <c r="AM208" s="788" t="s">
        <v>113</v>
      </c>
      <c r="AN208" s="806">
        <v>31704756645</v>
      </c>
      <c r="AO208" s="781" t="str">
        <f>РПЗ!AD208</f>
        <v>Нет</v>
      </c>
      <c r="AP208" s="782">
        <f>РПЗ!V208</f>
        <v>0</v>
      </c>
      <c r="AQ208" s="714">
        <f>IF(Таблица5[[#This Row],[11]]=0,,MONTH(Таблица5[[#This Row],[11]]))</f>
        <v>2</v>
      </c>
    </row>
    <row r="209" spans="1:43" ht="39" thickBot="1" x14ac:dyDescent="0.3">
      <c r="A209" s="233" t="str">
        <f t="shared" si="3"/>
        <v>1004-2017-00194</v>
      </c>
      <c r="B209" s="233" t="str">
        <f>РПЗ!$D209</f>
        <v xml:space="preserve">1004-2017-00194Поставка Спирты </v>
      </c>
      <c r="C209" s="233" t="str">
        <f>РПЗ!$AA209</f>
        <v>АО "НИИ "Полюс" им. М.Ф. Стельмаха" тел. отдела закупок 8-495-333-05-02</v>
      </c>
      <c r="D209" s="633" t="str">
        <f>РПЗ!$AB209</f>
        <v>Заказчик</v>
      </c>
      <c r="E209" s="96" t="s">
        <v>46</v>
      </c>
      <c r="F209" s="233" t="str">
        <f>РПЗ!Q209</f>
        <v>ОЗК</v>
      </c>
      <c r="G209" s="237"/>
      <c r="H209" s="237" t="str">
        <f>РПЗ!R209</f>
        <v>да</v>
      </c>
      <c r="I209" s="15">
        <f>РПЗ!W209</f>
        <v>0</v>
      </c>
      <c r="J209" s="233">
        <f>РПЗ!X209</f>
        <v>0</v>
      </c>
      <c r="K209" s="283">
        <f>РПЗ!Z209</f>
        <v>0</v>
      </c>
      <c r="L209" s="17"/>
      <c r="M209" s="18">
        <f>РПЗ!O209</f>
        <v>42767</v>
      </c>
      <c r="N209" s="238">
        <f>Таблица5[[#This Row],[10]]</f>
        <v>42767</v>
      </c>
      <c r="O209" s="17"/>
      <c r="P209" s="17"/>
      <c r="Q209" s="17"/>
      <c r="R209" s="17"/>
      <c r="S209" s="17"/>
      <c r="T209" s="686"/>
      <c r="U209" s="18">
        <f>РПЗ!P209</f>
        <v>43070</v>
      </c>
      <c r="V209" s="686"/>
      <c r="W209" s="236">
        <f>РПЗ!L209</f>
        <v>1225000</v>
      </c>
      <c r="X209" s="689"/>
      <c r="Y209" s="689"/>
      <c r="Z209" s="690"/>
      <c r="AA209" s="691"/>
      <c r="AB209" s="111"/>
      <c r="AC209" s="17"/>
      <c r="AD209" s="690"/>
      <c r="AE209" s="686"/>
      <c r="AF209" s="474"/>
      <c r="AG209" s="692"/>
      <c r="AH209" s="236" t="str">
        <f>IF(Таблица5[[#This Row],[30]]=0,"НД",Таблица5[[#This Row],[20]]-Таблица5[[#This Row],[30]])</f>
        <v>НД</v>
      </c>
      <c r="AI209" s="511" t="str">
        <f>IF(((1-Таблица5[[#This Row],[30]]/Таблица5[[#This Row],[20]])=1),"НД",(1-Таблица5[[#This Row],[30]]/Таблица5[[#This Row],[20]]))</f>
        <v>НД</v>
      </c>
      <c r="AJ209" s="111"/>
      <c r="AK209" s="111"/>
      <c r="AL209" s="512"/>
      <c r="AM209" s="513"/>
      <c r="AN209" s="465"/>
      <c r="AO209" s="468" t="str">
        <f>РПЗ!AD209</f>
        <v>Нет</v>
      </c>
      <c r="AP209" s="472">
        <f>РПЗ!V209</f>
        <v>0</v>
      </c>
      <c r="AQ209" s="470">
        <f>IF(Таблица5[[#This Row],[11]]=0,,MONTH(Таблица5[[#This Row],[11]]))</f>
        <v>2</v>
      </c>
    </row>
    <row r="210" spans="1:43" ht="39" thickBot="1" x14ac:dyDescent="0.3">
      <c r="A210" s="233" t="str">
        <f t="shared" si="3"/>
        <v>1004-2017-00195</v>
      </c>
      <c r="B210" s="233" t="str">
        <f>РПЗ!$D210</f>
        <v>1004-2017-00195Поставка Реактивы</v>
      </c>
      <c r="C210" s="233" t="str">
        <f>РПЗ!$AA210</f>
        <v>АО "НИИ "Полюс" им. М.Ф. Стельмаха" тел. отдела закупок 8-495-333-05-02</v>
      </c>
      <c r="D210" s="633" t="str">
        <f>РПЗ!$AB210</f>
        <v>Заказчик</v>
      </c>
      <c r="E210" s="96" t="s">
        <v>46</v>
      </c>
      <c r="F210" s="233" t="str">
        <f>РПЗ!Q210</f>
        <v>ОК</v>
      </c>
      <c r="G210" s="237"/>
      <c r="H210" s="237" t="str">
        <f>РПЗ!R210</f>
        <v>да</v>
      </c>
      <c r="I210" s="15">
        <f>РПЗ!W210</f>
        <v>0</v>
      </c>
      <c r="J210" s="233">
        <f>РПЗ!X210</f>
        <v>0</v>
      </c>
      <c r="K210" s="283">
        <f>РПЗ!Z210</f>
        <v>0</v>
      </c>
      <c r="L210" s="17"/>
      <c r="M210" s="18">
        <f>РПЗ!O210</f>
        <v>42767</v>
      </c>
      <c r="N210" s="238">
        <f>Таблица5[[#This Row],[10]]</f>
        <v>42767</v>
      </c>
      <c r="O210" s="17"/>
      <c r="P210" s="17"/>
      <c r="Q210" s="17"/>
      <c r="R210" s="17"/>
      <c r="S210" s="17"/>
      <c r="T210" s="686"/>
      <c r="U210" s="18">
        <f>РПЗ!P210</f>
        <v>43070</v>
      </c>
      <c r="V210" s="686"/>
      <c r="W210" s="236">
        <f>РПЗ!L210</f>
        <v>6000000</v>
      </c>
      <c r="X210" s="689"/>
      <c r="Y210" s="689"/>
      <c r="Z210" s="690"/>
      <c r="AA210" s="691"/>
      <c r="AB210" s="111"/>
      <c r="AC210" s="17"/>
      <c r="AD210" s="690"/>
      <c r="AE210" s="686"/>
      <c r="AF210" s="474"/>
      <c r="AG210" s="692"/>
      <c r="AH210" s="236" t="str">
        <f>IF(Таблица5[[#This Row],[30]]=0,"НД",Таблица5[[#This Row],[20]]-Таблица5[[#This Row],[30]])</f>
        <v>НД</v>
      </c>
      <c r="AI210" s="511" t="str">
        <f>IF(((1-Таблица5[[#This Row],[30]]/Таблица5[[#This Row],[20]])=1),"НД",(1-Таблица5[[#This Row],[30]]/Таблица5[[#This Row],[20]]))</f>
        <v>НД</v>
      </c>
      <c r="AJ210" s="111"/>
      <c r="AK210" s="111"/>
      <c r="AL210" s="512"/>
      <c r="AM210" s="513"/>
      <c r="AN210" s="465"/>
      <c r="AO210" s="468" t="str">
        <f>РПЗ!AD210</f>
        <v>Нет</v>
      </c>
      <c r="AP210" s="472">
        <f>РПЗ!V210</f>
        <v>0</v>
      </c>
      <c r="AQ210" s="470">
        <f>IF(Таблица5[[#This Row],[11]]=0,,MONTH(Таблица5[[#This Row],[11]]))</f>
        <v>2</v>
      </c>
    </row>
    <row r="211" spans="1:43" ht="39" thickBot="1" x14ac:dyDescent="0.3">
      <c r="A211" s="233" t="str">
        <f t="shared" si="3"/>
        <v>1004-2017-00196</v>
      </c>
      <c r="B211" s="233" t="str">
        <f>РПЗ!$D211</f>
        <v>1004-2017-00196Поставка Органическая химия</v>
      </c>
      <c r="C211" s="233" t="str">
        <f>РПЗ!$AA211</f>
        <v>АО "НИИ "Полюс" им. М.Ф. Стельмаха" тел. отдела закупок 8-495-333-05-02</v>
      </c>
      <c r="D211" s="633" t="str">
        <f>РПЗ!$AB211</f>
        <v>Заказчик</v>
      </c>
      <c r="E211" s="96" t="s">
        <v>46</v>
      </c>
      <c r="F211" s="233" t="str">
        <f>РПЗ!Q211</f>
        <v>ОЗК</v>
      </c>
      <c r="G211" s="237"/>
      <c r="H211" s="237" t="str">
        <f>РПЗ!R211</f>
        <v>да</v>
      </c>
      <c r="I211" s="15">
        <f>РПЗ!W211</f>
        <v>0</v>
      </c>
      <c r="J211" s="233">
        <f>РПЗ!X211</f>
        <v>0</v>
      </c>
      <c r="K211" s="283">
        <f>РПЗ!Z211</f>
        <v>0</v>
      </c>
      <c r="L211" s="17"/>
      <c r="M211" s="18">
        <f>РПЗ!O211</f>
        <v>42767</v>
      </c>
      <c r="N211" s="238">
        <f>Таблица5[[#This Row],[10]]</f>
        <v>42767</v>
      </c>
      <c r="O211" s="17"/>
      <c r="P211" s="17"/>
      <c r="Q211" s="17"/>
      <c r="R211" s="17"/>
      <c r="S211" s="17"/>
      <c r="T211" s="686"/>
      <c r="U211" s="18">
        <f>РПЗ!P211</f>
        <v>43070</v>
      </c>
      <c r="V211" s="686"/>
      <c r="W211" s="236">
        <f>РПЗ!L211</f>
        <v>225500</v>
      </c>
      <c r="X211" s="689"/>
      <c r="Y211" s="689"/>
      <c r="Z211" s="690"/>
      <c r="AA211" s="691"/>
      <c r="AB211" s="111"/>
      <c r="AC211" s="17"/>
      <c r="AD211" s="690"/>
      <c r="AE211" s="686"/>
      <c r="AF211" s="474"/>
      <c r="AG211" s="692"/>
      <c r="AH211" s="236" t="str">
        <f>IF(Таблица5[[#This Row],[30]]=0,"НД",Таблица5[[#This Row],[20]]-Таблица5[[#This Row],[30]])</f>
        <v>НД</v>
      </c>
      <c r="AI211" s="511" t="str">
        <f>IF(((1-Таблица5[[#This Row],[30]]/Таблица5[[#This Row],[20]])=1),"НД",(1-Таблица5[[#This Row],[30]]/Таблица5[[#This Row],[20]]))</f>
        <v>НД</v>
      </c>
      <c r="AJ211" s="111"/>
      <c r="AK211" s="111"/>
      <c r="AL211" s="512"/>
      <c r="AM211" s="513"/>
      <c r="AN211" s="465"/>
      <c r="AO211" s="468" t="str">
        <f>РПЗ!AD211</f>
        <v>Нет</v>
      </c>
      <c r="AP211" s="472">
        <f>РПЗ!V211</f>
        <v>0</v>
      </c>
      <c r="AQ211" s="470">
        <f>IF(Таблица5[[#This Row],[11]]=0,,MONTH(Таблица5[[#This Row],[11]]))</f>
        <v>2</v>
      </c>
    </row>
    <row r="212" spans="1:43" ht="39" thickBot="1" x14ac:dyDescent="0.3">
      <c r="A212" s="233" t="str">
        <f t="shared" si="3"/>
        <v>1004-2017-00197</v>
      </c>
      <c r="B212" s="233" t="str">
        <f>РПЗ!$D212</f>
        <v>1004-2017-00197Поставка Горюче-смазочные материалы</v>
      </c>
      <c r="C212" s="233" t="str">
        <f>РПЗ!$AA212</f>
        <v>АО "НИИ "Полюс" им. М.Ф. Стельмаха" тел. отдела закупок 8-495-333-05-02</v>
      </c>
      <c r="D212" s="633" t="str">
        <f>РПЗ!$AB212</f>
        <v>Заказчик</v>
      </c>
      <c r="E212" s="96" t="s">
        <v>46</v>
      </c>
      <c r="F212" s="233" t="str">
        <f>РПЗ!Q212</f>
        <v>ОЗК</v>
      </c>
      <c r="G212" s="237"/>
      <c r="H212" s="237" t="str">
        <f>РПЗ!R212</f>
        <v>да</v>
      </c>
      <c r="I212" s="15">
        <f>РПЗ!W212</f>
        <v>0</v>
      </c>
      <c r="J212" s="233">
        <f>РПЗ!X212</f>
        <v>0</v>
      </c>
      <c r="K212" s="283">
        <f>РПЗ!Z212</f>
        <v>0</v>
      </c>
      <c r="L212" s="17"/>
      <c r="M212" s="18">
        <f>РПЗ!O212</f>
        <v>42767</v>
      </c>
      <c r="N212" s="238">
        <f>Таблица5[[#This Row],[10]]</f>
        <v>42767</v>
      </c>
      <c r="O212" s="17"/>
      <c r="P212" s="17"/>
      <c r="Q212" s="17"/>
      <c r="R212" s="17"/>
      <c r="S212" s="17"/>
      <c r="T212" s="686"/>
      <c r="U212" s="18">
        <f>РПЗ!P212</f>
        <v>43070</v>
      </c>
      <c r="V212" s="686"/>
      <c r="W212" s="236">
        <f>РПЗ!L212</f>
        <v>540000</v>
      </c>
      <c r="X212" s="689"/>
      <c r="Y212" s="689"/>
      <c r="Z212" s="690"/>
      <c r="AA212" s="691"/>
      <c r="AB212" s="111"/>
      <c r="AC212" s="17"/>
      <c r="AD212" s="690"/>
      <c r="AE212" s="686"/>
      <c r="AF212" s="474"/>
      <c r="AG212" s="692"/>
      <c r="AH212" s="236" t="str">
        <f>IF(Таблица5[[#This Row],[30]]=0,"НД",Таблица5[[#This Row],[20]]-Таблица5[[#This Row],[30]])</f>
        <v>НД</v>
      </c>
      <c r="AI212" s="511" t="str">
        <f>IF(((1-Таблица5[[#This Row],[30]]/Таблица5[[#This Row],[20]])=1),"НД",(1-Таблица5[[#This Row],[30]]/Таблица5[[#This Row],[20]]))</f>
        <v>НД</v>
      </c>
      <c r="AJ212" s="111"/>
      <c r="AK212" s="111"/>
      <c r="AL212" s="512"/>
      <c r="AM212" s="513"/>
      <c r="AN212" s="465"/>
      <c r="AO212" s="468" t="str">
        <f>РПЗ!AD212</f>
        <v>Нет</v>
      </c>
      <c r="AP212" s="472">
        <f>РПЗ!V212</f>
        <v>0</v>
      </c>
      <c r="AQ212" s="470">
        <f>IF(Таблица5[[#This Row],[11]]=0,,MONTH(Таблица5[[#This Row],[11]]))</f>
        <v>2</v>
      </c>
    </row>
    <row r="213" spans="1:43" ht="39" thickBot="1" x14ac:dyDescent="0.3">
      <c r="A213" s="233" t="str">
        <f t="shared" si="3"/>
        <v>1004-2017-00198</v>
      </c>
      <c r="B213" s="233" t="str">
        <f>РПЗ!$D213</f>
        <v>1004-2017-00198Поставка Горюче-смазочные материалы</v>
      </c>
      <c r="C213" s="233" t="str">
        <f>РПЗ!$AA213</f>
        <v>АО "НИИ "Полюс" им. М.Ф. Стельмаха" тел. отдела закупок 8-495-333-05-02</v>
      </c>
      <c r="D213" s="633" t="str">
        <f>РПЗ!$AB213</f>
        <v>Заказчик</v>
      </c>
      <c r="E213" s="96" t="s">
        <v>46</v>
      </c>
      <c r="F213" s="233" t="str">
        <f>РПЗ!Q213</f>
        <v>ОЗК</v>
      </c>
      <c r="G213" s="237"/>
      <c r="H213" s="237" t="str">
        <f>РПЗ!R213</f>
        <v>да</v>
      </c>
      <c r="I213" s="15">
        <f>РПЗ!W213</f>
        <v>0</v>
      </c>
      <c r="J213" s="233">
        <f>РПЗ!X213</f>
        <v>0</v>
      </c>
      <c r="K213" s="283">
        <f>РПЗ!Z213</f>
        <v>0</v>
      </c>
      <c r="L213" s="17"/>
      <c r="M213" s="18">
        <f>РПЗ!O213</f>
        <v>42767</v>
      </c>
      <c r="N213" s="238">
        <f>Таблица5[[#This Row],[10]]</f>
        <v>42767</v>
      </c>
      <c r="O213" s="17"/>
      <c r="P213" s="17"/>
      <c r="Q213" s="17"/>
      <c r="R213" s="17"/>
      <c r="S213" s="17"/>
      <c r="T213" s="686"/>
      <c r="U213" s="18">
        <f>РПЗ!P213</f>
        <v>43070</v>
      </c>
      <c r="V213" s="686"/>
      <c r="W213" s="236">
        <f>РПЗ!L213</f>
        <v>1440000</v>
      </c>
      <c r="X213" s="689"/>
      <c r="Y213" s="689"/>
      <c r="Z213" s="690"/>
      <c r="AA213" s="691"/>
      <c r="AB213" s="111"/>
      <c r="AC213" s="17"/>
      <c r="AD213" s="690"/>
      <c r="AE213" s="686"/>
      <c r="AF213" s="474"/>
      <c r="AG213" s="692"/>
      <c r="AH213" s="236" t="str">
        <f>IF(Таблица5[[#This Row],[30]]=0,"НД",Таблица5[[#This Row],[20]]-Таблица5[[#This Row],[30]])</f>
        <v>НД</v>
      </c>
      <c r="AI213" s="511" t="str">
        <f>IF(((1-Таблица5[[#This Row],[30]]/Таблица5[[#This Row],[20]])=1),"НД",(1-Таблица5[[#This Row],[30]]/Таблица5[[#This Row],[20]]))</f>
        <v>НД</v>
      </c>
      <c r="AJ213" s="111"/>
      <c r="AK213" s="111"/>
      <c r="AL213" s="512"/>
      <c r="AM213" s="513"/>
      <c r="AN213" s="465"/>
      <c r="AO213" s="468" t="str">
        <f>РПЗ!AD213</f>
        <v>Нет</v>
      </c>
      <c r="AP213" s="472">
        <f>РПЗ!V213</f>
        <v>0</v>
      </c>
      <c r="AQ213" s="470">
        <f>IF(Таблица5[[#This Row],[11]]=0,,MONTH(Таблица5[[#This Row],[11]]))</f>
        <v>2</v>
      </c>
    </row>
    <row r="214" spans="1:43" ht="39" thickBot="1" x14ac:dyDescent="0.3">
      <c r="A214" s="233" t="str">
        <f t="shared" si="3"/>
        <v>1004-2017-00199</v>
      </c>
      <c r="B214" s="233" t="str">
        <f>РПЗ!$D214</f>
        <v>1004-2017-00199 Поставка Горюче-смазочные материалы</v>
      </c>
      <c r="C214" s="233" t="str">
        <f>РПЗ!$AA214</f>
        <v>АО "НИИ "Полюс" им. М.Ф. Стельмаха" тел. отдела закупок 8-495-333-05-02</v>
      </c>
      <c r="D214" s="633" t="str">
        <f>РПЗ!$AB214</f>
        <v>Заказчик</v>
      </c>
      <c r="E214" s="96" t="s">
        <v>46</v>
      </c>
      <c r="F214" s="233" t="str">
        <f>РПЗ!Q214</f>
        <v>ОЗК</v>
      </c>
      <c r="G214" s="237"/>
      <c r="H214" s="237" t="str">
        <f>РПЗ!R214</f>
        <v>да</v>
      </c>
      <c r="I214" s="15">
        <f>РПЗ!W214</f>
        <v>0</v>
      </c>
      <c r="J214" s="233">
        <f>РПЗ!X214</f>
        <v>0</v>
      </c>
      <c r="K214" s="283">
        <f>РПЗ!Z214</f>
        <v>0</v>
      </c>
      <c r="L214" s="17"/>
      <c r="M214" s="18">
        <f>РПЗ!O214</f>
        <v>42767</v>
      </c>
      <c r="N214" s="238">
        <f>Таблица5[[#This Row],[10]]</f>
        <v>42767</v>
      </c>
      <c r="O214" s="17"/>
      <c r="P214" s="17"/>
      <c r="Q214" s="17"/>
      <c r="R214" s="17"/>
      <c r="S214" s="17"/>
      <c r="T214" s="686"/>
      <c r="U214" s="18">
        <f>РПЗ!P214</f>
        <v>43070</v>
      </c>
      <c r="V214" s="686"/>
      <c r="W214" s="236">
        <f>РПЗ!L214</f>
        <v>157200</v>
      </c>
      <c r="X214" s="689"/>
      <c r="Y214" s="689"/>
      <c r="Z214" s="690"/>
      <c r="AA214" s="691"/>
      <c r="AB214" s="111"/>
      <c r="AC214" s="17"/>
      <c r="AD214" s="690"/>
      <c r="AE214" s="686"/>
      <c r="AF214" s="474"/>
      <c r="AG214" s="692"/>
      <c r="AH214" s="236" t="str">
        <f>IF(Таблица5[[#This Row],[30]]=0,"НД",Таблица5[[#This Row],[20]]-Таблица5[[#This Row],[30]])</f>
        <v>НД</v>
      </c>
      <c r="AI214" s="511" t="str">
        <f>IF(((1-Таблица5[[#This Row],[30]]/Таблица5[[#This Row],[20]])=1),"НД",(1-Таблица5[[#This Row],[30]]/Таблица5[[#This Row],[20]]))</f>
        <v>НД</v>
      </c>
      <c r="AJ214" s="111"/>
      <c r="AK214" s="111"/>
      <c r="AL214" s="512"/>
      <c r="AM214" s="513"/>
      <c r="AN214" s="465"/>
      <c r="AO214" s="468" t="str">
        <f>РПЗ!AD214</f>
        <v>Нет</v>
      </c>
      <c r="AP214" s="472">
        <f>РПЗ!V214</f>
        <v>0</v>
      </c>
      <c r="AQ214" s="470">
        <f>IF(Таблица5[[#This Row],[11]]=0,,MONTH(Таблица5[[#This Row],[11]]))</f>
        <v>2</v>
      </c>
    </row>
    <row r="215" spans="1:43" ht="39" thickBot="1" x14ac:dyDescent="0.3">
      <c r="A215" s="233" t="str">
        <f t="shared" si="3"/>
        <v>1004-2017-00200</v>
      </c>
      <c r="B215" s="233" t="str">
        <f>РПЗ!$D215</f>
        <v>1004-2017-00200 Поставка Полиэтилены</v>
      </c>
      <c r="C215" s="233" t="str">
        <f>РПЗ!$AA215</f>
        <v>АО "НИИ "Полюс" им. М.Ф. Стельмаха" тел. отдела закупок 8-495-333-05-02</v>
      </c>
      <c r="D215" s="633" t="str">
        <f>РПЗ!$AB215</f>
        <v>Заказчик</v>
      </c>
      <c r="E215" s="96" t="s">
        <v>46</v>
      </c>
      <c r="F215" s="233" t="str">
        <f>РПЗ!Q215</f>
        <v>ОЗК</v>
      </c>
      <c r="G215" s="237"/>
      <c r="H215" s="237" t="str">
        <f>РПЗ!R215</f>
        <v>да</v>
      </c>
      <c r="I215" s="15">
        <f>РПЗ!W215</f>
        <v>0</v>
      </c>
      <c r="J215" s="233">
        <f>РПЗ!X215</f>
        <v>0</v>
      </c>
      <c r="K215" s="283">
        <f>РПЗ!Z215</f>
        <v>0</v>
      </c>
      <c r="L215" s="17"/>
      <c r="M215" s="18">
        <f>РПЗ!O215</f>
        <v>42767</v>
      </c>
      <c r="N215" s="238">
        <f>Таблица5[[#This Row],[10]]</f>
        <v>42767</v>
      </c>
      <c r="O215" s="17"/>
      <c r="P215" s="17"/>
      <c r="Q215" s="17"/>
      <c r="R215" s="17"/>
      <c r="S215" s="17"/>
      <c r="T215" s="686"/>
      <c r="U215" s="18">
        <f>РПЗ!P215</f>
        <v>43070</v>
      </c>
      <c r="V215" s="686"/>
      <c r="W215" s="236">
        <f>РПЗ!L215</f>
        <v>540000</v>
      </c>
      <c r="X215" s="689"/>
      <c r="Y215" s="689"/>
      <c r="Z215" s="690"/>
      <c r="AA215" s="691"/>
      <c r="AB215" s="111"/>
      <c r="AC215" s="17"/>
      <c r="AD215" s="690"/>
      <c r="AE215" s="686"/>
      <c r="AF215" s="474"/>
      <c r="AG215" s="692"/>
      <c r="AH215" s="236" t="str">
        <f>IF(Таблица5[[#This Row],[30]]=0,"НД",Таблица5[[#This Row],[20]]-Таблица5[[#This Row],[30]])</f>
        <v>НД</v>
      </c>
      <c r="AI215" s="511" t="str">
        <f>IF(((1-Таблица5[[#This Row],[30]]/Таблица5[[#This Row],[20]])=1),"НД",(1-Таблица5[[#This Row],[30]]/Таблица5[[#This Row],[20]]))</f>
        <v>НД</v>
      </c>
      <c r="AJ215" s="111"/>
      <c r="AK215" s="111"/>
      <c r="AL215" s="512"/>
      <c r="AM215" s="513"/>
      <c r="AN215" s="465"/>
      <c r="AO215" s="468" t="str">
        <f>РПЗ!AD215</f>
        <v>Нет</v>
      </c>
      <c r="AP215" s="472">
        <f>РПЗ!V215</f>
        <v>0</v>
      </c>
      <c r="AQ215" s="470">
        <f>IF(Таблица5[[#This Row],[11]]=0,,MONTH(Таблица5[[#This Row],[11]]))</f>
        <v>2</v>
      </c>
    </row>
    <row r="216" spans="1:43" ht="39" thickBot="1" x14ac:dyDescent="0.3">
      <c r="A216" s="233" t="str">
        <f t="shared" si="3"/>
        <v>1004-2017-00201</v>
      </c>
      <c r="B216" s="233" t="str">
        <f>РПЗ!$D216</f>
        <v>1004-2017-00201Поставка Расходные материалы для сварки, пайки</v>
      </c>
      <c r="C216" s="233" t="str">
        <f>РПЗ!$AA216</f>
        <v>АО "НИИ "Полюс" им. М.Ф. Стельмаха" тел. отдела закупок 8-495-333-05-02</v>
      </c>
      <c r="D216" s="633" t="str">
        <f>РПЗ!$AB216</f>
        <v>Заказчик</v>
      </c>
      <c r="E216" s="96" t="s">
        <v>46</v>
      </c>
      <c r="F216" s="233" t="str">
        <f>РПЗ!Q216</f>
        <v>ОЗК</v>
      </c>
      <c r="G216" s="237"/>
      <c r="H216" s="237" t="str">
        <f>РПЗ!R216</f>
        <v>да</v>
      </c>
      <c r="I216" s="15">
        <f>РПЗ!W216</f>
        <v>0</v>
      </c>
      <c r="J216" s="233">
        <f>РПЗ!X216</f>
        <v>0</v>
      </c>
      <c r="K216" s="283">
        <f>РПЗ!Z216</f>
        <v>0</v>
      </c>
      <c r="L216" s="17"/>
      <c r="M216" s="18">
        <f>РПЗ!O216</f>
        <v>42767</v>
      </c>
      <c r="N216" s="238">
        <f>Таблица5[[#This Row],[10]]</f>
        <v>42767</v>
      </c>
      <c r="O216" s="17"/>
      <c r="P216" s="17"/>
      <c r="Q216" s="17"/>
      <c r="R216" s="17"/>
      <c r="S216" s="17"/>
      <c r="T216" s="686"/>
      <c r="U216" s="18">
        <f>РПЗ!P216</f>
        <v>43070</v>
      </c>
      <c r="V216" s="686"/>
      <c r="W216" s="236">
        <f>РПЗ!L216</f>
        <v>1874000</v>
      </c>
      <c r="X216" s="689"/>
      <c r="Y216" s="689"/>
      <c r="Z216" s="690"/>
      <c r="AA216" s="691"/>
      <c r="AB216" s="111"/>
      <c r="AC216" s="17"/>
      <c r="AD216" s="690"/>
      <c r="AE216" s="686"/>
      <c r="AF216" s="474"/>
      <c r="AG216" s="692"/>
      <c r="AH216" s="236" t="str">
        <f>IF(Таблица5[[#This Row],[30]]=0,"НД",Таблица5[[#This Row],[20]]-Таблица5[[#This Row],[30]])</f>
        <v>НД</v>
      </c>
      <c r="AI216" s="511" t="str">
        <f>IF(((1-Таблица5[[#This Row],[30]]/Таблица5[[#This Row],[20]])=1),"НД",(1-Таблица5[[#This Row],[30]]/Таблица5[[#This Row],[20]]))</f>
        <v>НД</v>
      </c>
      <c r="AJ216" s="111"/>
      <c r="AK216" s="111"/>
      <c r="AL216" s="512"/>
      <c r="AM216" s="513"/>
      <c r="AN216" s="465"/>
      <c r="AO216" s="468" t="str">
        <f>РПЗ!AD216</f>
        <v>Нет</v>
      </c>
      <c r="AP216" s="472">
        <f>РПЗ!V216</f>
        <v>0</v>
      </c>
      <c r="AQ216" s="470">
        <f>IF(Таблица5[[#This Row],[11]]=0,,MONTH(Таблица5[[#This Row],[11]]))</f>
        <v>2</v>
      </c>
    </row>
    <row r="217" spans="1:43" ht="39" thickBot="1" x14ac:dyDescent="0.3">
      <c r="A217" s="233" t="str">
        <f t="shared" si="3"/>
        <v>1004-2017-00202</v>
      </c>
      <c r="B217" s="233" t="str">
        <f>РПЗ!$D217</f>
        <v>1004-2017-00202Поставка Полимерные материалы</v>
      </c>
      <c r="C217" s="233" t="str">
        <f>РПЗ!$AA217</f>
        <v>АО "НИИ "Полюс" им. М.Ф. Стельмаха" тел. отдела закупок 8-495-333-05-02</v>
      </c>
      <c r="D217" s="633" t="str">
        <f>РПЗ!$AB217</f>
        <v>Заказчик</v>
      </c>
      <c r="E217" s="96" t="s">
        <v>46</v>
      </c>
      <c r="F217" s="233" t="str">
        <f>РПЗ!Q217</f>
        <v>ОЗК</v>
      </c>
      <c r="G217" s="237"/>
      <c r="H217" s="237" t="str">
        <f>РПЗ!R217</f>
        <v>да</v>
      </c>
      <c r="I217" s="15">
        <f>РПЗ!W217</f>
        <v>0</v>
      </c>
      <c r="J217" s="233">
        <f>РПЗ!X217</f>
        <v>0</v>
      </c>
      <c r="K217" s="283">
        <f>РПЗ!Z217</f>
        <v>0</v>
      </c>
      <c r="L217" s="17"/>
      <c r="M217" s="18">
        <f>РПЗ!O217</f>
        <v>42767</v>
      </c>
      <c r="N217" s="238">
        <f>Таблица5[[#This Row],[10]]</f>
        <v>42767</v>
      </c>
      <c r="O217" s="17"/>
      <c r="P217" s="17"/>
      <c r="Q217" s="17"/>
      <c r="R217" s="17"/>
      <c r="S217" s="17"/>
      <c r="T217" s="686"/>
      <c r="U217" s="18">
        <f>РПЗ!P217</f>
        <v>43070</v>
      </c>
      <c r="V217" s="686"/>
      <c r="W217" s="236">
        <f>РПЗ!L217</f>
        <v>1015000</v>
      </c>
      <c r="X217" s="689"/>
      <c r="Y217" s="689"/>
      <c r="Z217" s="690"/>
      <c r="AA217" s="691"/>
      <c r="AB217" s="111"/>
      <c r="AC217" s="17"/>
      <c r="AD217" s="690"/>
      <c r="AE217" s="686"/>
      <c r="AF217" s="474"/>
      <c r="AG217" s="692"/>
      <c r="AH217" s="236" t="str">
        <f>IF(Таблица5[[#This Row],[30]]=0,"НД",Таблица5[[#This Row],[20]]-Таблица5[[#This Row],[30]])</f>
        <v>НД</v>
      </c>
      <c r="AI217" s="511" t="str">
        <f>IF(((1-Таблица5[[#This Row],[30]]/Таблица5[[#This Row],[20]])=1),"НД",(1-Таблица5[[#This Row],[30]]/Таблица5[[#This Row],[20]]))</f>
        <v>НД</v>
      </c>
      <c r="AJ217" s="111"/>
      <c r="AK217" s="111"/>
      <c r="AL217" s="512"/>
      <c r="AM217" s="513"/>
      <c r="AN217" s="465"/>
      <c r="AO217" s="468" t="str">
        <f>РПЗ!AD217</f>
        <v>Нет</v>
      </c>
      <c r="AP217" s="472">
        <f>РПЗ!V217</f>
        <v>0</v>
      </c>
      <c r="AQ217" s="470">
        <f>IF(Таблица5[[#This Row],[11]]=0,,MONTH(Таблица5[[#This Row],[11]]))</f>
        <v>2</v>
      </c>
    </row>
    <row r="218" spans="1:43" ht="39" thickBot="1" x14ac:dyDescent="0.3">
      <c r="A218" s="233" t="str">
        <f t="shared" si="3"/>
        <v>1004-2017-00203</v>
      </c>
      <c r="B218" s="233" t="str">
        <f>РПЗ!$D218</f>
        <v>1004-2017-00203Поставка Термоусадочные трубки</v>
      </c>
      <c r="C218" s="233" t="str">
        <f>РПЗ!$AA218</f>
        <v>АО "НИИ "Полюс" им. М.Ф. Стельмаха" тел. отдела закупок 8-495-333-05-02</v>
      </c>
      <c r="D218" s="633" t="str">
        <f>РПЗ!$AB218</f>
        <v>Заказчик</v>
      </c>
      <c r="E218" s="96" t="s">
        <v>46</v>
      </c>
      <c r="F218" s="233" t="str">
        <f>РПЗ!Q218</f>
        <v>ОЗК</v>
      </c>
      <c r="G218" s="237"/>
      <c r="H218" s="237" t="str">
        <f>РПЗ!R218</f>
        <v>да</v>
      </c>
      <c r="I218" s="15">
        <f>РПЗ!W218</f>
        <v>0</v>
      </c>
      <c r="J218" s="233">
        <f>РПЗ!X218</f>
        <v>0</v>
      </c>
      <c r="K218" s="283">
        <f>РПЗ!Z218</f>
        <v>0</v>
      </c>
      <c r="L218" s="17"/>
      <c r="M218" s="18">
        <f>РПЗ!O218</f>
        <v>42767</v>
      </c>
      <c r="N218" s="238">
        <f>Таблица5[[#This Row],[10]]</f>
        <v>42767</v>
      </c>
      <c r="O218" s="17"/>
      <c r="P218" s="17"/>
      <c r="Q218" s="17"/>
      <c r="R218" s="17"/>
      <c r="S218" s="17"/>
      <c r="T218" s="686"/>
      <c r="U218" s="18">
        <f>РПЗ!P218</f>
        <v>43070</v>
      </c>
      <c r="V218" s="686"/>
      <c r="W218" s="236">
        <f>РПЗ!L218</f>
        <v>200000</v>
      </c>
      <c r="X218" s="689"/>
      <c r="Y218" s="689"/>
      <c r="Z218" s="690"/>
      <c r="AA218" s="691"/>
      <c r="AB218" s="111"/>
      <c r="AC218" s="17"/>
      <c r="AD218" s="690"/>
      <c r="AE218" s="686"/>
      <c r="AF218" s="474"/>
      <c r="AG218" s="692"/>
      <c r="AH218" s="236" t="str">
        <f>IF(Таблица5[[#This Row],[30]]=0,"НД",Таблица5[[#This Row],[20]]-Таблица5[[#This Row],[30]])</f>
        <v>НД</v>
      </c>
      <c r="AI218" s="511" t="str">
        <f>IF(((1-Таблица5[[#This Row],[30]]/Таблица5[[#This Row],[20]])=1),"НД",(1-Таблица5[[#This Row],[30]]/Таблица5[[#This Row],[20]]))</f>
        <v>НД</v>
      </c>
      <c r="AJ218" s="111"/>
      <c r="AK218" s="111"/>
      <c r="AL218" s="512"/>
      <c r="AM218" s="513"/>
      <c r="AN218" s="465"/>
      <c r="AO218" s="468" t="str">
        <f>РПЗ!AD218</f>
        <v>Нет</v>
      </c>
      <c r="AP218" s="472">
        <f>РПЗ!V218</f>
        <v>0</v>
      </c>
      <c r="AQ218" s="470">
        <f>IF(Таблица5[[#This Row],[11]]=0,,MONTH(Таблица5[[#This Row],[11]]))</f>
        <v>2</v>
      </c>
    </row>
    <row r="219" spans="1:43" s="681" customFormat="1" ht="39" thickBot="1" x14ac:dyDescent="0.3">
      <c r="A219" s="691" t="str">
        <f t="shared" si="3"/>
        <v>1004-2017-00204</v>
      </c>
      <c r="B219" s="691" t="str">
        <f>РПЗ!$D219</f>
        <v>1004-2017-00204Поставка Термоусадочные трубки</v>
      </c>
      <c r="C219" s="691" t="str">
        <f>РПЗ!$AA219</f>
        <v>АО "НИИ "Полюс" им. М.Ф. Стельмаха" тел. отдела закупок 8-495-333-05-02</v>
      </c>
      <c r="D219" s="706" t="str">
        <f>РПЗ!$AB219</f>
        <v>Заказчик</v>
      </c>
      <c r="E219" s="96" t="s">
        <v>59</v>
      </c>
      <c r="F219" s="691" t="str">
        <f>РПЗ!Q219</f>
        <v>ОЗК</v>
      </c>
      <c r="G219" s="691" t="str">
        <f>Таблица5[[#This Row],[6]]</f>
        <v>ОЗК</v>
      </c>
      <c r="H219" s="691" t="str">
        <f>РПЗ!R219</f>
        <v>да</v>
      </c>
      <c r="I219" s="707">
        <f>РПЗ!W219</f>
        <v>0</v>
      </c>
      <c r="J219" s="691">
        <f>РПЗ!X219</f>
        <v>0</v>
      </c>
      <c r="K219" s="708">
        <f>РПЗ!Z219</f>
        <v>0</v>
      </c>
      <c r="L219" s="686"/>
      <c r="M219" s="687">
        <f>РПЗ!O219</f>
        <v>42767</v>
      </c>
      <c r="N219" s="687">
        <f>Таблица5[[#This Row],[10]]</f>
        <v>42767</v>
      </c>
      <c r="O219" s="686">
        <v>42821</v>
      </c>
      <c r="P219" s="686">
        <v>42824</v>
      </c>
      <c r="Q219" s="686">
        <v>42824</v>
      </c>
      <c r="R219" s="686">
        <v>42824</v>
      </c>
      <c r="S219" s="686">
        <v>42824</v>
      </c>
      <c r="T219" s="686"/>
      <c r="U219" s="687">
        <f>РПЗ!P219</f>
        <v>43070</v>
      </c>
      <c r="V219" s="761"/>
      <c r="W219" s="692">
        <f>РПЗ!L219</f>
        <v>204500</v>
      </c>
      <c r="X219" s="689">
        <v>0</v>
      </c>
      <c r="Y219" s="689">
        <v>0</v>
      </c>
      <c r="Z219" s="690"/>
      <c r="AA219" s="691"/>
      <c r="AB219" s="692"/>
      <c r="AC219" s="686"/>
      <c r="AD219" s="690"/>
      <c r="AE219" s="686"/>
      <c r="AF219" s="690"/>
      <c r="AG219" s="814"/>
      <c r="AH219" s="692" t="str">
        <f>IF(Таблица5[[#This Row],[30]]=0,"НД",Таблица5[[#This Row],[20]]-Таблица5[[#This Row],[30]])</f>
        <v>НД</v>
      </c>
      <c r="AI219" s="709" t="str">
        <f>IF(((1-Таблица5[[#This Row],[30]]/Таблица5[[#This Row],[20]])=1),"НД",(1-Таблица5[[#This Row],[30]]/Таблица5[[#This Row],[20]]))</f>
        <v>НД</v>
      </c>
      <c r="AJ219" s="692"/>
      <c r="AK219" s="692"/>
      <c r="AL219" s="710"/>
      <c r="AM219" s="788" t="s">
        <v>113</v>
      </c>
      <c r="AN219" s="800">
        <v>31704907037</v>
      </c>
      <c r="AO219" s="712" t="str">
        <f>РПЗ!AD219</f>
        <v>Нет</v>
      </c>
      <c r="AP219" s="713">
        <f>РПЗ!V219</f>
        <v>0</v>
      </c>
      <c r="AQ219" s="714">
        <f>IF(Таблица5[[#This Row],[11]]=0,,MONTH(Таблица5[[#This Row],[11]]))</f>
        <v>2</v>
      </c>
    </row>
    <row r="220" spans="1:43" ht="39" thickBot="1" x14ac:dyDescent="0.3">
      <c r="A220" s="233" t="str">
        <f t="shared" si="3"/>
        <v>1004-2017-00205</v>
      </c>
      <c r="B220" s="233" t="str">
        <f>РПЗ!$D220</f>
        <v>1004-2017-00205Поставка Универсальный стандарт-частоты Ц Ч1-81/3</v>
      </c>
      <c r="C220" s="233" t="str">
        <f>РПЗ!$AA220</f>
        <v>АО "НИИ "Полюс" им. М.Ф. Стельмаха" тел. отдела закупок 8-495-333-05-02</v>
      </c>
      <c r="D220" s="633" t="str">
        <f>РПЗ!$AB220</f>
        <v>Заказчик</v>
      </c>
      <c r="E220" s="96" t="s">
        <v>46</v>
      </c>
      <c r="F220" s="233" t="str">
        <f>РПЗ!Q220</f>
        <v>ОЗК</v>
      </c>
      <c r="G220" s="237"/>
      <c r="H220" s="237" t="str">
        <f>РПЗ!R220</f>
        <v>да</v>
      </c>
      <c r="I220" s="15">
        <f>РПЗ!W220</f>
        <v>0</v>
      </c>
      <c r="J220" s="233">
        <f>РПЗ!X220</f>
        <v>0</v>
      </c>
      <c r="K220" s="283">
        <f>РПЗ!Z220</f>
        <v>0</v>
      </c>
      <c r="L220" s="17"/>
      <c r="M220" s="18">
        <f>РПЗ!O220</f>
        <v>42979</v>
      </c>
      <c r="N220" s="238">
        <f>Таблица5[[#This Row],[10]]</f>
        <v>42979</v>
      </c>
      <c r="O220" s="17"/>
      <c r="P220" s="17"/>
      <c r="Q220" s="17"/>
      <c r="R220" s="17"/>
      <c r="S220" s="17"/>
      <c r="T220" s="686"/>
      <c r="U220" s="18">
        <f>РПЗ!P220</f>
        <v>43070</v>
      </c>
      <c r="V220" s="686"/>
      <c r="W220" s="236">
        <f>РПЗ!L220</f>
        <v>770000</v>
      </c>
      <c r="X220" s="689"/>
      <c r="Y220" s="689"/>
      <c r="Z220" s="690"/>
      <c r="AA220" s="691"/>
      <c r="AB220" s="111"/>
      <c r="AC220" s="17"/>
      <c r="AD220" s="690"/>
      <c r="AE220" s="686"/>
      <c r="AF220" s="474"/>
      <c r="AG220" s="692"/>
      <c r="AH220" s="236" t="str">
        <f>IF(Таблица5[[#This Row],[30]]=0,"НД",Таблица5[[#This Row],[20]]-Таблица5[[#This Row],[30]])</f>
        <v>НД</v>
      </c>
      <c r="AI220" s="511" t="str">
        <f>IF(((1-Таблица5[[#This Row],[30]]/Таблица5[[#This Row],[20]])=1),"НД",(1-Таблица5[[#This Row],[30]]/Таблица5[[#This Row],[20]]))</f>
        <v>НД</v>
      </c>
      <c r="AJ220" s="111"/>
      <c r="AK220" s="111"/>
      <c r="AL220" s="512"/>
      <c r="AM220" s="513"/>
      <c r="AN220" s="465"/>
      <c r="AO220" s="468" t="str">
        <f>РПЗ!AD220</f>
        <v>Нет</v>
      </c>
      <c r="AP220" s="472">
        <f>РПЗ!V220</f>
        <v>0</v>
      </c>
      <c r="AQ220" s="470">
        <f>IF(Таблица5[[#This Row],[11]]=0,,MONTH(Таблица5[[#This Row],[11]]))</f>
        <v>9</v>
      </c>
    </row>
    <row r="221" spans="1:43" ht="39" thickBot="1" x14ac:dyDescent="0.3">
      <c r="A221" s="233" t="str">
        <f t="shared" si="3"/>
        <v>1004-2017-00206</v>
      </c>
      <c r="B221" s="233" t="str">
        <f>РПЗ!$D221</f>
        <v>1004-2017-00206Поставка Осцилограф цифровой Tektronics TDS-2022</v>
      </c>
      <c r="C221" s="233" t="str">
        <f>РПЗ!$AA221</f>
        <v>АО "НИИ "Полюс" им. М.Ф. Стельмаха" тел. отдела закупок 8-495-333-05-02</v>
      </c>
      <c r="D221" s="633" t="str">
        <f>РПЗ!$AB221</f>
        <v>Заказчик</v>
      </c>
      <c r="E221" s="96" t="s">
        <v>46</v>
      </c>
      <c r="F221" s="233" t="str">
        <f>РПЗ!Q221</f>
        <v>ОЗК</v>
      </c>
      <c r="G221" s="237"/>
      <c r="H221" s="237" t="str">
        <f>РПЗ!R221</f>
        <v>да</v>
      </c>
      <c r="I221" s="15">
        <f>РПЗ!W221</f>
        <v>0</v>
      </c>
      <c r="J221" s="233">
        <f>РПЗ!X221</f>
        <v>0</v>
      </c>
      <c r="K221" s="283">
        <f>РПЗ!Z221</f>
        <v>0</v>
      </c>
      <c r="L221" s="17"/>
      <c r="M221" s="18">
        <f>РПЗ!O221</f>
        <v>42887</v>
      </c>
      <c r="N221" s="238">
        <f>Таблица5[[#This Row],[10]]</f>
        <v>42887</v>
      </c>
      <c r="O221" s="17"/>
      <c r="P221" s="17"/>
      <c r="Q221" s="17"/>
      <c r="R221" s="17"/>
      <c r="S221" s="17"/>
      <c r="T221" s="686"/>
      <c r="U221" s="18">
        <f>РПЗ!P221</f>
        <v>43071</v>
      </c>
      <c r="V221" s="686"/>
      <c r="W221" s="236">
        <f>РПЗ!L221</f>
        <v>180000</v>
      </c>
      <c r="X221" s="689"/>
      <c r="Y221" s="689"/>
      <c r="Z221" s="690"/>
      <c r="AA221" s="691"/>
      <c r="AB221" s="111"/>
      <c r="AC221" s="17"/>
      <c r="AD221" s="690"/>
      <c r="AE221" s="686"/>
      <c r="AF221" s="474"/>
      <c r="AG221" s="692"/>
      <c r="AH221" s="236" t="str">
        <f>IF(Таблица5[[#This Row],[30]]=0,"НД",Таблица5[[#This Row],[20]]-Таблица5[[#This Row],[30]])</f>
        <v>НД</v>
      </c>
      <c r="AI221" s="511" t="str">
        <f>IF(((1-Таблица5[[#This Row],[30]]/Таблица5[[#This Row],[20]])=1),"НД",(1-Таблица5[[#This Row],[30]]/Таблица5[[#This Row],[20]]))</f>
        <v>НД</v>
      </c>
      <c r="AJ221" s="111"/>
      <c r="AK221" s="111"/>
      <c r="AL221" s="512"/>
      <c r="AM221" s="513"/>
      <c r="AN221" s="465"/>
      <c r="AO221" s="468" t="str">
        <f>РПЗ!AD221</f>
        <v>Нет</v>
      </c>
      <c r="AP221" s="472">
        <f>РПЗ!V221</f>
        <v>0</v>
      </c>
      <c r="AQ221" s="470">
        <f>IF(Таблица5[[#This Row],[11]]=0,,MONTH(Таблица5[[#This Row],[11]]))</f>
        <v>6</v>
      </c>
    </row>
    <row r="222" spans="1:43" ht="39" thickBot="1" x14ac:dyDescent="0.3">
      <c r="A222" s="233" t="str">
        <f t="shared" si="3"/>
        <v>1004-2017-00207</v>
      </c>
      <c r="B222" s="233" t="str">
        <f>РПЗ!$D222</f>
        <v>1004-2017-00207Поставка Калибратор переменного напряжения Н5-5</v>
      </c>
      <c r="C222" s="233" t="str">
        <f>РПЗ!$AA222</f>
        <v>АО "НИИ "Полюс" им. М.Ф. Стельмаха" тел. отдела закупок 8-495-333-05-02</v>
      </c>
      <c r="D222" s="633" t="str">
        <f>РПЗ!$AB222</f>
        <v>Заказчик</v>
      </c>
      <c r="E222" s="96" t="s">
        <v>46</v>
      </c>
      <c r="F222" s="233" t="str">
        <f>РПЗ!Q222</f>
        <v>ОЗК</v>
      </c>
      <c r="G222" s="237"/>
      <c r="H222" s="237" t="str">
        <f>РПЗ!R222</f>
        <v>да</v>
      </c>
      <c r="I222" s="15">
        <f>РПЗ!W222</f>
        <v>0</v>
      </c>
      <c r="J222" s="233">
        <f>РПЗ!X222</f>
        <v>0</v>
      </c>
      <c r="K222" s="283">
        <f>РПЗ!Z222</f>
        <v>0</v>
      </c>
      <c r="L222" s="17"/>
      <c r="M222" s="18">
        <f>РПЗ!O222</f>
        <v>42948</v>
      </c>
      <c r="N222" s="238">
        <f>Таблица5[[#This Row],[10]]</f>
        <v>42948</v>
      </c>
      <c r="O222" s="17"/>
      <c r="P222" s="17"/>
      <c r="Q222" s="17"/>
      <c r="R222" s="17"/>
      <c r="S222" s="17"/>
      <c r="T222" s="686"/>
      <c r="U222" s="18">
        <f>РПЗ!P222</f>
        <v>43072</v>
      </c>
      <c r="V222" s="686"/>
      <c r="W222" s="236">
        <f>РПЗ!L222</f>
        <v>2450000</v>
      </c>
      <c r="X222" s="689"/>
      <c r="Y222" s="689"/>
      <c r="Z222" s="690"/>
      <c r="AA222" s="691"/>
      <c r="AB222" s="111"/>
      <c r="AC222" s="17"/>
      <c r="AD222" s="690"/>
      <c r="AE222" s="686"/>
      <c r="AF222" s="474"/>
      <c r="AG222" s="692"/>
      <c r="AH222" s="236" t="str">
        <f>IF(Таблица5[[#This Row],[30]]=0,"НД",Таблица5[[#This Row],[20]]-Таблица5[[#This Row],[30]])</f>
        <v>НД</v>
      </c>
      <c r="AI222" s="511" t="str">
        <f>IF(((1-Таблица5[[#This Row],[30]]/Таблица5[[#This Row],[20]])=1),"НД",(1-Таблица5[[#This Row],[30]]/Таблица5[[#This Row],[20]]))</f>
        <v>НД</v>
      </c>
      <c r="AJ222" s="111"/>
      <c r="AK222" s="111"/>
      <c r="AL222" s="512"/>
      <c r="AM222" s="513"/>
      <c r="AN222" s="465"/>
      <c r="AO222" s="468" t="str">
        <f>РПЗ!AD222</f>
        <v>Нет</v>
      </c>
      <c r="AP222" s="472">
        <f>РПЗ!V222</f>
        <v>0</v>
      </c>
      <c r="AQ222" s="470">
        <f>IF(Таблица5[[#This Row],[11]]=0,,MONTH(Таблица5[[#This Row],[11]]))</f>
        <v>8</v>
      </c>
    </row>
    <row r="223" spans="1:43" ht="51.75" thickBot="1" x14ac:dyDescent="0.3">
      <c r="A223" s="233" t="str">
        <f t="shared" si="3"/>
        <v>1004-2017-00208</v>
      </c>
      <c r="B223" s="233" t="str">
        <f>РПЗ!$D223</f>
        <v>1004-2017-00208Поставка Ручной инструмент до 1000 Вольт, расходные материалы и электроинструмент</v>
      </c>
      <c r="C223" s="233" t="str">
        <f>РПЗ!$AA223</f>
        <v>АО "НИИ "Полюс" им. М.Ф. Стельмаха" тел. отдела закупок 8-495-333-05-02</v>
      </c>
      <c r="D223" s="633" t="str">
        <f>РПЗ!$AB223</f>
        <v>Заказчик</v>
      </c>
      <c r="E223" s="96" t="s">
        <v>46</v>
      </c>
      <c r="F223" s="233" t="str">
        <f>РПЗ!Q223</f>
        <v>ОЗК</v>
      </c>
      <c r="G223" s="237"/>
      <c r="H223" s="237" t="str">
        <f>РПЗ!R223</f>
        <v>да</v>
      </c>
      <c r="I223" s="15">
        <f>РПЗ!W223</f>
        <v>0</v>
      </c>
      <c r="J223" s="233">
        <f>РПЗ!X223</f>
        <v>0</v>
      </c>
      <c r="K223" s="283">
        <f>РПЗ!Z223</f>
        <v>0</v>
      </c>
      <c r="L223" s="17"/>
      <c r="M223" s="18">
        <f>РПЗ!O223</f>
        <v>42767</v>
      </c>
      <c r="N223" s="238">
        <f>Таблица5[[#This Row],[10]]</f>
        <v>42767</v>
      </c>
      <c r="O223" s="17"/>
      <c r="P223" s="17"/>
      <c r="Q223" s="17"/>
      <c r="R223" s="17"/>
      <c r="S223" s="17"/>
      <c r="T223" s="686"/>
      <c r="U223" s="18">
        <f>РПЗ!P223</f>
        <v>43073</v>
      </c>
      <c r="V223" s="686"/>
      <c r="W223" s="236">
        <f>РПЗ!L223</f>
        <v>150000</v>
      </c>
      <c r="X223" s="689"/>
      <c r="Y223" s="689"/>
      <c r="Z223" s="690"/>
      <c r="AA223" s="691"/>
      <c r="AB223" s="111"/>
      <c r="AC223" s="17"/>
      <c r="AD223" s="690"/>
      <c r="AE223" s="686"/>
      <c r="AF223" s="474"/>
      <c r="AG223" s="692"/>
      <c r="AH223" s="236" t="str">
        <f>IF(Таблица5[[#This Row],[30]]=0,"НД",Таблица5[[#This Row],[20]]-Таблица5[[#This Row],[30]])</f>
        <v>НД</v>
      </c>
      <c r="AI223" s="511" t="str">
        <f>IF(((1-Таблица5[[#This Row],[30]]/Таблица5[[#This Row],[20]])=1),"НД",(1-Таблица5[[#This Row],[30]]/Таблица5[[#This Row],[20]]))</f>
        <v>НД</v>
      </c>
      <c r="AJ223" s="111"/>
      <c r="AK223" s="111"/>
      <c r="AL223" s="512"/>
      <c r="AM223" s="513"/>
      <c r="AN223" s="465"/>
      <c r="AO223" s="468" t="str">
        <f>РПЗ!AD223</f>
        <v>Нет</v>
      </c>
      <c r="AP223" s="472">
        <f>РПЗ!V223</f>
        <v>0</v>
      </c>
      <c r="AQ223" s="470">
        <f>IF(Таблица5[[#This Row],[11]]=0,,MONTH(Таблица5[[#This Row],[11]]))</f>
        <v>2</v>
      </c>
    </row>
    <row r="224" spans="1:43" ht="39" thickBot="1" x14ac:dyDescent="0.3">
      <c r="A224" s="233" t="str">
        <f t="shared" si="3"/>
        <v>1004-2017-00209</v>
      </c>
      <c r="B224" s="233" t="str">
        <f>РПЗ!$D224</f>
        <v xml:space="preserve">1004-2017-00209Поставка Огнетушители </v>
      </c>
      <c r="C224" s="233" t="str">
        <f>РПЗ!$AA224</f>
        <v>АО "НИИ "Полюс" им. М.Ф. Стельмаха" тел. отдела закупок 8-495-333-05-02</v>
      </c>
      <c r="D224" s="633" t="str">
        <f>РПЗ!$AB224</f>
        <v>Заказчик</v>
      </c>
      <c r="E224" s="96" t="s">
        <v>46</v>
      </c>
      <c r="F224" s="233" t="str">
        <f>РПЗ!Q224</f>
        <v>ОЗК</v>
      </c>
      <c r="G224" s="237"/>
      <c r="H224" s="237" t="str">
        <f>РПЗ!R224</f>
        <v>да</v>
      </c>
      <c r="I224" s="15">
        <f>РПЗ!W224</f>
        <v>0</v>
      </c>
      <c r="J224" s="233">
        <f>РПЗ!X224</f>
        <v>0</v>
      </c>
      <c r="K224" s="283">
        <f>РПЗ!Z224</f>
        <v>0</v>
      </c>
      <c r="L224" s="17"/>
      <c r="M224" s="18">
        <f>РПЗ!O224</f>
        <v>42795</v>
      </c>
      <c r="N224" s="238">
        <f>Таблица5[[#This Row],[10]]</f>
        <v>42795</v>
      </c>
      <c r="O224" s="17"/>
      <c r="P224" s="17"/>
      <c r="Q224" s="17"/>
      <c r="R224" s="17"/>
      <c r="S224" s="17"/>
      <c r="T224" s="686"/>
      <c r="U224" s="18">
        <f>РПЗ!P224</f>
        <v>43074</v>
      </c>
      <c r="V224" s="686"/>
      <c r="W224" s="236">
        <f>РПЗ!L224</f>
        <v>160000</v>
      </c>
      <c r="X224" s="689"/>
      <c r="Y224" s="689"/>
      <c r="Z224" s="690"/>
      <c r="AA224" s="691"/>
      <c r="AB224" s="111"/>
      <c r="AC224" s="17"/>
      <c r="AD224" s="690"/>
      <c r="AE224" s="686"/>
      <c r="AF224" s="474"/>
      <c r="AG224" s="692"/>
      <c r="AH224" s="236" t="str">
        <f>IF(Таблица5[[#This Row],[30]]=0,"НД",Таблица5[[#This Row],[20]]-Таблица5[[#This Row],[30]])</f>
        <v>НД</v>
      </c>
      <c r="AI224" s="511" t="str">
        <f>IF(((1-Таблица5[[#This Row],[30]]/Таблица5[[#This Row],[20]])=1),"НД",(1-Таблица5[[#This Row],[30]]/Таблица5[[#This Row],[20]]))</f>
        <v>НД</v>
      </c>
      <c r="AJ224" s="111"/>
      <c r="AK224" s="111"/>
      <c r="AL224" s="512"/>
      <c r="AM224" s="513"/>
      <c r="AN224" s="465"/>
      <c r="AO224" s="468" t="str">
        <f>РПЗ!AD224</f>
        <v>Нет</v>
      </c>
      <c r="AP224" s="472">
        <f>РПЗ!V224</f>
        <v>0</v>
      </c>
      <c r="AQ224" s="470">
        <f>IF(Таблица5[[#This Row],[11]]=0,,MONTH(Таблица5[[#This Row],[11]]))</f>
        <v>3</v>
      </c>
    </row>
    <row r="225" spans="1:43" ht="39" thickBot="1" x14ac:dyDescent="0.3">
      <c r="A225" s="233" t="str">
        <f t="shared" si="3"/>
        <v>1004-2017-00210</v>
      </c>
      <c r="B225" s="233" t="str">
        <f>РПЗ!$D225</f>
        <v>1004-2017-00210Поставка Пожарное оборудование и инвентарь</v>
      </c>
      <c r="C225" s="233" t="str">
        <f>РПЗ!$AA225</f>
        <v>АО "НИИ "Полюс" им. М.Ф. Стельмаха" тел. отдела закупок 8-495-333-05-02</v>
      </c>
      <c r="D225" s="633" t="str">
        <f>РПЗ!$AB225</f>
        <v>Заказчик</v>
      </c>
      <c r="E225" s="96" t="s">
        <v>46</v>
      </c>
      <c r="F225" s="233" t="str">
        <f>РПЗ!Q225</f>
        <v>ОЗК</v>
      </c>
      <c r="G225" s="237"/>
      <c r="H225" s="237" t="str">
        <f>РПЗ!R225</f>
        <v>да</v>
      </c>
      <c r="I225" s="15">
        <f>РПЗ!W225</f>
        <v>0</v>
      </c>
      <c r="J225" s="233">
        <f>РПЗ!X225</f>
        <v>0</v>
      </c>
      <c r="K225" s="283">
        <f>РПЗ!Z225</f>
        <v>0</v>
      </c>
      <c r="L225" s="17"/>
      <c r="M225" s="18">
        <f>РПЗ!O225</f>
        <v>42887</v>
      </c>
      <c r="N225" s="238">
        <f>Таблица5[[#This Row],[10]]</f>
        <v>42887</v>
      </c>
      <c r="O225" s="17"/>
      <c r="P225" s="17"/>
      <c r="Q225" s="17"/>
      <c r="R225" s="17"/>
      <c r="S225" s="17"/>
      <c r="T225" s="686"/>
      <c r="U225" s="18">
        <f>РПЗ!P225</f>
        <v>43075</v>
      </c>
      <c r="V225" s="686"/>
      <c r="W225" s="236">
        <f>РПЗ!L225</f>
        <v>459500</v>
      </c>
      <c r="X225" s="689"/>
      <c r="Y225" s="689"/>
      <c r="Z225" s="690"/>
      <c r="AA225" s="691"/>
      <c r="AB225" s="111"/>
      <c r="AC225" s="17"/>
      <c r="AD225" s="690"/>
      <c r="AE225" s="686"/>
      <c r="AF225" s="474"/>
      <c r="AG225" s="692"/>
      <c r="AH225" s="236" t="str">
        <f>IF(Таблица5[[#This Row],[30]]=0,"НД",Таблица5[[#This Row],[20]]-Таблица5[[#This Row],[30]])</f>
        <v>НД</v>
      </c>
      <c r="AI225" s="511" t="str">
        <f>IF(((1-Таблица5[[#This Row],[30]]/Таблица5[[#This Row],[20]])=1),"НД",(1-Таблица5[[#This Row],[30]]/Таблица5[[#This Row],[20]]))</f>
        <v>НД</v>
      </c>
      <c r="AJ225" s="111"/>
      <c r="AK225" s="111"/>
      <c r="AL225" s="512"/>
      <c r="AM225" s="513"/>
      <c r="AN225" s="465"/>
      <c r="AO225" s="468" t="str">
        <f>РПЗ!AD225</f>
        <v>Нет</v>
      </c>
      <c r="AP225" s="472">
        <f>РПЗ!V225</f>
        <v>0</v>
      </c>
      <c r="AQ225" s="470">
        <f>IF(Таблица5[[#This Row],[11]]=0,,MONTH(Таблица5[[#This Row],[11]]))</f>
        <v>6</v>
      </c>
    </row>
    <row r="226" spans="1:43" ht="39" thickBot="1" x14ac:dyDescent="0.3">
      <c r="A226" s="233" t="str">
        <f t="shared" si="3"/>
        <v>1004-2017-00211</v>
      </c>
      <c r="B226" s="233" t="str">
        <f>РПЗ!$D226</f>
        <v>1004-2017-00211Поставка Металллорежущий инструмент  Iscar</v>
      </c>
      <c r="C226" s="233" t="str">
        <f>РПЗ!$AA226</f>
        <v>АО "НИИ "Полюс" им. М.Ф. Стельмаха" тел. отдела закупок 8-495-333-05-02</v>
      </c>
      <c r="D226" s="633" t="str">
        <f>РПЗ!$AB226</f>
        <v>Заказчик</v>
      </c>
      <c r="E226" s="96" t="s">
        <v>46</v>
      </c>
      <c r="F226" s="233" t="str">
        <f>РПЗ!Q226</f>
        <v>ОЗК</v>
      </c>
      <c r="G226" s="237"/>
      <c r="H226" s="237" t="str">
        <f>РПЗ!R226</f>
        <v>да</v>
      </c>
      <c r="I226" s="15">
        <f>РПЗ!W226</f>
        <v>0</v>
      </c>
      <c r="J226" s="233">
        <f>РПЗ!X226</f>
        <v>0</v>
      </c>
      <c r="K226" s="283">
        <f>РПЗ!Z226</f>
        <v>0</v>
      </c>
      <c r="L226" s="17"/>
      <c r="M226" s="18">
        <f>РПЗ!O226</f>
        <v>42767</v>
      </c>
      <c r="N226" s="238">
        <f>Таблица5[[#This Row],[10]]</f>
        <v>42767</v>
      </c>
      <c r="O226" s="17"/>
      <c r="P226" s="17"/>
      <c r="Q226" s="17"/>
      <c r="R226" s="17"/>
      <c r="S226" s="17"/>
      <c r="T226" s="686"/>
      <c r="U226" s="18">
        <f>РПЗ!P226</f>
        <v>43076</v>
      </c>
      <c r="V226" s="686"/>
      <c r="W226" s="236">
        <f>РПЗ!L226</f>
        <v>2500000</v>
      </c>
      <c r="X226" s="689"/>
      <c r="Y226" s="689"/>
      <c r="Z226" s="690"/>
      <c r="AA226" s="691"/>
      <c r="AB226" s="111"/>
      <c r="AC226" s="17"/>
      <c r="AD226" s="690"/>
      <c r="AE226" s="686"/>
      <c r="AF226" s="474"/>
      <c r="AG226" s="692"/>
      <c r="AH226" s="236" t="str">
        <f>IF(Таблица5[[#This Row],[30]]=0,"НД",Таблица5[[#This Row],[20]]-Таблица5[[#This Row],[30]])</f>
        <v>НД</v>
      </c>
      <c r="AI226" s="511" t="str">
        <f>IF(((1-Таблица5[[#This Row],[30]]/Таблица5[[#This Row],[20]])=1),"НД",(1-Таблица5[[#This Row],[30]]/Таблица5[[#This Row],[20]]))</f>
        <v>НД</v>
      </c>
      <c r="AJ226" s="111"/>
      <c r="AK226" s="111"/>
      <c r="AL226" s="512"/>
      <c r="AM226" s="513"/>
      <c r="AN226" s="465"/>
      <c r="AO226" s="468" t="str">
        <f>РПЗ!AD226</f>
        <v>Нет</v>
      </c>
      <c r="AP226" s="472">
        <f>РПЗ!V226</f>
        <v>0</v>
      </c>
      <c r="AQ226" s="470">
        <f>IF(Таблица5[[#This Row],[11]]=0,,MONTH(Таблица5[[#This Row],[11]]))</f>
        <v>2</v>
      </c>
    </row>
    <row r="227" spans="1:43" ht="39" thickBot="1" x14ac:dyDescent="0.3">
      <c r="A227" s="233" t="str">
        <f t="shared" si="3"/>
        <v>1004-2017-00212</v>
      </c>
      <c r="B227" s="233" t="str">
        <f>РПЗ!$D227</f>
        <v>1004-2017-00212 Поставка Металллорежущий инструмент  Iscar</v>
      </c>
      <c r="C227" s="233" t="str">
        <f>РПЗ!$AA227</f>
        <v>АО "НИИ "Полюс" им. М.Ф. Стельмаха" тел. отдела закупок 8-495-333-05-02</v>
      </c>
      <c r="D227" s="633" t="str">
        <f>РПЗ!$AB227</f>
        <v>Заказчик</v>
      </c>
      <c r="E227" s="96" t="s">
        <v>46</v>
      </c>
      <c r="F227" s="233" t="str">
        <f>РПЗ!Q227</f>
        <v>ОЗК</v>
      </c>
      <c r="G227" s="237"/>
      <c r="H227" s="237" t="str">
        <f>РПЗ!R227</f>
        <v>да</v>
      </c>
      <c r="I227" s="15">
        <f>РПЗ!W227</f>
        <v>0</v>
      </c>
      <c r="J227" s="233">
        <f>РПЗ!X227</f>
        <v>0</v>
      </c>
      <c r="K227" s="283">
        <f>РПЗ!Z227</f>
        <v>0</v>
      </c>
      <c r="L227" s="17"/>
      <c r="M227" s="18">
        <f>РПЗ!O227</f>
        <v>42887</v>
      </c>
      <c r="N227" s="238">
        <f>Таблица5[[#This Row],[10]]</f>
        <v>42887</v>
      </c>
      <c r="O227" s="17"/>
      <c r="P227" s="17"/>
      <c r="Q227" s="17"/>
      <c r="R227" s="17"/>
      <c r="S227" s="17"/>
      <c r="T227" s="686"/>
      <c r="U227" s="18">
        <f>РПЗ!P227</f>
        <v>43077</v>
      </c>
      <c r="V227" s="686"/>
      <c r="W227" s="236">
        <f>РПЗ!L227</f>
        <v>2500000</v>
      </c>
      <c r="X227" s="689"/>
      <c r="Y227" s="689"/>
      <c r="Z227" s="690"/>
      <c r="AA227" s="691"/>
      <c r="AB227" s="111"/>
      <c r="AC227" s="17"/>
      <c r="AD227" s="690"/>
      <c r="AE227" s="686"/>
      <c r="AF227" s="474"/>
      <c r="AG227" s="692"/>
      <c r="AH227" s="236" t="str">
        <f>IF(Таблица5[[#This Row],[30]]=0,"НД",Таблица5[[#This Row],[20]]-Таблица5[[#This Row],[30]])</f>
        <v>НД</v>
      </c>
      <c r="AI227" s="511" t="str">
        <f>IF(((1-Таблица5[[#This Row],[30]]/Таблица5[[#This Row],[20]])=1),"НД",(1-Таблица5[[#This Row],[30]]/Таблица5[[#This Row],[20]]))</f>
        <v>НД</v>
      </c>
      <c r="AJ227" s="111"/>
      <c r="AK227" s="111"/>
      <c r="AL227" s="512"/>
      <c r="AM227" s="513"/>
      <c r="AN227" s="465"/>
      <c r="AO227" s="468" t="str">
        <f>РПЗ!AD227</f>
        <v>Нет</v>
      </c>
      <c r="AP227" s="472">
        <f>РПЗ!V227</f>
        <v>0</v>
      </c>
      <c r="AQ227" s="470">
        <f>IF(Таблица5[[#This Row],[11]]=0,,MONTH(Таблица5[[#This Row],[11]]))</f>
        <v>6</v>
      </c>
    </row>
    <row r="228" spans="1:43" ht="39" thickBot="1" x14ac:dyDescent="0.3">
      <c r="A228" s="233" t="str">
        <f t="shared" si="3"/>
        <v>1004-2017-00213</v>
      </c>
      <c r="B228" s="233" t="str">
        <f>РПЗ!$D228</f>
        <v>1004-2017-00213Поставка Металллорежущий инструмент  Iscar</v>
      </c>
      <c r="C228" s="233" t="str">
        <f>РПЗ!$AA228</f>
        <v>АО "НИИ "Полюс" им. М.Ф. Стельмаха" тел. отдела закупок 8-495-333-05-02</v>
      </c>
      <c r="D228" s="633" t="str">
        <f>РПЗ!$AB228</f>
        <v>Заказчик</v>
      </c>
      <c r="E228" s="96" t="s">
        <v>46</v>
      </c>
      <c r="F228" s="233" t="str">
        <f>РПЗ!Q228</f>
        <v>ОЗК</v>
      </c>
      <c r="G228" s="237"/>
      <c r="H228" s="237" t="str">
        <f>РПЗ!R228</f>
        <v>да</v>
      </c>
      <c r="I228" s="15">
        <f>РПЗ!W228</f>
        <v>0</v>
      </c>
      <c r="J228" s="233">
        <f>РПЗ!X228</f>
        <v>0</v>
      </c>
      <c r="K228" s="283">
        <f>РПЗ!Z228</f>
        <v>0</v>
      </c>
      <c r="L228" s="17"/>
      <c r="M228" s="18">
        <f>РПЗ!O228</f>
        <v>42979</v>
      </c>
      <c r="N228" s="238">
        <f>Таблица5[[#This Row],[10]]</f>
        <v>42979</v>
      </c>
      <c r="O228" s="17"/>
      <c r="P228" s="17"/>
      <c r="Q228" s="17"/>
      <c r="R228" s="17"/>
      <c r="S228" s="17"/>
      <c r="T228" s="686"/>
      <c r="U228" s="18">
        <f>РПЗ!P228</f>
        <v>43078</v>
      </c>
      <c r="V228" s="686"/>
      <c r="W228" s="236">
        <f>РПЗ!L228</f>
        <v>3000000</v>
      </c>
      <c r="X228" s="689"/>
      <c r="Y228" s="689"/>
      <c r="Z228" s="690"/>
      <c r="AA228" s="691"/>
      <c r="AB228" s="111"/>
      <c r="AC228" s="17"/>
      <c r="AD228" s="690"/>
      <c r="AE228" s="686"/>
      <c r="AF228" s="474"/>
      <c r="AG228" s="692"/>
      <c r="AH228" s="236" t="str">
        <f>IF(Таблица5[[#This Row],[30]]=0,"НД",Таблица5[[#This Row],[20]]-Таблица5[[#This Row],[30]])</f>
        <v>НД</v>
      </c>
      <c r="AI228" s="511" t="str">
        <f>IF(((1-Таблица5[[#This Row],[30]]/Таблица5[[#This Row],[20]])=1),"НД",(1-Таблица5[[#This Row],[30]]/Таблица5[[#This Row],[20]]))</f>
        <v>НД</v>
      </c>
      <c r="AJ228" s="111"/>
      <c r="AK228" s="111"/>
      <c r="AL228" s="512"/>
      <c r="AM228" s="513"/>
      <c r="AN228" s="465"/>
      <c r="AO228" s="468" t="str">
        <f>РПЗ!AD228</f>
        <v>Нет</v>
      </c>
      <c r="AP228" s="472">
        <f>РПЗ!V228</f>
        <v>0</v>
      </c>
      <c r="AQ228" s="470">
        <f>IF(Таблица5[[#This Row],[11]]=0,,MONTH(Таблица5[[#This Row],[11]]))</f>
        <v>9</v>
      </c>
    </row>
    <row r="229" spans="1:43" ht="39" thickBot="1" x14ac:dyDescent="0.3">
      <c r="A229" s="233" t="str">
        <f t="shared" si="3"/>
        <v>1004-2017-00214</v>
      </c>
      <c r="B229" s="233" t="str">
        <f>РПЗ!$D229</f>
        <v>1004-2017-00214Поставка Металллорежущий инструмент  Iscar</v>
      </c>
      <c r="C229" s="233" t="str">
        <f>РПЗ!$AA229</f>
        <v>АО "НИИ "Полюс" им. М.Ф. Стельмаха" тел. отдела закупок 8-495-333-05-02</v>
      </c>
      <c r="D229" s="633" t="str">
        <f>РПЗ!$AB229</f>
        <v>Заказчик</v>
      </c>
      <c r="E229" s="96" t="s">
        <v>46</v>
      </c>
      <c r="F229" s="233" t="str">
        <f>РПЗ!Q229</f>
        <v>ОЗК</v>
      </c>
      <c r="G229" s="237"/>
      <c r="H229" s="237" t="str">
        <f>РПЗ!R229</f>
        <v>да</v>
      </c>
      <c r="I229" s="15">
        <f>РПЗ!W229</f>
        <v>0</v>
      </c>
      <c r="J229" s="233">
        <f>РПЗ!X229</f>
        <v>0</v>
      </c>
      <c r="K229" s="283">
        <f>РПЗ!Z229</f>
        <v>0</v>
      </c>
      <c r="L229" s="17"/>
      <c r="M229" s="18">
        <f>РПЗ!O229</f>
        <v>43040</v>
      </c>
      <c r="N229" s="238">
        <f>Таблица5[[#This Row],[10]]</f>
        <v>43040</v>
      </c>
      <c r="O229" s="17"/>
      <c r="P229" s="17"/>
      <c r="Q229" s="17"/>
      <c r="R229" s="17"/>
      <c r="S229" s="17"/>
      <c r="T229" s="686"/>
      <c r="U229" s="18">
        <f>РПЗ!P229</f>
        <v>43079</v>
      </c>
      <c r="V229" s="686"/>
      <c r="W229" s="236">
        <f>РПЗ!L229</f>
        <v>2800000</v>
      </c>
      <c r="X229" s="689"/>
      <c r="Y229" s="689"/>
      <c r="Z229" s="690"/>
      <c r="AA229" s="691"/>
      <c r="AB229" s="111"/>
      <c r="AC229" s="17"/>
      <c r="AD229" s="690"/>
      <c r="AE229" s="686"/>
      <c r="AF229" s="474"/>
      <c r="AG229" s="692"/>
      <c r="AH229" s="236" t="str">
        <f>IF(Таблица5[[#This Row],[30]]=0,"НД",Таблица5[[#This Row],[20]]-Таблица5[[#This Row],[30]])</f>
        <v>НД</v>
      </c>
      <c r="AI229" s="511" t="str">
        <f>IF(((1-Таблица5[[#This Row],[30]]/Таблица5[[#This Row],[20]])=1),"НД",(1-Таблица5[[#This Row],[30]]/Таблица5[[#This Row],[20]]))</f>
        <v>НД</v>
      </c>
      <c r="AJ229" s="111"/>
      <c r="AK229" s="111"/>
      <c r="AL229" s="512"/>
      <c r="AM229" s="513"/>
      <c r="AN229" s="465"/>
      <c r="AO229" s="468" t="str">
        <f>РПЗ!AD229</f>
        <v>Нет</v>
      </c>
      <c r="AP229" s="472">
        <f>РПЗ!V229</f>
        <v>0</v>
      </c>
      <c r="AQ229" s="470">
        <f>IF(Таблица5[[#This Row],[11]]=0,,MONTH(Таблица5[[#This Row],[11]]))</f>
        <v>11</v>
      </c>
    </row>
    <row r="230" spans="1:43" ht="39" thickBot="1" x14ac:dyDescent="0.3">
      <c r="A230" s="233" t="str">
        <f t="shared" si="3"/>
        <v>1004-2017-00215</v>
      </c>
      <c r="B230" s="233" t="str">
        <f>РПЗ!$D230</f>
        <v>1004-2017-00215Поставка Комплекты метчиков для труднообрабатываемых материалов</v>
      </c>
      <c r="C230" s="233" t="str">
        <f>РПЗ!$AA230</f>
        <v>АО "НИИ "Полюс" им. М.Ф. Стельмаха" тел. отдела закупок 8-495-333-05-02</v>
      </c>
      <c r="D230" s="633" t="str">
        <f>РПЗ!$AB230</f>
        <v>Заказчик</v>
      </c>
      <c r="E230" s="96" t="s">
        <v>46</v>
      </c>
      <c r="F230" s="233" t="str">
        <f>РПЗ!Q230</f>
        <v>ОЗК</v>
      </c>
      <c r="G230" s="237"/>
      <c r="H230" s="237" t="str">
        <f>РПЗ!R230</f>
        <v>да</v>
      </c>
      <c r="I230" s="15">
        <f>РПЗ!W230</f>
        <v>0</v>
      </c>
      <c r="J230" s="233">
        <f>РПЗ!X230</f>
        <v>0</v>
      </c>
      <c r="K230" s="283">
        <f>РПЗ!Z230</f>
        <v>0</v>
      </c>
      <c r="L230" s="17"/>
      <c r="M230" s="18">
        <f>РПЗ!O230</f>
        <v>42767</v>
      </c>
      <c r="N230" s="238">
        <f>Таблица5[[#This Row],[10]]</f>
        <v>42767</v>
      </c>
      <c r="O230" s="17"/>
      <c r="P230" s="17"/>
      <c r="Q230" s="17"/>
      <c r="R230" s="17"/>
      <c r="S230" s="17"/>
      <c r="T230" s="686"/>
      <c r="U230" s="18">
        <f>РПЗ!P230</f>
        <v>43080</v>
      </c>
      <c r="V230" s="686"/>
      <c r="W230" s="236">
        <f>РПЗ!L230</f>
        <v>360000</v>
      </c>
      <c r="X230" s="689"/>
      <c r="Y230" s="689"/>
      <c r="Z230" s="690"/>
      <c r="AA230" s="691"/>
      <c r="AB230" s="111"/>
      <c r="AC230" s="17"/>
      <c r="AD230" s="690"/>
      <c r="AE230" s="686"/>
      <c r="AF230" s="474"/>
      <c r="AG230" s="692"/>
      <c r="AH230" s="236" t="str">
        <f>IF(Таблица5[[#This Row],[30]]=0,"НД",Таблица5[[#This Row],[20]]-Таблица5[[#This Row],[30]])</f>
        <v>НД</v>
      </c>
      <c r="AI230" s="511" t="str">
        <f>IF(((1-Таблица5[[#This Row],[30]]/Таблица5[[#This Row],[20]])=1),"НД",(1-Таблица5[[#This Row],[30]]/Таблица5[[#This Row],[20]]))</f>
        <v>НД</v>
      </c>
      <c r="AJ230" s="111"/>
      <c r="AK230" s="111"/>
      <c r="AL230" s="512"/>
      <c r="AM230" s="513"/>
      <c r="AN230" s="465"/>
      <c r="AO230" s="468" t="str">
        <f>РПЗ!AD230</f>
        <v>Нет</v>
      </c>
      <c r="AP230" s="472">
        <f>РПЗ!V230</f>
        <v>0</v>
      </c>
      <c r="AQ230" s="470">
        <f>IF(Таблица5[[#This Row],[11]]=0,,MONTH(Таблица5[[#This Row],[11]]))</f>
        <v>2</v>
      </c>
    </row>
    <row r="231" spans="1:43" ht="39" thickBot="1" x14ac:dyDescent="0.3">
      <c r="A231" s="233" t="str">
        <f t="shared" si="3"/>
        <v>1004-2017-00216</v>
      </c>
      <c r="B231" s="233" t="str">
        <f>РПЗ!$D231</f>
        <v>1004-2017-00216Поставка Комплекты метчиков для труднообрабатываемых материалов</v>
      </c>
      <c r="C231" s="233" t="str">
        <f>РПЗ!$AA231</f>
        <v>АО "НИИ "Полюс" им. М.Ф. Стельмаха" тел. отдела закупок 8-495-333-05-02</v>
      </c>
      <c r="D231" s="633" t="str">
        <f>РПЗ!$AB231</f>
        <v>Заказчик</v>
      </c>
      <c r="E231" s="96" t="s">
        <v>46</v>
      </c>
      <c r="F231" s="233" t="str">
        <f>РПЗ!Q231</f>
        <v>ОЗК</v>
      </c>
      <c r="G231" s="237"/>
      <c r="H231" s="237" t="str">
        <f>РПЗ!R231</f>
        <v>да</v>
      </c>
      <c r="I231" s="15">
        <f>РПЗ!W231</f>
        <v>0</v>
      </c>
      <c r="J231" s="233">
        <f>РПЗ!X231</f>
        <v>0</v>
      </c>
      <c r="K231" s="283">
        <f>РПЗ!Z231</f>
        <v>0</v>
      </c>
      <c r="L231" s="17"/>
      <c r="M231" s="18">
        <f>РПЗ!O231</f>
        <v>42887</v>
      </c>
      <c r="N231" s="238">
        <f>Таблица5[[#This Row],[10]]</f>
        <v>42887</v>
      </c>
      <c r="O231" s="17"/>
      <c r="P231" s="17"/>
      <c r="Q231" s="17"/>
      <c r="R231" s="17"/>
      <c r="S231" s="17"/>
      <c r="T231" s="686"/>
      <c r="U231" s="18">
        <f>РПЗ!P231</f>
        <v>43081</v>
      </c>
      <c r="V231" s="686"/>
      <c r="W231" s="236">
        <f>РПЗ!L231</f>
        <v>360000</v>
      </c>
      <c r="X231" s="689"/>
      <c r="Y231" s="689"/>
      <c r="Z231" s="690"/>
      <c r="AA231" s="691"/>
      <c r="AB231" s="111"/>
      <c r="AC231" s="17"/>
      <c r="AD231" s="690"/>
      <c r="AE231" s="686"/>
      <c r="AF231" s="474"/>
      <c r="AG231" s="692"/>
      <c r="AH231" s="236" t="str">
        <f>IF(Таблица5[[#This Row],[30]]=0,"НД",Таблица5[[#This Row],[20]]-Таблица5[[#This Row],[30]])</f>
        <v>НД</v>
      </c>
      <c r="AI231" s="511" t="str">
        <f>IF(((1-Таблица5[[#This Row],[30]]/Таблица5[[#This Row],[20]])=1),"НД",(1-Таблица5[[#This Row],[30]]/Таблица5[[#This Row],[20]]))</f>
        <v>НД</v>
      </c>
      <c r="AJ231" s="111"/>
      <c r="AK231" s="111"/>
      <c r="AL231" s="512"/>
      <c r="AM231" s="513"/>
      <c r="AN231" s="465"/>
      <c r="AO231" s="468" t="str">
        <f>РПЗ!AD231</f>
        <v>Нет</v>
      </c>
      <c r="AP231" s="472">
        <f>РПЗ!V231</f>
        <v>0</v>
      </c>
      <c r="AQ231" s="470">
        <f>IF(Таблица5[[#This Row],[11]]=0,,MONTH(Таблица5[[#This Row],[11]]))</f>
        <v>6</v>
      </c>
    </row>
    <row r="232" spans="1:43" ht="39" thickBot="1" x14ac:dyDescent="0.3">
      <c r="A232" s="233" t="str">
        <f t="shared" si="3"/>
        <v>1004-2017-00217</v>
      </c>
      <c r="B232" s="233" t="str">
        <f>РПЗ!$D232</f>
        <v>1004-2017-00217Поставка Комплекты метчиков для труднообрабатываемых материалов</v>
      </c>
      <c r="C232" s="233" t="str">
        <f>РПЗ!$AA232</f>
        <v>АО "НИИ "Полюс" им. М.Ф. Стельмаха" тел. отдела закупок 8-495-333-05-02</v>
      </c>
      <c r="D232" s="633" t="str">
        <f>РПЗ!$AB232</f>
        <v>Заказчик</v>
      </c>
      <c r="E232" s="96" t="s">
        <v>46</v>
      </c>
      <c r="F232" s="233" t="str">
        <f>РПЗ!Q232</f>
        <v>ОЗК</v>
      </c>
      <c r="G232" s="237"/>
      <c r="H232" s="237" t="str">
        <f>РПЗ!R232</f>
        <v>да</v>
      </c>
      <c r="I232" s="15">
        <f>РПЗ!W232</f>
        <v>0</v>
      </c>
      <c r="J232" s="233">
        <f>РПЗ!X232</f>
        <v>0</v>
      </c>
      <c r="K232" s="283">
        <f>РПЗ!Z232</f>
        <v>0</v>
      </c>
      <c r="L232" s="17"/>
      <c r="M232" s="18">
        <f>РПЗ!O232</f>
        <v>42979</v>
      </c>
      <c r="N232" s="238">
        <f>Таблица5[[#This Row],[10]]</f>
        <v>42979</v>
      </c>
      <c r="O232" s="17"/>
      <c r="P232" s="17"/>
      <c r="Q232" s="17"/>
      <c r="R232" s="17"/>
      <c r="S232" s="17"/>
      <c r="T232" s="686"/>
      <c r="U232" s="18">
        <f>РПЗ!P232</f>
        <v>43082</v>
      </c>
      <c r="V232" s="686"/>
      <c r="W232" s="236">
        <f>РПЗ!L232</f>
        <v>360000</v>
      </c>
      <c r="X232" s="689"/>
      <c r="Y232" s="689"/>
      <c r="Z232" s="690"/>
      <c r="AA232" s="691"/>
      <c r="AB232" s="111"/>
      <c r="AC232" s="17"/>
      <c r="AD232" s="690"/>
      <c r="AE232" s="686"/>
      <c r="AF232" s="474"/>
      <c r="AG232" s="692"/>
      <c r="AH232" s="236" t="str">
        <f>IF(Таблица5[[#This Row],[30]]=0,"НД",Таблица5[[#This Row],[20]]-Таблица5[[#This Row],[30]])</f>
        <v>НД</v>
      </c>
      <c r="AI232" s="511" t="str">
        <f>IF(((1-Таблица5[[#This Row],[30]]/Таблица5[[#This Row],[20]])=1),"НД",(1-Таблица5[[#This Row],[30]]/Таблица5[[#This Row],[20]]))</f>
        <v>НД</v>
      </c>
      <c r="AJ232" s="111"/>
      <c r="AK232" s="111"/>
      <c r="AL232" s="512"/>
      <c r="AM232" s="513"/>
      <c r="AN232" s="465"/>
      <c r="AO232" s="468" t="str">
        <f>РПЗ!AD232</f>
        <v>Нет</v>
      </c>
      <c r="AP232" s="472">
        <f>РПЗ!V232</f>
        <v>0</v>
      </c>
      <c r="AQ232" s="470">
        <f>IF(Таблица5[[#This Row],[11]]=0,,MONTH(Таблица5[[#This Row],[11]]))</f>
        <v>9</v>
      </c>
    </row>
    <row r="233" spans="1:43" ht="39" thickBot="1" x14ac:dyDescent="0.3">
      <c r="A233" s="233" t="str">
        <f t="shared" si="3"/>
        <v>1004-2017-00218</v>
      </c>
      <c r="B233" s="233" t="str">
        <f>РПЗ!$D233</f>
        <v>1004-2017-00218Поставка Комплекты метчиков для труднообрабатываемых материалов</v>
      </c>
      <c r="C233" s="233" t="str">
        <f>РПЗ!$AA233</f>
        <v>АО "НИИ "Полюс" им. М.Ф. Стельмаха" тел. отдела закупок 8-495-333-05-02</v>
      </c>
      <c r="D233" s="633" t="str">
        <f>РПЗ!$AB233</f>
        <v>Заказчик</v>
      </c>
      <c r="E233" s="96" t="s">
        <v>46</v>
      </c>
      <c r="F233" s="233" t="str">
        <f>РПЗ!Q233</f>
        <v>ОЗК</v>
      </c>
      <c r="G233" s="237"/>
      <c r="H233" s="237" t="str">
        <f>РПЗ!R233</f>
        <v>да</v>
      </c>
      <c r="I233" s="15">
        <f>РПЗ!W233</f>
        <v>0</v>
      </c>
      <c r="J233" s="233">
        <f>РПЗ!X233</f>
        <v>0</v>
      </c>
      <c r="K233" s="283">
        <f>РПЗ!Z233</f>
        <v>0</v>
      </c>
      <c r="L233" s="17"/>
      <c r="M233" s="18">
        <f>РПЗ!O233</f>
        <v>43040</v>
      </c>
      <c r="N233" s="238">
        <f>Таблица5[[#This Row],[10]]</f>
        <v>43040</v>
      </c>
      <c r="O233" s="17"/>
      <c r="P233" s="17"/>
      <c r="Q233" s="17"/>
      <c r="R233" s="17"/>
      <c r="S233" s="17"/>
      <c r="T233" s="686"/>
      <c r="U233" s="18">
        <f>РПЗ!P233</f>
        <v>43083</v>
      </c>
      <c r="V233" s="686"/>
      <c r="W233" s="236">
        <f>РПЗ!L233</f>
        <v>360000</v>
      </c>
      <c r="X233" s="689"/>
      <c r="Y233" s="689"/>
      <c r="Z233" s="690"/>
      <c r="AA233" s="691"/>
      <c r="AB233" s="111"/>
      <c r="AC233" s="17"/>
      <c r="AD233" s="690"/>
      <c r="AE233" s="686"/>
      <c r="AF233" s="474"/>
      <c r="AG233" s="692"/>
      <c r="AH233" s="236" t="str">
        <f>IF(Таблица5[[#This Row],[30]]=0,"НД",Таблица5[[#This Row],[20]]-Таблица5[[#This Row],[30]])</f>
        <v>НД</v>
      </c>
      <c r="AI233" s="511" t="str">
        <f>IF(((1-Таблица5[[#This Row],[30]]/Таблица5[[#This Row],[20]])=1),"НД",(1-Таблица5[[#This Row],[30]]/Таблица5[[#This Row],[20]]))</f>
        <v>НД</v>
      </c>
      <c r="AJ233" s="111"/>
      <c r="AK233" s="111"/>
      <c r="AL233" s="512"/>
      <c r="AM233" s="513"/>
      <c r="AN233" s="465"/>
      <c r="AO233" s="468" t="str">
        <f>РПЗ!AD233</f>
        <v>Нет</v>
      </c>
      <c r="AP233" s="472">
        <f>РПЗ!V233</f>
        <v>0</v>
      </c>
      <c r="AQ233" s="470">
        <f>IF(Таблица5[[#This Row],[11]]=0,,MONTH(Таблица5[[#This Row],[11]]))</f>
        <v>11</v>
      </c>
    </row>
    <row r="234" spans="1:43" ht="39" thickBot="1" x14ac:dyDescent="0.3">
      <c r="A234" s="233" t="str">
        <f t="shared" si="3"/>
        <v>1004-2017-00219</v>
      </c>
      <c r="B234" s="233" t="str">
        <f>РПЗ!$D234</f>
        <v>1004-2017-00219Поставка Проволока для электроэррозионного станка</v>
      </c>
      <c r="C234" s="233" t="str">
        <f>РПЗ!$AA234</f>
        <v>АО "НИИ "Полюс" им. М.Ф. Стельмаха" тел. отдела закупок 8-495-333-05-02</v>
      </c>
      <c r="D234" s="633" t="str">
        <f>РПЗ!$AB234</f>
        <v>Заказчик</v>
      </c>
      <c r="E234" s="96" t="s">
        <v>46</v>
      </c>
      <c r="F234" s="233" t="str">
        <f>РПЗ!Q234</f>
        <v>ОЗК</v>
      </c>
      <c r="G234" s="237"/>
      <c r="H234" s="237" t="str">
        <f>РПЗ!R234</f>
        <v>да</v>
      </c>
      <c r="I234" s="15">
        <f>РПЗ!W234</f>
        <v>0</v>
      </c>
      <c r="J234" s="233">
        <f>РПЗ!X234</f>
        <v>0</v>
      </c>
      <c r="K234" s="283">
        <f>РПЗ!Z234</f>
        <v>0</v>
      </c>
      <c r="L234" s="17"/>
      <c r="M234" s="18">
        <f>РПЗ!O234</f>
        <v>42979</v>
      </c>
      <c r="N234" s="238">
        <f>Таблица5[[#This Row],[10]]</f>
        <v>42979</v>
      </c>
      <c r="O234" s="17"/>
      <c r="P234" s="17"/>
      <c r="Q234" s="17"/>
      <c r="R234" s="17"/>
      <c r="S234" s="17"/>
      <c r="T234" s="686"/>
      <c r="U234" s="18">
        <f>РПЗ!P234</f>
        <v>43084</v>
      </c>
      <c r="V234" s="686"/>
      <c r="W234" s="236">
        <f>РПЗ!L234</f>
        <v>145000</v>
      </c>
      <c r="X234" s="689"/>
      <c r="Y234" s="689"/>
      <c r="Z234" s="690"/>
      <c r="AA234" s="691"/>
      <c r="AB234" s="111"/>
      <c r="AC234" s="17"/>
      <c r="AD234" s="690"/>
      <c r="AE234" s="686"/>
      <c r="AF234" s="474"/>
      <c r="AG234" s="692"/>
      <c r="AH234" s="236" t="str">
        <f>IF(Таблица5[[#This Row],[30]]=0,"НД",Таблица5[[#This Row],[20]]-Таблица5[[#This Row],[30]])</f>
        <v>НД</v>
      </c>
      <c r="AI234" s="511" t="str">
        <f>IF(((1-Таблица5[[#This Row],[30]]/Таблица5[[#This Row],[20]])=1),"НД",(1-Таблица5[[#This Row],[30]]/Таблица5[[#This Row],[20]]))</f>
        <v>НД</v>
      </c>
      <c r="AJ234" s="111"/>
      <c r="AK234" s="111"/>
      <c r="AL234" s="512"/>
      <c r="AM234" s="513"/>
      <c r="AN234" s="465"/>
      <c r="AO234" s="468" t="str">
        <f>РПЗ!AD234</f>
        <v>Нет</v>
      </c>
      <c r="AP234" s="472">
        <f>РПЗ!V234</f>
        <v>0</v>
      </c>
      <c r="AQ234" s="470">
        <f>IF(Таблица5[[#This Row],[11]]=0,,MONTH(Таблица5[[#This Row],[11]]))</f>
        <v>9</v>
      </c>
    </row>
    <row r="235" spans="1:43" ht="39" thickBot="1" x14ac:dyDescent="0.3">
      <c r="A235" s="233" t="str">
        <f t="shared" si="3"/>
        <v>1004-2017-00220</v>
      </c>
      <c r="B235" s="233" t="str">
        <f>РПЗ!$D235</f>
        <v>1004-2017-00220Поставка Форвакуумный насос 2НВР-90Д</v>
      </c>
      <c r="C235" s="233" t="str">
        <f>РПЗ!$AA235</f>
        <v>АО "НИИ "Полюс" им. М.Ф. Стельмаха" тел. отдела закупок 8-495-333-05-02</v>
      </c>
      <c r="D235" s="633" t="str">
        <f>РПЗ!$AB235</f>
        <v>Заказчик</v>
      </c>
      <c r="E235" s="96" t="s">
        <v>46</v>
      </c>
      <c r="F235" s="233" t="str">
        <f>РПЗ!Q235</f>
        <v>ОЗК</v>
      </c>
      <c r="G235" s="237"/>
      <c r="H235" s="237" t="str">
        <f>РПЗ!R235</f>
        <v>да</v>
      </c>
      <c r="I235" s="15">
        <f>РПЗ!W235</f>
        <v>0</v>
      </c>
      <c r="J235" s="233">
        <f>РПЗ!X235</f>
        <v>0</v>
      </c>
      <c r="K235" s="283">
        <f>РПЗ!Z235</f>
        <v>0</v>
      </c>
      <c r="L235" s="17"/>
      <c r="M235" s="18">
        <f>РПЗ!O235</f>
        <v>42887</v>
      </c>
      <c r="N235" s="238">
        <f>Таблица5[[#This Row],[10]]</f>
        <v>42887</v>
      </c>
      <c r="O235" s="17"/>
      <c r="P235" s="17"/>
      <c r="Q235" s="17"/>
      <c r="R235" s="17"/>
      <c r="S235" s="17"/>
      <c r="T235" s="686"/>
      <c r="U235" s="18">
        <f>РПЗ!P235</f>
        <v>43085</v>
      </c>
      <c r="V235" s="686"/>
      <c r="W235" s="236">
        <f>РПЗ!L235</f>
        <v>170000</v>
      </c>
      <c r="X235" s="689"/>
      <c r="Y235" s="689"/>
      <c r="Z235" s="690"/>
      <c r="AA235" s="691"/>
      <c r="AB235" s="111"/>
      <c r="AC235" s="17"/>
      <c r="AD235" s="690"/>
      <c r="AE235" s="686"/>
      <c r="AF235" s="474"/>
      <c r="AG235" s="692"/>
      <c r="AH235" s="236" t="str">
        <f>IF(Таблица5[[#This Row],[30]]=0,"НД",Таблица5[[#This Row],[20]]-Таблица5[[#This Row],[30]])</f>
        <v>НД</v>
      </c>
      <c r="AI235" s="511" t="str">
        <f>IF(((1-Таблица5[[#This Row],[30]]/Таблица5[[#This Row],[20]])=1),"НД",(1-Таблица5[[#This Row],[30]]/Таблица5[[#This Row],[20]]))</f>
        <v>НД</v>
      </c>
      <c r="AJ235" s="111"/>
      <c r="AK235" s="111"/>
      <c r="AL235" s="512"/>
      <c r="AM235" s="513"/>
      <c r="AN235" s="465"/>
      <c r="AO235" s="468" t="str">
        <f>РПЗ!AD235</f>
        <v>Нет</v>
      </c>
      <c r="AP235" s="472">
        <f>РПЗ!V235</f>
        <v>0</v>
      </c>
      <c r="AQ235" s="470">
        <f>IF(Таблица5[[#This Row],[11]]=0,,MONTH(Таблица5[[#This Row],[11]]))</f>
        <v>6</v>
      </c>
    </row>
    <row r="236" spans="1:43" ht="39" thickBot="1" x14ac:dyDescent="0.3">
      <c r="A236" s="233" t="str">
        <f t="shared" si="3"/>
        <v>1004-2017-00221</v>
      </c>
      <c r="B236" s="233" t="str">
        <f>РПЗ!$D236</f>
        <v>1004-2017-00221Поставка Преобразователи частоты векторные</v>
      </c>
      <c r="C236" s="233" t="str">
        <f>РПЗ!$AA236</f>
        <v>АО "НИИ "Полюс" им. М.Ф. Стельмаха" тел. отдела закупок 8-495-333-05-02</v>
      </c>
      <c r="D236" s="633" t="str">
        <f>РПЗ!$AB236</f>
        <v>Заказчик</v>
      </c>
      <c r="E236" s="96" t="s">
        <v>46</v>
      </c>
      <c r="F236" s="233" t="str">
        <f>РПЗ!Q236</f>
        <v>ОЗК</v>
      </c>
      <c r="G236" s="237"/>
      <c r="H236" s="237" t="str">
        <f>РПЗ!R236</f>
        <v>да</v>
      </c>
      <c r="I236" s="15">
        <f>РПЗ!W236</f>
        <v>0</v>
      </c>
      <c r="J236" s="233">
        <f>РПЗ!X236</f>
        <v>0</v>
      </c>
      <c r="K236" s="283">
        <f>РПЗ!Z236</f>
        <v>0</v>
      </c>
      <c r="L236" s="17"/>
      <c r="M236" s="18">
        <f>РПЗ!O236</f>
        <v>42736</v>
      </c>
      <c r="N236" s="238">
        <f>Таблица5[[#This Row],[10]]</f>
        <v>42736</v>
      </c>
      <c r="O236" s="17"/>
      <c r="P236" s="17"/>
      <c r="Q236" s="17"/>
      <c r="R236" s="17"/>
      <c r="S236" s="17"/>
      <c r="T236" s="686"/>
      <c r="U236" s="18">
        <f>РПЗ!P236</f>
        <v>43087</v>
      </c>
      <c r="V236" s="686"/>
      <c r="W236" s="236">
        <f>РПЗ!L236</f>
        <v>630000</v>
      </c>
      <c r="X236" s="689"/>
      <c r="Y236" s="689"/>
      <c r="Z236" s="690"/>
      <c r="AA236" s="691"/>
      <c r="AB236" s="111"/>
      <c r="AC236" s="17"/>
      <c r="AD236" s="690"/>
      <c r="AE236" s="686"/>
      <c r="AF236" s="474"/>
      <c r="AG236" s="692"/>
      <c r="AH236" s="236" t="str">
        <f>IF(Таблица5[[#This Row],[30]]=0,"НД",Таблица5[[#This Row],[20]]-Таблица5[[#This Row],[30]])</f>
        <v>НД</v>
      </c>
      <c r="AI236" s="511" t="str">
        <f>IF(((1-Таблица5[[#This Row],[30]]/Таблица5[[#This Row],[20]])=1),"НД",(1-Таблица5[[#This Row],[30]]/Таблица5[[#This Row],[20]]))</f>
        <v>НД</v>
      </c>
      <c r="AJ236" s="111"/>
      <c r="AK236" s="111"/>
      <c r="AL236" s="512"/>
      <c r="AM236" s="513"/>
      <c r="AN236" s="465"/>
      <c r="AO236" s="468" t="str">
        <f>РПЗ!AD236</f>
        <v>Нет</v>
      </c>
      <c r="AP236" s="472">
        <f>РПЗ!V236</f>
        <v>0</v>
      </c>
      <c r="AQ236" s="470">
        <f>IF(Таблица5[[#This Row],[11]]=0,,MONTH(Таблица5[[#This Row],[11]]))</f>
        <v>1</v>
      </c>
    </row>
    <row r="237" spans="1:43" ht="39" thickBot="1" x14ac:dyDescent="0.3">
      <c r="A237" s="233" t="str">
        <f t="shared" si="3"/>
        <v>1004-2017-00222</v>
      </c>
      <c r="B237" s="233" t="str">
        <f>РПЗ!$D237</f>
        <v>1004-2017-00222Поставка Преобразователи частоты векторные</v>
      </c>
      <c r="C237" s="233" t="str">
        <f>РПЗ!$AA237</f>
        <v>АО "НИИ "Полюс" им. М.Ф. Стельмаха" тел. отдела закупок 8-495-333-05-02</v>
      </c>
      <c r="D237" s="633" t="str">
        <f>РПЗ!$AB237</f>
        <v>Заказчик</v>
      </c>
      <c r="E237" s="96" t="s">
        <v>46</v>
      </c>
      <c r="F237" s="233" t="str">
        <f>РПЗ!Q237</f>
        <v>ОЗК</v>
      </c>
      <c r="G237" s="237"/>
      <c r="H237" s="237" t="str">
        <f>РПЗ!R237</f>
        <v>да</v>
      </c>
      <c r="I237" s="15">
        <f>РПЗ!W237</f>
        <v>0</v>
      </c>
      <c r="J237" s="233">
        <f>РПЗ!X237</f>
        <v>0</v>
      </c>
      <c r="K237" s="283">
        <f>РПЗ!Z237</f>
        <v>0</v>
      </c>
      <c r="L237" s="17"/>
      <c r="M237" s="18">
        <f>РПЗ!O237</f>
        <v>42826</v>
      </c>
      <c r="N237" s="238">
        <f>Таблица5[[#This Row],[10]]</f>
        <v>42826</v>
      </c>
      <c r="O237" s="17"/>
      <c r="P237" s="17"/>
      <c r="Q237" s="17"/>
      <c r="R237" s="17"/>
      <c r="S237" s="17"/>
      <c r="T237" s="686"/>
      <c r="U237" s="18">
        <f>РПЗ!P237</f>
        <v>43088</v>
      </c>
      <c r="V237" s="686"/>
      <c r="W237" s="236">
        <f>РПЗ!L237</f>
        <v>630000</v>
      </c>
      <c r="X237" s="689"/>
      <c r="Y237" s="689"/>
      <c r="Z237" s="690"/>
      <c r="AA237" s="691"/>
      <c r="AB237" s="111"/>
      <c r="AC237" s="17"/>
      <c r="AD237" s="690"/>
      <c r="AE237" s="686"/>
      <c r="AF237" s="474"/>
      <c r="AG237" s="692"/>
      <c r="AH237" s="236" t="str">
        <f>IF(Таблица5[[#This Row],[30]]=0,"НД",Таблица5[[#This Row],[20]]-Таблица5[[#This Row],[30]])</f>
        <v>НД</v>
      </c>
      <c r="AI237" s="511" t="str">
        <f>IF(((1-Таблица5[[#This Row],[30]]/Таблица5[[#This Row],[20]])=1),"НД",(1-Таблица5[[#This Row],[30]]/Таблица5[[#This Row],[20]]))</f>
        <v>НД</v>
      </c>
      <c r="AJ237" s="111"/>
      <c r="AK237" s="111"/>
      <c r="AL237" s="512"/>
      <c r="AM237" s="513"/>
      <c r="AN237" s="465"/>
      <c r="AO237" s="468" t="str">
        <f>РПЗ!AD237</f>
        <v>Нет</v>
      </c>
      <c r="AP237" s="472">
        <f>РПЗ!V237</f>
        <v>0</v>
      </c>
      <c r="AQ237" s="470">
        <f>IF(Таблица5[[#This Row],[11]]=0,,MONTH(Таблица5[[#This Row],[11]]))</f>
        <v>4</v>
      </c>
    </row>
    <row r="238" spans="1:43" ht="39" thickBot="1" x14ac:dyDescent="0.3">
      <c r="A238" s="233" t="str">
        <f t="shared" si="3"/>
        <v>1004-2017-00223</v>
      </c>
      <c r="B238" s="233" t="str">
        <f>РПЗ!$D238</f>
        <v>1004-2017-00223Поставка Ударный стенд</v>
      </c>
      <c r="C238" s="233" t="str">
        <f>РПЗ!$AA238</f>
        <v>АО "НИИ "Полюс" им. М.Ф. Стельмаха" тел. отдела закупок 8-495-333-05-02</v>
      </c>
      <c r="D238" s="633" t="str">
        <f>РПЗ!$AB238</f>
        <v>Заказчик</v>
      </c>
      <c r="E238" s="96" t="s">
        <v>46</v>
      </c>
      <c r="F238" s="233" t="str">
        <f>РПЗ!Q238</f>
        <v>ОК</v>
      </c>
      <c r="G238" s="237"/>
      <c r="H238" s="237" t="str">
        <f>РПЗ!R238</f>
        <v>да</v>
      </c>
      <c r="I238" s="15">
        <f>РПЗ!W238</f>
        <v>0</v>
      </c>
      <c r="J238" s="233">
        <f>РПЗ!X238</f>
        <v>0</v>
      </c>
      <c r="K238" s="283">
        <f>РПЗ!Z238</f>
        <v>0</v>
      </c>
      <c r="L238" s="17"/>
      <c r="M238" s="18">
        <f>РПЗ!O238</f>
        <v>42948</v>
      </c>
      <c r="N238" s="238">
        <f>Таблица5[[#This Row],[10]]</f>
        <v>42948</v>
      </c>
      <c r="O238" s="17"/>
      <c r="P238" s="17"/>
      <c r="Q238" s="17"/>
      <c r="R238" s="17"/>
      <c r="S238" s="17"/>
      <c r="T238" s="686"/>
      <c r="U238" s="18">
        <f>РПЗ!P238</f>
        <v>43090</v>
      </c>
      <c r="V238" s="686"/>
      <c r="W238" s="236">
        <f>РПЗ!L238</f>
        <v>5500000</v>
      </c>
      <c r="X238" s="689"/>
      <c r="Y238" s="689"/>
      <c r="Z238" s="690"/>
      <c r="AA238" s="691"/>
      <c r="AB238" s="111"/>
      <c r="AC238" s="17"/>
      <c r="AD238" s="690"/>
      <c r="AE238" s="686"/>
      <c r="AF238" s="474"/>
      <c r="AG238" s="692"/>
      <c r="AH238" s="236" t="str">
        <f>IF(Таблица5[[#This Row],[30]]=0,"НД",Таблица5[[#This Row],[20]]-Таблица5[[#This Row],[30]])</f>
        <v>НД</v>
      </c>
      <c r="AI238" s="511" t="str">
        <f>IF(((1-Таблица5[[#This Row],[30]]/Таблица5[[#This Row],[20]])=1),"НД",(1-Таблица5[[#This Row],[30]]/Таблица5[[#This Row],[20]]))</f>
        <v>НД</v>
      </c>
      <c r="AJ238" s="111"/>
      <c r="AK238" s="111"/>
      <c r="AL238" s="512"/>
      <c r="AM238" s="513"/>
      <c r="AN238" s="465"/>
      <c r="AO238" s="468" t="str">
        <f>РПЗ!AD238</f>
        <v>Нет</v>
      </c>
      <c r="AP238" s="472">
        <f>РПЗ!V238</f>
        <v>0</v>
      </c>
      <c r="AQ238" s="470">
        <f>IF(Таблица5[[#This Row],[11]]=0,,MONTH(Таблица5[[#This Row],[11]]))</f>
        <v>8</v>
      </c>
    </row>
    <row r="239" spans="1:43" ht="39" thickBot="1" x14ac:dyDescent="0.3">
      <c r="A239" s="233" t="str">
        <f t="shared" si="3"/>
        <v>1004-2017-00224</v>
      </c>
      <c r="B239" s="233" t="str">
        <f>РПЗ!$D239</f>
        <v>1004-2017-00224Поставка Камера дождя</v>
      </c>
      <c r="C239" s="233" t="str">
        <f>РПЗ!$AA239</f>
        <v>АО "НИИ "Полюс" им. М.Ф. Стельмаха" тел. отдела закупок 8-495-333-05-02</v>
      </c>
      <c r="D239" s="633" t="str">
        <f>РПЗ!$AB239</f>
        <v>Заказчик</v>
      </c>
      <c r="E239" s="96" t="s">
        <v>46</v>
      </c>
      <c r="F239" s="233" t="str">
        <f>РПЗ!Q239</f>
        <v>ОК</v>
      </c>
      <c r="G239" s="237"/>
      <c r="H239" s="237" t="str">
        <f>РПЗ!R239</f>
        <v>да</v>
      </c>
      <c r="I239" s="15">
        <f>РПЗ!W239</f>
        <v>0</v>
      </c>
      <c r="J239" s="233">
        <f>РПЗ!X239</f>
        <v>0</v>
      </c>
      <c r="K239" s="283">
        <f>РПЗ!Z239</f>
        <v>0</v>
      </c>
      <c r="L239" s="17"/>
      <c r="M239" s="18">
        <f>РПЗ!O239</f>
        <v>42948</v>
      </c>
      <c r="N239" s="238">
        <f>Таблица5[[#This Row],[10]]</f>
        <v>42948</v>
      </c>
      <c r="O239" s="17"/>
      <c r="P239" s="17"/>
      <c r="Q239" s="17"/>
      <c r="R239" s="17"/>
      <c r="S239" s="17"/>
      <c r="T239" s="686"/>
      <c r="U239" s="18">
        <f>РПЗ!P239</f>
        <v>43091</v>
      </c>
      <c r="V239" s="686"/>
      <c r="W239" s="236">
        <f>РПЗ!L239</f>
        <v>5464890</v>
      </c>
      <c r="X239" s="689"/>
      <c r="Y239" s="689"/>
      <c r="Z239" s="690"/>
      <c r="AA239" s="691"/>
      <c r="AB239" s="111"/>
      <c r="AC239" s="17"/>
      <c r="AD239" s="690"/>
      <c r="AE239" s="686"/>
      <c r="AF239" s="474"/>
      <c r="AG239" s="692"/>
      <c r="AH239" s="236" t="str">
        <f>IF(Таблица5[[#This Row],[30]]=0,"НД",Таблица5[[#This Row],[20]]-Таблица5[[#This Row],[30]])</f>
        <v>НД</v>
      </c>
      <c r="AI239" s="511" t="str">
        <f>IF(((1-Таблица5[[#This Row],[30]]/Таблица5[[#This Row],[20]])=1),"НД",(1-Таблица5[[#This Row],[30]]/Таблица5[[#This Row],[20]]))</f>
        <v>НД</v>
      </c>
      <c r="AJ239" s="111"/>
      <c r="AK239" s="111"/>
      <c r="AL239" s="512"/>
      <c r="AM239" s="513"/>
      <c r="AN239" s="465"/>
      <c r="AO239" s="468" t="str">
        <f>РПЗ!AD239</f>
        <v>Нет</v>
      </c>
      <c r="AP239" s="472">
        <f>РПЗ!V239</f>
        <v>0</v>
      </c>
      <c r="AQ239" s="470">
        <f>IF(Таблица5[[#This Row],[11]]=0,,MONTH(Таблица5[[#This Row],[11]]))</f>
        <v>8</v>
      </c>
    </row>
    <row r="240" spans="1:43" ht="39" thickBot="1" x14ac:dyDescent="0.3">
      <c r="A240" s="233" t="str">
        <f t="shared" si="3"/>
        <v>1004-2017-00225</v>
      </c>
      <c r="B240" s="233" t="str">
        <f>РПЗ!$D240</f>
        <v>1004-2017-00225Поставка Камера повышенного давления</v>
      </c>
      <c r="C240" s="233" t="str">
        <f>РПЗ!$AA240</f>
        <v>АО "НИИ "Полюс" им. М.Ф. Стельмаха" тел. отдела закупок 8-495-333-05-02</v>
      </c>
      <c r="D240" s="633" t="str">
        <f>РПЗ!$AB240</f>
        <v>Заказчик</v>
      </c>
      <c r="E240" s="96" t="s">
        <v>46</v>
      </c>
      <c r="F240" s="233" t="str">
        <f>РПЗ!Q240</f>
        <v>ОК</v>
      </c>
      <c r="G240" s="237"/>
      <c r="H240" s="237" t="str">
        <f>РПЗ!R240</f>
        <v>да</v>
      </c>
      <c r="I240" s="15">
        <f>РПЗ!W240</f>
        <v>0</v>
      </c>
      <c r="J240" s="233">
        <f>РПЗ!X240</f>
        <v>0</v>
      </c>
      <c r="K240" s="283">
        <f>РПЗ!Z240</f>
        <v>0</v>
      </c>
      <c r="L240" s="17"/>
      <c r="M240" s="18">
        <f>РПЗ!O240</f>
        <v>42948</v>
      </c>
      <c r="N240" s="238">
        <f>Таблица5[[#This Row],[10]]</f>
        <v>42948</v>
      </c>
      <c r="O240" s="17"/>
      <c r="P240" s="17"/>
      <c r="Q240" s="17"/>
      <c r="R240" s="17"/>
      <c r="S240" s="17"/>
      <c r="T240" s="686"/>
      <c r="U240" s="18">
        <f>РПЗ!P240</f>
        <v>43092</v>
      </c>
      <c r="V240" s="686"/>
      <c r="W240" s="236">
        <f>РПЗ!L240</f>
        <v>7893780</v>
      </c>
      <c r="X240" s="689"/>
      <c r="Y240" s="689"/>
      <c r="Z240" s="690"/>
      <c r="AA240" s="691"/>
      <c r="AB240" s="111"/>
      <c r="AC240" s="17"/>
      <c r="AD240" s="690"/>
      <c r="AE240" s="686"/>
      <c r="AF240" s="474"/>
      <c r="AG240" s="692"/>
      <c r="AH240" s="236" t="str">
        <f>IF(Таблица5[[#This Row],[30]]=0,"НД",Таблица5[[#This Row],[20]]-Таблица5[[#This Row],[30]])</f>
        <v>НД</v>
      </c>
      <c r="AI240" s="511" t="str">
        <f>IF(((1-Таблица5[[#This Row],[30]]/Таблица5[[#This Row],[20]])=1),"НД",(1-Таблица5[[#This Row],[30]]/Таблица5[[#This Row],[20]]))</f>
        <v>НД</v>
      </c>
      <c r="AJ240" s="111"/>
      <c r="AK240" s="111"/>
      <c r="AL240" s="512"/>
      <c r="AM240" s="513"/>
      <c r="AN240" s="465"/>
      <c r="AO240" s="468" t="str">
        <f>РПЗ!AD240</f>
        <v>Нет</v>
      </c>
      <c r="AP240" s="472">
        <f>РПЗ!V240</f>
        <v>0</v>
      </c>
      <c r="AQ240" s="470">
        <f>IF(Таблица5[[#This Row],[11]]=0,,MONTH(Таблица5[[#This Row],[11]]))</f>
        <v>8</v>
      </c>
    </row>
    <row r="241" spans="1:43" ht="39" thickBot="1" x14ac:dyDescent="0.3">
      <c r="A241" s="233" t="str">
        <f t="shared" si="3"/>
        <v>1004-2017-00226</v>
      </c>
      <c r="B241" s="233" t="str">
        <f>РПЗ!$D241</f>
        <v>1004-2017-00226Поставка Термошоковая камера</v>
      </c>
      <c r="C241" s="233" t="str">
        <f>РПЗ!$AA241</f>
        <v>АО "НИИ "Полюс" им. М.Ф. Стельмаха" тел. отдела закупок 8-495-333-05-02</v>
      </c>
      <c r="D241" s="633" t="str">
        <f>РПЗ!$AB241</f>
        <v>Заказчик</v>
      </c>
      <c r="E241" s="96" t="s">
        <v>46</v>
      </c>
      <c r="F241" s="233" t="str">
        <f>РПЗ!Q241</f>
        <v>ОЗК</v>
      </c>
      <c r="G241" s="237"/>
      <c r="H241" s="237" t="str">
        <f>РПЗ!R241</f>
        <v>да</v>
      </c>
      <c r="I241" s="15">
        <f>РПЗ!W241</f>
        <v>0</v>
      </c>
      <c r="J241" s="233">
        <f>РПЗ!X241</f>
        <v>0</v>
      </c>
      <c r="K241" s="283">
        <f>РПЗ!Z241</f>
        <v>0</v>
      </c>
      <c r="L241" s="17"/>
      <c r="M241" s="18">
        <f>РПЗ!O241</f>
        <v>42948</v>
      </c>
      <c r="N241" s="238">
        <f>Таблица5[[#This Row],[10]]</f>
        <v>42948</v>
      </c>
      <c r="O241" s="17"/>
      <c r="P241" s="17"/>
      <c r="Q241" s="17"/>
      <c r="R241" s="17"/>
      <c r="S241" s="17"/>
      <c r="T241" s="686"/>
      <c r="U241" s="18">
        <f>РПЗ!P241</f>
        <v>43093</v>
      </c>
      <c r="V241" s="686"/>
      <c r="W241" s="236">
        <f>РПЗ!L241</f>
        <v>4000000</v>
      </c>
      <c r="X241" s="689"/>
      <c r="Y241" s="689"/>
      <c r="Z241" s="690"/>
      <c r="AA241" s="691"/>
      <c r="AB241" s="111"/>
      <c r="AC241" s="17"/>
      <c r="AD241" s="690"/>
      <c r="AE241" s="686"/>
      <c r="AF241" s="474"/>
      <c r="AG241" s="692"/>
      <c r="AH241" s="236" t="str">
        <f>IF(Таблица5[[#This Row],[30]]=0,"НД",Таблица5[[#This Row],[20]]-Таблица5[[#This Row],[30]])</f>
        <v>НД</v>
      </c>
      <c r="AI241" s="511" t="str">
        <f>IF(((1-Таблица5[[#This Row],[30]]/Таблица5[[#This Row],[20]])=1),"НД",(1-Таблица5[[#This Row],[30]]/Таблица5[[#This Row],[20]]))</f>
        <v>НД</v>
      </c>
      <c r="AJ241" s="111"/>
      <c r="AK241" s="111"/>
      <c r="AL241" s="512"/>
      <c r="AM241" s="513"/>
      <c r="AN241" s="465"/>
      <c r="AO241" s="468" t="str">
        <f>РПЗ!AD241</f>
        <v>Нет</v>
      </c>
      <c r="AP241" s="472">
        <f>РПЗ!V241</f>
        <v>0</v>
      </c>
      <c r="AQ241" s="470">
        <f>IF(Таблица5[[#This Row],[11]]=0,,MONTH(Таблица5[[#This Row],[11]]))</f>
        <v>8</v>
      </c>
    </row>
    <row r="242" spans="1:43" ht="39" thickBot="1" x14ac:dyDescent="0.3">
      <c r="A242" s="233" t="str">
        <f t="shared" si="3"/>
        <v>1004-2017-00227</v>
      </c>
      <c r="B242" s="233" t="str">
        <f>РПЗ!$D242</f>
        <v>1004-2017-00227Поставка Токарно-винторезный станок</v>
      </c>
      <c r="C242" s="233" t="str">
        <f>РПЗ!$AA242</f>
        <v>АО "НИИ "Полюс" им. М.Ф. Стельмаха" тел. отдела закупок 8-495-333-05-02</v>
      </c>
      <c r="D242" s="633" t="str">
        <f>РПЗ!$AB242</f>
        <v>Заказчик</v>
      </c>
      <c r="E242" s="96" t="s">
        <v>46</v>
      </c>
      <c r="F242" s="233" t="str">
        <f>РПЗ!Q242</f>
        <v>ОЗК</v>
      </c>
      <c r="G242" s="237"/>
      <c r="H242" s="237" t="str">
        <f>РПЗ!R242</f>
        <v>да</v>
      </c>
      <c r="I242" s="15">
        <f>РПЗ!W242</f>
        <v>0</v>
      </c>
      <c r="J242" s="233">
        <f>РПЗ!X242</f>
        <v>0</v>
      </c>
      <c r="K242" s="283">
        <f>РПЗ!Z242</f>
        <v>0</v>
      </c>
      <c r="L242" s="17"/>
      <c r="M242" s="18">
        <f>РПЗ!O242</f>
        <v>42887</v>
      </c>
      <c r="N242" s="238">
        <f>Таблица5[[#This Row],[10]]</f>
        <v>42887</v>
      </c>
      <c r="O242" s="17"/>
      <c r="P242" s="17"/>
      <c r="Q242" s="17"/>
      <c r="R242" s="17"/>
      <c r="S242" s="17"/>
      <c r="T242" s="686"/>
      <c r="U242" s="18">
        <f>РПЗ!P242</f>
        <v>43094</v>
      </c>
      <c r="V242" s="686"/>
      <c r="W242" s="236">
        <f>РПЗ!L242</f>
        <v>442200</v>
      </c>
      <c r="X242" s="689"/>
      <c r="Y242" s="689"/>
      <c r="Z242" s="690"/>
      <c r="AA242" s="691"/>
      <c r="AB242" s="111"/>
      <c r="AC242" s="17"/>
      <c r="AD242" s="690"/>
      <c r="AE242" s="686"/>
      <c r="AF242" s="474"/>
      <c r="AG242" s="692"/>
      <c r="AH242" s="236" t="str">
        <f>IF(Таблица5[[#This Row],[30]]=0,"НД",Таблица5[[#This Row],[20]]-Таблица5[[#This Row],[30]])</f>
        <v>НД</v>
      </c>
      <c r="AI242" s="511" t="str">
        <f>IF(((1-Таблица5[[#This Row],[30]]/Таблица5[[#This Row],[20]])=1),"НД",(1-Таблица5[[#This Row],[30]]/Таблица5[[#This Row],[20]]))</f>
        <v>НД</v>
      </c>
      <c r="AJ242" s="111"/>
      <c r="AK242" s="111"/>
      <c r="AL242" s="512"/>
      <c r="AM242" s="513"/>
      <c r="AN242" s="465"/>
      <c r="AO242" s="468" t="str">
        <f>РПЗ!AD242</f>
        <v>Нет</v>
      </c>
      <c r="AP242" s="472">
        <f>РПЗ!V242</f>
        <v>0</v>
      </c>
      <c r="AQ242" s="470">
        <f>IF(Таблица5[[#This Row],[11]]=0,,MONTH(Таблица5[[#This Row],[11]]))</f>
        <v>6</v>
      </c>
    </row>
    <row r="243" spans="1:43" ht="39" thickBot="1" x14ac:dyDescent="0.3">
      <c r="A243" s="233" t="str">
        <f t="shared" ref="A243:A306" si="4">INDEX(Диапазон1,ROW(), COLUMN())</f>
        <v>1004-2017-00228</v>
      </c>
      <c r="B243" s="233" t="str">
        <f>РПЗ!$D243</f>
        <v>1004-2017-00228Поставка Система гашения вибрации для электродинамического вибростенда</v>
      </c>
      <c r="C243" s="233" t="str">
        <f>РПЗ!$AA243</f>
        <v>АО "НИИ "Полюс" им. М.Ф. Стельмаха" тел. отдела закупок 8-495-333-05-02</v>
      </c>
      <c r="D243" s="633" t="str">
        <f>РПЗ!$AB243</f>
        <v>Заказчик</v>
      </c>
      <c r="E243" s="96" t="s">
        <v>46</v>
      </c>
      <c r="F243" s="233" t="str">
        <f>РПЗ!Q243</f>
        <v>ОЗК</v>
      </c>
      <c r="G243" s="237"/>
      <c r="H243" s="237" t="str">
        <f>РПЗ!R243</f>
        <v>да</v>
      </c>
      <c r="I243" s="15">
        <f>РПЗ!W243</f>
        <v>0</v>
      </c>
      <c r="J243" s="233">
        <f>РПЗ!X243</f>
        <v>0</v>
      </c>
      <c r="K243" s="283">
        <f>РПЗ!Z243</f>
        <v>0</v>
      </c>
      <c r="L243" s="17"/>
      <c r="M243" s="18">
        <f>РПЗ!O243</f>
        <v>42736</v>
      </c>
      <c r="N243" s="238">
        <f>Таблица5[[#This Row],[10]]</f>
        <v>42736</v>
      </c>
      <c r="O243" s="17"/>
      <c r="P243" s="17"/>
      <c r="Q243" s="17"/>
      <c r="R243" s="17"/>
      <c r="S243" s="17"/>
      <c r="T243" s="686"/>
      <c r="U243" s="18">
        <f>РПЗ!P243</f>
        <v>43095</v>
      </c>
      <c r="V243" s="686"/>
      <c r="W243" s="236">
        <f>РПЗ!L243</f>
        <v>1500000</v>
      </c>
      <c r="X243" s="689"/>
      <c r="Y243" s="689"/>
      <c r="Z243" s="690"/>
      <c r="AA243" s="691"/>
      <c r="AB243" s="111"/>
      <c r="AC243" s="17"/>
      <c r="AD243" s="690"/>
      <c r="AE243" s="686"/>
      <c r="AF243" s="474"/>
      <c r="AG243" s="692"/>
      <c r="AH243" s="236" t="str">
        <f>IF(Таблица5[[#This Row],[30]]=0,"НД",Таблица5[[#This Row],[20]]-Таблица5[[#This Row],[30]])</f>
        <v>НД</v>
      </c>
      <c r="AI243" s="511" t="str">
        <f>IF(((1-Таблица5[[#This Row],[30]]/Таблица5[[#This Row],[20]])=1),"НД",(1-Таблица5[[#This Row],[30]]/Таблица5[[#This Row],[20]]))</f>
        <v>НД</v>
      </c>
      <c r="AJ243" s="111"/>
      <c r="AK243" s="111"/>
      <c r="AL243" s="512"/>
      <c r="AM243" s="513"/>
      <c r="AN243" s="465"/>
      <c r="AO243" s="468" t="str">
        <f>РПЗ!AD243</f>
        <v>Нет</v>
      </c>
      <c r="AP243" s="472">
        <f>РПЗ!V243</f>
        <v>0</v>
      </c>
      <c r="AQ243" s="470">
        <f>IF(Таблица5[[#This Row],[11]]=0,,MONTH(Таблица5[[#This Row],[11]]))</f>
        <v>1</v>
      </c>
    </row>
    <row r="244" spans="1:43" ht="39" thickBot="1" x14ac:dyDescent="0.3">
      <c r="A244" s="233" t="str">
        <f t="shared" si="4"/>
        <v>1004-2017-00229</v>
      </c>
      <c r="B244" s="233" t="str">
        <f>РПЗ!$D244</f>
        <v>1004-2017-00229Поставка Модуль "Анализатор удара" для системы управления ВС-301</v>
      </c>
      <c r="C244" s="233" t="str">
        <f>РПЗ!$AA244</f>
        <v>АО "НИИ "Полюс" им. М.Ф. Стельмаха" тел. отдела закупок 8-495-333-05-02</v>
      </c>
      <c r="D244" s="633" t="str">
        <f>РПЗ!$AB244</f>
        <v>Заказчик</v>
      </c>
      <c r="E244" s="96" t="s">
        <v>46</v>
      </c>
      <c r="F244" s="233" t="str">
        <f>РПЗ!Q244</f>
        <v>ОЗК</v>
      </c>
      <c r="G244" s="237"/>
      <c r="H244" s="237" t="str">
        <f>РПЗ!R244</f>
        <v>да</v>
      </c>
      <c r="I244" s="15">
        <f>РПЗ!W244</f>
        <v>0</v>
      </c>
      <c r="J244" s="233">
        <f>РПЗ!X244</f>
        <v>0</v>
      </c>
      <c r="K244" s="283">
        <f>РПЗ!Z244</f>
        <v>0</v>
      </c>
      <c r="L244" s="17"/>
      <c r="M244" s="18">
        <f>РПЗ!O244</f>
        <v>42736</v>
      </c>
      <c r="N244" s="238">
        <f>Таблица5[[#This Row],[10]]</f>
        <v>42736</v>
      </c>
      <c r="O244" s="17"/>
      <c r="P244" s="17"/>
      <c r="Q244" s="17"/>
      <c r="R244" s="17"/>
      <c r="S244" s="17"/>
      <c r="T244" s="686"/>
      <c r="U244" s="18">
        <f>РПЗ!P244</f>
        <v>43096</v>
      </c>
      <c r="V244" s="686"/>
      <c r="W244" s="236">
        <f>РПЗ!L244</f>
        <v>180000</v>
      </c>
      <c r="X244" s="689"/>
      <c r="Y244" s="689"/>
      <c r="Z244" s="690"/>
      <c r="AA244" s="691"/>
      <c r="AB244" s="111"/>
      <c r="AC244" s="17"/>
      <c r="AD244" s="690"/>
      <c r="AE244" s="686"/>
      <c r="AF244" s="474"/>
      <c r="AG244" s="692"/>
      <c r="AH244" s="236" t="str">
        <f>IF(Таблица5[[#This Row],[30]]=0,"НД",Таблица5[[#This Row],[20]]-Таблица5[[#This Row],[30]])</f>
        <v>НД</v>
      </c>
      <c r="AI244" s="511" t="str">
        <f>IF(((1-Таблица5[[#This Row],[30]]/Таблица5[[#This Row],[20]])=1),"НД",(1-Таблица5[[#This Row],[30]]/Таблица5[[#This Row],[20]]))</f>
        <v>НД</v>
      </c>
      <c r="AJ244" s="111"/>
      <c r="AK244" s="111"/>
      <c r="AL244" s="512"/>
      <c r="AM244" s="513"/>
      <c r="AN244" s="465"/>
      <c r="AO244" s="468" t="str">
        <f>РПЗ!AD244</f>
        <v>Нет</v>
      </c>
      <c r="AP244" s="472">
        <f>РПЗ!V244</f>
        <v>0</v>
      </c>
      <c r="AQ244" s="470">
        <f>IF(Таблица5[[#This Row],[11]]=0,,MONTH(Таблица5[[#This Row],[11]]))</f>
        <v>1</v>
      </c>
    </row>
    <row r="245" spans="1:43" ht="39" thickBot="1" x14ac:dyDescent="0.3">
      <c r="A245" s="233" t="str">
        <f t="shared" si="4"/>
        <v>1004-2017-00230</v>
      </c>
      <c r="B245" s="233" t="str">
        <f>РПЗ!$D245</f>
        <v>1004-2017-00230Поставка Модуль "Поиск и удержание резонанса" для системы управления ВС-301</v>
      </c>
      <c r="C245" s="233" t="str">
        <f>РПЗ!$AA245</f>
        <v>АО "НИИ "Полюс" им. М.Ф. Стельмаха" тел. отдела закупок 8-495-333-05-02</v>
      </c>
      <c r="D245" s="633" t="str">
        <f>РПЗ!$AB245</f>
        <v>Заказчик</v>
      </c>
      <c r="E245" s="96" t="s">
        <v>46</v>
      </c>
      <c r="F245" s="233" t="str">
        <f>РПЗ!Q245</f>
        <v>ОЗК</v>
      </c>
      <c r="G245" s="237"/>
      <c r="H245" s="237" t="str">
        <f>РПЗ!R245</f>
        <v>да</v>
      </c>
      <c r="I245" s="15">
        <f>РПЗ!W245</f>
        <v>0</v>
      </c>
      <c r="J245" s="233">
        <f>РПЗ!X245</f>
        <v>0</v>
      </c>
      <c r="K245" s="283">
        <f>РПЗ!Z245</f>
        <v>0</v>
      </c>
      <c r="L245" s="17"/>
      <c r="M245" s="18">
        <f>РПЗ!O245</f>
        <v>42736</v>
      </c>
      <c r="N245" s="238">
        <f>Таблица5[[#This Row],[10]]</f>
        <v>42736</v>
      </c>
      <c r="O245" s="17"/>
      <c r="P245" s="17"/>
      <c r="Q245" s="17"/>
      <c r="R245" s="17"/>
      <c r="S245" s="17"/>
      <c r="T245" s="686"/>
      <c r="U245" s="18">
        <f>РПЗ!P245</f>
        <v>43097</v>
      </c>
      <c r="V245" s="686"/>
      <c r="W245" s="236">
        <f>РПЗ!L245</f>
        <v>180000</v>
      </c>
      <c r="X245" s="689"/>
      <c r="Y245" s="689"/>
      <c r="Z245" s="690"/>
      <c r="AA245" s="691"/>
      <c r="AB245" s="111"/>
      <c r="AC245" s="17"/>
      <c r="AD245" s="690"/>
      <c r="AE245" s="686"/>
      <c r="AF245" s="474"/>
      <c r="AG245" s="692"/>
      <c r="AH245" s="236" t="str">
        <f>IF(Таблица5[[#This Row],[30]]=0,"НД",Таблица5[[#This Row],[20]]-Таблица5[[#This Row],[30]])</f>
        <v>НД</v>
      </c>
      <c r="AI245" s="511" t="str">
        <f>IF(((1-Таблица5[[#This Row],[30]]/Таблица5[[#This Row],[20]])=1),"НД",(1-Таблица5[[#This Row],[30]]/Таблица5[[#This Row],[20]]))</f>
        <v>НД</v>
      </c>
      <c r="AJ245" s="111"/>
      <c r="AK245" s="111"/>
      <c r="AL245" s="512"/>
      <c r="AM245" s="513"/>
      <c r="AN245" s="465"/>
      <c r="AO245" s="468" t="str">
        <f>РПЗ!AD245</f>
        <v>Нет</v>
      </c>
      <c r="AP245" s="472">
        <f>РПЗ!V245</f>
        <v>0</v>
      </c>
      <c r="AQ245" s="470">
        <f>IF(Таблица5[[#This Row],[11]]=0,,MONTH(Таблица5[[#This Row],[11]]))</f>
        <v>1</v>
      </c>
    </row>
    <row r="246" spans="1:43" ht="39" thickBot="1" x14ac:dyDescent="0.3">
      <c r="A246" s="233" t="str">
        <f t="shared" si="4"/>
        <v>1004-2017-00231</v>
      </c>
      <c r="B246" s="233" t="str">
        <f>РПЗ!$D246</f>
        <v>1004-2017-00231Поставка Весы электронные</v>
      </c>
      <c r="C246" s="233" t="str">
        <f>РПЗ!$AA246</f>
        <v>АО "НИИ "Полюс" им. М.Ф. Стельмаха" тел. отдела закупок 8-495-333-05-02</v>
      </c>
      <c r="D246" s="633" t="str">
        <f>РПЗ!$AB246</f>
        <v>Заказчик</v>
      </c>
      <c r="E246" s="96" t="s">
        <v>46</v>
      </c>
      <c r="F246" s="233" t="str">
        <f>РПЗ!Q246</f>
        <v>ОЗК</v>
      </c>
      <c r="G246" s="237"/>
      <c r="H246" s="237" t="str">
        <f>РПЗ!R246</f>
        <v>да</v>
      </c>
      <c r="I246" s="15">
        <f>РПЗ!W246</f>
        <v>0</v>
      </c>
      <c r="J246" s="233">
        <f>РПЗ!X246</f>
        <v>0</v>
      </c>
      <c r="K246" s="283">
        <f>РПЗ!Z246</f>
        <v>0</v>
      </c>
      <c r="L246" s="17"/>
      <c r="M246" s="18">
        <f>РПЗ!O246</f>
        <v>42826</v>
      </c>
      <c r="N246" s="238">
        <f>Таблица5[[#This Row],[10]]</f>
        <v>42826</v>
      </c>
      <c r="O246" s="17"/>
      <c r="P246" s="17"/>
      <c r="Q246" s="17"/>
      <c r="R246" s="17"/>
      <c r="S246" s="17"/>
      <c r="T246" s="686"/>
      <c r="U246" s="18">
        <f>РПЗ!P246</f>
        <v>43100</v>
      </c>
      <c r="V246" s="686"/>
      <c r="W246" s="236">
        <f>РПЗ!L246</f>
        <v>207000</v>
      </c>
      <c r="X246" s="689"/>
      <c r="Y246" s="689"/>
      <c r="Z246" s="690"/>
      <c r="AA246" s="691"/>
      <c r="AB246" s="111"/>
      <c r="AC246" s="17"/>
      <c r="AD246" s="690"/>
      <c r="AE246" s="686"/>
      <c r="AF246" s="474"/>
      <c r="AG246" s="692"/>
      <c r="AH246" s="236" t="str">
        <f>IF(Таблица5[[#This Row],[30]]=0,"НД",Таблица5[[#This Row],[20]]-Таблица5[[#This Row],[30]])</f>
        <v>НД</v>
      </c>
      <c r="AI246" s="511" t="str">
        <f>IF(((1-Таблица5[[#This Row],[30]]/Таблица5[[#This Row],[20]])=1),"НД",(1-Таблица5[[#This Row],[30]]/Таблица5[[#This Row],[20]]))</f>
        <v>НД</v>
      </c>
      <c r="AJ246" s="111"/>
      <c r="AK246" s="111"/>
      <c r="AL246" s="512"/>
      <c r="AM246" s="513"/>
      <c r="AN246" s="465"/>
      <c r="AO246" s="468" t="str">
        <f>РПЗ!AD246</f>
        <v>Нет</v>
      </c>
      <c r="AP246" s="472">
        <f>РПЗ!V246</f>
        <v>0</v>
      </c>
      <c r="AQ246" s="470">
        <f>IF(Таблица5[[#This Row],[11]]=0,,MONTH(Таблица5[[#This Row],[11]]))</f>
        <v>4</v>
      </c>
    </row>
    <row r="247" spans="1:43" ht="39" thickBot="1" x14ac:dyDescent="0.3">
      <c r="A247" s="233" t="str">
        <f t="shared" si="4"/>
        <v>1004-2017-00232</v>
      </c>
      <c r="B247" s="233" t="str">
        <f>РПЗ!$D247</f>
        <v>1004-2017-00232Поставка Инструмент для слесарно-монтажных работ</v>
      </c>
      <c r="C247" s="233" t="str">
        <f>РПЗ!$AA247</f>
        <v>АО "НИИ "Полюс" им. М.Ф. Стельмаха" тел. отдела закупок 8-495-333-05-02</v>
      </c>
      <c r="D247" s="633" t="str">
        <f>РПЗ!$AB247</f>
        <v>Заказчик</v>
      </c>
      <c r="E247" s="96" t="s">
        <v>46</v>
      </c>
      <c r="F247" s="233" t="str">
        <f>РПЗ!Q247</f>
        <v>ОЗК</v>
      </c>
      <c r="G247" s="237"/>
      <c r="H247" s="237" t="str">
        <f>РПЗ!R247</f>
        <v>да</v>
      </c>
      <c r="I247" s="15">
        <f>РПЗ!W247</f>
        <v>0</v>
      </c>
      <c r="J247" s="233">
        <f>РПЗ!X247</f>
        <v>0</v>
      </c>
      <c r="K247" s="283">
        <f>РПЗ!Z247</f>
        <v>0</v>
      </c>
      <c r="L247" s="17"/>
      <c r="M247" s="18">
        <f>РПЗ!O247</f>
        <v>42856</v>
      </c>
      <c r="N247" s="238">
        <f>Таблица5[[#This Row],[10]]</f>
        <v>42856</v>
      </c>
      <c r="O247" s="17"/>
      <c r="P247" s="17"/>
      <c r="Q247" s="17"/>
      <c r="R247" s="17"/>
      <c r="S247" s="17"/>
      <c r="T247" s="686"/>
      <c r="U247" s="18">
        <f>РПЗ!P247</f>
        <v>43071</v>
      </c>
      <c r="V247" s="686"/>
      <c r="W247" s="236">
        <f>РПЗ!L247</f>
        <v>120000</v>
      </c>
      <c r="X247" s="689"/>
      <c r="Y247" s="689"/>
      <c r="Z247" s="690"/>
      <c r="AA247" s="691"/>
      <c r="AB247" s="111"/>
      <c r="AC247" s="17"/>
      <c r="AD247" s="690"/>
      <c r="AE247" s="686"/>
      <c r="AF247" s="474"/>
      <c r="AG247" s="692"/>
      <c r="AH247" s="236" t="str">
        <f>IF(Таблица5[[#This Row],[30]]=0,"НД",Таблица5[[#This Row],[20]]-Таблица5[[#This Row],[30]])</f>
        <v>НД</v>
      </c>
      <c r="AI247" s="511" t="str">
        <f>IF(((1-Таблица5[[#This Row],[30]]/Таблица5[[#This Row],[20]])=1),"НД",(1-Таблица5[[#This Row],[30]]/Таблица5[[#This Row],[20]]))</f>
        <v>НД</v>
      </c>
      <c r="AJ247" s="111"/>
      <c r="AK247" s="111"/>
      <c r="AL247" s="512"/>
      <c r="AM247" s="513"/>
      <c r="AN247" s="465"/>
      <c r="AO247" s="468" t="str">
        <f>РПЗ!AD247</f>
        <v>Нет</v>
      </c>
      <c r="AP247" s="472">
        <f>РПЗ!V247</f>
        <v>0</v>
      </c>
      <c r="AQ247" s="470">
        <f>IF(Таблица5[[#This Row],[11]]=0,,MONTH(Таблица5[[#This Row],[11]]))</f>
        <v>5</v>
      </c>
    </row>
    <row r="248" spans="1:43" ht="39" thickBot="1" x14ac:dyDescent="0.3">
      <c r="A248" s="233" t="str">
        <f t="shared" si="4"/>
        <v>1004-2017-00233</v>
      </c>
      <c r="B248" s="233" t="str">
        <f>РПЗ!$D248</f>
        <v>1004-2017-00233Поставка Насосы для воды</v>
      </c>
      <c r="C248" s="233" t="str">
        <f>РПЗ!$AA248</f>
        <v>АО "НИИ "Полюс" им. М.Ф. Стельмаха" тел. отдела закупок 8-495-333-05-02</v>
      </c>
      <c r="D248" s="633" t="str">
        <f>РПЗ!$AB248</f>
        <v>Заказчик</v>
      </c>
      <c r="E248" s="96" t="s">
        <v>46</v>
      </c>
      <c r="F248" s="233" t="str">
        <f>РПЗ!Q248</f>
        <v>ОЗК</v>
      </c>
      <c r="G248" s="237"/>
      <c r="H248" s="237" t="str">
        <f>РПЗ!R248</f>
        <v>да</v>
      </c>
      <c r="I248" s="15">
        <f>РПЗ!W248</f>
        <v>0</v>
      </c>
      <c r="J248" s="233">
        <f>РПЗ!X248</f>
        <v>0</v>
      </c>
      <c r="K248" s="283">
        <f>РПЗ!Z248</f>
        <v>0</v>
      </c>
      <c r="L248" s="17"/>
      <c r="M248" s="18">
        <f>РПЗ!O248</f>
        <v>42948</v>
      </c>
      <c r="N248" s="238">
        <f>Таблица5[[#This Row],[10]]</f>
        <v>42948</v>
      </c>
      <c r="O248" s="17"/>
      <c r="P248" s="17"/>
      <c r="Q248" s="17"/>
      <c r="R248" s="17"/>
      <c r="S248" s="17"/>
      <c r="T248" s="686"/>
      <c r="U248" s="18">
        <f>РПЗ!P248</f>
        <v>43072</v>
      </c>
      <c r="V248" s="686"/>
      <c r="W248" s="236">
        <f>РПЗ!L248</f>
        <v>100000</v>
      </c>
      <c r="X248" s="689"/>
      <c r="Y248" s="689"/>
      <c r="Z248" s="690"/>
      <c r="AA248" s="691"/>
      <c r="AB248" s="111"/>
      <c r="AC248" s="17"/>
      <c r="AD248" s="690"/>
      <c r="AE248" s="686"/>
      <c r="AF248" s="474"/>
      <c r="AG248" s="692"/>
      <c r="AH248" s="236" t="str">
        <f>IF(Таблица5[[#This Row],[30]]=0,"НД",Таблица5[[#This Row],[20]]-Таблица5[[#This Row],[30]])</f>
        <v>НД</v>
      </c>
      <c r="AI248" s="511" t="str">
        <f>IF(((1-Таблица5[[#This Row],[30]]/Таблица5[[#This Row],[20]])=1),"НД",(1-Таблица5[[#This Row],[30]]/Таблица5[[#This Row],[20]]))</f>
        <v>НД</v>
      </c>
      <c r="AJ248" s="111"/>
      <c r="AK248" s="111"/>
      <c r="AL248" s="512"/>
      <c r="AM248" s="513"/>
      <c r="AN248" s="465"/>
      <c r="AO248" s="468" t="str">
        <f>РПЗ!AD248</f>
        <v>Нет</v>
      </c>
      <c r="AP248" s="472">
        <f>РПЗ!V248</f>
        <v>0</v>
      </c>
      <c r="AQ248" s="470">
        <f>IF(Таблица5[[#This Row],[11]]=0,,MONTH(Таблица5[[#This Row],[11]]))</f>
        <v>8</v>
      </c>
    </row>
    <row r="249" spans="1:43" ht="39" thickBot="1" x14ac:dyDescent="0.3">
      <c r="A249" s="233" t="str">
        <f t="shared" si="4"/>
        <v>1004-2017-00234</v>
      </c>
      <c r="B249" s="233" t="str">
        <f>РПЗ!$D249</f>
        <v>1004-2017-00234Поставка Насосы для водоснабжения</v>
      </c>
      <c r="C249" s="233" t="str">
        <f>РПЗ!$AA249</f>
        <v>АО "НИИ "Полюс" им. М.Ф. Стельмаха" тел. отдела закупок 8-495-333-05-02</v>
      </c>
      <c r="D249" s="633" t="str">
        <f>РПЗ!$AB249</f>
        <v>Заказчик</v>
      </c>
      <c r="E249" s="96" t="s">
        <v>46</v>
      </c>
      <c r="F249" s="233" t="str">
        <f>РПЗ!Q249</f>
        <v>ОЗК</v>
      </c>
      <c r="G249" s="237"/>
      <c r="H249" s="237" t="str">
        <f>РПЗ!R249</f>
        <v>да</v>
      </c>
      <c r="I249" s="15">
        <f>РПЗ!W249</f>
        <v>0</v>
      </c>
      <c r="J249" s="233">
        <f>РПЗ!X249</f>
        <v>0</v>
      </c>
      <c r="K249" s="283">
        <f>РПЗ!Z249</f>
        <v>0</v>
      </c>
      <c r="L249" s="17"/>
      <c r="M249" s="18">
        <f>РПЗ!O249</f>
        <v>42948</v>
      </c>
      <c r="N249" s="238">
        <f>Таблица5[[#This Row],[10]]</f>
        <v>42948</v>
      </c>
      <c r="O249" s="17"/>
      <c r="P249" s="17"/>
      <c r="Q249" s="17"/>
      <c r="R249" s="17"/>
      <c r="S249" s="17"/>
      <c r="T249" s="686"/>
      <c r="U249" s="18">
        <f>РПЗ!P249</f>
        <v>43073</v>
      </c>
      <c r="V249" s="686"/>
      <c r="W249" s="236">
        <f>РПЗ!L249</f>
        <v>140000</v>
      </c>
      <c r="X249" s="689"/>
      <c r="Y249" s="689"/>
      <c r="Z249" s="690"/>
      <c r="AA249" s="691"/>
      <c r="AB249" s="111"/>
      <c r="AC249" s="17"/>
      <c r="AD249" s="690"/>
      <c r="AE249" s="686"/>
      <c r="AF249" s="474"/>
      <c r="AG249" s="692"/>
      <c r="AH249" s="236" t="str">
        <f>IF(Таблица5[[#This Row],[30]]=0,"НД",Таблица5[[#This Row],[20]]-Таблица5[[#This Row],[30]])</f>
        <v>НД</v>
      </c>
      <c r="AI249" s="511" t="str">
        <f>IF(((1-Таблица5[[#This Row],[30]]/Таблица5[[#This Row],[20]])=1),"НД",(1-Таблица5[[#This Row],[30]]/Таблица5[[#This Row],[20]]))</f>
        <v>НД</v>
      </c>
      <c r="AJ249" s="111"/>
      <c r="AK249" s="111"/>
      <c r="AL249" s="512"/>
      <c r="AM249" s="513"/>
      <c r="AN249" s="465"/>
      <c r="AO249" s="468" t="str">
        <f>РПЗ!AD249</f>
        <v>Нет</v>
      </c>
      <c r="AP249" s="472">
        <f>РПЗ!V249</f>
        <v>0</v>
      </c>
      <c r="AQ249" s="470">
        <f>IF(Таблица5[[#This Row],[11]]=0,,MONTH(Таблица5[[#This Row],[11]]))</f>
        <v>8</v>
      </c>
    </row>
    <row r="250" spans="1:43" ht="51.75" thickBot="1" x14ac:dyDescent="0.3">
      <c r="A250" s="233" t="str">
        <f t="shared" si="4"/>
        <v>1004-2017-00235</v>
      </c>
      <c r="B250" s="233" t="str">
        <f>РПЗ!$D250</f>
        <v>1004-2017-00235Поставка Инструмент для проведения сантехнических работ и приспособления к нему</v>
      </c>
      <c r="C250" s="233" t="str">
        <f>РПЗ!$AA250</f>
        <v>АО "НИИ "Полюс" им. М.Ф. Стельмаха" тел. отдела закупок 8-495-333-05-02</v>
      </c>
      <c r="D250" s="633" t="str">
        <f>РПЗ!$AB250</f>
        <v>Заказчик</v>
      </c>
      <c r="E250" s="96" t="s">
        <v>46</v>
      </c>
      <c r="F250" s="233" t="str">
        <f>РПЗ!Q250</f>
        <v>ОЗК</v>
      </c>
      <c r="G250" s="237"/>
      <c r="H250" s="237" t="str">
        <f>РПЗ!R250</f>
        <v>да</v>
      </c>
      <c r="I250" s="15">
        <f>РПЗ!W250</f>
        <v>0</v>
      </c>
      <c r="J250" s="233">
        <f>РПЗ!X250</f>
        <v>0</v>
      </c>
      <c r="K250" s="283">
        <f>РПЗ!Z250</f>
        <v>0</v>
      </c>
      <c r="L250" s="17"/>
      <c r="M250" s="18">
        <f>РПЗ!O250</f>
        <v>42795</v>
      </c>
      <c r="N250" s="238">
        <f>Таблица5[[#This Row],[10]]</f>
        <v>42795</v>
      </c>
      <c r="O250" s="17"/>
      <c r="P250" s="17"/>
      <c r="Q250" s="17"/>
      <c r="R250" s="17"/>
      <c r="S250" s="17"/>
      <c r="T250" s="686"/>
      <c r="U250" s="18">
        <f>РПЗ!P250</f>
        <v>43074</v>
      </c>
      <c r="V250" s="686"/>
      <c r="W250" s="236">
        <f>РПЗ!L250</f>
        <v>250000</v>
      </c>
      <c r="X250" s="689"/>
      <c r="Y250" s="689"/>
      <c r="Z250" s="690"/>
      <c r="AA250" s="691"/>
      <c r="AB250" s="111"/>
      <c r="AC250" s="17"/>
      <c r="AD250" s="690"/>
      <c r="AE250" s="686"/>
      <c r="AF250" s="474"/>
      <c r="AG250" s="692"/>
      <c r="AH250" s="236" t="str">
        <f>IF(Таблица5[[#This Row],[30]]=0,"НД",Таблица5[[#This Row],[20]]-Таблица5[[#This Row],[30]])</f>
        <v>НД</v>
      </c>
      <c r="AI250" s="511" t="str">
        <f>IF(((1-Таблица5[[#This Row],[30]]/Таблица5[[#This Row],[20]])=1),"НД",(1-Таблица5[[#This Row],[30]]/Таблица5[[#This Row],[20]]))</f>
        <v>НД</v>
      </c>
      <c r="AJ250" s="111"/>
      <c r="AK250" s="111"/>
      <c r="AL250" s="512"/>
      <c r="AM250" s="513"/>
      <c r="AN250" s="465"/>
      <c r="AO250" s="468" t="str">
        <f>РПЗ!AD250</f>
        <v>Нет</v>
      </c>
      <c r="AP250" s="472">
        <f>РПЗ!V250</f>
        <v>0</v>
      </c>
      <c r="AQ250" s="470">
        <f>IF(Таблица5[[#This Row],[11]]=0,,MONTH(Таблица5[[#This Row],[11]]))</f>
        <v>3</v>
      </c>
    </row>
    <row r="251" spans="1:43" ht="39" thickBot="1" x14ac:dyDescent="0.3">
      <c r="A251" s="233" t="str">
        <f t="shared" si="4"/>
        <v>1004-2017-00236</v>
      </c>
      <c r="B251" s="233" t="str">
        <f>РПЗ!$D251</f>
        <v>1004-2017-00236Поставка Инструмент для реонтных сантехнических работ</v>
      </c>
      <c r="C251" s="233" t="str">
        <f>РПЗ!$AA251</f>
        <v>АО "НИИ "Полюс" им. М.Ф. Стельмаха" тел. отдела закупок 8-495-333-05-02</v>
      </c>
      <c r="D251" s="633" t="str">
        <f>РПЗ!$AB251</f>
        <v>Заказчик</v>
      </c>
      <c r="E251" s="96" t="s">
        <v>46</v>
      </c>
      <c r="F251" s="233" t="str">
        <f>РПЗ!Q251</f>
        <v>ОЗК</v>
      </c>
      <c r="G251" s="237"/>
      <c r="H251" s="237" t="str">
        <f>РПЗ!R251</f>
        <v>да</v>
      </c>
      <c r="I251" s="15">
        <f>РПЗ!W251</f>
        <v>0</v>
      </c>
      <c r="J251" s="233">
        <f>РПЗ!X251</f>
        <v>0</v>
      </c>
      <c r="K251" s="283">
        <f>РПЗ!Z251</f>
        <v>0</v>
      </c>
      <c r="L251" s="17"/>
      <c r="M251" s="18">
        <f>РПЗ!O251</f>
        <v>42948</v>
      </c>
      <c r="N251" s="238">
        <f>Таблица5[[#This Row],[10]]</f>
        <v>42948</v>
      </c>
      <c r="O251" s="17"/>
      <c r="P251" s="17"/>
      <c r="Q251" s="17"/>
      <c r="R251" s="17"/>
      <c r="S251" s="17"/>
      <c r="T251" s="686"/>
      <c r="U251" s="18">
        <f>РПЗ!P251</f>
        <v>43075</v>
      </c>
      <c r="V251" s="686"/>
      <c r="W251" s="236">
        <f>РПЗ!L251</f>
        <v>300000</v>
      </c>
      <c r="X251" s="689"/>
      <c r="Y251" s="689"/>
      <c r="Z251" s="690"/>
      <c r="AA251" s="691"/>
      <c r="AB251" s="111"/>
      <c r="AC251" s="17"/>
      <c r="AD251" s="690"/>
      <c r="AE251" s="686"/>
      <c r="AF251" s="474"/>
      <c r="AG251" s="692"/>
      <c r="AH251" s="236" t="str">
        <f>IF(Таблица5[[#This Row],[30]]=0,"НД",Таблица5[[#This Row],[20]]-Таблица5[[#This Row],[30]])</f>
        <v>НД</v>
      </c>
      <c r="AI251" s="511" t="str">
        <f>IF(((1-Таблица5[[#This Row],[30]]/Таблица5[[#This Row],[20]])=1),"НД",(1-Таблица5[[#This Row],[30]]/Таблица5[[#This Row],[20]]))</f>
        <v>НД</v>
      </c>
      <c r="AJ251" s="111"/>
      <c r="AK251" s="111"/>
      <c r="AL251" s="512"/>
      <c r="AM251" s="513"/>
      <c r="AN251" s="465"/>
      <c r="AO251" s="468" t="str">
        <f>РПЗ!AD251</f>
        <v>Нет</v>
      </c>
      <c r="AP251" s="472">
        <f>РПЗ!V251</f>
        <v>0</v>
      </c>
      <c r="AQ251" s="470">
        <f>IF(Таблица5[[#This Row],[11]]=0,,MONTH(Таблица5[[#This Row],[11]]))</f>
        <v>8</v>
      </c>
    </row>
    <row r="252" spans="1:43" ht="39" thickBot="1" x14ac:dyDescent="0.3">
      <c r="A252" s="233" t="str">
        <f t="shared" si="4"/>
        <v>1004-2017-00237</v>
      </c>
      <c r="B252" s="233" t="str">
        <f>РПЗ!$D252</f>
        <v>1004-2017-00237Поставка Вентиляторы промышленные</v>
      </c>
      <c r="C252" s="233" t="str">
        <f>РПЗ!$AA252</f>
        <v>АО "НИИ "Полюс" им. М.Ф. Стельмаха" тел. отдела закупок 8-495-333-05-02</v>
      </c>
      <c r="D252" s="633" t="str">
        <f>РПЗ!$AB252</f>
        <v>Заказчик</v>
      </c>
      <c r="E252" s="96" t="s">
        <v>46</v>
      </c>
      <c r="F252" s="233" t="str">
        <f>РПЗ!Q252</f>
        <v>ОК</v>
      </c>
      <c r="G252" s="237"/>
      <c r="H252" s="237" t="str">
        <f>РПЗ!R252</f>
        <v>да</v>
      </c>
      <c r="I252" s="15">
        <f>РПЗ!W252</f>
        <v>0</v>
      </c>
      <c r="J252" s="233">
        <f>РПЗ!X252</f>
        <v>0</v>
      </c>
      <c r="K252" s="283">
        <f>РПЗ!Z252</f>
        <v>0</v>
      </c>
      <c r="L252" s="17"/>
      <c r="M252" s="18">
        <f>РПЗ!O252</f>
        <v>42795</v>
      </c>
      <c r="N252" s="238">
        <f>Таблица5[[#This Row],[10]]</f>
        <v>42795</v>
      </c>
      <c r="O252" s="17"/>
      <c r="P252" s="17"/>
      <c r="Q252" s="17"/>
      <c r="R252" s="17"/>
      <c r="S252" s="17"/>
      <c r="T252" s="686"/>
      <c r="U252" s="18">
        <f>РПЗ!P252</f>
        <v>43077</v>
      </c>
      <c r="V252" s="686"/>
      <c r="W252" s="236">
        <f>РПЗ!L252</f>
        <v>13000000</v>
      </c>
      <c r="X252" s="689"/>
      <c r="Y252" s="689"/>
      <c r="Z252" s="690"/>
      <c r="AA252" s="691"/>
      <c r="AB252" s="111"/>
      <c r="AC252" s="17"/>
      <c r="AD252" s="690"/>
      <c r="AE252" s="686"/>
      <c r="AF252" s="474"/>
      <c r="AG252" s="692"/>
      <c r="AH252" s="236" t="str">
        <f>IF(Таблица5[[#This Row],[30]]=0,"НД",Таблица5[[#This Row],[20]]-Таблица5[[#This Row],[30]])</f>
        <v>НД</v>
      </c>
      <c r="AI252" s="511" t="str">
        <f>IF(((1-Таблица5[[#This Row],[30]]/Таблица5[[#This Row],[20]])=1),"НД",(1-Таблица5[[#This Row],[30]]/Таблица5[[#This Row],[20]]))</f>
        <v>НД</v>
      </c>
      <c r="AJ252" s="111"/>
      <c r="AK252" s="111"/>
      <c r="AL252" s="512"/>
      <c r="AM252" s="513"/>
      <c r="AN252" s="465"/>
      <c r="AO252" s="468" t="str">
        <f>РПЗ!AD252</f>
        <v>Нет</v>
      </c>
      <c r="AP252" s="472">
        <f>РПЗ!V252</f>
        <v>0</v>
      </c>
      <c r="AQ252" s="470">
        <f>IF(Таблица5[[#This Row],[11]]=0,,MONTH(Таблица5[[#This Row],[11]]))</f>
        <v>3</v>
      </c>
    </row>
    <row r="253" spans="1:43" ht="39" thickBot="1" x14ac:dyDescent="0.3">
      <c r="A253" s="233" t="str">
        <f t="shared" si="4"/>
        <v>1004-2017-00238</v>
      </c>
      <c r="B253" s="233" t="str">
        <f>РПЗ!$D253</f>
        <v>1004-2017-00238Поставка Промышленные вентиляторы</v>
      </c>
      <c r="C253" s="233" t="str">
        <f>РПЗ!$AA253</f>
        <v>АО "НИИ "Полюс" им. М.Ф. Стельмаха" тел. отдела закупок 8-495-333-05-02</v>
      </c>
      <c r="D253" s="633" t="str">
        <f>РПЗ!$AB253</f>
        <v>Заказчик</v>
      </c>
      <c r="E253" s="96" t="s">
        <v>46</v>
      </c>
      <c r="F253" s="233" t="str">
        <f>РПЗ!Q253</f>
        <v>ОЗК</v>
      </c>
      <c r="G253" s="237"/>
      <c r="H253" s="237" t="str">
        <f>РПЗ!R253</f>
        <v>да</v>
      </c>
      <c r="I253" s="15">
        <f>РПЗ!W253</f>
        <v>0</v>
      </c>
      <c r="J253" s="233">
        <f>РПЗ!X253</f>
        <v>0</v>
      </c>
      <c r="K253" s="283">
        <f>РПЗ!Z253</f>
        <v>0</v>
      </c>
      <c r="L253" s="17"/>
      <c r="M253" s="18">
        <f>РПЗ!O253</f>
        <v>42948</v>
      </c>
      <c r="N253" s="238">
        <f>Таблица5[[#This Row],[10]]</f>
        <v>42948</v>
      </c>
      <c r="O253" s="17"/>
      <c r="P253" s="17"/>
      <c r="Q253" s="17"/>
      <c r="R253" s="17"/>
      <c r="S253" s="17"/>
      <c r="T253" s="686"/>
      <c r="U253" s="18">
        <f>РПЗ!P253</f>
        <v>43078</v>
      </c>
      <c r="V253" s="686"/>
      <c r="W253" s="236">
        <f>РПЗ!L253</f>
        <v>650000</v>
      </c>
      <c r="X253" s="689"/>
      <c r="Y253" s="689"/>
      <c r="Z253" s="690"/>
      <c r="AA253" s="691"/>
      <c r="AB253" s="111"/>
      <c r="AC253" s="17"/>
      <c r="AD253" s="690"/>
      <c r="AE253" s="686"/>
      <c r="AF253" s="474"/>
      <c r="AG253" s="692"/>
      <c r="AH253" s="236" t="str">
        <f>IF(Таблица5[[#This Row],[30]]=0,"НД",Таблица5[[#This Row],[20]]-Таблица5[[#This Row],[30]])</f>
        <v>НД</v>
      </c>
      <c r="AI253" s="511" t="str">
        <f>IF(((1-Таблица5[[#This Row],[30]]/Таблица5[[#This Row],[20]])=1),"НД",(1-Таблица5[[#This Row],[30]]/Таблица5[[#This Row],[20]]))</f>
        <v>НД</v>
      </c>
      <c r="AJ253" s="111"/>
      <c r="AK253" s="111"/>
      <c r="AL253" s="512"/>
      <c r="AM253" s="513"/>
      <c r="AN253" s="465"/>
      <c r="AO253" s="468" t="str">
        <f>РПЗ!AD253</f>
        <v>Нет</v>
      </c>
      <c r="AP253" s="472">
        <f>РПЗ!V253</f>
        <v>0</v>
      </c>
      <c r="AQ253" s="470">
        <f>IF(Таблица5[[#This Row],[11]]=0,,MONTH(Таблица5[[#This Row],[11]]))</f>
        <v>8</v>
      </c>
    </row>
    <row r="254" spans="1:43" ht="51.75" thickBot="1" x14ac:dyDescent="0.3">
      <c r="A254" s="233" t="str">
        <f t="shared" si="4"/>
        <v>1004-2017-00239</v>
      </c>
      <c r="B254" s="233" t="str">
        <f>РПЗ!$D254</f>
        <v>1004-2017-00239Поставка Инструмент и приспособления для монтажных работ слаботочных систем и линий</v>
      </c>
      <c r="C254" s="233" t="str">
        <f>РПЗ!$AA254</f>
        <v>АО "НИИ "Полюс" им. М.Ф. Стельмаха" тел. отдела закупок 8-495-333-05-02</v>
      </c>
      <c r="D254" s="633" t="str">
        <f>РПЗ!$AB254</f>
        <v>Заказчик</v>
      </c>
      <c r="E254" s="96" t="s">
        <v>46</v>
      </c>
      <c r="F254" s="233" t="str">
        <f>РПЗ!Q254</f>
        <v>ОЗК</v>
      </c>
      <c r="G254" s="237"/>
      <c r="H254" s="237" t="str">
        <f>РПЗ!R254</f>
        <v>да</v>
      </c>
      <c r="I254" s="15">
        <f>РПЗ!W254</f>
        <v>0</v>
      </c>
      <c r="J254" s="233">
        <f>РПЗ!X254</f>
        <v>0</v>
      </c>
      <c r="K254" s="283">
        <f>РПЗ!Z254</f>
        <v>0</v>
      </c>
      <c r="L254" s="17"/>
      <c r="M254" s="18">
        <f>РПЗ!O254</f>
        <v>42767</v>
      </c>
      <c r="N254" s="238">
        <f>Таблица5[[#This Row],[10]]</f>
        <v>42767</v>
      </c>
      <c r="O254" s="17"/>
      <c r="P254" s="17"/>
      <c r="Q254" s="17"/>
      <c r="R254" s="17"/>
      <c r="S254" s="17"/>
      <c r="T254" s="686"/>
      <c r="U254" s="18">
        <f>РПЗ!P254</f>
        <v>43080</v>
      </c>
      <c r="V254" s="686"/>
      <c r="W254" s="236">
        <f>РПЗ!L254</f>
        <v>150000</v>
      </c>
      <c r="X254" s="689"/>
      <c r="Y254" s="689"/>
      <c r="Z254" s="690"/>
      <c r="AA254" s="691"/>
      <c r="AB254" s="111"/>
      <c r="AC254" s="17"/>
      <c r="AD254" s="690"/>
      <c r="AE254" s="686"/>
      <c r="AF254" s="474"/>
      <c r="AG254" s="692"/>
      <c r="AH254" s="236" t="str">
        <f>IF(Таблица5[[#This Row],[30]]=0,"НД",Таблица5[[#This Row],[20]]-Таблица5[[#This Row],[30]])</f>
        <v>НД</v>
      </c>
      <c r="AI254" s="511" t="str">
        <f>IF(((1-Таблица5[[#This Row],[30]]/Таблица5[[#This Row],[20]])=1),"НД",(1-Таблица5[[#This Row],[30]]/Таблица5[[#This Row],[20]]))</f>
        <v>НД</v>
      </c>
      <c r="AJ254" s="111"/>
      <c r="AK254" s="111"/>
      <c r="AL254" s="512"/>
      <c r="AM254" s="513"/>
      <c r="AN254" s="465"/>
      <c r="AO254" s="468" t="str">
        <f>РПЗ!AD254</f>
        <v>Нет</v>
      </c>
      <c r="AP254" s="472">
        <f>РПЗ!V254</f>
        <v>0</v>
      </c>
      <c r="AQ254" s="470">
        <f>IF(Таблица5[[#This Row],[11]]=0,,MONTH(Таблица5[[#This Row],[11]]))</f>
        <v>2</v>
      </c>
    </row>
    <row r="255" spans="1:43" ht="39" thickBot="1" x14ac:dyDescent="0.3">
      <c r="A255" s="233" t="str">
        <f t="shared" si="4"/>
        <v>1004-2017-00240</v>
      </c>
      <c r="B255" s="233" t="str">
        <f>РПЗ!$D255</f>
        <v>1004-2017-00240Поставка Оборудование для проведения конференций</v>
      </c>
      <c r="C255" s="233" t="str">
        <f>РПЗ!$AA255</f>
        <v>АО "НИИ "Полюс" им. М.Ф. Стельмаха" тел. отдела закупок 8-495-333-05-02</v>
      </c>
      <c r="D255" s="633" t="str">
        <f>РПЗ!$AB255</f>
        <v>Заказчик</v>
      </c>
      <c r="E255" s="96" t="s">
        <v>46</v>
      </c>
      <c r="F255" s="233" t="str">
        <f>РПЗ!Q255</f>
        <v>ОЗК</v>
      </c>
      <c r="G255" s="237"/>
      <c r="H255" s="237" t="str">
        <f>РПЗ!R255</f>
        <v>да</v>
      </c>
      <c r="I255" s="15">
        <f>РПЗ!W255</f>
        <v>0</v>
      </c>
      <c r="J255" s="233">
        <f>РПЗ!X255</f>
        <v>0</v>
      </c>
      <c r="K255" s="283">
        <f>РПЗ!Z255</f>
        <v>0</v>
      </c>
      <c r="L255" s="17"/>
      <c r="M255" s="18">
        <f>РПЗ!O255</f>
        <v>42767</v>
      </c>
      <c r="N255" s="238">
        <f>Таблица5[[#This Row],[10]]</f>
        <v>42767</v>
      </c>
      <c r="O255" s="17"/>
      <c r="P255" s="17"/>
      <c r="Q255" s="17"/>
      <c r="R255" s="17"/>
      <c r="S255" s="17"/>
      <c r="T255" s="686"/>
      <c r="U255" s="18">
        <f>РПЗ!P255</f>
        <v>43081</v>
      </c>
      <c r="V255" s="686"/>
      <c r="W255" s="236">
        <f>РПЗ!L255</f>
        <v>160000</v>
      </c>
      <c r="X255" s="689"/>
      <c r="Y255" s="689"/>
      <c r="Z255" s="690"/>
      <c r="AA255" s="691"/>
      <c r="AB255" s="111"/>
      <c r="AC255" s="17"/>
      <c r="AD255" s="690"/>
      <c r="AE255" s="686"/>
      <c r="AF255" s="474"/>
      <c r="AG255" s="692"/>
      <c r="AH255" s="236" t="str">
        <f>IF(Таблица5[[#This Row],[30]]=0,"НД",Таблица5[[#This Row],[20]]-Таблица5[[#This Row],[30]])</f>
        <v>НД</v>
      </c>
      <c r="AI255" s="511" t="str">
        <f>IF(((1-Таблица5[[#This Row],[30]]/Таблица5[[#This Row],[20]])=1),"НД",(1-Таблица5[[#This Row],[30]]/Таблица5[[#This Row],[20]]))</f>
        <v>НД</v>
      </c>
      <c r="AJ255" s="111"/>
      <c r="AK255" s="111"/>
      <c r="AL255" s="512"/>
      <c r="AM255" s="513"/>
      <c r="AN255" s="465"/>
      <c r="AO255" s="468" t="str">
        <f>РПЗ!AD255</f>
        <v>Нет</v>
      </c>
      <c r="AP255" s="472">
        <f>РПЗ!V255</f>
        <v>0</v>
      </c>
      <c r="AQ255" s="470">
        <f>IF(Таблица5[[#This Row],[11]]=0,,MONTH(Таблица5[[#This Row],[11]]))</f>
        <v>2</v>
      </c>
    </row>
    <row r="256" spans="1:43" ht="39" thickBot="1" x14ac:dyDescent="0.3">
      <c r="A256" s="233" t="str">
        <f t="shared" si="4"/>
        <v>1004-2017-00241</v>
      </c>
      <c r="B256" s="233" t="str">
        <f>РПЗ!$D256</f>
        <v>1004-2017-00241Поставка Лабораторные источники питания,  LRC измеритель</v>
      </c>
      <c r="C256" s="233" t="str">
        <f>РПЗ!$AA256</f>
        <v>АО "НИИ "Полюс" им. М.Ф. Стельмаха" тел. отдела закупок 8-495-333-05-02</v>
      </c>
      <c r="D256" s="633" t="str">
        <f>РПЗ!$AB256</f>
        <v>Заказчик</v>
      </c>
      <c r="E256" s="96" t="s">
        <v>46</v>
      </c>
      <c r="F256" s="233" t="str">
        <f>РПЗ!Q256</f>
        <v>ОЗК</v>
      </c>
      <c r="G256" s="237"/>
      <c r="H256" s="237" t="str">
        <f>РПЗ!R256</f>
        <v>да</v>
      </c>
      <c r="I256" s="15">
        <f>РПЗ!W256</f>
        <v>0</v>
      </c>
      <c r="J256" s="233">
        <f>РПЗ!X256</f>
        <v>0</v>
      </c>
      <c r="K256" s="283">
        <f>РПЗ!Z256</f>
        <v>0</v>
      </c>
      <c r="L256" s="17"/>
      <c r="M256" s="18">
        <f>РПЗ!O256</f>
        <v>42856</v>
      </c>
      <c r="N256" s="238">
        <f>Таблица5[[#This Row],[10]]</f>
        <v>42856</v>
      </c>
      <c r="O256" s="17"/>
      <c r="P256" s="17"/>
      <c r="Q256" s="17"/>
      <c r="R256" s="17"/>
      <c r="S256" s="17"/>
      <c r="T256" s="686"/>
      <c r="U256" s="18">
        <f>РПЗ!P256</f>
        <v>43082</v>
      </c>
      <c r="V256" s="686"/>
      <c r="W256" s="236">
        <f>РПЗ!L256</f>
        <v>158170</v>
      </c>
      <c r="X256" s="689"/>
      <c r="Y256" s="689"/>
      <c r="Z256" s="690"/>
      <c r="AA256" s="691"/>
      <c r="AB256" s="111"/>
      <c r="AC256" s="17"/>
      <c r="AD256" s="690"/>
      <c r="AE256" s="686"/>
      <c r="AF256" s="474"/>
      <c r="AG256" s="692"/>
      <c r="AH256" s="236" t="str">
        <f>IF(Таблица5[[#This Row],[30]]=0,"НД",Таблица5[[#This Row],[20]]-Таблица5[[#This Row],[30]])</f>
        <v>НД</v>
      </c>
      <c r="AI256" s="511" t="str">
        <f>IF(((1-Таблица5[[#This Row],[30]]/Таблица5[[#This Row],[20]])=1),"НД",(1-Таблица5[[#This Row],[30]]/Таблица5[[#This Row],[20]]))</f>
        <v>НД</v>
      </c>
      <c r="AJ256" s="111"/>
      <c r="AK256" s="111"/>
      <c r="AL256" s="512"/>
      <c r="AM256" s="513"/>
      <c r="AN256" s="465"/>
      <c r="AO256" s="468" t="str">
        <f>РПЗ!AD256</f>
        <v>Нет</v>
      </c>
      <c r="AP256" s="472">
        <f>РПЗ!V256</f>
        <v>0</v>
      </c>
      <c r="AQ256" s="470">
        <f>IF(Таблица5[[#This Row],[11]]=0,,MONTH(Таблица5[[#This Row],[11]]))</f>
        <v>5</v>
      </c>
    </row>
    <row r="257" spans="1:43" ht="39" thickBot="1" x14ac:dyDescent="0.3">
      <c r="A257" s="233" t="str">
        <f t="shared" si="4"/>
        <v>1004-2017-00242</v>
      </c>
      <c r="B257" s="233" t="str">
        <f>РПЗ!$D257</f>
        <v>1004-2017-00242Поставка Осциллограф</v>
      </c>
      <c r="C257" s="233" t="str">
        <f>РПЗ!$AA257</f>
        <v>АО "НИИ "Полюс" им. М.Ф. Стельмаха" тел. отдела закупок 8-495-333-05-02</v>
      </c>
      <c r="D257" s="633" t="str">
        <f>РПЗ!$AB257</f>
        <v>Заказчик</v>
      </c>
      <c r="E257" s="96" t="s">
        <v>46</v>
      </c>
      <c r="F257" s="233" t="str">
        <f>РПЗ!Q257</f>
        <v>ОЗК</v>
      </c>
      <c r="G257" s="237"/>
      <c r="H257" s="237" t="str">
        <f>РПЗ!R257</f>
        <v>да</v>
      </c>
      <c r="I257" s="15">
        <f>РПЗ!W257</f>
        <v>0</v>
      </c>
      <c r="J257" s="233">
        <f>РПЗ!X257</f>
        <v>0</v>
      </c>
      <c r="K257" s="283">
        <f>РПЗ!Z257</f>
        <v>0</v>
      </c>
      <c r="L257" s="17"/>
      <c r="M257" s="18">
        <f>РПЗ!O257</f>
        <v>42856</v>
      </c>
      <c r="N257" s="238">
        <f>Таблица5[[#This Row],[10]]</f>
        <v>42856</v>
      </c>
      <c r="O257" s="17"/>
      <c r="P257" s="17"/>
      <c r="Q257" s="17"/>
      <c r="R257" s="17"/>
      <c r="S257" s="17"/>
      <c r="T257" s="686"/>
      <c r="U257" s="18">
        <f>РПЗ!P257</f>
        <v>43083</v>
      </c>
      <c r="V257" s="686"/>
      <c r="W257" s="236">
        <f>РПЗ!L257</f>
        <v>1650000</v>
      </c>
      <c r="X257" s="689"/>
      <c r="Y257" s="689"/>
      <c r="Z257" s="690"/>
      <c r="AA257" s="691"/>
      <c r="AB257" s="111"/>
      <c r="AC257" s="17"/>
      <c r="AD257" s="690"/>
      <c r="AE257" s="686"/>
      <c r="AF257" s="474"/>
      <c r="AG257" s="692"/>
      <c r="AH257" s="236" t="str">
        <f>IF(Таблица5[[#This Row],[30]]=0,"НД",Таблица5[[#This Row],[20]]-Таблица5[[#This Row],[30]])</f>
        <v>НД</v>
      </c>
      <c r="AI257" s="511" t="str">
        <f>IF(((1-Таблица5[[#This Row],[30]]/Таблица5[[#This Row],[20]])=1),"НД",(1-Таблица5[[#This Row],[30]]/Таблица5[[#This Row],[20]]))</f>
        <v>НД</v>
      </c>
      <c r="AJ257" s="111"/>
      <c r="AK257" s="111"/>
      <c r="AL257" s="512"/>
      <c r="AM257" s="513"/>
      <c r="AN257" s="465"/>
      <c r="AO257" s="468" t="str">
        <f>РПЗ!AD257</f>
        <v>Нет</v>
      </c>
      <c r="AP257" s="472">
        <f>РПЗ!V257</f>
        <v>0</v>
      </c>
      <c r="AQ257" s="470">
        <f>IF(Таблица5[[#This Row],[11]]=0,,MONTH(Таблица5[[#This Row],[11]]))</f>
        <v>5</v>
      </c>
    </row>
    <row r="258" spans="1:43" ht="39" thickBot="1" x14ac:dyDescent="0.3">
      <c r="A258" s="233" t="str">
        <f t="shared" si="4"/>
        <v>1004-2017-00243</v>
      </c>
      <c r="B258" s="233" t="str">
        <f>РПЗ!$D258</f>
        <v>1004-2017-00243Поставка Генератор</v>
      </c>
      <c r="C258" s="233" t="str">
        <f>РПЗ!$AA258</f>
        <v>АО "НИИ "Полюс" им. М.Ф. Стельмаха" тел. отдела закупок 8-495-333-05-02</v>
      </c>
      <c r="D258" s="633" t="str">
        <f>РПЗ!$AB258</f>
        <v>Заказчик</v>
      </c>
      <c r="E258" s="96" t="s">
        <v>46</v>
      </c>
      <c r="F258" s="233" t="str">
        <f>РПЗ!Q258</f>
        <v>ОЗК</v>
      </c>
      <c r="G258" s="237"/>
      <c r="H258" s="237" t="str">
        <f>РПЗ!R258</f>
        <v>да</v>
      </c>
      <c r="I258" s="15">
        <f>РПЗ!W258</f>
        <v>0</v>
      </c>
      <c r="J258" s="233">
        <f>РПЗ!X258</f>
        <v>0</v>
      </c>
      <c r="K258" s="283">
        <f>РПЗ!Z258</f>
        <v>0</v>
      </c>
      <c r="L258" s="17"/>
      <c r="M258" s="18">
        <f>РПЗ!O258</f>
        <v>42856</v>
      </c>
      <c r="N258" s="238">
        <f>Таблица5[[#This Row],[10]]</f>
        <v>42856</v>
      </c>
      <c r="O258" s="17"/>
      <c r="P258" s="17"/>
      <c r="Q258" s="17"/>
      <c r="R258" s="17"/>
      <c r="S258" s="17"/>
      <c r="T258" s="686"/>
      <c r="U258" s="18">
        <f>РПЗ!P258</f>
        <v>43084</v>
      </c>
      <c r="V258" s="686"/>
      <c r="W258" s="236">
        <f>РПЗ!L258</f>
        <v>1126000</v>
      </c>
      <c r="X258" s="689"/>
      <c r="Y258" s="689"/>
      <c r="Z258" s="690"/>
      <c r="AA258" s="691"/>
      <c r="AB258" s="111"/>
      <c r="AC258" s="17"/>
      <c r="AD258" s="690"/>
      <c r="AE258" s="686"/>
      <c r="AF258" s="474"/>
      <c r="AG258" s="692"/>
      <c r="AH258" s="236" t="str">
        <f>IF(Таблица5[[#This Row],[30]]=0,"НД",Таблица5[[#This Row],[20]]-Таблица5[[#This Row],[30]])</f>
        <v>НД</v>
      </c>
      <c r="AI258" s="511" t="str">
        <f>IF(((1-Таблица5[[#This Row],[30]]/Таблица5[[#This Row],[20]])=1),"НД",(1-Таблица5[[#This Row],[30]]/Таблица5[[#This Row],[20]]))</f>
        <v>НД</v>
      </c>
      <c r="AJ258" s="111"/>
      <c r="AK258" s="111"/>
      <c r="AL258" s="512"/>
      <c r="AM258" s="513"/>
      <c r="AN258" s="465"/>
      <c r="AO258" s="468" t="str">
        <f>РПЗ!AD258</f>
        <v>Нет</v>
      </c>
      <c r="AP258" s="472">
        <f>РПЗ!V258</f>
        <v>0</v>
      </c>
      <c r="AQ258" s="470">
        <f>IF(Таблица5[[#This Row],[11]]=0,,MONTH(Таблица5[[#This Row],[11]]))</f>
        <v>5</v>
      </c>
    </row>
    <row r="259" spans="1:43" ht="39" thickBot="1" x14ac:dyDescent="0.3">
      <c r="A259" s="233" t="str">
        <f t="shared" si="4"/>
        <v>1004-2017-00244</v>
      </c>
      <c r="B259" s="233" t="str">
        <f>РПЗ!$D259</f>
        <v>1004-2017-00244Поставка Частотомер</v>
      </c>
      <c r="C259" s="233" t="str">
        <f>РПЗ!$AA259</f>
        <v>АО "НИИ "Полюс" им. М.Ф. Стельмаха" тел. отдела закупок 8-495-333-05-02</v>
      </c>
      <c r="D259" s="633" t="str">
        <f>РПЗ!$AB259</f>
        <v>Заказчик</v>
      </c>
      <c r="E259" s="96" t="s">
        <v>46</v>
      </c>
      <c r="F259" s="233" t="str">
        <f>РПЗ!Q259</f>
        <v>ОЗК</v>
      </c>
      <c r="G259" s="237"/>
      <c r="H259" s="237" t="str">
        <f>РПЗ!R259</f>
        <v>да</v>
      </c>
      <c r="I259" s="15">
        <f>РПЗ!W259</f>
        <v>0</v>
      </c>
      <c r="J259" s="233">
        <f>РПЗ!X259</f>
        <v>0</v>
      </c>
      <c r="K259" s="283">
        <f>РПЗ!Z259</f>
        <v>0</v>
      </c>
      <c r="L259" s="17"/>
      <c r="M259" s="18">
        <f>РПЗ!O259</f>
        <v>42856</v>
      </c>
      <c r="N259" s="238">
        <f>Таблица5[[#This Row],[10]]</f>
        <v>42856</v>
      </c>
      <c r="O259" s="17"/>
      <c r="P259" s="17"/>
      <c r="Q259" s="17"/>
      <c r="R259" s="17"/>
      <c r="S259" s="17"/>
      <c r="T259" s="686"/>
      <c r="U259" s="18">
        <f>РПЗ!P259</f>
        <v>43085</v>
      </c>
      <c r="V259" s="686"/>
      <c r="W259" s="236">
        <f>РПЗ!L259</f>
        <v>247285</v>
      </c>
      <c r="X259" s="689"/>
      <c r="Y259" s="689"/>
      <c r="Z259" s="690"/>
      <c r="AA259" s="691"/>
      <c r="AB259" s="111"/>
      <c r="AC259" s="17"/>
      <c r="AD259" s="690"/>
      <c r="AE259" s="686"/>
      <c r="AF259" s="474"/>
      <c r="AG259" s="692"/>
      <c r="AH259" s="236" t="str">
        <f>IF(Таблица5[[#This Row],[30]]=0,"НД",Таблица5[[#This Row],[20]]-Таблица5[[#This Row],[30]])</f>
        <v>НД</v>
      </c>
      <c r="AI259" s="511" t="str">
        <f>IF(((1-Таблица5[[#This Row],[30]]/Таблица5[[#This Row],[20]])=1),"НД",(1-Таблица5[[#This Row],[30]]/Таблица5[[#This Row],[20]]))</f>
        <v>НД</v>
      </c>
      <c r="AJ259" s="111"/>
      <c r="AK259" s="111"/>
      <c r="AL259" s="512"/>
      <c r="AM259" s="513"/>
      <c r="AN259" s="465"/>
      <c r="AO259" s="468" t="str">
        <f>РПЗ!AD259</f>
        <v>Нет</v>
      </c>
      <c r="AP259" s="472">
        <f>РПЗ!V259</f>
        <v>0</v>
      </c>
      <c r="AQ259" s="470">
        <f>IF(Таблица5[[#This Row],[11]]=0,,MONTH(Таблица5[[#This Row],[11]]))</f>
        <v>5</v>
      </c>
    </row>
    <row r="260" spans="1:43" ht="39" thickBot="1" x14ac:dyDescent="0.3">
      <c r="A260" s="233" t="str">
        <f t="shared" si="4"/>
        <v>1004-2017-00245</v>
      </c>
      <c r="B260" s="233" t="str">
        <f>РПЗ!$D260</f>
        <v>1004-2017-00245Поставка Микроскопы</v>
      </c>
      <c r="C260" s="233" t="str">
        <f>РПЗ!$AA260</f>
        <v>АО "НИИ "Полюс" им. М.Ф. Стельмаха" тел. отдела закупок 8-495-333-05-02</v>
      </c>
      <c r="D260" s="633" t="str">
        <f>РПЗ!$AB260</f>
        <v>Заказчик</v>
      </c>
      <c r="E260" s="96" t="s">
        <v>46</v>
      </c>
      <c r="F260" s="233" t="str">
        <f>РПЗ!Q260</f>
        <v>ОЗК</v>
      </c>
      <c r="G260" s="237"/>
      <c r="H260" s="237" t="str">
        <f>РПЗ!R260</f>
        <v>да</v>
      </c>
      <c r="I260" s="15">
        <f>РПЗ!W260</f>
        <v>0</v>
      </c>
      <c r="J260" s="233">
        <f>РПЗ!X260</f>
        <v>0</v>
      </c>
      <c r="K260" s="283">
        <f>РПЗ!Z260</f>
        <v>0</v>
      </c>
      <c r="L260" s="17"/>
      <c r="M260" s="18">
        <f>РПЗ!O260</f>
        <v>42856</v>
      </c>
      <c r="N260" s="238">
        <f>Таблица5[[#This Row],[10]]</f>
        <v>42856</v>
      </c>
      <c r="O260" s="17"/>
      <c r="P260" s="17"/>
      <c r="Q260" s="17"/>
      <c r="R260" s="17"/>
      <c r="S260" s="17"/>
      <c r="T260" s="686"/>
      <c r="U260" s="18">
        <f>РПЗ!P260</f>
        <v>43086</v>
      </c>
      <c r="V260" s="686"/>
      <c r="W260" s="236">
        <f>РПЗ!L260</f>
        <v>208370</v>
      </c>
      <c r="X260" s="689"/>
      <c r="Y260" s="689"/>
      <c r="Z260" s="690"/>
      <c r="AA260" s="691"/>
      <c r="AB260" s="111"/>
      <c r="AC260" s="17"/>
      <c r="AD260" s="690"/>
      <c r="AE260" s="686"/>
      <c r="AF260" s="474"/>
      <c r="AG260" s="692"/>
      <c r="AH260" s="236" t="str">
        <f>IF(Таблица5[[#This Row],[30]]=0,"НД",Таблица5[[#This Row],[20]]-Таблица5[[#This Row],[30]])</f>
        <v>НД</v>
      </c>
      <c r="AI260" s="511" t="str">
        <f>IF(((1-Таблица5[[#This Row],[30]]/Таблица5[[#This Row],[20]])=1),"НД",(1-Таблица5[[#This Row],[30]]/Таблица5[[#This Row],[20]]))</f>
        <v>НД</v>
      </c>
      <c r="AJ260" s="111"/>
      <c r="AK260" s="111"/>
      <c r="AL260" s="512"/>
      <c r="AM260" s="513"/>
      <c r="AN260" s="465"/>
      <c r="AO260" s="468" t="str">
        <f>РПЗ!AD260</f>
        <v>Нет</v>
      </c>
      <c r="AP260" s="472">
        <f>РПЗ!V260</f>
        <v>0</v>
      </c>
      <c r="AQ260" s="470">
        <f>IF(Таблица5[[#This Row],[11]]=0,,MONTH(Таблица5[[#This Row],[11]]))</f>
        <v>5</v>
      </c>
    </row>
    <row r="261" spans="1:43" ht="39" thickBot="1" x14ac:dyDescent="0.3">
      <c r="A261" s="233" t="str">
        <f t="shared" si="4"/>
        <v>1004-2017-00246</v>
      </c>
      <c r="B261" s="233" t="str">
        <f>РПЗ!$D261</f>
        <v>1004-2017-00246Поставка Пироэлектрическая головка, электроды для термокомпрессиии</v>
      </c>
      <c r="C261" s="233" t="str">
        <f>РПЗ!$AA261</f>
        <v>АО "НИИ "Полюс" им. М.Ф. Стельмаха" тел. отдела закупок 8-495-333-05-02</v>
      </c>
      <c r="D261" s="633" t="str">
        <f>РПЗ!$AB261</f>
        <v>Заказчик</v>
      </c>
      <c r="E261" s="96" t="s">
        <v>46</v>
      </c>
      <c r="F261" s="233" t="str">
        <f>РПЗ!Q261</f>
        <v>ОЗК</v>
      </c>
      <c r="G261" s="237"/>
      <c r="H261" s="237" t="str">
        <f>РПЗ!R261</f>
        <v>да</v>
      </c>
      <c r="I261" s="15">
        <f>РПЗ!W261</f>
        <v>0</v>
      </c>
      <c r="J261" s="233">
        <f>РПЗ!X261</f>
        <v>0</v>
      </c>
      <c r="K261" s="283">
        <f>РПЗ!Z261</f>
        <v>0</v>
      </c>
      <c r="L261" s="17"/>
      <c r="M261" s="18">
        <f>РПЗ!O261</f>
        <v>42736</v>
      </c>
      <c r="N261" s="238">
        <f>Таблица5[[#This Row],[10]]</f>
        <v>42736</v>
      </c>
      <c r="O261" s="17"/>
      <c r="P261" s="17"/>
      <c r="Q261" s="17"/>
      <c r="R261" s="17"/>
      <c r="S261" s="17"/>
      <c r="T261" s="686"/>
      <c r="U261" s="18">
        <f>РПЗ!P261</f>
        <v>43088</v>
      </c>
      <c r="V261" s="686"/>
      <c r="W261" s="236">
        <f>РПЗ!L261</f>
        <v>270000</v>
      </c>
      <c r="X261" s="689"/>
      <c r="Y261" s="689"/>
      <c r="Z261" s="690"/>
      <c r="AA261" s="691"/>
      <c r="AB261" s="111"/>
      <c r="AC261" s="17"/>
      <c r="AD261" s="690"/>
      <c r="AE261" s="686"/>
      <c r="AF261" s="474"/>
      <c r="AG261" s="692"/>
      <c r="AH261" s="236" t="str">
        <f>IF(Таблица5[[#This Row],[30]]=0,"НД",Таблица5[[#This Row],[20]]-Таблица5[[#This Row],[30]])</f>
        <v>НД</v>
      </c>
      <c r="AI261" s="511" t="str">
        <f>IF(((1-Таблица5[[#This Row],[30]]/Таблица5[[#This Row],[20]])=1),"НД",(1-Таблица5[[#This Row],[30]]/Таблица5[[#This Row],[20]]))</f>
        <v>НД</v>
      </c>
      <c r="AJ261" s="111"/>
      <c r="AK261" s="111"/>
      <c r="AL261" s="512"/>
      <c r="AM261" s="513"/>
      <c r="AN261" s="465"/>
      <c r="AO261" s="468" t="str">
        <f>РПЗ!AD261</f>
        <v>Нет</v>
      </c>
      <c r="AP261" s="472">
        <f>РПЗ!V261</f>
        <v>0</v>
      </c>
      <c r="AQ261" s="470">
        <f>IF(Таблица5[[#This Row],[11]]=0,,MONTH(Таблица5[[#This Row],[11]]))</f>
        <v>1</v>
      </c>
    </row>
    <row r="262" spans="1:43" ht="39" thickBot="1" x14ac:dyDescent="0.3">
      <c r="A262" s="233" t="str">
        <f t="shared" si="4"/>
        <v>1004-2017-00247</v>
      </c>
      <c r="B262" s="233" t="str">
        <f>РПЗ!$D262</f>
        <v>1004-2017-00247Поставка Оборудование электронное</v>
      </c>
      <c r="C262" s="233" t="str">
        <f>РПЗ!$AA262</f>
        <v>АО "НИИ "Полюс" им. М.Ф. Стельмаха" тел. отдела закупок 8-495-333-05-02</v>
      </c>
      <c r="D262" s="633" t="str">
        <f>РПЗ!$AB262</f>
        <v>Заказчик</v>
      </c>
      <c r="E262" s="96" t="s">
        <v>46</v>
      </c>
      <c r="F262" s="233" t="str">
        <f>РПЗ!Q262</f>
        <v>ОЗК</v>
      </c>
      <c r="G262" s="237"/>
      <c r="H262" s="237" t="str">
        <f>РПЗ!R262</f>
        <v>да</v>
      </c>
      <c r="I262" s="15">
        <f>РПЗ!W262</f>
        <v>0</v>
      </c>
      <c r="J262" s="233">
        <f>РПЗ!X262</f>
        <v>0</v>
      </c>
      <c r="K262" s="283">
        <f>РПЗ!Z262</f>
        <v>0</v>
      </c>
      <c r="L262" s="17"/>
      <c r="M262" s="18">
        <f>РПЗ!O262</f>
        <v>42887</v>
      </c>
      <c r="N262" s="238">
        <f>Таблица5[[#This Row],[10]]</f>
        <v>42887</v>
      </c>
      <c r="O262" s="17"/>
      <c r="P262" s="17"/>
      <c r="Q262" s="17"/>
      <c r="R262" s="17"/>
      <c r="S262" s="17"/>
      <c r="T262" s="686"/>
      <c r="U262" s="18">
        <f>РПЗ!P262</f>
        <v>43090</v>
      </c>
      <c r="V262" s="686"/>
      <c r="W262" s="236">
        <f>РПЗ!L262</f>
        <v>507000</v>
      </c>
      <c r="X262" s="689"/>
      <c r="Y262" s="689"/>
      <c r="Z262" s="690"/>
      <c r="AA262" s="691"/>
      <c r="AB262" s="111"/>
      <c r="AC262" s="17"/>
      <c r="AD262" s="690"/>
      <c r="AE262" s="686"/>
      <c r="AF262" s="474"/>
      <c r="AG262" s="692"/>
      <c r="AH262" s="236" t="str">
        <f>IF(Таблица5[[#This Row],[30]]=0,"НД",Таблица5[[#This Row],[20]]-Таблица5[[#This Row],[30]])</f>
        <v>НД</v>
      </c>
      <c r="AI262" s="511" t="str">
        <f>IF(((1-Таблица5[[#This Row],[30]]/Таблица5[[#This Row],[20]])=1),"НД",(1-Таблица5[[#This Row],[30]]/Таблица5[[#This Row],[20]]))</f>
        <v>НД</v>
      </c>
      <c r="AJ262" s="111"/>
      <c r="AK262" s="111"/>
      <c r="AL262" s="512"/>
      <c r="AM262" s="513"/>
      <c r="AN262" s="465"/>
      <c r="AO262" s="468" t="str">
        <f>РПЗ!AD262</f>
        <v>Нет</v>
      </c>
      <c r="AP262" s="472">
        <f>РПЗ!V262</f>
        <v>0</v>
      </c>
      <c r="AQ262" s="470">
        <f>IF(Таблица5[[#This Row],[11]]=0,,MONTH(Таблица5[[#This Row],[11]]))</f>
        <v>6</v>
      </c>
    </row>
    <row r="263" spans="1:43" ht="39" thickBot="1" x14ac:dyDescent="0.3">
      <c r="A263" s="233" t="str">
        <f t="shared" si="4"/>
        <v>1004-2017-00248</v>
      </c>
      <c r="B263" s="233" t="str">
        <f>РПЗ!$D263</f>
        <v>1004-2017-00248Поставка Паяльные станции в комлекте с запасными жалами</v>
      </c>
      <c r="C263" s="233" t="str">
        <f>РПЗ!$AA263</f>
        <v>АО "НИИ "Полюс" им. М.Ф. Стельмаха" тел. отдела закупок 8-495-333-05-02</v>
      </c>
      <c r="D263" s="633" t="str">
        <f>РПЗ!$AB263</f>
        <v>Заказчик</v>
      </c>
      <c r="E263" s="96" t="s">
        <v>46</v>
      </c>
      <c r="F263" s="233" t="str">
        <f>РПЗ!Q263</f>
        <v>ОЗК</v>
      </c>
      <c r="G263" s="237"/>
      <c r="H263" s="237" t="str">
        <f>РПЗ!R263</f>
        <v>да</v>
      </c>
      <c r="I263" s="15">
        <f>РПЗ!W263</f>
        <v>0</v>
      </c>
      <c r="J263" s="233">
        <f>РПЗ!X263</f>
        <v>0</v>
      </c>
      <c r="K263" s="283">
        <f>РПЗ!Z263</f>
        <v>0</v>
      </c>
      <c r="L263" s="17"/>
      <c r="M263" s="18">
        <f>РПЗ!O263</f>
        <v>42917</v>
      </c>
      <c r="N263" s="238">
        <f>Таблица5[[#This Row],[10]]</f>
        <v>42917</v>
      </c>
      <c r="O263" s="17"/>
      <c r="P263" s="17"/>
      <c r="Q263" s="17"/>
      <c r="R263" s="17"/>
      <c r="S263" s="17"/>
      <c r="T263" s="686"/>
      <c r="U263" s="18">
        <f>РПЗ!P263</f>
        <v>43091</v>
      </c>
      <c r="V263" s="686"/>
      <c r="W263" s="236">
        <f>РПЗ!L263</f>
        <v>194000</v>
      </c>
      <c r="X263" s="689"/>
      <c r="Y263" s="689"/>
      <c r="Z263" s="690"/>
      <c r="AA263" s="691"/>
      <c r="AB263" s="111"/>
      <c r="AC263" s="17"/>
      <c r="AD263" s="690"/>
      <c r="AE263" s="686"/>
      <c r="AF263" s="474"/>
      <c r="AG263" s="692"/>
      <c r="AH263" s="236" t="str">
        <f>IF(Таблица5[[#This Row],[30]]=0,"НД",Таблица5[[#This Row],[20]]-Таблица5[[#This Row],[30]])</f>
        <v>НД</v>
      </c>
      <c r="AI263" s="511" t="str">
        <f>IF(((1-Таблица5[[#This Row],[30]]/Таблица5[[#This Row],[20]])=1),"НД",(1-Таблица5[[#This Row],[30]]/Таблица5[[#This Row],[20]]))</f>
        <v>НД</v>
      </c>
      <c r="AJ263" s="111"/>
      <c r="AK263" s="111"/>
      <c r="AL263" s="512"/>
      <c r="AM263" s="513"/>
      <c r="AN263" s="465"/>
      <c r="AO263" s="468" t="str">
        <f>РПЗ!AD263</f>
        <v>Нет</v>
      </c>
      <c r="AP263" s="472">
        <f>РПЗ!V263</f>
        <v>0</v>
      </c>
      <c r="AQ263" s="470">
        <f>IF(Таблица5[[#This Row],[11]]=0,,MONTH(Таблица5[[#This Row],[11]]))</f>
        <v>7</v>
      </c>
    </row>
    <row r="264" spans="1:43" ht="39" thickBot="1" x14ac:dyDescent="0.3">
      <c r="A264" s="233" t="str">
        <f t="shared" si="4"/>
        <v>1004-2017-00249</v>
      </c>
      <c r="B264" s="233" t="str">
        <f>РПЗ!$D264</f>
        <v>1004-2017-00249Поставка Газовый лазер ГН-5П ОАО "Плазма"</v>
      </c>
      <c r="C264" s="233" t="str">
        <f>РПЗ!$AA264</f>
        <v>АО "НИИ "Полюс" им. М.Ф. Стельмаха" тел. отдела закупок 8-495-333-05-02</v>
      </c>
      <c r="D264" s="633" t="str">
        <f>РПЗ!$AB264</f>
        <v>Заказчик</v>
      </c>
      <c r="E264" s="96" t="s">
        <v>46</v>
      </c>
      <c r="F264" s="233" t="str">
        <f>РПЗ!Q264</f>
        <v>ОЗК</v>
      </c>
      <c r="G264" s="237"/>
      <c r="H264" s="237" t="str">
        <f>РПЗ!R264</f>
        <v>да</v>
      </c>
      <c r="I264" s="15">
        <f>РПЗ!W264</f>
        <v>0</v>
      </c>
      <c r="J264" s="233">
        <f>РПЗ!X264</f>
        <v>0</v>
      </c>
      <c r="K264" s="283">
        <f>РПЗ!Z264</f>
        <v>0</v>
      </c>
      <c r="L264" s="17"/>
      <c r="M264" s="18">
        <f>РПЗ!O264</f>
        <v>42948</v>
      </c>
      <c r="N264" s="238">
        <f>Таблица5[[#This Row],[10]]</f>
        <v>42948</v>
      </c>
      <c r="O264" s="17"/>
      <c r="P264" s="17"/>
      <c r="Q264" s="17"/>
      <c r="R264" s="17"/>
      <c r="S264" s="17"/>
      <c r="T264" s="686"/>
      <c r="U264" s="18">
        <f>РПЗ!P264</f>
        <v>43098</v>
      </c>
      <c r="V264" s="686"/>
      <c r="W264" s="236">
        <f>РПЗ!L264</f>
        <v>150000</v>
      </c>
      <c r="X264" s="689"/>
      <c r="Y264" s="689"/>
      <c r="Z264" s="690"/>
      <c r="AA264" s="691"/>
      <c r="AB264" s="111"/>
      <c r="AC264" s="17"/>
      <c r="AD264" s="690"/>
      <c r="AE264" s="686"/>
      <c r="AF264" s="474"/>
      <c r="AG264" s="692"/>
      <c r="AH264" s="236" t="str">
        <f>IF(Таблица5[[#This Row],[30]]=0,"НД",Таблица5[[#This Row],[20]]-Таблица5[[#This Row],[30]])</f>
        <v>НД</v>
      </c>
      <c r="AI264" s="511" t="str">
        <f>IF(((1-Таблица5[[#This Row],[30]]/Таблица5[[#This Row],[20]])=1),"НД",(1-Таблица5[[#This Row],[30]]/Таблица5[[#This Row],[20]]))</f>
        <v>НД</v>
      </c>
      <c r="AJ264" s="111"/>
      <c r="AK264" s="111"/>
      <c r="AL264" s="512"/>
      <c r="AM264" s="513"/>
      <c r="AN264" s="465"/>
      <c r="AO264" s="468" t="str">
        <f>РПЗ!AD264</f>
        <v>Нет</v>
      </c>
      <c r="AP264" s="472">
        <f>РПЗ!V264</f>
        <v>0</v>
      </c>
      <c r="AQ264" s="470">
        <f>IF(Таблица5[[#This Row],[11]]=0,,MONTH(Таблица5[[#This Row],[11]]))</f>
        <v>8</v>
      </c>
    </row>
    <row r="265" spans="1:43" ht="39" thickBot="1" x14ac:dyDescent="0.3">
      <c r="A265" s="233" t="str">
        <f t="shared" si="4"/>
        <v>1004-2017-00250</v>
      </c>
      <c r="B265" s="233" t="str">
        <f>РПЗ!$D265</f>
        <v>1004-2017-00250Датчик энергии РЕ 50 BF фирма OPHIR</v>
      </c>
      <c r="C265" s="233" t="str">
        <f>РПЗ!$AA265</f>
        <v>АО "НИИ "Полюс" им. М.Ф. Стельмаха" тел. отдела закупок 8-495-333-05-02</v>
      </c>
      <c r="D265" s="633" t="str">
        <f>РПЗ!$AB265</f>
        <v>Заказчик</v>
      </c>
      <c r="E265" s="96" t="s">
        <v>46</v>
      </c>
      <c r="F265" s="233" t="str">
        <f>РПЗ!Q265</f>
        <v>ОЗК</v>
      </c>
      <c r="G265" s="237"/>
      <c r="H265" s="237" t="str">
        <f>РПЗ!R265</f>
        <v>да</v>
      </c>
      <c r="I265" s="15">
        <f>РПЗ!W265</f>
        <v>0</v>
      </c>
      <c r="J265" s="233">
        <f>РПЗ!X265</f>
        <v>0</v>
      </c>
      <c r="K265" s="283">
        <f>РПЗ!Z265</f>
        <v>0</v>
      </c>
      <c r="L265" s="17"/>
      <c r="M265" s="18">
        <f>РПЗ!O265</f>
        <v>42948</v>
      </c>
      <c r="N265" s="238">
        <f>Таблица5[[#This Row],[10]]</f>
        <v>42948</v>
      </c>
      <c r="O265" s="17"/>
      <c r="P265" s="17"/>
      <c r="Q265" s="17"/>
      <c r="R265" s="17"/>
      <c r="S265" s="17"/>
      <c r="T265" s="686"/>
      <c r="U265" s="18">
        <f>РПЗ!P265</f>
        <v>43099</v>
      </c>
      <c r="V265" s="686"/>
      <c r="W265" s="236">
        <f>РПЗ!L265</f>
        <v>138000</v>
      </c>
      <c r="X265" s="689"/>
      <c r="Y265" s="689"/>
      <c r="Z265" s="690"/>
      <c r="AA265" s="691"/>
      <c r="AB265" s="111"/>
      <c r="AC265" s="17"/>
      <c r="AD265" s="690"/>
      <c r="AE265" s="686"/>
      <c r="AF265" s="474"/>
      <c r="AG265" s="692"/>
      <c r="AH265" s="236" t="str">
        <f>IF(Таблица5[[#This Row],[30]]=0,"НД",Таблица5[[#This Row],[20]]-Таблица5[[#This Row],[30]])</f>
        <v>НД</v>
      </c>
      <c r="AI265" s="511" t="str">
        <f>IF(((1-Таблица5[[#This Row],[30]]/Таблица5[[#This Row],[20]])=1),"НД",(1-Таблица5[[#This Row],[30]]/Таблица5[[#This Row],[20]]))</f>
        <v>НД</v>
      </c>
      <c r="AJ265" s="111"/>
      <c r="AK265" s="111"/>
      <c r="AL265" s="512"/>
      <c r="AM265" s="513"/>
      <c r="AN265" s="465"/>
      <c r="AO265" s="468" t="str">
        <f>РПЗ!AD265</f>
        <v>Нет</v>
      </c>
      <c r="AP265" s="472">
        <f>РПЗ!V265</f>
        <v>0</v>
      </c>
      <c r="AQ265" s="470">
        <f>IF(Таблица5[[#This Row],[11]]=0,,MONTH(Таблица5[[#This Row],[11]]))</f>
        <v>8</v>
      </c>
    </row>
    <row r="266" spans="1:43" ht="39" thickBot="1" x14ac:dyDescent="0.3">
      <c r="A266" s="233" t="str">
        <f t="shared" si="4"/>
        <v>1004-2017-00251</v>
      </c>
      <c r="B266" s="233" t="str">
        <f>РПЗ!$D266</f>
        <v>1004-2017-00251Поставка Датчик энергии РЕ 25 BF фирма OPHIR</v>
      </c>
      <c r="C266" s="233" t="str">
        <f>РПЗ!$AA266</f>
        <v>АО "НИИ "Полюс" им. М.Ф. Стельмаха" тел. отдела закупок 8-495-333-05-02</v>
      </c>
      <c r="D266" s="633" t="str">
        <f>РПЗ!$AB266</f>
        <v>Заказчик</v>
      </c>
      <c r="E266" s="96" t="s">
        <v>46</v>
      </c>
      <c r="F266" s="233" t="str">
        <f>РПЗ!Q266</f>
        <v>ОЗК</v>
      </c>
      <c r="G266" s="237"/>
      <c r="H266" s="237" t="str">
        <f>РПЗ!R266</f>
        <v>да</v>
      </c>
      <c r="I266" s="15">
        <f>РПЗ!W266</f>
        <v>0</v>
      </c>
      <c r="J266" s="233">
        <f>РПЗ!X266</f>
        <v>0</v>
      </c>
      <c r="K266" s="283">
        <f>РПЗ!Z266</f>
        <v>0</v>
      </c>
      <c r="L266" s="17"/>
      <c r="M266" s="18">
        <f>РПЗ!O266</f>
        <v>42948</v>
      </c>
      <c r="N266" s="238">
        <f>Таблица5[[#This Row],[10]]</f>
        <v>42948</v>
      </c>
      <c r="O266" s="17"/>
      <c r="P266" s="17"/>
      <c r="Q266" s="17"/>
      <c r="R266" s="17"/>
      <c r="S266" s="17"/>
      <c r="T266" s="686"/>
      <c r="U266" s="18">
        <f>РПЗ!P266</f>
        <v>43100</v>
      </c>
      <c r="V266" s="686"/>
      <c r="W266" s="236">
        <f>РПЗ!L266</f>
        <v>150000</v>
      </c>
      <c r="X266" s="689"/>
      <c r="Y266" s="689"/>
      <c r="Z266" s="690"/>
      <c r="AA266" s="691"/>
      <c r="AB266" s="111"/>
      <c r="AC266" s="17"/>
      <c r="AD266" s="690"/>
      <c r="AE266" s="686"/>
      <c r="AF266" s="474"/>
      <c r="AG266" s="692"/>
      <c r="AH266" s="236" t="str">
        <f>IF(Таблица5[[#This Row],[30]]=0,"НД",Таблица5[[#This Row],[20]]-Таблица5[[#This Row],[30]])</f>
        <v>НД</v>
      </c>
      <c r="AI266" s="511" t="str">
        <f>IF(((1-Таблица5[[#This Row],[30]]/Таблица5[[#This Row],[20]])=1),"НД",(1-Таблица5[[#This Row],[30]]/Таблица5[[#This Row],[20]]))</f>
        <v>НД</v>
      </c>
      <c r="AJ266" s="111"/>
      <c r="AK266" s="111"/>
      <c r="AL266" s="512"/>
      <c r="AM266" s="513"/>
      <c r="AN266" s="465"/>
      <c r="AO266" s="468" t="str">
        <f>РПЗ!AD266</f>
        <v>Нет</v>
      </c>
      <c r="AP266" s="472">
        <f>РПЗ!V266</f>
        <v>0</v>
      </c>
      <c r="AQ266" s="470">
        <f>IF(Таблица5[[#This Row],[11]]=0,,MONTH(Таблица5[[#This Row],[11]]))</f>
        <v>8</v>
      </c>
    </row>
    <row r="267" spans="1:43" ht="39" thickBot="1" x14ac:dyDescent="0.3">
      <c r="A267" s="233" t="str">
        <f t="shared" si="4"/>
        <v>1004-2017-00252</v>
      </c>
      <c r="B267" s="233" t="str">
        <f>РПЗ!$D267</f>
        <v>1004-2017-00252Поставка Измеритель мощности лазера VEGA фиирма OPHIR</v>
      </c>
      <c r="C267" s="233" t="str">
        <f>РПЗ!$AA267</f>
        <v>АО "НИИ "Полюс" им. М.Ф. Стельмаха" тел. отдела закупок 8-495-333-05-02</v>
      </c>
      <c r="D267" s="633" t="str">
        <f>РПЗ!$AB267</f>
        <v>Заказчик</v>
      </c>
      <c r="E267" s="96" t="s">
        <v>46</v>
      </c>
      <c r="F267" s="233" t="str">
        <f>РПЗ!Q267</f>
        <v>ОЗК</v>
      </c>
      <c r="G267" s="237"/>
      <c r="H267" s="237" t="str">
        <f>РПЗ!R267</f>
        <v>да</v>
      </c>
      <c r="I267" s="15">
        <f>РПЗ!W267</f>
        <v>0</v>
      </c>
      <c r="J267" s="233">
        <f>РПЗ!X267</f>
        <v>0</v>
      </c>
      <c r="K267" s="283">
        <f>РПЗ!Z267</f>
        <v>0</v>
      </c>
      <c r="L267" s="17"/>
      <c r="M267" s="18">
        <f>РПЗ!O267</f>
        <v>42948</v>
      </c>
      <c r="N267" s="238">
        <f>Таблица5[[#This Row],[10]]</f>
        <v>42948</v>
      </c>
      <c r="O267" s="17"/>
      <c r="P267" s="17"/>
      <c r="Q267" s="17"/>
      <c r="R267" s="17"/>
      <c r="S267" s="17"/>
      <c r="T267" s="686"/>
      <c r="U267" s="18">
        <f>РПЗ!P267</f>
        <v>43070</v>
      </c>
      <c r="V267" s="686"/>
      <c r="W267" s="236">
        <f>РПЗ!L267</f>
        <v>394120</v>
      </c>
      <c r="X267" s="689"/>
      <c r="Y267" s="689"/>
      <c r="Z267" s="690"/>
      <c r="AA267" s="691"/>
      <c r="AB267" s="111"/>
      <c r="AC267" s="17"/>
      <c r="AD267" s="690"/>
      <c r="AE267" s="686"/>
      <c r="AF267" s="474"/>
      <c r="AG267" s="692"/>
      <c r="AH267" s="236" t="str">
        <f>IF(Таблица5[[#This Row],[30]]=0,"НД",Таблица5[[#This Row],[20]]-Таблица5[[#This Row],[30]])</f>
        <v>НД</v>
      </c>
      <c r="AI267" s="511" t="str">
        <f>IF(((1-Таблица5[[#This Row],[30]]/Таблица5[[#This Row],[20]])=1),"НД",(1-Таблица5[[#This Row],[30]]/Таблица5[[#This Row],[20]]))</f>
        <v>НД</v>
      </c>
      <c r="AJ267" s="111"/>
      <c r="AK267" s="111"/>
      <c r="AL267" s="512"/>
      <c r="AM267" s="513"/>
      <c r="AN267" s="465"/>
      <c r="AO267" s="468" t="str">
        <f>РПЗ!AD267</f>
        <v>Нет</v>
      </c>
      <c r="AP267" s="472">
        <f>РПЗ!V267</f>
        <v>0</v>
      </c>
      <c r="AQ267" s="470">
        <f>IF(Таблица5[[#This Row],[11]]=0,,MONTH(Таблица5[[#This Row],[11]]))</f>
        <v>8</v>
      </c>
    </row>
    <row r="268" spans="1:43" ht="39" thickBot="1" x14ac:dyDescent="0.3">
      <c r="A268" s="233" t="str">
        <f t="shared" si="4"/>
        <v>1004-2017-00253</v>
      </c>
      <c r="B268" s="233" t="str">
        <f>РПЗ!$D268</f>
        <v>1004-2017-00253Поставка Осциллограф АКИП 4122/4</v>
      </c>
      <c r="C268" s="233" t="str">
        <f>РПЗ!$AA268</f>
        <v>АО "НИИ "Полюс" им. М.Ф. Стельмаха" тел. отдела закупок 8-495-333-05-02</v>
      </c>
      <c r="D268" s="633" t="str">
        <f>РПЗ!$AB268</f>
        <v>Заказчик</v>
      </c>
      <c r="E268" s="96" t="s">
        <v>46</v>
      </c>
      <c r="F268" s="233" t="str">
        <f>РПЗ!Q268</f>
        <v>ОЗК</v>
      </c>
      <c r="G268" s="237"/>
      <c r="H268" s="237" t="str">
        <f>РПЗ!R268</f>
        <v>да</v>
      </c>
      <c r="I268" s="15">
        <f>РПЗ!W268</f>
        <v>0</v>
      </c>
      <c r="J268" s="233">
        <f>РПЗ!X268</f>
        <v>0</v>
      </c>
      <c r="K268" s="283">
        <f>РПЗ!Z268</f>
        <v>0</v>
      </c>
      <c r="L268" s="17"/>
      <c r="M268" s="18">
        <f>РПЗ!O268</f>
        <v>42948</v>
      </c>
      <c r="N268" s="238">
        <f>Таблица5[[#This Row],[10]]</f>
        <v>42948</v>
      </c>
      <c r="O268" s="17"/>
      <c r="P268" s="17"/>
      <c r="Q268" s="17"/>
      <c r="R268" s="17"/>
      <c r="S268" s="17"/>
      <c r="T268" s="686"/>
      <c r="U268" s="18">
        <f>РПЗ!P268</f>
        <v>43071</v>
      </c>
      <c r="V268" s="686"/>
      <c r="W268" s="236">
        <f>РПЗ!L268</f>
        <v>167200</v>
      </c>
      <c r="X268" s="689"/>
      <c r="Y268" s="689"/>
      <c r="Z268" s="690"/>
      <c r="AA268" s="691"/>
      <c r="AB268" s="111"/>
      <c r="AC268" s="17"/>
      <c r="AD268" s="690"/>
      <c r="AE268" s="686"/>
      <c r="AF268" s="474"/>
      <c r="AG268" s="692"/>
      <c r="AH268" s="236" t="str">
        <f>IF(Таблица5[[#This Row],[30]]=0,"НД",Таблица5[[#This Row],[20]]-Таблица5[[#This Row],[30]])</f>
        <v>НД</v>
      </c>
      <c r="AI268" s="511" t="str">
        <f>IF(((1-Таблица5[[#This Row],[30]]/Таблица5[[#This Row],[20]])=1),"НД",(1-Таблица5[[#This Row],[30]]/Таблица5[[#This Row],[20]]))</f>
        <v>НД</v>
      </c>
      <c r="AJ268" s="111"/>
      <c r="AK268" s="111"/>
      <c r="AL268" s="512"/>
      <c r="AM268" s="513"/>
      <c r="AN268" s="465"/>
      <c r="AO268" s="468" t="str">
        <f>РПЗ!AD268</f>
        <v>Нет</v>
      </c>
      <c r="AP268" s="472">
        <f>РПЗ!V268</f>
        <v>0</v>
      </c>
      <c r="AQ268" s="470">
        <f>IF(Таблица5[[#This Row],[11]]=0,,MONTH(Таблица5[[#This Row],[11]]))</f>
        <v>8</v>
      </c>
    </row>
    <row r="269" spans="1:43" ht="39" thickBot="1" x14ac:dyDescent="0.3">
      <c r="A269" s="233" t="str">
        <f t="shared" si="4"/>
        <v>1004-2017-00254</v>
      </c>
      <c r="B269" s="233" t="str">
        <f>РПЗ!$D269</f>
        <v>1004-2017-00254Поставка Дымоуловитель Fume Cube 2 фирма PUREX</v>
      </c>
      <c r="C269" s="233" t="str">
        <f>РПЗ!$AA269</f>
        <v>АО "НИИ "Полюс" им. М.Ф. Стельмаха" тел. отдела закупок 8-495-333-05-02</v>
      </c>
      <c r="D269" s="633" t="str">
        <f>РПЗ!$AB269</f>
        <v>Заказчик</v>
      </c>
      <c r="E269" s="96" t="s">
        <v>46</v>
      </c>
      <c r="F269" s="233" t="str">
        <f>РПЗ!Q269</f>
        <v>ОЗК</v>
      </c>
      <c r="G269" s="237"/>
      <c r="H269" s="237" t="str">
        <f>РПЗ!R269</f>
        <v>да</v>
      </c>
      <c r="I269" s="15">
        <f>РПЗ!W269</f>
        <v>0</v>
      </c>
      <c r="J269" s="233">
        <f>РПЗ!X269</f>
        <v>0</v>
      </c>
      <c r="K269" s="283">
        <f>РПЗ!Z269</f>
        <v>0</v>
      </c>
      <c r="L269" s="17"/>
      <c r="M269" s="18">
        <f>РПЗ!O269</f>
        <v>42948</v>
      </c>
      <c r="N269" s="238">
        <f>Таблица5[[#This Row],[10]]</f>
        <v>42948</v>
      </c>
      <c r="O269" s="17"/>
      <c r="P269" s="17"/>
      <c r="Q269" s="17"/>
      <c r="R269" s="17"/>
      <c r="S269" s="17"/>
      <c r="T269" s="686"/>
      <c r="U269" s="18">
        <f>РПЗ!P269</f>
        <v>43074</v>
      </c>
      <c r="V269" s="686"/>
      <c r="W269" s="236">
        <f>РПЗ!L269</f>
        <v>210000</v>
      </c>
      <c r="X269" s="689"/>
      <c r="Y269" s="689"/>
      <c r="Z269" s="690"/>
      <c r="AA269" s="691"/>
      <c r="AB269" s="111"/>
      <c r="AC269" s="17"/>
      <c r="AD269" s="690"/>
      <c r="AE269" s="686"/>
      <c r="AF269" s="474"/>
      <c r="AG269" s="692"/>
      <c r="AH269" s="236" t="str">
        <f>IF(Таблица5[[#This Row],[30]]=0,"НД",Таблица5[[#This Row],[20]]-Таблица5[[#This Row],[30]])</f>
        <v>НД</v>
      </c>
      <c r="AI269" s="511" t="str">
        <f>IF(((1-Таблица5[[#This Row],[30]]/Таблица5[[#This Row],[20]])=1),"НД",(1-Таблица5[[#This Row],[30]]/Таблица5[[#This Row],[20]]))</f>
        <v>НД</v>
      </c>
      <c r="AJ269" s="111"/>
      <c r="AK269" s="111"/>
      <c r="AL269" s="512"/>
      <c r="AM269" s="513"/>
      <c r="AN269" s="465"/>
      <c r="AO269" s="468" t="str">
        <f>РПЗ!AD269</f>
        <v>Нет</v>
      </c>
      <c r="AP269" s="472">
        <f>РПЗ!V269</f>
        <v>0</v>
      </c>
      <c r="AQ269" s="470">
        <f>IF(Таблица5[[#This Row],[11]]=0,,MONTH(Таблица5[[#This Row],[11]]))</f>
        <v>8</v>
      </c>
    </row>
    <row r="270" spans="1:43" ht="39" thickBot="1" x14ac:dyDescent="0.3">
      <c r="A270" s="233" t="str">
        <f t="shared" si="4"/>
        <v>1004-2017-00255</v>
      </c>
      <c r="B270" s="233" t="str">
        <f>РПЗ!$D270</f>
        <v>1004-2017-00255Поставка Камера Мини Сабзеро MC 712R Фирма Espec Corp</v>
      </c>
      <c r="C270" s="233" t="str">
        <f>РПЗ!$AA270</f>
        <v>АО "НИИ "Полюс" им. М.Ф. Стельмаха" тел. отдела закупок 8-495-333-05-02</v>
      </c>
      <c r="D270" s="633" t="str">
        <f>РПЗ!$AB270</f>
        <v>Заказчик</v>
      </c>
      <c r="E270" s="96" t="s">
        <v>46</v>
      </c>
      <c r="F270" s="233" t="str">
        <f>РПЗ!Q270</f>
        <v>ОЗК</v>
      </c>
      <c r="G270" s="237"/>
      <c r="H270" s="237" t="str">
        <f>РПЗ!R270</f>
        <v>да</v>
      </c>
      <c r="I270" s="15">
        <f>РПЗ!W270</f>
        <v>0</v>
      </c>
      <c r="J270" s="233">
        <f>РПЗ!X270</f>
        <v>0</v>
      </c>
      <c r="K270" s="283">
        <f>РПЗ!Z270</f>
        <v>0</v>
      </c>
      <c r="L270" s="17"/>
      <c r="M270" s="18">
        <f>РПЗ!O270</f>
        <v>42948</v>
      </c>
      <c r="N270" s="238">
        <f>Таблица5[[#This Row],[10]]</f>
        <v>42948</v>
      </c>
      <c r="O270" s="17"/>
      <c r="P270" s="17"/>
      <c r="Q270" s="17"/>
      <c r="R270" s="17"/>
      <c r="S270" s="17"/>
      <c r="T270" s="686"/>
      <c r="U270" s="18">
        <f>РПЗ!P270</f>
        <v>43079</v>
      </c>
      <c r="V270" s="686"/>
      <c r="W270" s="236">
        <f>РПЗ!L270</f>
        <v>1226000</v>
      </c>
      <c r="X270" s="689"/>
      <c r="Y270" s="689"/>
      <c r="Z270" s="690"/>
      <c r="AA270" s="691"/>
      <c r="AB270" s="111"/>
      <c r="AC270" s="17"/>
      <c r="AD270" s="690"/>
      <c r="AE270" s="686"/>
      <c r="AF270" s="474"/>
      <c r="AG270" s="692"/>
      <c r="AH270" s="236" t="str">
        <f>IF(Таблица5[[#This Row],[30]]=0,"НД",Таблица5[[#This Row],[20]]-Таблица5[[#This Row],[30]])</f>
        <v>НД</v>
      </c>
      <c r="AI270" s="511" t="str">
        <f>IF(((1-Таблица5[[#This Row],[30]]/Таблица5[[#This Row],[20]])=1),"НД",(1-Таблица5[[#This Row],[30]]/Таблица5[[#This Row],[20]]))</f>
        <v>НД</v>
      </c>
      <c r="AJ270" s="111"/>
      <c r="AK270" s="111"/>
      <c r="AL270" s="512"/>
      <c r="AM270" s="513"/>
      <c r="AN270" s="465"/>
      <c r="AO270" s="468" t="str">
        <f>РПЗ!AD270</f>
        <v>Нет</v>
      </c>
      <c r="AP270" s="472">
        <f>РПЗ!V270</f>
        <v>0</v>
      </c>
      <c r="AQ270" s="470">
        <f>IF(Таблица5[[#This Row],[11]]=0,,MONTH(Таблица5[[#This Row],[11]]))</f>
        <v>8</v>
      </c>
    </row>
    <row r="271" spans="1:43" ht="39" thickBot="1" x14ac:dyDescent="0.3">
      <c r="A271" s="233" t="str">
        <f t="shared" si="4"/>
        <v>1004-2017-00256</v>
      </c>
      <c r="B271" s="233" t="str">
        <f>РПЗ!$D271</f>
        <v>1004-2017-00256Поставка Токарно-винторезный станок Иж-250ИТВМ</v>
      </c>
      <c r="C271" s="233" t="str">
        <f>РПЗ!$AA271</f>
        <v>АО "НИИ "Полюс" им. М.Ф. Стельмаха" тел. отдела закупок 8-495-333-05-02</v>
      </c>
      <c r="D271" s="633" t="str">
        <f>РПЗ!$AB271</f>
        <v>Заказчик</v>
      </c>
      <c r="E271" s="96" t="s">
        <v>46</v>
      </c>
      <c r="F271" s="233" t="str">
        <f>РПЗ!Q271</f>
        <v>ОЗК</v>
      </c>
      <c r="G271" s="237"/>
      <c r="H271" s="237" t="str">
        <f>РПЗ!R271</f>
        <v>да</v>
      </c>
      <c r="I271" s="15">
        <f>РПЗ!W271</f>
        <v>0</v>
      </c>
      <c r="J271" s="233">
        <f>РПЗ!X271</f>
        <v>0</v>
      </c>
      <c r="K271" s="283">
        <f>РПЗ!Z271</f>
        <v>0</v>
      </c>
      <c r="L271" s="17"/>
      <c r="M271" s="18">
        <f>РПЗ!O271</f>
        <v>42948</v>
      </c>
      <c r="N271" s="238">
        <f>Таблица5[[#This Row],[10]]</f>
        <v>42948</v>
      </c>
      <c r="O271" s="17"/>
      <c r="P271" s="17"/>
      <c r="Q271" s="17"/>
      <c r="R271" s="17"/>
      <c r="S271" s="17"/>
      <c r="T271" s="686"/>
      <c r="U271" s="18">
        <f>РПЗ!P271</f>
        <v>43080</v>
      </c>
      <c r="V271" s="686"/>
      <c r="W271" s="236">
        <f>РПЗ!L271</f>
        <v>440000</v>
      </c>
      <c r="X271" s="689"/>
      <c r="Y271" s="689"/>
      <c r="Z271" s="690"/>
      <c r="AA271" s="691"/>
      <c r="AB271" s="111"/>
      <c r="AC271" s="17"/>
      <c r="AD271" s="690"/>
      <c r="AE271" s="686"/>
      <c r="AF271" s="474"/>
      <c r="AG271" s="692"/>
      <c r="AH271" s="236" t="str">
        <f>IF(Таблица5[[#This Row],[30]]=0,"НД",Таблица5[[#This Row],[20]]-Таблица5[[#This Row],[30]])</f>
        <v>НД</v>
      </c>
      <c r="AI271" s="511" t="str">
        <f>IF(((1-Таблица5[[#This Row],[30]]/Таблица5[[#This Row],[20]])=1),"НД",(1-Таблица5[[#This Row],[30]]/Таблица5[[#This Row],[20]]))</f>
        <v>НД</v>
      </c>
      <c r="AJ271" s="111"/>
      <c r="AK271" s="111"/>
      <c r="AL271" s="512"/>
      <c r="AM271" s="513"/>
      <c r="AN271" s="465"/>
      <c r="AO271" s="468" t="str">
        <f>РПЗ!AD271</f>
        <v>Нет</v>
      </c>
      <c r="AP271" s="472">
        <f>РПЗ!V271</f>
        <v>0</v>
      </c>
      <c r="AQ271" s="470">
        <f>IF(Таблица5[[#This Row],[11]]=0,,MONTH(Таблица5[[#This Row],[11]]))</f>
        <v>8</v>
      </c>
    </row>
    <row r="272" spans="1:43" ht="39" thickBot="1" x14ac:dyDescent="0.3">
      <c r="A272" s="233" t="str">
        <f t="shared" si="4"/>
        <v>1004-2017-00257</v>
      </c>
      <c r="B272" s="233" t="str">
        <f>РПЗ!$D272</f>
        <v>1004-2017-00257Поставка Центр вращающийся с хвостовиком с конусом Морзе №2 и №3</v>
      </c>
      <c r="C272" s="233" t="str">
        <f>РПЗ!$AA272</f>
        <v>АО "НИИ "Полюс" им. М.Ф. Стельмаха" тел. отдела закупок 8-495-333-05-02</v>
      </c>
      <c r="D272" s="633" t="str">
        <f>РПЗ!$AB272</f>
        <v>Заказчик</v>
      </c>
      <c r="E272" s="96" t="s">
        <v>46</v>
      </c>
      <c r="F272" s="233" t="str">
        <f>РПЗ!Q272</f>
        <v>ОЗК</v>
      </c>
      <c r="G272" s="237"/>
      <c r="H272" s="237" t="str">
        <f>РПЗ!R272</f>
        <v>да</v>
      </c>
      <c r="I272" s="15">
        <f>РПЗ!W272</f>
        <v>0</v>
      </c>
      <c r="J272" s="233">
        <f>РПЗ!X272</f>
        <v>0</v>
      </c>
      <c r="K272" s="283">
        <f>РПЗ!Z272</f>
        <v>0</v>
      </c>
      <c r="L272" s="17"/>
      <c r="M272" s="18">
        <f>РПЗ!O272</f>
        <v>42948</v>
      </c>
      <c r="N272" s="238">
        <f>Таблица5[[#This Row],[10]]</f>
        <v>42948</v>
      </c>
      <c r="O272" s="17"/>
      <c r="P272" s="17"/>
      <c r="Q272" s="17"/>
      <c r="R272" s="17"/>
      <c r="S272" s="17"/>
      <c r="T272" s="686"/>
      <c r="U272" s="18">
        <f>РПЗ!P272</f>
        <v>43081</v>
      </c>
      <c r="V272" s="686"/>
      <c r="W272" s="236">
        <f>РПЗ!L272</f>
        <v>216000</v>
      </c>
      <c r="X272" s="689"/>
      <c r="Y272" s="689"/>
      <c r="Z272" s="690"/>
      <c r="AA272" s="691"/>
      <c r="AB272" s="111"/>
      <c r="AC272" s="17"/>
      <c r="AD272" s="690"/>
      <c r="AE272" s="686"/>
      <c r="AF272" s="474"/>
      <c r="AG272" s="692"/>
      <c r="AH272" s="236" t="str">
        <f>IF(Таблица5[[#This Row],[30]]=0,"НД",Таблица5[[#This Row],[20]]-Таблица5[[#This Row],[30]])</f>
        <v>НД</v>
      </c>
      <c r="AI272" s="511" t="str">
        <f>IF(((1-Таблица5[[#This Row],[30]]/Таблица5[[#This Row],[20]])=1),"НД",(1-Таблица5[[#This Row],[30]]/Таблица5[[#This Row],[20]]))</f>
        <v>НД</v>
      </c>
      <c r="AJ272" s="111"/>
      <c r="AK272" s="111"/>
      <c r="AL272" s="512"/>
      <c r="AM272" s="513"/>
      <c r="AN272" s="465"/>
      <c r="AO272" s="468" t="str">
        <f>РПЗ!AD272</f>
        <v>Нет</v>
      </c>
      <c r="AP272" s="472">
        <f>РПЗ!V272</f>
        <v>0</v>
      </c>
      <c r="AQ272" s="470">
        <f>IF(Таблица5[[#This Row],[11]]=0,,MONTH(Таблица5[[#This Row],[11]]))</f>
        <v>8</v>
      </c>
    </row>
    <row r="273" spans="1:43" ht="39" thickBot="1" x14ac:dyDescent="0.3">
      <c r="A273" s="233" t="str">
        <f t="shared" si="4"/>
        <v>1004-2017-00258</v>
      </c>
      <c r="B273" s="233" t="str">
        <f>РПЗ!$D273</f>
        <v>1004-2017-00258Поставка Пироэлектрическая головка OPHIR PE50BF-DIFH-C</v>
      </c>
      <c r="C273" s="233" t="str">
        <f>РПЗ!$AA273</f>
        <v>АО "НИИ "Полюс" им. М.Ф. Стельмаха" тел. отдела закупок 8-495-333-05-02</v>
      </c>
      <c r="D273" s="633" t="str">
        <f>РПЗ!$AB273</f>
        <v>Заказчик</v>
      </c>
      <c r="E273" s="96" t="s">
        <v>46</v>
      </c>
      <c r="F273" s="233" t="str">
        <f>РПЗ!Q273</f>
        <v>ОЗК</v>
      </c>
      <c r="G273" s="237"/>
      <c r="H273" s="237" t="str">
        <f>РПЗ!R273</f>
        <v>да</v>
      </c>
      <c r="I273" s="15">
        <f>РПЗ!W273</f>
        <v>0</v>
      </c>
      <c r="J273" s="233">
        <f>РПЗ!X273</f>
        <v>0</v>
      </c>
      <c r="K273" s="283">
        <f>РПЗ!Z273</f>
        <v>0</v>
      </c>
      <c r="L273" s="17"/>
      <c r="M273" s="18">
        <f>РПЗ!O273</f>
        <v>42736</v>
      </c>
      <c r="N273" s="238">
        <f>Таблица5[[#This Row],[10]]</f>
        <v>42736</v>
      </c>
      <c r="O273" s="17"/>
      <c r="P273" s="17"/>
      <c r="Q273" s="17"/>
      <c r="R273" s="17"/>
      <c r="S273" s="17"/>
      <c r="T273" s="686"/>
      <c r="U273" s="18">
        <f>РПЗ!P273</f>
        <v>43083</v>
      </c>
      <c r="V273" s="686"/>
      <c r="W273" s="236">
        <f>РПЗ!L273</f>
        <v>1416000</v>
      </c>
      <c r="X273" s="689"/>
      <c r="Y273" s="689"/>
      <c r="Z273" s="690"/>
      <c r="AA273" s="691"/>
      <c r="AB273" s="111"/>
      <c r="AC273" s="17"/>
      <c r="AD273" s="690"/>
      <c r="AE273" s="686"/>
      <c r="AF273" s="474"/>
      <c r="AG273" s="692"/>
      <c r="AH273" s="236" t="str">
        <f>IF(Таблица5[[#This Row],[30]]=0,"НД",Таблица5[[#This Row],[20]]-Таблица5[[#This Row],[30]])</f>
        <v>НД</v>
      </c>
      <c r="AI273" s="511" t="str">
        <f>IF(((1-Таблица5[[#This Row],[30]]/Таблица5[[#This Row],[20]])=1),"НД",(1-Таблица5[[#This Row],[30]]/Таблица5[[#This Row],[20]]))</f>
        <v>НД</v>
      </c>
      <c r="AJ273" s="111"/>
      <c r="AK273" s="111"/>
      <c r="AL273" s="512"/>
      <c r="AM273" s="513"/>
      <c r="AN273" s="465"/>
      <c r="AO273" s="468" t="str">
        <f>РПЗ!AD273</f>
        <v>Нет</v>
      </c>
      <c r="AP273" s="472">
        <f>РПЗ!V273</f>
        <v>0</v>
      </c>
      <c r="AQ273" s="470">
        <f>IF(Таблица5[[#This Row],[11]]=0,,MONTH(Таблица5[[#This Row],[11]]))</f>
        <v>1</v>
      </c>
    </row>
    <row r="274" spans="1:43" ht="39" thickBot="1" x14ac:dyDescent="0.3">
      <c r="A274" s="233" t="str">
        <f t="shared" si="4"/>
        <v>1004-2017-00259</v>
      </c>
      <c r="B274" s="233" t="str">
        <f>РПЗ!$D274</f>
        <v>1004-2017-00259Поставка Пироэлектрическая головка OPHIR PE100BF-DIF-C</v>
      </c>
      <c r="C274" s="233" t="str">
        <f>РПЗ!$AA274</f>
        <v>АО "НИИ "Полюс" им. М.Ф. Стельмаха" тел. отдела закупок 8-495-333-05-02</v>
      </c>
      <c r="D274" s="633" t="str">
        <f>РПЗ!$AB274</f>
        <v>Заказчик</v>
      </c>
      <c r="E274" s="96" t="s">
        <v>46</v>
      </c>
      <c r="F274" s="233" t="str">
        <f>РПЗ!Q274</f>
        <v>ОЗК</v>
      </c>
      <c r="G274" s="237"/>
      <c r="H274" s="237" t="str">
        <f>РПЗ!R274</f>
        <v>да</v>
      </c>
      <c r="I274" s="15">
        <f>РПЗ!W274</f>
        <v>0</v>
      </c>
      <c r="J274" s="233">
        <f>РПЗ!X274</f>
        <v>0</v>
      </c>
      <c r="K274" s="283">
        <f>РПЗ!Z274</f>
        <v>0</v>
      </c>
      <c r="L274" s="17"/>
      <c r="M274" s="18">
        <f>РПЗ!O274</f>
        <v>42736</v>
      </c>
      <c r="N274" s="238">
        <f>Таблица5[[#This Row],[10]]</f>
        <v>42736</v>
      </c>
      <c r="O274" s="17"/>
      <c r="P274" s="17"/>
      <c r="Q274" s="17"/>
      <c r="R274" s="17"/>
      <c r="S274" s="17"/>
      <c r="T274" s="686"/>
      <c r="U274" s="18">
        <f>РПЗ!P274</f>
        <v>43084</v>
      </c>
      <c r="V274" s="686"/>
      <c r="W274" s="236">
        <f>РПЗ!L274</f>
        <v>2407200</v>
      </c>
      <c r="X274" s="689"/>
      <c r="Y274" s="689"/>
      <c r="Z274" s="690"/>
      <c r="AA274" s="691"/>
      <c r="AB274" s="111"/>
      <c r="AC274" s="17"/>
      <c r="AD274" s="690"/>
      <c r="AE274" s="686"/>
      <c r="AF274" s="474"/>
      <c r="AG274" s="692"/>
      <c r="AH274" s="236" t="str">
        <f>IF(Таблица5[[#This Row],[30]]=0,"НД",Таблица5[[#This Row],[20]]-Таблица5[[#This Row],[30]])</f>
        <v>НД</v>
      </c>
      <c r="AI274" s="511" t="str">
        <f>IF(((1-Таблица5[[#This Row],[30]]/Таблица5[[#This Row],[20]])=1),"НД",(1-Таблица5[[#This Row],[30]]/Таблица5[[#This Row],[20]]))</f>
        <v>НД</v>
      </c>
      <c r="AJ274" s="111"/>
      <c r="AK274" s="111"/>
      <c r="AL274" s="512"/>
      <c r="AM274" s="513"/>
      <c r="AN274" s="465"/>
      <c r="AO274" s="468" t="str">
        <f>РПЗ!AD274</f>
        <v>Нет</v>
      </c>
      <c r="AP274" s="472">
        <f>РПЗ!V274</f>
        <v>0</v>
      </c>
      <c r="AQ274" s="470">
        <f>IF(Таблица5[[#This Row],[11]]=0,,MONTH(Таблица5[[#This Row],[11]]))</f>
        <v>1</v>
      </c>
    </row>
    <row r="275" spans="1:43" ht="51.75" thickBot="1" x14ac:dyDescent="0.3">
      <c r="A275" s="233" t="str">
        <f t="shared" si="4"/>
        <v>1004-2017-00260</v>
      </c>
      <c r="B275" s="233" t="str">
        <f>РПЗ!$D275</f>
        <v>1004-2017-00260 Поставка Станция паяльно-ремонтная четырехканальная антистатическая ICV4000-AICX ICON VARIO 4 Макси</v>
      </c>
      <c r="C275" s="233" t="str">
        <f>РПЗ!$AA275</f>
        <v>АО "НИИ "Полюс" им. М.Ф. Стельмаха" тел. отдела закупок 8-495-333-05-02</v>
      </c>
      <c r="D275" s="633" t="str">
        <f>РПЗ!$AB275</f>
        <v>Заказчик</v>
      </c>
      <c r="E275" s="96" t="s">
        <v>46</v>
      </c>
      <c r="F275" s="233" t="str">
        <f>РПЗ!Q275</f>
        <v>ОЗК</v>
      </c>
      <c r="G275" s="237"/>
      <c r="H275" s="237" t="str">
        <f>РПЗ!R275</f>
        <v>да</v>
      </c>
      <c r="I275" s="15">
        <f>РПЗ!W275</f>
        <v>0</v>
      </c>
      <c r="J275" s="233">
        <f>РПЗ!X275</f>
        <v>0</v>
      </c>
      <c r="K275" s="283">
        <f>РПЗ!Z275</f>
        <v>0</v>
      </c>
      <c r="L275" s="17"/>
      <c r="M275" s="18">
        <f>РПЗ!O275</f>
        <v>42736</v>
      </c>
      <c r="N275" s="238">
        <f>Таблица5[[#This Row],[10]]</f>
        <v>42736</v>
      </c>
      <c r="O275" s="17"/>
      <c r="P275" s="17"/>
      <c r="Q275" s="17"/>
      <c r="R275" s="17"/>
      <c r="S275" s="17"/>
      <c r="T275" s="686"/>
      <c r="U275" s="18">
        <f>РПЗ!P275</f>
        <v>43085</v>
      </c>
      <c r="V275" s="686"/>
      <c r="W275" s="236">
        <f>РПЗ!L275</f>
        <v>228500</v>
      </c>
      <c r="X275" s="689"/>
      <c r="Y275" s="689"/>
      <c r="Z275" s="690"/>
      <c r="AA275" s="691"/>
      <c r="AB275" s="111"/>
      <c r="AC275" s="17"/>
      <c r="AD275" s="690"/>
      <c r="AE275" s="686"/>
      <c r="AF275" s="474"/>
      <c r="AG275" s="692"/>
      <c r="AH275" s="236" t="str">
        <f>IF(Таблица5[[#This Row],[30]]=0,"НД",Таблица5[[#This Row],[20]]-Таблица5[[#This Row],[30]])</f>
        <v>НД</v>
      </c>
      <c r="AI275" s="511" t="str">
        <f>IF(((1-Таблица5[[#This Row],[30]]/Таблица5[[#This Row],[20]])=1),"НД",(1-Таблица5[[#This Row],[30]]/Таблица5[[#This Row],[20]]))</f>
        <v>НД</v>
      </c>
      <c r="AJ275" s="111"/>
      <c r="AK275" s="111"/>
      <c r="AL275" s="512"/>
      <c r="AM275" s="513"/>
      <c r="AN275" s="465"/>
      <c r="AO275" s="468" t="str">
        <f>РПЗ!AD275</f>
        <v>Нет</v>
      </c>
      <c r="AP275" s="472">
        <f>РПЗ!V275</f>
        <v>0</v>
      </c>
      <c r="AQ275" s="470">
        <f>IF(Таблица5[[#This Row],[11]]=0,,MONTH(Таблица5[[#This Row],[11]]))</f>
        <v>1</v>
      </c>
    </row>
    <row r="276" spans="1:43" ht="64.5" thickBot="1" x14ac:dyDescent="0.3">
      <c r="A276" s="233" t="str">
        <f t="shared" si="4"/>
        <v>1004-2017-00261</v>
      </c>
      <c r="B276" s="233" t="str">
        <f>РПЗ!$D276</f>
        <v>1004-2017-00261Поставка Станция паяльно-ремонтная четырехканальная антистатическая ICV2000АС-AICX I-CON VARIO 2 ERSA</v>
      </c>
      <c r="C276" s="233" t="str">
        <f>РПЗ!$AA276</f>
        <v>АО "НИИ "Полюс" им. М.Ф. Стельмаха" тел. отдела закупок 8-495-333-05-02</v>
      </c>
      <c r="D276" s="633" t="str">
        <f>РПЗ!$AB276</f>
        <v>Заказчик</v>
      </c>
      <c r="E276" s="96" t="s">
        <v>46</v>
      </c>
      <c r="F276" s="233" t="str">
        <f>РПЗ!Q276</f>
        <v>ОЗК</v>
      </c>
      <c r="G276" s="237"/>
      <c r="H276" s="237" t="str">
        <f>РПЗ!R276</f>
        <v>да</v>
      </c>
      <c r="I276" s="15">
        <f>РПЗ!W276</f>
        <v>0</v>
      </c>
      <c r="J276" s="233">
        <f>РПЗ!X276</f>
        <v>0</v>
      </c>
      <c r="K276" s="283">
        <f>РПЗ!Z276</f>
        <v>0</v>
      </c>
      <c r="L276" s="17"/>
      <c r="M276" s="18">
        <f>РПЗ!O276</f>
        <v>42736</v>
      </c>
      <c r="N276" s="238">
        <f>Таблица5[[#This Row],[10]]</f>
        <v>42736</v>
      </c>
      <c r="O276" s="17"/>
      <c r="P276" s="17"/>
      <c r="Q276" s="17"/>
      <c r="R276" s="17"/>
      <c r="S276" s="17"/>
      <c r="T276" s="686"/>
      <c r="U276" s="18">
        <f>РПЗ!P276</f>
        <v>43086</v>
      </c>
      <c r="V276" s="686"/>
      <c r="W276" s="236">
        <f>РПЗ!L276</f>
        <v>201840</v>
      </c>
      <c r="X276" s="689"/>
      <c r="Y276" s="689"/>
      <c r="Z276" s="690"/>
      <c r="AA276" s="691"/>
      <c r="AB276" s="111"/>
      <c r="AC276" s="17"/>
      <c r="AD276" s="690"/>
      <c r="AE276" s="686"/>
      <c r="AF276" s="474"/>
      <c r="AG276" s="692"/>
      <c r="AH276" s="236" t="str">
        <f>IF(Таблица5[[#This Row],[30]]=0,"НД",Таблица5[[#This Row],[20]]-Таблица5[[#This Row],[30]])</f>
        <v>НД</v>
      </c>
      <c r="AI276" s="511" t="str">
        <f>IF(((1-Таблица5[[#This Row],[30]]/Таблица5[[#This Row],[20]])=1),"НД",(1-Таблица5[[#This Row],[30]]/Таблица5[[#This Row],[20]]))</f>
        <v>НД</v>
      </c>
      <c r="AJ276" s="111"/>
      <c r="AK276" s="111"/>
      <c r="AL276" s="512"/>
      <c r="AM276" s="513"/>
      <c r="AN276" s="465"/>
      <c r="AO276" s="468" t="str">
        <f>РПЗ!AD276</f>
        <v>Нет</v>
      </c>
      <c r="AP276" s="472">
        <f>РПЗ!V276</f>
        <v>0</v>
      </c>
      <c r="AQ276" s="470">
        <f>IF(Таблица5[[#This Row],[11]]=0,,MONTH(Таблица5[[#This Row],[11]]))</f>
        <v>1</v>
      </c>
    </row>
    <row r="277" spans="1:43" ht="64.5" thickBot="1" x14ac:dyDescent="0.3">
      <c r="A277" s="233" t="str">
        <f t="shared" si="4"/>
        <v>1004-2017-00262</v>
      </c>
      <c r="B277" s="233" t="str">
        <f>РПЗ!$D277</f>
        <v>1004-2017-00262Поставка Станция паяльно-ремонтная четырехканальная антистатическая ICV4000-AICXV (I-CON VARIO 4 Профи), фирма ERSA</v>
      </c>
      <c r="C277" s="233" t="str">
        <f>РПЗ!$AA277</f>
        <v>АО "НИИ "Полюс" им. М.Ф. Стельмаха" тел. отдела закупок 8-495-333-05-02</v>
      </c>
      <c r="D277" s="633" t="str">
        <f>РПЗ!$AB277</f>
        <v>Заказчик</v>
      </c>
      <c r="E277" s="96" t="s">
        <v>46</v>
      </c>
      <c r="F277" s="233" t="str">
        <f>РПЗ!Q277</f>
        <v>ОЗК</v>
      </c>
      <c r="G277" s="237"/>
      <c r="H277" s="237" t="str">
        <f>РПЗ!R277</f>
        <v>да</v>
      </c>
      <c r="I277" s="15">
        <f>РПЗ!W277</f>
        <v>0</v>
      </c>
      <c r="J277" s="233">
        <f>РПЗ!X277</f>
        <v>0</v>
      </c>
      <c r="K277" s="283">
        <f>РПЗ!Z277</f>
        <v>0</v>
      </c>
      <c r="L277" s="17"/>
      <c r="M277" s="18">
        <f>РПЗ!O277</f>
        <v>42736</v>
      </c>
      <c r="N277" s="238">
        <f>Таблица5[[#This Row],[10]]</f>
        <v>42736</v>
      </c>
      <c r="O277" s="17"/>
      <c r="P277" s="17"/>
      <c r="Q277" s="17"/>
      <c r="R277" s="17"/>
      <c r="S277" s="17"/>
      <c r="T277" s="686"/>
      <c r="U277" s="18">
        <f>РПЗ!P277</f>
        <v>43089</v>
      </c>
      <c r="V277" s="686"/>
      <c r="W277" s="236">
        <f>РПЗ!L277</f>
        <v>220000</v>
      </c>
      <c r="X277" s="689"/>
      <c r="Y277" s="689"/>
      <c r="Z277" s="690"/>
      <c r="AA277" s="691"/>
      <c r="AB277" s="111"/>
      <c r="AC277" s="17"/>
      <c r="AD277" s="690"/>
      <c r="AE277" s="686"/>
      <c r="AF277" s="474"/>
      <c r="AG277" s="692"/>
      <c r="AH277" s="236" t="str">
        <f>IF(Таблица5[[#This Row],[30]]=0,"НД",Таблица5[[#This Row],[20]]-Таблица5[[#This Row],[30]])</f>
        <v>НД</v>
      </c>
      <c r="AI277" s="511" t="str">
        <f>IF(((1-Таблица5[[#This Row],[30]]/Таблица5[[#This Row],[20]])=1),"НД",(1-Таблица5[[#This Row],[30]]/Таблица5[[#This Row],[20]]))</f>
        <v>НД</v>
      </c>
      <c r="AJ277" s="111"/>
      <c r="AK277" s="111"/>
      <c r="AL277" s="512"/>
      <c r="AM277" s="513"/>
      <c r="AN277" s="465"/>
      <c r="AO277" s="468" t="str">
        <f>РПЗ!AD277</f>
        <v>Нет</v>
      </c>
      <c r="AP277" s="472">
        <f>РПЗ!V277</f>
        <v>0</v>
      </c>
      <c r="AQ277" s="470">
        <f>IF(Таблица5[[#This Row],[11]]=0,,MONTH(Таблица5[[#This Row],[11]]))</f>
        <v>1</v>
      </c>
    </row>
    <row r="278" spans="1:43" ht="39" thickBot="1" x14ac:dyDescent="0.3">
      <c r="A278" s="233" t="str">
        <f t="shared" si="4"/>
        <v>1004-2017-00263</v>
      </c>
      <c r="B278" s="233" t="str">
        <f>РПЗ!$D278</f>
        <v>1004-2017-00263Поставка Инструмент для проведения ремонтных и строительных работ</v>
      </c>
      <c r="C278" s="233" t="str">
        <f>РПЗ!$AA278</f>
        <v>АО "НИИ "Полюс" им. М.Ф. Стельмаха" тел. отдела закупок 8-495-333-05-02</v>
      </c>
      <c r="D278" s="633" t="str">
        <f>РПЗ!$AB278</f>
        <v>Заказчик</v>
      </c>
      <c r="E278" s="96" t="s">
        <v>46</v>
      </c>
      <c r="F278" s="233" t="str">
        <f>РПЗ!Q278</f>
        <v>ОЗК</v>
      </c>
      <c r="G278" s="237"/>
      <c r="H278" s="237" t="str">
        <f>РПЗ!R278</f>
        <v>да</v>
      </c>
      <c r="I278" s="15">
        <f>РПЗ!W278</f>
        <v>0</v>
      </c>
      <c r="J278" s="233">
        <f>РПЗ!X278</f>
        <v>0</v>
      </c>
      <c r="K278" s="283">
        <f>РПЗ!Z278</f>
        <v>0</v>
      </c>
      <c r="L278" s="17"/>
      <c r="M278" s="18">
        <f>РПЗ!O278</f>
        <v>42736</v>
      </c>
      <c r="N278" s="238">
        <f>Таблица5[[#This Row],[10]]</f>
        <v>42736</v>
      </c>
      <c r="O278" s="17"/>
      <c r="P278" s="17"/>
      <c r="Q278" s="17"/>
      <c r="R278" s="17"/>
      <c r="S278" s="17"/>
      <c r="T278" s="686"/>
      <c r="U278" s="18">
        <f>РПЗ!P278</f>
        <v>42795</v>
      </c>
      <c r="V278" s="686"/>
      <c r="W278" s="236">
        <f>РПЗ!L278</f>
        <v>150000</v>
      </c>
      <c r="X278" s="689"/>
      <c r="Y278" s="689"/>
      <c r="Z278" s="690"/>
      <c r="AA278" s="691"/>
      <c r="AB278" s="111"/>
      <c r="AC278" s="17"/>
      <c r="AD278" s="690"/>
      <c r="AE278" s="686"/>
      <c r="AF278" s="474"/>
      <c r="AG278" s="692"/>
      <c r="AH278" s="236" t="str">
        <f>IF(Таблица5[[#This Row],[30]]=0,"НД",Таблица5[[#This Row],[20]]-Таблица5[[#This Row],[30]])</f>
        <v>НД</v>
      </c>
      <c r="AI278" s="511" t="str">
        <f>IF(((1-Таблица5[[#This Row],[30]]/Таблица5[[#This Row],[20]])=1),"НД",(1-Таблица5[[#This Row],[30]]/Таблица5[[#This Row],[20]]))</f>
        <v>НД</v>
      </c>
      <c r="AJ278" s="111"/>
      <c r="AK278" s="111"/>
      <c r="AL278" s="512"/>
      <c r="AM278" s="513"/>
      <c r="AN278" s="465"/>
      <c r="AO278" s="468" t="str">
        <f>РПЗ!AD278</f>
        <v>Нет</v>
      </c>
      <c r="AP278" s="472">
        <f>РПЗ!V278</f>
        <v>0</v>
      </c>
      <c r="AQ278" s="470">
        <f>IF(Таблица5[[#This Row],[11]]=0,,MONTH(Таблица5[[#This Row],[11]]))</f>
        <v>1</v>
      </c>
    </row>
    <row r="279" spans="1:43" ht="51.75" thickBot="1" x14ac:dyDescent="0.3">
      <c r="A279" s="233" t="str">
        <f t="shared" si="4"/>
        <v>1004-2017-00264</v>
      </c>
      <c r="B279" s="233" t="str">
        <f>РПЗ!$D279</f>
        <v>1004-2017-00264Поставка Стол рабочий "Классик" Viking Cp-18 с добавочными полками и освещением</v>
      </c>
      <c r="C279" s="233" t="str">
        <f>РПЗ!$AA279</f>
        <v>АО "НИИ "Полюс" им. М.Ф. Стельмаха" тел. отдела закупок 8-495-333-05-02</v>
      </c>
      <c r="D279" s="633" t="str">
        <f>РПЗ!$AB279</f>
        <v>Заказчик</v>
      </c>
      <c r="E279" s="96" t="s">
        <v>46</v>
      </c>
      <c r="F279" s="233" t="str">
        <f>РПЗ!Q279</f>
        <v>ОЗК</v>
      </c>
      <c r="G279" s="237"/>
      <c r="H279" s="237" t="str">
        <f>РПЗ!R279</f>
        <v>да</v>
      </c>
      <c r="I279" s="15">
        <f>РПЗ!W279</f>
        <v>0</v>
      </c>
      <c r="J279" s="233">
        <f>РПЗ!X279</f>
        <v>0</v>
      </c>
      <c r="K279" s="283">
        <f>РПЗ!Z279</f>
        <v>0</v>
      </c>
      <c r="L279" s="17"/>
      <c r="M279" s="18">
        <f>РПЗ!O279</f>
        <v>42736</v>
      </c>
      <c r="N279" s="238">
        <f>Таблица5[[#This Row],[10]]</f>
        <v>42736</v>
      </c>
      <c r="O279" s="17"/>
      <c r="P279" s="17"/>
      <c r="Q279" s="17"/>
      <c r="R279" s="17"/>
      <c r="S279" s="17"/>
      <c r="T279" s="686"/>
      <c r="U279" s="18">
        <f>РПЗ!P279</f>
        <v>43094</v>
      </c>
      <c r="V279" s="686"/>
      <c r="W279" s="236">
        <f>РПЗ!L279</f>
        <v>240000</v>
      </c>
      <c r="X279" s="689"/>
      <c r="Y279" s="689"/>
      <c r="Z279" s="690"/>
      <c r="AA279" s="691"/>
      <c r="AB279" s="111"/>
      <c r="AC279" s="17"/>
      <c r="AD279" s="690"/>
      <c r="AE279" s="686"/>
      <c r="AF279" s="474"/>
      <c r="AG279" s="692"/>
      <c r="AH279" s="236" t="str">
        <f>IF(Таблица5[[#This Row],[30]]=0,"НД",Таблица5[[#This Row],[20]]-Таблица5[[#This Row],[30]])</f>
        <v>НД</v>
      </c>
      <c r="AI279" s="511" t="str">
        <f>IF(((1-Таблица5[[#This Row],[30]]/Таблица5[[#This Row],[20]])=1),"НД",(1-Таблица5[[#This Row],[30]]/Таблица5[[#This Row],[20]]))</f>
        <v>НД</v>
      </c>
      <c r="AJ279" s="111"/>
      <c r="AK279" s="111"/>
      <c r="AL279" s="512"/>
      <c r="AM279" s="513"/>
      <c r="AN279" s="465"/>
      <c r="AO279" s="468" t="str">
        <f>РПЗ!AD279</f>
        <v>Нет</v>
      </c>
      <c r="AP279" s="472">
        <f>РПЗ!V279</f>
        <v>0</v>
      </c>
      <c r="AQ279" s="470">
        <f>IF(Таблица5[[#This Row],[11]]=0,,MONTH(Таблица5[[#This Row],[11]]))</f>
        <v>1</v>
      </c>
    </row>
    <row r="280" spans="1:43" ht="39" thickBot="1" x14ac:dyDescent="0.3">
      <c r="A280" s="233" t="str">
        <f t="shared" si="4"/>
        <v>1004-2017-00265</v>
      </c>
      <c r="B280" s="233" t="str">
        <f>РПЗ!$D280</f>
        <v>1004-2017-00265Поставка Инструмент для проведения ремонтных и строительных работ</v>
      </c>
      <c r="C280" s="233" t="str">
        <f>РПЗ!$AA280</f>
        <v>АО "НИИ "Полюс" им. М.Ф. Стельмаха" тел. отдела закупок 8-495-333-05-02</v>
      </c>
      <c r="D280" s="633" t="str">
        <f>РПЗ!$AB280</f>
        <v>Заказчик</v>
      </c>
      <c r="E280" s="96" t="s">
        <v>46</v>
      </c>
      <c r="F280" s="233" t="str">
        <f>РПЗ!Q280</f>
        <v>ОЗК</v>
      </c>
      <c r="G280" s="237"/>
      <c r="H280" s="237" t="str">
        <f>РПЗ!R280</f>
        <v>да</v>
      </c>
      <c r="I280" s="15">
        <f>РПЗ!W280</f>
        <v>0</v>
      </c>
      <c r="J280" s="233">
        <f>РПЗ!X280</f>
        <v>0</v>
      </c>
      <c r="K280" s="283">
        <f>РПЗ!Z280</f>
        <v>0</v>
      </c>
      <c r="L280" s="17"/>
      <c r="M280" s="18">
        <f>РПЗ!O280</f>
        <v>42856</v>
      </c>
      <c r="N280" s="238">
        <f>Таблица5[[#This Row],[10]]</f>
        <v>42856</v>
      </c>
      <c r="O280" s="17"/>
      <c r="P280" s="17"/>
      <c r="Q280" s="17"/>
      <c r="R280" s="17"/>
      <c r="S280" s="17"/>
      <c r="T280" s="686"/>
      <c r="U280" s="18">
        <f>РПЗ!P280</f>
        <v>42887</v>
      </c>
      <c r="V280" s="686"/>
      <c r="W280" s="236">
        <f>РПЗ!L280</f>
        <v>150000</v>
      </c>
      <c r="X280" s="689"/>
      <c r="Y280" s="689"/>
      <c r="Z280" s="690"/>
      <c r="AA280" s="691"/>
      <c r="AB280" s="111"/>
      <c r="AC280" s="17"/>
      <c r="AD280" s="690"/>
      <c r="AE280" s="686"/>
      <c r="AF280" s="474"/>
      <c r="AG280" s="692"/>
      <c r="AH280" s="236" t="str">
        <f>IF(Таблица5[[#This Row],[30]]=0,"НД",Таблица5[[#This Row],[20]]-Таблица5[[#This Row],[30]])</f>
        <v>НД</v>
      </c>
      <c r="AI280" s="511" t="str">
        <f>IF(((1-Таблица5[[#This Row],[30]]/Таблица5[[#This Row],[20]])=1),"НД",(1-Таблица5[[#This Row],[30]]/Таблица5[[#This Row],[20]]))</f>
        <v>НД</v>
      </c>
      <c r="AJ280" s="111"/>
      <c r="AK280" s="111"/>
      <c r="AL280" s="512"/>
      <c r="AM280" s="513"/>
      <c r="AN280" s="465"/>
      <c r="AO280" s="468" t="str">
        <f>РПЗ!AD280</f>
        <v>Нет</v>
      </c>
      <c r="AP280" s="472">
        <f>РПЗ!V280</f>
        <v>0</v>
      </c>
      <c r="AQ280" s="470">
        <f>IF(Таблица5[[#This Row],[11]]=0,,MONTH(Таблица5[[#This Row],[11]]))</f>
        <v>5</v>
      </c>
    </row>
    <row r="281" spans="1:43" ht="39" thickBot="1" x14ac:dyDescent="0.3">
      <c r="A281" s="233" t="str">
        <f t="shared" si="4"/>
        <v>1004-2017-00266</v>
      </c>
      <c r="B281" s="233" t="str">
        <f>РПЗ!$D281</f>
        <v>1004-2017-00266Поставка Камера покрасочная</v>
      </c>
      <c r="C281" s="233" t="str">
        <f>РПЗ!$AA281</f>
        <v>АО "НИИ "Полюс" им. М.Ф. Стельмаха" тел. отдела закупок 8-495-333-05-02</v>
      </c>
      <c r="D281" s="633" t="str">
        <f>РПЗ!$AB281</f>
        <v>Заказчик</v>
      </c>
      <c r="E281" s="96" t="s">
        <v>46</v>
      </c>
      <c r="F281" s="233" t="str">
        <f>РПЗ!Q281</f>
        <v>ОЗК</v>
      </c>
      <c r="G281" s="237"/>
      <c r="H281" s="237" t="str">
        <f>РПЗ!R281</f>
        <v>да</v>
      </c>
      <c r="I281" s="15">
        <f>РПЗ!W281</f>
        <v>0</v>
      </c>
      <c r="J281" s="233">
        <f>РПЗ!X281</f>
        <v>0</v>
      </c>
      <c r="K281" s="283">
        <f>РПЗ!Z281</f>
        <v>0</v>
      </c>
      <c r="L281" s="17"/>
      <c r="M281" s="18">
        <f>РПЗ!O281</f>
        <v>42887</v>
      </c>
      <c r="N281" s="238">
        <f>Таблица5[[#This Row],[10]]</f>
        <v>42887</v>
      </c>
      <c r="O281" s="17"/>
      <c r="P281" s="17"/>
      <c r="Q281" s="17"/>
      <c r="R281" s="17"/>
      <c r="S281" s="17"/>
      <c r="T281" s="686"/>
      <c r="U281" s="18">
        <f>РПЗ!P281</f>
        <v>43099</v>
      </c>
      <c r="V281" s="686"/>
      <c r="W281" s="236">
        <f>РПЗ!L281</f>
        <v>360000</v>
      </c>
      <c r="X281" s="689"/>
      <c r="Y281" s="689"/>
      <c r="Z281" s="690"/>
      <c r="AA281" s="691"/>
      <c r="AB281" s="111"/>
      <c r="AC281" s="17"/>
      <c r="AD281" s="690"/>
      <c r="AE281" s="686"/>
      <c r="AF281" s="474"/>
      <c r="AG281" s="692"/>
      <c r="AH281" s="236" t="str">
        <f>IF(Таблица5[[#This Row],[30]]=0,"НД",Таблица5[[#This Row],[20]]-Таблица5[[#This Row],[30]])</f>
        <v>НД</v>
      </c>
      <c r="AI281" s="511" t="str">
        <f>IF(((1-Таблица5[[#This Row],[30]]/Таблица5[[#This Row],[20]])=1),"НД",(1-Таблица5[[#This Row],[30]]/Таблица5[[#This Row],[20]]))</f>
        <v>НД</v>
      </c>
      <c r="AJ281" s="111"/>
      <c r="AK281" s="111"/>
      <c r="AL281" s="512"/>
      <c r="AM281" s="513"/>
      <c r="AN281" s="465"/>
      <c r="AO281" s="468" t="str">
        <f>РПЗ!AD281</f>
        <v>Нет</v>
      </c>
      <c r="AP281" s="472">
        <f>РПЗ!V281</f>
        <v>0</v>
      </c>
      <c r="AQ281" s="470">
        <f>IF(Таблица5[[#This Row],[11]]=0,,MONTH(Таблица5[[#This Row],[11]]))</f>
        <v>6</v>
      </c>
    </row>
    <row r="282" spans="1:43" ht="39" thickBot="1" x14ac:dyDescent="0.3">
      <c r="A282" s="233" t="str">
        <f t="shared" si="4"/>
        <v>1004-2017-00267</v>
      </c>
      <c r="B282" s="233" t="str">
        <f>РПЗ!$D282</f>
        <v>1004-2017-00267Поставка Микопорошок</v>
      </c>
      <c r="C282" s="233" t="str">
        <f>РПЗ!$AA282</f>
        <v>АО "НИИ "Полюс" им. М.Ф. Стельмаха" тел. отдела закупок 8-495-333-05-02</v>
      </c>
      <c r="D282" s="633" t="str">
        <f>РПЗ!$AB282</f>
        <v>Заказчик</v>
      </c>
      <c r="E282" s="96" t="s">
        <v>46</v>
      </c>
      <c r="F282" s="233" t="str">
        <f>РПЗ!Q282</f>
        <v>ОЗК</v>
      </c>
      <c r="G282" s="237"/>
      <c r="H282" s="237" t="str">
        <f>РПЗ!R282</f>
        <v>да</v>
      </c>
      <c r="I282" s="15">
        <f>РПЗ!W282</f>
        <v>0</v>
      </c>
      <c r="J282" s="233">
        <f>РПЗ!X282</f>
        <v>0</v>
      </c>
      <c r="K282" s="283">
        <f>РПЗ!Z282</f>
        <v>0</v>
      </c>
      <c r="L282" s="17"/>
      <c r="M282" s="18">
        <f>РПЗ!O282</f>
        <v>42887</v>
      </c>
      <c r="N282" s="238">
        <f>Таблица5[[#This Row],[10]]</f>
        <v>42887</v>
      </c>
      <c r="O282" s="17"/>
      <c r="P282" s="17"/>
      <c r="Q282" s="17"/>
      <c r="R282" s="17"/>
      <c r="S282" s="17"/>
      <c r="T282" s="686"/>
      <c r="U282" s="18">
        <f>РПЗ!P282</f>
        <v>43100</v>
      </c>
      <c r="V282" s="686"/>
      <c r="W282" s="236">
        <f>РПЗ!L282</f>
        <v>292500</v>
      </c>
      <c r="X282" s="689"/>
      <c r="Y282" s="689"/>
      <c r="Z282" s="690"/>
      <c r="AA282" s="691"/>
      <c r="AB282" s="111"/>
      <c r="AC282" s="17"/>
      <c r="AD282" s="690"/>
      <c r="AE282" s="686"/>
      <c r="AF282" s="474"/>
      <c r="AG282" s="692"/>
      <c r="AH282" s="236" t="str">
        <f>IF(Таблица5[[#This Row],[30]]=0,"НД",Таблица5[[#This Row],[20]]-Таблица5[[#This Row],[30]])</f>
        <v>НД</v>
      </c>
      <c r="AI282" s="511" t="str">
        <f>IF(((1-Таблица5[[#This Row],[30]]/Таблица5[[#This Row],[20]])=1),"НД",(1-Таблица5[[#This Row],[30]]/Таблица5[[#This Row],[20]]))</f>
        <v>НД</v>
      </c>
      <c r="AJ282" s="111"/>
      <c r="AK282" s="111"/>
      <c r="AL282" s="512"/>
      <c r="AM282" s="513"/>
      <c r="AN282" s="465"/>
      <c r="AO282" s="468" t="str">
        <f>РПЗ!AD282</f>
        <v>Нет</v>
      </c>
      <c r="AP282" s="472">
        <f>РПЗ!V282</f>
        <v>0</v>
      </c>
      <c r="AQ282" s="470">
        <f>IF(Таблица5[[#This Row],[11]]=0,,MONTH(Таблица5[[#This Row],[11]]))</f>
        <v>6</v>
      </c>
    </row>
    <row r="283" spans="1:43" ht="39" thickBot="1" x14ac:dyDescent="0.3">
      <c r="A283" s="233" t="str">
        <f t="shared" si="4"/>
        <v>1004-2017-00268</v>
      </c>
      <c r="B283" s="233" t="str">
        <f>РПЗ!$D283</f>
        <v>1004-2017-00268Поставка Отрезной круг (корпусной) 55,56х0,06х19,05</v>
      </c>
      <c r="C283" s="233" t="str">
        <f>РПЗ!$AA283</f>
        <v>АО "НИИ "Полюс" им. М.Ф. Стельмаха" тел. отдела закупок 8-495-333-05-02</v>
      </c>
      <c r="D283" s="633" t="str">
        <f>РПЗ!$AB283</f>
        <v>Заказчик</v>
      </c>
      <c r="E283" s="96" t="s">
        <v>46</v>
      </c>
      <c r="F283" s="233" t="str">
        <f>РПЗ!Q283</f>
        <v>ОЗК</v>
      </c>
      <c r="G283" s="237"/>
      <c r="H283" s="237" t="str">
        <f>РПЗ!R283</f>
        <v>да</v>
      </c>
      <c r="I283" s="15">
        <f>РПЗ!W283</f>
        <v>0</v>
      </c>
      <c r="J283" s="233">
        <f>РПЗ!X283</f>
        <v>0</v>
      </c>
      <c r="K283" s="283">
        <f>РПЗ!Z283</f>
        <v>0</v>
      </c>
      <c r="L283" s="17"/>
      <c r="M283" s="18">
        <f>РПЗ!O283</f>
        <v>42887</v>
      </c>
      <c r="N283" s="238">
        <f>Таблица5[[#This Row],[10]]</f>
        <v>42887</v>
      </c>
      <c r="O283" s="17"/>
      <c r="P283" s="17"/>
      <c r="Q283" s="17"/>
      <c r="R283" s="17"/>
      <c r="S283" s="17"/>
      <c r="T283" s="686"/>
      <c r="U283" s="18">
        <f>РПЗ!P283</f>
        <v>43072</v>
      </c>
      <c r="V283" s="686"/>
      <c r="W283" s="236">
        <f>РПЗ!L283</f>
        <v>250000</v>
      </c>
      <c r="X283" s="689"/>
      <c r="Y283" s="689"/>
      <c r="Z283" s="690"/>
      <c r="AA283" s="691"/>
      <c r="AB283" s="111"/>
      <c r="AC283" s="17"/>
      <c r="AD283" s="690"/>
      <c r="AE283" s="686"/>
      <c r="AF283" s="474"/>
      <c r="AG283" s="692"/>
      <c r="AH283" s="236" t="str">
        <f>IF(Таблица5[[#This Row],[30]]=0,"НД",Таблица5[[#This Row],[20]]-Таблица5[[#This Row],[30]])</f>
        <v>НД</v>
      </c>
      <c r="AI283" s="511" t="str">
        <f>IF(((1-Таблица5[[#This Row],[30]]/Таблица5[[#This Row],[20]])=1),"НД",(1-Таблица5[[#This Row],[30]]/Таблица5[[#This Row],[20]]))</f>
        <v>НД</v>
      </c>
      <c r="AJ283" s="111"/>
      <c r="AK283" s="111"/>
      <c r="AL283" s="512"/>
      <c r="AM283" s="513"/>
      <c r="AN283" s="465"/>
      <c r="AO283" s="468" t="str">
        <f>РПЗ!AD283</f>
        <v>Нет</v>
      </c>
      <c r="AP283" s="472">
        <f>РПЗ!V283</f>
        <v>0</v>
      </c>
      <c r="AQ283" s="470">
        <f>IF(Таблица5[[#This Row],[11]]=0,,MONTH(Таблица5[[#This Row],[11]]))</f>
        <v>6</v>
      </c>
    </row>
    <row r="284" spans="1:43" ht="39" thickBot="1" x14ac:dyDescent="0.3">
      <c r="A284" s="233" t="str">
        <f t="shared" si="4"/>
        <v>1004-2017-00269</v>
      </c>
      <c r="B284" s="233" t="str">
        <f>РПЗ!$D284</f>
        <v>1004-2017-00269Поставка Печь вакуумная BINDER VD-53</v>
      </c>
      <c r="C284" s="233" t="str">
        <f>РПЗ!$AA284</f>
        <v>АО "НИИ "Полюс" им. М.Ф. Стельмаха" тел. отдела закупок 8-495-333-05-02</v>
      </c>
      <c r="D284" s="633" t="str">
        <f>РПЗ!$AB284</f>
        <v>Заказчик</v>
      </c>
      <c r="E284" s="96" t="s">
        <v>46</v>
      </c>
      <c r="F284" s="233" t="str">
        <f>РПЗ!Q284</f>
        <v>ОЗК</v>
      </c>
      <c r="G284" s="237"/>
      <c r="H284" s="237" t="str">
        <f>РПЗ!R284</f>
        <v>да</v>
      </c>
      <c r="I284" s="15">
        <f>РПЗ!W284</f>
        <v>0</v>
      </c>
      <c r="J284" s="233">
        <f>РПЗ!X284</f>
        <v>0</v>
      </c>
      <c r="K284" s="283">
        <f>РПЗ!Z284</f>
        <v>0</v>
      </c>
      <c r="L284" s="17"/>
      <c r="M284" s="18">
        <f>РПЗ!O284</f>
        <v>42856</v>
      </c>
      <c r="N284" s="238">
        <f>Таблица5[[#This Row],[10]]</f>
        <v>42856</v>
      </c>
      <c r="O284" s="17"/>
      <c r="P284" s="17"/>
      <c r="Q284" s="17"/>
      <c r="R284" s="17"/>
      <c r="S284" s="17"/>
      <c r="T284" s="686"/>
      <c r="U284" s="18">
        <f>РПЗ!P284</f>
        <v>43074</v>
      </c>
      <c r="V284" s="686"/>
      <c r="W284" s="236">
        <f>РПЗ!L284</f>
        <v>968150</v>
      </c>
      <c r="X284" s="689"/>
      <c r="Y284" s="689"/>
      <c r="Z284" s="690"/>
      <c r="AA284" s="691"/>
      <c r="AB284" s="111"/>
      <c r="AC284" s="17"/>
      <c r="AD284" s="690"/>
      <c r="AE284" s="686"/>
      <c r="AF284" s="474"/>
      <c r="AG284" s="692"/>
      <c r="AH284" s="236" t="str">
        <f>IF(Таблица5[[#This Row],[30]]=0,"НД",Таблица5[[#This Row],[20]]-Таблица5[[#This Row],[30]])</f>
        <v>НД</v>
      </c>
      <c r="AI284" s="511" t="str">
        <f>IF(((1-Таблица5[[#This Row],[30]]/Таблица5[[#This Row],[20]])=1),"НД",(1-Таблица5[[#This Row],[30]]/Таблица5[[#This Row],[20]]))</f>
        <v>НД</v>
      </c>
      <c r="AJ284" s="111"/>
      <c r="AK284" s="111"/>
      <c r="AL284" s="512"/>
      <c r="AM284" s="513"/>
      <c r="AN284" s="465"/>
      <c r="AO284" s="468" t="str">
        <f>РПЗ!AD284</f>
        <v>Нет</v>
      </c>
      <c r="AP284" s="472">
        <f>РПЗ!V284</f>
        <v>0</v>
      </c>
      <c r="AQ284" s="470">
        <f>IF(Таблица5[[#This Row],[11]]=0,,MONTH(Таблица5[[#This Row],[11]]))</f>
        <v>5</v>
      </c>
    </row>
    <row r="285" spans="1:43" ht="39" thickBot="1" x14ac:dyDescent="0.3">
      <c r="A285" s="233" t="str">
        <f t="shared" si="4"/>
        <v>1004-2017-00270</v>
      </c>
      <c r="B285" s="233" t="str">
        <f>РПЗ!$D285</f>
        <v>1004-2017-00270Поставка Инструмент для проведения ремонтных и строительных работ</v>
      </c>
      <c r="C285" s="233" t="str">
        <f>РПЗ!$AA285</f>
        <v>АО "НИИ "Полюс" им. М.Ф. Стельмаха" тел. отдела закупок 8-495-333-05-02</v>
      </c>
      <c r="D285" s="633" t="str">
        <f>РПЗ!$AB285</f>
        <v>Заказчик</v>
      </c>
      <c r="E285" s="96" t="s">
        <v>46</v>
      </c>
      <c r="F285" s="233" t="str">
        <f>РПЗ!Q285</f>
        <v>ОЗК</v>
      </c>
      <c r="G285" s="237"/>
      <c r="H285" s="237" t="str">
        <f>РПЗ!R285</f>
        <v>да</v>
      </c>
      <c r="I285" s="15">
        <f>РПЗ!W285</f>
        <v>0</v>
      </c>
      <c r="J285" s="233">
        <f>РПЗ!X285</f>
        <v>0</v>
      </c>
      <c r="K285" s="283">
        <f>РПЗ!Z285</f>
        <v>0</v>
      </c>
      <c r="L285" s="17"/>
      <c r="M285" s="18">
        <f>РПЗ!O285</f>
        <v>42948</v>
      </c>
      <c r="N285" s="238">
        <f>Таблица5[[#This Row],[10]]</f>
        <v>42948</v>
      </c>
      <c r="O285" s="17"/>
      <c r="P285" s="17"/>
      <c r="Q285" s="17"/>
      <c r="R285" s="17"/>
      <c r="S285" s="17"/>
      <c r="T285" s="686"/>
      <c r="U285" s="18">
        <f>РПЗ!P285</f>
        <v>42979</v>
      </c>
      <c r="V285" s="686"/>
      <c r="W285" s="236">
        <f>РПЗ!L285</f>
        <v>150000</v>
      </c>
      <c r="X285" s="689"/>
      <c r="Y285" s="689"/>
      <c r="Z285" s="690"/>
      <c r="AA285" s="691"/>
      <c r="AB285" s="111"/>
      <c r="AC285" s="17"/>
      <c r="AD285" s="690"/>
      <c r="AE285" s="686"/>
      <c r="AF285" s="474"/>
      <c r="AG285" s="692"/>
      <c r="AH285" s="236" t="str">
        <f>IF(Таблица5[[#This Row],[30]]=0,"НД",Таблица5[[#This Row],[20]]-Таблица5[[#This Row],[30]])</f>
        <v>НД</v>
      </c>
      <c r="AI285" s="511" t="str">
        <f>IF(((1-Таблица5[[#This Row],[30]]/Таблица5[[#This Row],[20]])=1),"НД",(1-Таблица5[[#This Row],[30]]/Таблица5[[#This Row],[20]]))</f>
        <v>НД</v>
      </c>
      <c r="AJ285" s="111"/>
      <c r="AK285" s="111"/>
      <c r="AL285" s="512"/>
      <c r="AM285" s="513"/>
      <c r="AN285" s="465"/>
      <c r="AO285" s="468" t="str">
        <f>РПЗ!AD285</f>
        <v>Нет</v>
      </c>
      <c r="AP285" s="472">
        <f>РПЗ!V285</f>
        <v>0</v>
      </c>
      <c r="AQ285" s="470">
        <f>IF(Таблица5[[#This Row],[11]]=0,,MONTH(Таблица5[[#This Row],[11]]))</f>
        <v>8</v>
      </c>
    </row>
    <row r="286" spans="1:43" ht="51.75" thickBot="1" x14ac:dyDescent="0.3">
      <c r="A286" s="233" t="str">
        <f t="shared" si="4"/>
        <v>1004-2017-00271</v>
      </c>
      <c r="B286" s="233" t="str">
        <f>РПЗ!$D286</f>
        <v>1004-2017-00271Поставка Цифровые паяльные станции с паяльниками и запасными наконечниками паяльников</v>
      </c>
      <c r="C286" s="233" t="str">
        <f>РПЗ!$AA286</f>
        <v>АО "НИИ "Полюс" им. М.Ф. Стельмаха" тел. отдела закупок 8-495-333-05-02</v>
      </c>
      <c r="D286" s="633" t="str">
        <f>РПЗ!$AB286</f>
        <v>Заказчик</v>
      </c>
      <c r="E286" s="96" t="s">
        <v>46</v>
      </c>
      <c r="F286" s="233" t="str">
        <f>РПЗ!Q286</f>
        <v>ОЗК</v>
      </c>
      <c r="G286" s="237"/>
      <c r="H286" s="237" t="str">
        <f>РПЗ!R286</f>
        <v>да</v>
      </c>
      <c r="I286" s="15">
        <f>РПЗ!W286</f>
        <v>0</v>
      </c>
      <c r="J286" s="233">
        <f>РПЗ!X286</f>
        <v>0</v>
      </c>
      <c r="K286" s="283">
        <f>РПЗ!Z286</f>
        <v>0</v>
      </c>
      <c r="L286" s="17"/>
      <c r="M286" s="18">
        <f>РПЗ!O286</f>
        <v>42826</v>
      </c>
      <c r="N286" s="238">
        <f>Таблица5[[#This Row],[10]]</f>
        <v>42826</v>
      </c>
      <c r="O286" s="17"/>
      <c r="P286" s="17"/>
      <c r="Q286" s="17"/>
      <c r="R286" s="17"/>
      <c r="S286" s="17"/>
      <c r="T286" s="686"/>
      <c r="U286" s="18">
        <f>РПЗ!P286</f>
        <v>43075</v>
      </c>
      <c r="V286" s="686"/>
      <c r="W286" s="236">
        <f>РПЗ!L286</f>
        <v>278495</v>
      </c>
      <c r="X286" s="689"/>
      <c r="Y286" s="689"/>
      <c r="Z286" s="690"/>
      <c r="AA286" s="691"/>
      <c r="AB286" s="111"/>
      <c r="AC286" s="17"/>
      <c r="AD286" s="690"/>
      <c r="AE286" s="686"/>
      <c r="AF286" s="474"/>
      <c r="AG286" s="692"/>
      <c r="AH286" s="236" t="str">
        <f>IF(Таблица5[[#This Row],[30]]=0,"НД",Таблица5[[#This Row],[20]]-Таблица5[[#This Row],[30]])</f>
        <v>НД</v>
      </c>
      <c r="AI286" s="511" t="str">
        <f>IF(((1-Таблица5[[#This Row],[30]]/Таблица5[[#This Row],[20]])=1),"НД",(1-Таблица5[[#This Row],[30]]/Таблица5[[#This Row],[20]]))</f>
        <v>НД</v>
      </c>
      <c r="AJ286" s="111"/>
      <c r="AK286" s="111"/>
      <c r="AL286" s="512"/>
      <c r="AM286" s="513"/>
      <c r="AN286" s="465"/>
      <c r="AO286" s="468" t="str">
        <f>РПЗ!AD286</f>
        <v>Нет</v>
      </c>
      <c r="AP286" s="472">
        <f>РПЗ!V286</f>
        <v>0</v>
      </c>
      <c r="AQ286" s="470">
        <f>IF(Таблица5[[#This Row],[11]]=0,,MONTH(Таблица5[[#This Row],[11]]))</f>
        <v>4</v>
      </c>
    </row>
    <row r="287" spans="1:43" ht="51.75" thickBot="1" x14ac:dyDescent="0.3">
      <c r="A287" s="233" t="str">
        <f t="shared" si="4"/>
        <v>1004-2017-00272</v>
      </c>
      <c r="B287" s="233" t="str">
        <f>РПЗ!$D287</f>
        <v>1004-2017-00272Поставка Приспособления и инструментдля монтажных работ на участке микроэлектроники</v>
      </c>
      <c r="C287" s="233" t="str">
        <f>РПЗ!$AA287</f>
        <v>АО "НИИ "Полюс" им. М.Ф. Стельмаха" тел. отдела закупок 8-495-333-05-02</v>
      </c>
      <c r="D287" s="633" t="str">
        <f>РПЗ!$AB287</f>
        <v>Заказчик</v>
      </c>
      <c r="E287" s="96" t="s">
        <v>46</v>
      </c>
      <c r="F287" s="233" t="str">
        <f>РПЗ!Q287</f>
        <v>ОЗК</v>
      </c>
      <c r="G287" s="237"/>
      <c r="H287" s="237" t="str">
        <f>РПЗ!R287</f>
        <v>да</v>
      </c>
      <c r="I287" s="15">
        <f>РПЗ!W287</f>
        <v>0</v>
      </c>
      <c r="J287" s="233">
        <f>РПЗ!X287</f>
        <v>0</v>
      </c>
      <c r="K287" s="283">
        <f>РПЗ!Z287</f>
        <v>0</v>
      </c>
      <c r="L287" s="17"/>
      <c r="M287" s="18">
        <f>РПЗ!O287</f>
        <v>42795</v>
      </c>
      <c r="N287" s="238">
        <f>Таблица5[[#This Row],[10]]</f>
        <v>42795</v>
      </c>
      <c r="O287" s="17"/>
      <c r="P287" s="17"/>
      <c r="Q287" s="17"/>
      <c r="R287" s="17"/>
      <c r="S287" s="17"/>
      <c r="T287" s="686"/>
      <c r="U287" s="18">
        <f>РПЗ!P287</f>
        <v>43076</v>
      </c>
      <c r="V287" s="686"/>
      <c r="W287" s="236">
        <f>РПЗ!L287</f>
        <v>400000</v>
      </c>
      <c r="X287" s="689"/>
      <c r="Y287" s="689"/>
      <c r="Z287" s="690"/>
      <c r="AA287" s="691"/>
      <c r="AB287" s="111"/>
      <c r="AC287" s="17"/>
      <c r="AD287" s="690"/>
      <c r="AE287" s="686"/>
      <c r="AF287" s="474"/>
      <c r="AG287" s="692"/>
      <c r="AH287" s="236" t="str">
        <f>IF(Таблица5[[#This Row],[30]]=0,"НД",Таблица5[[#This Row],[20]]-Таблица5[[#This Row],[30]])</f>
        <v>НД</v>
      </c>
      <c r="AI287" s="511" t="str">
        <f>IF(((1-Таблица5[[#This Row],[30]]/Таблица5[[#This Row],[20]])=1),"НД",(1-Таблица5[[#This Row],[30]]/Таблица5[[#This Row],[20]]))</f>
        <v>НД</v>
      </c>
      <c r="AJ287" s="111"/>
      <c r="AK287" s="111"/>
      <c r="AL287" s="512"/>
      <c r="AM287" s="513"/>
      <c r="AN287" s="465"/>
      <c r="AO287" s="468" t="str">
        <f>РПЗ!AD287</f>
        <v>Нет</v>
      </c>
      <c r="AP287" s="472">
        <f>РПЗ!V287</f>
        <v>0</v>
      </c>
      <c r="AQ287" s="470">
        <f>IF(Таблица5[[#This Row],[11]]=0,,MONTH(Таблица5[[#This Row],[11]]))</f>
        <v>3</v>
      </c>
    </row>
    <row r="288" spans="1:43" ht="39" thickBot="1" x14ac:dyDescent="0.3">
      <c r="A288" s="233" t="str">
        <f t="shared" si="4"/>
        <v>1004-2017-00273</v>
      </c>
      <c r="B288" s="233" t="str">
        <f>РПЗ!$D288</f>
        <v>1004-2017-00273Поставка Вакуумные щипцы</v>
      </c>
      <c r="C288" s="233" t="str">
        <f>РПЗ!$AA288</f>
        <v>АО "НИИ "Полюс" им. М.Ф. Стельмаха" тел. отдела закупок 8-495-333-05-02</v>
      </c>
      <c r="D288" s="633" t="str">
        <f>РПЗ!$AB288</f>
        <v>Заказчик</v>
      </c>
      <c r="E288" s="96" t="s">
        <v>46</v>
      </c>
      <c r="F288" s="233" t="str">
        <f>РПЗ!Q288</f>
        <v>ОЗК</v>
      </c>
      <c r="G288" s="237"/>
      <c r="H288" s="237" t="str">
        <f>РПЗ!R288</f>
        <v>да</v>
      </c>
      <c r="I288" s="15">
        <f>РПЗ!W288</f>
        <v>0</v>
      </c>
      <c r="J288" s="233">
        <f>РПЗ!X288</f>
        <v>0</v>
      </c>
      <c r="K288" s="283">
        <f>РПЗ!Z288</f>
        <v>0</v>
      </c>
      <c r="L288" s="17"/>
      <c r="M288" s="18">
        <f>РПЗ!O288</f>
        <v>42917</v>
      </c>
      <c r="N288" s="238">
        <f>Таблица5[[#This Row],[10]]</f>
        <v>42917</v>
      </c>
      <c r="O288" s="17"/>
      <c r="P288" s="17"/>
      <c r="Q288" s="17"/>
      <c r="R288" s="17"/>
      <c r="S288" s="17"/>
      <c r="T288" s="686"/>
      <c r="U288" s="18">
        <f>РПЗ!P288</f>
        <v>43077</v>
      </c>
      <c r="V288" s="686"/>
      <c r="W288" s="236">
        <f>РПЗ!L288</f>
        <v>180000</v>
      </c>
      <c r="X288" s="689"/>
      <c r="Y288" s="689"/>
      <c r="Z288" s="690"/>
      <c r="AA288" s="691"/>
      <c r="AB288" s="111"/>
      <c r="AC288" s="17"/>
      <c r="AD288" s="690"/>
      <c r="AE288" s="686"/>
      <c r="AF288" s="474"/>
      <c r="AG288" s="692"/>
      <c r="AH288" s="236" t="str">
        <f>IF(Таблица5[[#This Row],[30]]=0,"НД",Таблица5[[#This Row],[20]]-Таблица5[[#This Row],[30]])</f>
        <v>НД</v>
      </c>
      <c r="AI288" s="511" t="str">
        <f>IF(((1-Таблица5[[#This Row],[30]]/Таблица5[[#This Row],[20]])=1),"НД",(1-Таблица5[[#This Row],[30]]/Таблица5[[#This Row],[20]]))</f>
        <v>НД</v>
      </c>
      <c r="AJ288" s="111"/>
      <c r="AK288" s="111"/>
      <c r="AL288" s="512"/>
      <c r="AM288" s="513"/>
      <c r="AN288" s="465"/>
      <c r="AO288" s="468" t="str">
        <f>РПЗ!AD288</f>
        <v>Нет</v>
      </c>
      <c r="AP288" s="472">
        <f>РПЗ!V288</f>
        <v>0</v>
      </c>
      <c r="AQ288" s="470">
        <f>IF(Таблица5[[#This Row],[11]]=0,,MONTH(Таблица5[[#This Row],[11]]))</f>
        <v>7</v>
      </c>
    </row>
    <row r="289" spans="1:43" ht="51.75" thickBot="1" x14ac:dyDescent="0.3">
      <c r="A289" s="233" t="str">
        <f t="shared" si="4"/>
        <v>1004-2017-00274</v>
      </c>
      <c r="B289" s="233" t="str">
        <f>РПЗ!$D289</f>
        <v>1004-2017-00274Поставка Оснастка и режущий инструмент для монтажных работ на участке микроэлектроники</v>
      </c>
      <c r="C289" s="233" t="str">
        <f>РПЗ!$AA289</f>
        <v>АО "НИИ "Полюс" им. М.Ф. Стельмаха" тел. отдела закупок 8-495-333-05-02</v>
      </c>
      <c r="D289" s="633" t="str">
        <f>РПЗ!$AB289</f>
        <v>Заказчик</v>
      </c>
      <c r="E289" s="96" t="s">
        <v>46</v>
      </c>
      <c r="F289" s="233" t="str">
        <f>РПЗ!Q289</f>
        <v>ОЗК</v>
      </c>
      <c r="G289" s="237"/>
      <c r="H289" s="237" t="str">
        <f>РПЗ!R289</f>
        <v>да</v>
      </c>
      <c r="I289" s="15">
        <f>РПЗ!W289</f>
        <v>0</v>
      </c>
      <c r="J289" s="233">
        <f>РПЗ!X289</f>
        <v>0</v>
      </c>
      <c r="K289" s="283">
        <f>РПЗ!Z289</f>
        <v>0</v>
      </c>
      <c r="L289" s="17"/>
      <c r="M289" s="18">
        <f>РПЗ!O289</f>
        <v>42917</v>
      </c>
      <c r="N289" s="238">
        <f>Таблица5[[#This Row],[10]]</f>
        <v>42917</v>
      </c>
      <c r="O289" s="17"/>
      <c r="P289" s="17"/>
      <c r="Q289" s="17"/>
      <c r="R289" s="17"/>
      <c r="S289" s="17"/>
      <c r="T289" s="686"/>
      <c r="U289" s="18">
        <f>РПЗ!P289</f>
        <v>43078</v>
      </c>
      <c r="V289" s="686"/>
      <c r="W289" s="236">
        <f>РПЗ!L289</f>
        <v>150000</v>
      </c>
      <c r="X289" s="689"/>
      <c r="Y289" s="689"/>
      <c r="Z289" s="690"/>
      <c r="AA289" s="691"/>
      <c r="AB289" s="111"/>
      <c r="AC289" s="17"/>
      <c r="AD289" s="690"/>
      <c r="AE289" s="686"/>
      <c r="AF289" s="474"/>
      <c r="AG289" s="692"/>
      <c r="AH289" s="236" t="str">
        <f>IF(Таблица5[[#This Row],[30]]=0,"НД",Таблица5[[#This Row],[20]]-Таблица5[[#This Row],[30]])</f>
        <v>НД</v>
      </c>
      <c r="AI289" s="511" t="str">
        <f>IF(((1-Таблица5[[#This Row],[30]]/Таблица5[[#This Row],[20]])=1),"НД",(1-Таблица5[[#This Row],[30]]/Таблица5[[#This Row],[20]]))</f>
        <v>НД</v>
      </c>
      <c r="AJ289" s="111"/>
      <c r="AK289" s="111"/>
      <c r="AL289" s="512"/>
      <c r="AM289" s="513"/>
      <c r="AN289" s="465"/>
      <c r="AO289" s="468" t="str">
        <f>РПЗ!AD289</f>
        <v>Нет</v>
      </c>
      <c r="AP289" s="472">
        <f>РПЗ!V289</f>
        <v>0</v>
      </c>
      <c r="AQ289" s="470">
        <f>IF(Таблица5[[#This Row],[11]]=0,,MONTH(Таблица5[[#This Row],[11]]))</f>
        <v>7</v>
      </c>
    </row>
    <row r="290" spans="1:43" ht="39" thickBot="1" x14ac:dyDescent="0.3">
      <c r="A290" s="233" t="str">
        <f t="shared" si="4"/>
        <v>1004-2017-00275</v>
      </c>
      <c r="B290" s="233" t="str">
        <f>РПЗ!$D290</f>
        <v>1004-2017-00275Поставка Настенные сплит-системы</v>
      </c>
      <c r="C290" s="233" t="str">
        <f>РПЗ!$AA290</f>
        <v>АО "НИИ "Полюс" им. М.Ф. Стельмаха" тел. отдела закупок 8-495-333-05-02</v>
      </c>
      <c r="D290" s="633" t="str">
        <f>РПЗ!$AB290</f>
        <v>Заказчик</v>
      </c>
      <c r="E290" s="96" t="s">
        <v>46</v>
      </c>
      <c r="F290" s="233" t="str">
        <f>РПЗ!Q290</f>
        <v>ОЗК</v>
      </c>
      <c r="G290" s="237"/>
      <c r="H290" s="237" t="str">
        <f>РПЗ!R290</f>
        <v>да</v>
      </c>
      <c r="I290" s="15">
        <f>РПЗ!W290</f>
        <v>0</v>
      </c>
      <c r="J290" s="233">
        <f>РПЗ!X290</f>
        <v>0</v>
      </c>
      <c r="K290" s="283">
        <f>РПЗ!Z290</f>
        <v>0</v>
      </c>
      <c r="L290" s="17"/>
      <c r="M290" s="18">
        <f>РПЗ!O290</f>
        <v>42856</v>
      </c>
      <c r="N290" s="238">
        <f>Таблица5[[#This Row],[10]]</f>
        <v>42856</v>
      </c>
      <c r="O290" s="17"/>
      <c r="P290" s="17"/>
      <c r="Q290" s="17"/>
      <c r="R290" s="17"/>
      <c r="S290" s="17"/>
      <c r="T290" s="686"/>
      <c r="U290" s="18">
        <f>РПЗ!P290</f>
        <v>43079</v>
      </c>
      <c r="V290" s="686"/>
      <c r="W290" s="236">
        <f>РПЗ!L290</f>
        <v>420000</v>
      </c>
      <c r="X290" s="689"/>
      <c r="Y290" s="689"/>
      <c r="Z290" s="690"/>
      <c r="AA290" s="691"/>
      <c r="AB290" s="111"/>
      <c r="AC290" s="17"/>
      <c r="AD290" s="690"/>
      <c r="AE290" s="686"/>
      <c r="AF290" s="474"/>
      <c r="AG290" s="692"/>
      <c r="AH290" s="236" t="str">
        <f>IF(Таблица5[[#This Row],[30]]=0,"НД",Таблица5[[#This Row],[20]]-Таблица5[[#This Row],[30]])</f>
        <v>НД</v>
      </c>
      <c r="AI290" s="511" t="str">
        <f>IF(((1-Таблица5[[#This Row],[30]]/Таблица5[[#This Row],[20]])=1),"НД",(1-Таблица5[[#This Row],[30]]/Таблица5[[#This Row],[20]]))</f>
        <v>НД</v>
      </c>
      <c r="AJ290" s="111"/>
      <c r="AK290" s="111"/>
      <c r="AL290" s="512"/>
      <c r="AM290" s="513"/>
      <c r="AN290" s="465"/>
      <c r="AO290" s="468" t="str">
        <f>РПЗ!AD290</f>
        <v>Нет</v>
      </c>
      <c r="AP290" s="472">
        <f>РПЗ!V290</f>
        <v>0</v>
      </c>
      <c r="AQ290" s="470">
        <f>IF(Таблица5[[#This Row],[11]]=0,,MONTH(Таблица5[[#This Row],[11]]))</f>
        <v>5</v>
      </c>
    </row>
    <row r="291" spans="1:43" ht="39" thickBot="1" x14ac:dyDescent="0.3">
      <c r="A291" s="233" t="str">
        <f t="shared" si="4"/>
        <v>1004-2017-00276</v>
      </c>
      <c r="B291" s="233" t="str">
        <f>РПЗ!$D291</f>
        <v>1004-2017-00276Поставка Мебель промышленная</v>
      </c>
      <c r="C291" s="233" t="str">
        <f>РПЗ!$AA291</f>
        <v>АО "НИИ "Полюс" им. М.Ф. Стельмаха" тел. отдела закупок 8-495-333-05-02</v>
      </c>
      <c r="D291" s="633" t="str">
        <f>РПЗ!$AB291</f>
        <v>Заказчик</v>
      </c>
      <c r="E291" s="96" t="s">
        <v>46</v>
      </c>
      <c r="F291" s="233" t="str">
        <f>РПЗ!Q291</f>
        <v>ОЗК</v>
      </c>
      <c r="G291" s="237"/>
      <c r="H291" s="237" t="str">
        <f>РПЗ!R291</f>
        <v>да</v>
      </c>
      <c r="I291" s="15">
        <f>РПЗ!W291</f>
        <v>0</v>
      </c>
      <c r="J291" s="233">
        <f>РПЗ!X291</f>
        <v>0</v>
      </c>
      <c r="K291" s="283">
        <f>РПЗ!Z291</f>
        <v>0</v>
      </c>
      <c r="L291" s="17"/>
      <c r="M291" s="18">
        <f>РПЗ!O291</f>
        <v>42826</v>
      </c>
      <c r="N291" s="238">
        <f>Таблица5[[#This Row],[10]]</f>
        <v>42826</v>
      </c>
      <c r="O291" s="17"/>
      <c r="P291" s="17"/>
      <c r="Q291" s="17"/>
      <c r="R291" s="17"/>
      <c r="S291" s="17"/>
      <c r="T291" s="686"/>
      <c r="U291" s="18">
        <f>РПЗ!P291</f>
        <v>43080</v>
      </c>
      <c r="V291" s="686"/>
      <c r="W291" s="236">
        <f>РПЗ!L291</f>
        <v>150000</v>
      </c>
      <c r="X291" s="689"/>
      <c r="Y291" s="689"/>
      <c r="Z291" s="690"/>
      <c r="AA291" s="691"/>
      <c r="AB291" s="111"/>
      <c r="AC291" s="17"/>
      <c r="AD291" s="690"/>
      <c r="AE291" s="686"/>
      <c r="AF291" s="474"/>
      <c r="AG291" s="692"/>
      <c r="AH291" s="236" t="str">
        <f>IF(Таблица5[[#This Row],[30]]=0,"НД",Таблица5[[#This Row],[20]]-Таблица5[[#This Row],[30]])</f>
        <v>НД</v>
      </c>
      <c r="AI291" s="511" t="str">
        <f>IF(((1-Таблица5[[#This Row],[30]]/Таблица5[[#This Row],[20]])=1),"НД",(1-Таблица5[[#This Row],[30]]/Таблица5[[#This Row],[20]]))</f>
        <v>НД</v>
      </c>
      <c r="AJ291" s="111"/>
      <c r="AK291" s="111"/>
      <c r="AL291" s="512"/>
      <c r="AM291" s="513"/>
      <c r="AN291" s="465"/>
      <c r="AO291" s="468" t="str">
        <f>РПЗ!AD291</f>
        <v>Нет</v>
      </c>
      <c r="AP291" s="472">
        <f>РПЗ!V291</f>
        <v>0</v>
      </c>
      <c r="AQ291" s="470">
        <f>IF(Таблица5[[#This Row],[11]]=0,,MONTH(Таблица5[[#This Row],[11]]))</f>
        <v>4</v>
      </c>
    </row>
    <row r="292" spans="1:43" ht="39" thickBot="1" x14ac:dyDescent="0.3">
      <c r="A292" s="233" t="str">
        <f t="shared" si="4"/>
        <v>1004-2017-00277</v>
      </c>
      <c r="B292" s="233" t="str">
        <f>РПЗ!$D292</f>
        <v>1004-2017-00277Поставка Измерительный инструмент</v>
      </c>
      <c r="C292" s="233" t="str">
        <f>РПЗ!$AA292</f>
        <v>АО "НИИ "Полюс" им. М.Ф. Стельмаха" тел. отдела закупок 8-495-333-05-02</v>
      </c>
      <c r="D292" s="633" t="str">
        <f>РПЗ!$AB292</f>
        <v>Заказчик</v>
      </c>
      <c r="E292" s="96" t="s">
        <v>46</v>
      </c>
      <c r="F292" s="233" t="str">
        <f>РПЗ!Q292</f>
        <v>ОЗК</v>
      </c>
      <c r="G292" s="237"/>
      <c r="H292" s="237" t="str">
        <f>РПЗ!R292</f>
        <v>да</v>
      </c>
      <c r="I292" s="15">
        <f>РПЗ!W292</f>
        <v>0</v>
      </c>
      <c r="J292" s="233">
        <f>РПЗ!X292</f>
        <v>0</v>
      </c>
      <c r="K292" s="283">
        <f>РПЗ!Z292</f>
        <v>0</v>
      </c>
      <c r="L292" s="17"/>
      <c r="M292" s="18">
        <f>РПЗ!O292</f>
        <v>42795</v>
      </c>
      <c r="N292" s="238">
        <f>Таблица5[[#This Row],[10]]</f>
        <v>42795</v>
      </c>
      <c r="O292" s="17"/>
      <c r="P292" s="17"/>
      <c r="Q292" s="17"/>
      <c r="R292" s="17"/>
      <c r="S292" s="17"/>
      <c r="T292" s="686"/>
      <c r="U292" s="18">
        <f>РПЗ!P292</f>
        <v>43081</v>
      </c>
      <c r="V292" s="686"/>
      <c r="W292" s="236">
        <f>РПЗ!L292</f>
        <v>120000</v>
      </c>
      <c r="X292" s="689"/>
      <c r="Y292" s="689"/>
      <c r="Z292" s="690"/>
      <c r="AA292" s="691"/>
      <c r="AB292" s="111"/>
      <c r="AC292" s="17"/>
      <c r="AD292" s="690"/>
      <c r="AE292" s="686"/>
      <c r="AF292" s="474"/>
      <c r="AG292" s="692"/>
      <c r="AH292" s="236" t="str">
        <f>IF(Таблица5[[#This Row],[30]]=0,"НД",Таблица5[[#This Row],[20]]-Таблица5[[#This Row],[30]])</f>
        <v>НД</v>
      </c>
      <c r="AI292" s="511" t="str">
        <f>IF(((1-Таблица5[[#This Row],[30]]/Таблица5[[#This Row],[20]])=1),"НД",(1-Таблица5[[#This Row],[30]]/Таблица5[[#This Row],[20]]))</f>
        <v>НД</v>
      </c>
      <c r="AJ292" s="111"/>
      <c r="AK292" s="111"/>
      <c r="AL292" s="512"/>
      <c r="AM292" s="513"/>
      <c r="AN292" s="465"/>
      <c r="AO292" s="468" t="str">
        <f>РПЗ!AD292</f>
        <v>Нет</v>
      </c>
      <c r="AP292" s="472">
        <f>РПЗ!V292</f>
        <v>0</v>
      </c>
      <c r="AQ292" s="470">
        <f>IF(Таблица5[[#This Row],[11]]=0,,MONTH(Таблица5[[#This Row],[11]]))</f>
        <v>3</v>
      </c>
    </row>
    <row r="293" spans="1:43" ht="39" thickBot="1" x14ac:dyDescent="0.3">
      <c r="A293" s="233" t="str">
        <f t="shared" si="4"/>
        <v>1004-2017-00278</v>
      </c>
      <c r="B293" s="233" t="str">
        <f>РПЗ!$D293</f>
        <v>1004-2017-00278Поставка Дренажные помпы</v>
      </c>
      <c r="C293" s="233" t="str">
        <f>РПЗ!$AA293</f>
        <v>АО "НИИ "Полюс" им. М.Ф. Стельмаха" тел. отдела закупок 8-495-333-05-02</v>
      </c>
      <c r="D293" s="633" t="str">
        <f>РПЗ!$AB293</f>
        <v>Заказчик</v>
      </c>
      <c r="E293" s="96" t="s">
        <v>46</v>
      </c>
      <c r="F293" s="233" t="str">
        <f>РПЗ!Q293</f>
        <v>ОЗК</v>
      </c>
      <c r="G293" s="237"/>
      <c r="H293" s="237" t="str">
        <f>РПЗ!R293</f>
        <v>да</v>
      </c>
      <c r="I293" s="15">
        <f>РПЗ!W293</f>
        <v>0</v>
      </c>
      <c r="J293" s="233">
        <f>РПЗ!X293</f>
        <v>0</v>
      </c>
      <c r="K293" s="283">
        <f>РПЗ!Z293</f>
        <v>0</v>
      </c>
      <c r="L293" s="17"/>
      <c r="M293" s="18">
        <f>РПЗ!O293</f>
        <v>42826</v>
      </c>
      <c r="N293" s="238">
        <f>Таблица5[[#This Row],[10]]</f>
        <v>42826</v>
      </c>
      <c r="O293" s="17"/>
      <c r="P293" s="17"/>
      <c r="Q293" s="17"/>
      <c r="R293" s="17"/>
      <c r="S293" s="17"/>
      <c r="T293" s="686"/>
      <c r="U293" s="18">
        <f>РПЗ!P293</f>
        <v>43082</v>
      </c>
      <c r="V293" s="686"/>
      <c r="W293" s="236">
        <f>РПЗ!L293</f>
        <v>100000</v>
      </c>
      <c r="X293" s="689"/>
      <c r="Y293" s="689"/>
      <c r="Z293" s="690"/>
      <c r="AA293" s="691"/>
      <c r="AB293" s="111"/>
      <c r="AC293" s="17"/>
      <c r="AD293" s="690"/>
      <c r="AE293" s="686"/>
      <c r="AF293" s="474"/>
      <c r="AG293" s="692"/>
      <c r="AH293" s="236" t="str">
        <f>IF(Таблица5[[#This Row],[30]]=0,"НД",Таблица5[[#This Row],[20]]-Таблица5[[#This Row],[30]])</f>
        <v>НД</v>
      </c>
      <c r="AI293" s="511" t="str">
        <f>IF(((1-Таблица5[[#This Row],[30]]/Таблица5[[#This Row],[20]])=1),"НД",(1-Таблица5[[#This Row],[30]]/Таблица5[[#This Row],[20]]))</f>
        <v>НД</v>
      </c>
      <c r="AJ293" s="111"/>
      <c r="AK293" s="111"/>
      <c r="AL293" s="512"/>
      <c r="AM293" s="513"/>
      <c r="AN293" s="465"/>
      <c r="AO293" s="468" t="str">
        <f>РПЗ!AD293</f>
        <v>Нет</v>
      </c>
      <c r="AP293" s="472">
        <f>РПЗ!V293</f>
        <v>0</v>
      </c>
      <c r="AQ293" s="470">
        <f>IF(Таблица5[[#This Row],[11]]=0,,MONTH(Таблица5[[#This Row],[11]]))</f>
        <v>4</v>
      </c>
    </row>
    <row r="294" spans="1:43" ht="39" thickBot="1" x14ac:dyDescent="0.3">
      <c r="A294" s="233" t="str">
        <f t="shared" si="4"/>
        <v>1004-2017-00279</v>
      </c>
      <c r="B294" s="233" t="str">
        <f>РПЗ!$D294</f>
        <v>1004-2017-00279Поставка Фильтры воздушные карманного типа</v>
      </c>
      <c r="C294" s="233" t="str">
        <f>РПЗ!$AA294</f>
        <v>АО "НИИ "Полюс" им. М.Ф. Стельмаха" тел. отдела закупок 8-495-333-05-02</v>
      </c>
      <c r="D294" s="633" t="str">
        <f>РПЗ!$AB294</f>
        <v>Заказчик</v>
      </c>
      <c r="E294" s="96" t="s">
        <v>46</v>
      </c>
      <c r="F294" s="233" t="str">
        <f>РПЗ!Q294</f>
        <v>ОЗК</v>
      </c>
      <c r="G294" s="237"/>
      <c r="H294" s="237" t="str">
        <f>РПЗ!R294</f>
        <v>да</v>
      </c>
      <c r="I294" s="15">
        <f>РПЗ!W294</f>
        <v>0</v>
      </c>
      <c r="J294" s="233">
        <f>РПЗ!X294</f>
        <v>0</v>
      </c>
      <c r="K294" s="283">
        <f>РПЗ!Z294</f>
        <v>0</v>
      </c>
      <c r="L294" s="17"/>
      <c r="M294" s="18">
        <f>РПЗ!O294</f>
        <v>42826</v>
      </c>
      <c r="N294" s="238">
        <f>Таблица5[[#This Row],[10]]</f>
        <v>42826</v>
      </c>
      <c r="O294" s="17"/>
      <c r="P294" s="17"/>
      <c r="Q294" s="17"/>
      <c r="R294" s="17"/>
      <c r="S294" s="17"/>
      <c r="T294" s="686"/>
      <c r="U294" s="18">
        <f>РПЗ!P294</f>
        <v>43083</v>
      </c>
      <c r="V294" s="686"/>
      <c r="W294" s="236">
        <f>РПЗ!L294</f>
        <v>120000</v>
      </c>
      <c r="X294" s="689"/>
      <c r="Y294" s="689"/>
      <c r="Z294" s="690"/>
      <c r="AA294" s="691"/>
      <c r="AB294" s="111"/>
      <c r="AC294" s="17"/>
      <c r="AD294" s="690"/>
      <c r="AE294" s="686"/>
      <c r="AF294" s="474"/>
      <c r="AG294" s="692"/>
      <c r="AH294" s="236" t="str">
        <f>IF(Таблица5[[#This Row],[30]]=0,"НД",Таблица5[[#This Row],[20]]-Таблица5[[#This Row],[30]])</f>
        <v>НД</v>
      </c>
      <c r="AI294" s="511" t="str">
        <f>IF(((1-Таблица5[[#This Row],[30]]/Таблица5[[#This Row],[20]])=1),"НД",(1-Таблица5[[#This Row],[30]]/Таблица5[[#This Row],[20]]))</f>
        <v>НД</v>
      </c>
      <c r="AJ294" s="111"/>
      <c r="AK294" s="111"/>
      <c r="AL294" s="512"/>
      <c r="AM294" s="513"/>
      <c r="AN294" s="465"/>
      <c r="AO294" s="468" t="str">
        <f>РПЗ!AD294</f>
        <v>Нет</v>
      </c>
      <c r="AP294" s="472">
        <f>РПЗ!V294</f>
        <v>0</v>
      </c>
      <c r="AQ294" s="470">
        <f>IF(Таблица5[[#This Row],[11]]=0,,MONTH(Таблица5[[#This Row],[11]]))</f>
        <v>4</v>
      </c>
    </row>
    <row r="295" spans="1:43" ht="38.25" x14ac:dyDescent="0.25">
      <c r="A295" s="233" t="str">
        <f t="shared" si="4"/>
        <v>1004-2017-00280</v>
      </c>
      <c r="B295" s="233" t="str">
        <f>РПЗ!$D295</f>
        <v>1004-2017-00280Поставка Кондиционеры</v>
      </c>
      <c r="C295" s="233" t="str">
        <f>РПЗ!$AA295</f>
        <v>АО "НИИ "Полюс" им. М.Ф. Стельмаха" тел. отдела закупок 8-495-333-05-02</v>
      </c>
      <c r="D295" s="633" t="str">
        <f>РПЗ!$AB295</f>
        <v>Заказчик</v>
      </c>
      <c r="E295" s="96" t="s">
        <v>46</v>
      </c>
      <c r="F295" s="233" t="str">
        <f>РПЗ!Q295</f>
        <v>ОЗК</v>
      </c>
      <c r="G295" s="237"/>
      <c r="H295" s="237" t="str">
        <f>РПЗ!R295</f>
        <v>да</v>
      </c>
      <c r="I295" s="15">
        <f>РПЗ!W295</f>
        <v>0</v>
      </c>
      <c r="J295" s="233">
        <f>РПЗ!X295</f>
        <v>0</v>
      </c>
      <c r="K295" s="283">
        <f>РПЗ!Z295</f>
        <v>0</v>
      </c>
      <c r="L295" s="17"/>
      <c r="M295" s="18">
        <f>РПЗ!O295</f>
        <v>42826</v>
      </c>
      <c r="N295" s="238">
        <f>Таблица5[[#This Row],[10]]</f>
        <v>42826</v>
      </c>
      <c r="O295" s="17"/>
      <c r="P295" s="17"/>
      <c r="Q295" s="17"/>
      <c r="R295" s="17"/>
      <c r="S295" s="17"/>
      <c r="T295" s="686"/>
      <c r="U295" s="18">
        <f>РПЗ!P295</f>
        <v>43084</v>
      </c>
      <c r="V295" s="686"/>
      <c r="W295" s="236">
        <f>РПЗ!L295</f>
        <v>400000</v>
      </c>
      <c r="X295" s="689"/>
      <c r="Y295" s="689"/>
      <c r="Z295" s="690"/>
      <c r="AA295" s="691"/>
      <c r="AB295" s="111"/>
      <c r="AC295" s="17"/>
      <c r="AD295" s="690"/>
      <c r="AE295" s="686"/>
      <c r="AF295" s="474"/>
      <c r="AG295" s="692"/>
      <c r="AH295" s="236" t="str">
        <f>IF(Таблица5[[#This Row],[30]]=0,"НД",Таблица5[[#This Row],[20]]-Таблица5[[#This Row],[30]])</f>
        <v>НД</v>
      </c>
      <c r="AI295" s="511" t="str">
        <f>IF(((1-Таблица5[[#This Row],[30]]/Таблица5[[#This Row],[20]])=1),"НД",(1-Таблица5[[#This Row],[30]]/Таблица5[[#This Row],[20]]))</f>
        <v>НД</v>
      </c>
      <c r="AJ295" s="111"/>
      <c r="AK295" s="111"/>
      <c r="AL295" s="512"/>
      <c r="AM295" s="513"/>
      <c r="AN295" s="465"/>
      <c r="AO295" s="468" t="str">
        <f>РПЗ!AD295</f>
        <v>Нет</v>
      </c>
      <c r="AP295" s="472">
        <f>РПЗ!V295</f>
        <v>0</v>
      </c>
      <c r="AQ295" s="470">
        <f>IF(Таблица5[[#This Row],[11]]=0,,MONTH(Таблица5[[#This Row],[11]]))</f>
        <v>4</v>
      </c>
    </row>
    <row r="296" spans="1:43" ht="39" thickBot="1" x14ac:dyDescent="0.3">
      <c r="A296" s="233" t="str">
        <f t="shared" si="4"/>
        <v>1004-2017-00281</v>
      </c>
      <c r="B296" s="233" t="str">
        <f>РПЗ!$D296</f>
        <v>1004-2017-00281Поставка Металлорежущий инструмент по нержавеющей стали</v>
      </c>
      <c r="C296" s="233" t="str">
        <f>РПЗ!$AA296</f>
        <v>АО "НИИ "Полюс" им. М.Ф. Стельмаха" тел. отдела закупок 8-495-333-05-02</v>
      </c>
      <c r="D296" s="633" t="str">
        <f>РПЗ!$AB296</f>
        <v>Заказчик</v>
      </c>
      <c r="E296" s="510" t="s">
        <v>62</v>
      </c>
      <c r="F296" s="233" t="str">
        <f>РПЗ!Q296</f>
        <v>ОЗК</v>
      </c>
      <c r="G296" s="237" t="str">
        <f>Таблица5[[#This Row],[6]]</f>
        <v>ОЗК</v>
      </c>
      <c r="H296" s="237" t="str">
        <f>РПЗ!R296</f>
        <v>да</v>
      </c>
      <c r="I296" s="15">
        <f>РПЗ!W296</f>
        <v>0</v>
      </c>
      <c r="J296" s="233">
        <f>РПЗ!X296</f>
        <v>0</v>
      </c>
      <c r="K296" s="283">
        <f>РПЗ!Z296</f>
        <v>0</v>
      </c>
      <c r="L296" s="17"/>
      <c r="M296" s="18">
        <f>РПЗ!O296</f>
        <v>42767</v>
      </c>
      <c r="N296" s="238">
        <f>Таблица5[[#This Row],[10]]</f>
        <v>42767</v>
      </c>
      <c r="O296" s="804" t="s">
        <v>3032</v>
      </c>
      <c r="P296" s="804" t="s">
        <v>3259</v>
      </c>
      <c r="Q296" s="804" t="s">
        <v>3259</v>
      </c>
      <c r="R296" s="804" t="s">
        <v>3259</v>
      </c>
      <c r="S296" s="804" t="s">
        <v>3259</v>
      </c>
      <c r="T296" s="818" t="s">
        <v>3260</v>
      </c>
      <c r="U296" s="18">
        <f>РПЗ!P296</f>
        <v>43085</v>
      </c>
      <c r="V296" s="760">
        <v>42826</v>
      </c>
      <c r="W296" s="236">
        <f>РПЗ!L296</f>
        <v>705263.25</v>
      </c>
      <c r="X296" s="689">
        <v>4</v>
      </c>
      <c r="Y296" s="689">
        <v>0</v>
      </c>
      <c r="Z296" s="765">
        <v>7743913363</v>
      </c>
      <c r="AA296" s="810" t="s">
        <v>3262</v>
      </c>
      <c r="AB296" s="111">
        <v>441643.73</v>
      </c>
      <c r="AC296" s="809">
        <v>42826</v>
      </c>
      <c r="AD296" s="810" t="s">
        <v>3263</v>
      </c>
      <c r="AE296" s="694" t="s">
        <v>3260</v>
      </c>
      <c r="AF296" s="474"/>
      <c r="AG296" s="827">
        <v>441643.73</v>
      </c>
      <c r="AH296" s="236">
        <f>IF(Таблица5[[#This Row],[30]]=0,"НД",Таблица5[[#This Row],[20]]-Таблица5[[#This Row],[30]])</f>
        <v>263619.52</v>
      </c>
      <c r="AI296" s="511">
        <f>IF(((1-Таблица5[[#This Row],[30]]/Таблица5[[#This Row],[20]])=1),"НД",(1-Таблица5[[#This Row],[30]]/Таблица5[[#This Row],[20]]))</f>
        <v>0.37378882282608661</v>
      </c>
      <c r="AJ296" s="111">
        <v>441643.73</v>
      </c>
      <c r="AK296" s="111"/>
      <c r="AL296" s="512"/>
      <c r="AM296" s="788" t="s">
        <v>113</v>
      </c>
      <c r="AN296" s="801">
        <v>31704770465</v>
      </c>
      <c r="AO296" s="468" t="str">
        <f>РПЗ!AD296</f>
        <v>Нет</v>
      </c>
      <c r="AP296" s="472">
        <f>РПЗ!V296</f>
        <v>0</v>
      </c>
      <c r="AQ296" s="470">
        <f>IF(Таблица5[[#This Row],[11]]=0,,MONTH(Таблица5[[#This Row],[11]]))</f>
        <v>2</v>
      </c>
    </row>
    <row r="297" spans="1:43" ht="39" thickBot="1" x14ac:dyDescent="0.3">
      <c r="A297" s="233" t="str">
        <f t="shared" si="4"/>
        <v>1004-2017-00282</v>
      </c>
      <c r="B297" s="233" t="str">
        <f>РПЗ!$D297</f>
        <v>1004-2017-00282Поставка Инструмент и оборудование радиомонтажника</v>
      </c>
      <c r="C297" s="233" t="str">
        <f>РПЗ!$AA297</f>
        <v>АО "НИИ "Полюс" им. М.Ф. Стельмаха" тел. отдела закупок 8-495-333-05-02</v>
      </c>
      <c r="D297" s="633" t="str">
        <f>РПЗ!$AB297</f>
        <v>Заказчик</v>
      </c>
      <c r="E297" s="96" t="s">
        <v>46</v>
      </c>
      <c r="F297" s="233" t="str">
        <f>РПЗ!Q297</f>
        <v>ОЗК</v>
      </c>
      <c r="G297" s="237"/>
      <c r="H297" s="237" t="str">
        <f>РПЗ!R297</f>
        <v>да</v>
      </c>
      <c r="I297" s="15">
        <f>РПЗ!W297</f>
        <v>0</v>
      </c>
      <c r="J297" s="233">
        <f>РПЗ!X297</f>
        <v>0</v>
      </c>
      <c r="K297" s="283">
        <f>РПЗ!Z297</f>
        <v>0</v>
      </c>
      <c r="L297" s="17"/>
      <c r="M297" s="18">
        <f>РПЗ!O297</f>
        <v>42767</v>
      </c>
      <c r="N297" s="238">
        <f>Таблица5[[#This Row],[10]]</f>
        <v>42767</v>
      </c>
      <c r="O297" s="17"/>
      <c r="P297" s="17"/>
      <c r="Q297" s="17"/>
      <c r="R297" s="17"/>
      <c r="S297" s="17"/>
      <c r="T297" s="686"/>
      <c r="U297" s="18">
        <f>РПЗ!P297</f>
        <v>43086</v>
      </c>
      <c r="V297" s="686"/>
      <c r="W297" s="236">
        <f>РПЗ!L297</f>
        <v>130000</v>
      </c>
      <c r="X297" s="689"/>
      <c r="Y297" s="689"/>
      <c r="Z297" s="690"/>
      <c r="AA297" s="691"/>
      <c r="AB297" s="111"/>
      <c r="AC297" s="17"/>
      <c r="AD297" s="690"/>
      <c r="AE297" s="686"/>
      <c r="AF297" s="474"/>
      <c r="AG297" s="692"/>
      <c r="AH297" s="236" t="str">
        <f>IF(Таблица5[[#This Row],[30]]=0,"НД",Таблица5[[#This Row],[20]]-Таблица5[[#This Row],[30]])</f>
        <v>НД</v>
      </c>
      <c r="AI297" s="511" t="str">
        <f>IF(((1-Таблица5[[#This Row],[30]]/Таблица5[[#This Row],[20]])=1),"НД",(1-Таблица5[[#This Row],[30]]/Таблица5[[#This Row],[20]]))</f>
        <v>НД</v>
      </c>
      <c r="AJ297" s="111"/>
      <c r="AK297" s="111"/>
      <c r="AL297" s="512"/>
      <c r="AM297" s="513"/>
      <c r="AN297" s="465"/>
      <c r="AO297" s="468" t="str">
        <f>РПЗ!AD297</f>
        <v>Нет</v>
      </c>
      <c r="AP297" s="472">
        <f>РПЗ!V297</f>
        <v>0</v>
      </c>
      <c r="AQ297" s="470">
        <f>IF(Таблица5[[#This Row],[11]]=0,,MONTH(Таблица5[[#This Row],[11]]))</f>
        <v>2</v>
      </c>
    </row>
    <row r="298" spans="1:43" ht="39" thickBot="1" x14ac:dyDescent="0.3">
      <c r="A298" s="233" t="str">
        <f t="shared" si="4"/>
        <v>1004-2017-00283</v>
      </c>
      <c r="B298" s="233" t="str">
        <f>РПЗ!$D298</f>
        <v>1004-2017-00283Поставка Инструмент для проведения ремонтных и строительных работ</v>
      </c>
      <c r="C298" s="233" t="str">
        <f>РПЗ!$AA298</f>
        <v>АО "НИИ "Полюс" им. М.Ф. Стельмаха" тел. отдела закупок 8-495-333-05-02</v>
      </c>
      <c r="D298" s="633" t="str">
        <f>РПЗ!$AB298</f>
        <v>Заказчик</v>
      </c>
      <c r="E298" s="96" t="s">
        <v>46</v>
      </c>
      <c r="F298" s="233" t="str">
        <f>РПЗ!Q298</f>
        <v>ОЗК</v>
      </c>
      <c r="G298" s="237"/>
      <c r="H298" s="237" t="str">
        <f>РПЗ!R298</f>
        <v>да</v>
      </c>
      <c r="I298" s="15">
        <f>РПЗ!W298</f>
        <v>0</v>
      </c>
      <c r="J298" s="233">
        <f>РПЗ!X298</f>
        <v>0</v>
      </c>
      <c r="K298" s="283">
        <f>РПЗ!Z298</f>
        <v>0</v>
      </c>
      <c r="L298" s="17"/>
      <c r="M298" s="18">
        <f>РПЗ!O298</f>
        <v>43040</v>
      </c>
      <c r="N298" s="238">
        <f>Таблица5[[#This Row],[10]]</f>
        <v>43040</v>
      </c>
      <c r="O298" s="17"/>
      <c r="P298" s="17"/>
      <c r="Q298" s="17"/>
      <c r="R298" s="17"/>
      <c r="S298" s="17"/>
      <c r="T298" s="686"/>
      <c r="U298" s="18">
        <f>РПЗ!P298</f>
        <v>43096</v>
      </c>
      <c r="V298" s="686"/>
      <c r="W298" s="236">
        <f>РПЗ!L298</f>
        <v>150000</v>
      </c>
      <c r="X298" s="689"/>
      <c r="Y298" s="689"/>
      <c r="Z298" s="690"/>
      <c r="AA298" s="691"/>
      <c r="AB298" s="111"/>
      <c r="AC298" s="17"/>
      <c r="AD298" s="690"/>
      <c r="AE298" s="686"/>
      <c r="AF298" s="474"/>
      <c r="AG298" s="692"/>
      <c r="AH298" s="236" t="str">
        <f>IF(Таблица5[[#This Row],[30]]=0,"НД",Таблица5[[#This Row],[20]]-Таблица5[[#This Row],[30]])</f>
        <v>НД</v>
      </c>
      <c r="AI298" s="511" t="str">
        <f>IF(((1-Таблица5[[#This Row],[30]]/Таблица5[[#This Row],[20]])=1),"НД",(1-Таблица5[[#This Row],[30]]/Таблица5[[#This Row],[20]]))</f>
        <v>НД</v>
      </c>
      <c r="AJ298" s="111"/>
      <c r="AK298" s="111"/>
      <c r="AL298" s="512"/>
      <c r="AM298" s="513"/>
      <c r="AN298" s="465"/>
      <c r="AO298" s="468" t="str">
        <f>РПЗ!AD298</f>
        <v>Нет</v>
      </c>
      <c r="AP298" s="472">
        <f>РПЗ!V298</f>
        <v>0</v>
      </c>
      <c r="AQ298" s="470">
        <f>IF(Таблица5[[#This Row],[11]]=0,,MONTH(Таблица5[[#This Row],[11]]))</f>
        <v>11</v>
      </c>
    </row>
    <row r="299" spans="1:43" ht="39" thickBot="1" x14ac:dyDescent="0.3">
      <c r="A299" s="233" t="str">
        <f t="shared" si="4"/>
        <v>1004-2017-00284</v>
      </c>
      <c r="B299" s="233" t="str">
        <f>РПЗ!$D299</f>
        <v>1004-2017-00284Поставка Пироэлектрическая головка</v>
      </c>
      <c r="C299" s="233" t="str">
        <f>РПЗ!$AA299</f>
        <v>АО "НИИ "Полюс" им. М.Ф. Стельмаха" тел. отдела закупок 8-495-333-05-02</v>
      </c>
      <c r="D299" s="633" t="str">
        <f>РПЗ!$AB299</f>
        <v>Заказчик</v>
      </c>
      <c r="E299" s="96" t="s">
        <v>46</v>
      </c>
      <c r="F299" s="233" t="str">
        <f>РПЗ!Q299</f>
        <v>ОЗК</v>
      </c>
      <c r="G299" s="237"/>
      <c r="H299" s="237" t="str">
        <f>РПЗ!R299</f>
        <v>да</v>
      </c>
      <c r="I299" s="15">
        <f>РПЗ!W299</f>
        <v>0</v>
      </c>
      <c r="J299" s="233">
        <f>РПЗ!X299</f>
        <v>0</v>
      </c>
      <c r="K299" s="283">
        <f>РПЗ!Z299</f>
        <v>0</v>
      </c>
      <c r="L299" s="17"/>
      <c r="M299" s="18">
        <f>РПЗ!O299</f>
        <v>42736</v>
      </c>
      <c r="N299" s="238">
        <f>Таблица5[[#This Row],[10]]</f>
        <v>42736</v>
      </c>
      <c r="O299" s="17"/>
      <c r="P299" s="17"/>
      <c r="Q299" s="17"/>
      <c r="R299" s="17"/>
      <c r="S299" s="17"/>
      <c r="T299" s="686"/>
      <c r="U299" s="18">
        <f>РПЗ!P299</f>
        <v>42826</v>
      </c>
      <c r="V299" s="686"/>
      <c r="W299" s="236">
        <f>РПЗ!L299</f>
        <v>248400</v>
      </c>
      <c r="X299" s="689"/>
      <c r="Y299" s="689"/>
      <c r="Z299" s="690"/>
      <c r="AA299" s="691"/>
      <c r="AB299" s="111"/>
      <c r="AC299" s="17"/>
      <c r="AD299" s="690"/>
      <c r="AE299" s="686"/>
      <c r="AF299" s="474"/>
      <c r="AG299" s="692"/>
      <c r="AH299" s="236" t="str">
        <f>IF(Таблица5[[#This Row],[30]]=0,"НД",Таблица5[[#This Row],[20]]-Таблица5[[#This Row],[30]])</f>
        <v>НД</v>
      </c>
      <c r="AI299" s="511" t="str">
        <f>IF(((1-Таблица5[[#This Row],[30]]/Таблица5[[#This Row],[20]])=1),"НД",(1-Таблица5[[#This Row],[30]]/Таблица5[[#This Row],[20]]))</f>
        <v>НД</v>
      </c>
      <c r="AJ299" s="111"/>
      <c r="AK299" s="111"/>
      <c r="AL299" s="512"/>
      <c r="AM299" s="513"/>
      <c r="AN299" s="465"/>
      <c r="AO299" s="468" t="str">
        <f>РПЗ!AD299</f>
        <v>Нет</v>
      </c>
      <c r="AP299" s="472">
        <f>РПЗ!V299</f>
        <v>0</v>
      </c>
      <c r="AQ299" s="470">
        <f>IF(Таблица5[[#This Row],[11]]=0,,MONTH(Таблица5[[#This Row],[11]]))</f>
        <v>1</v>
      </c>
    </row>
    <row r="300" spans="1:43" ht="39" thickBot="1" x14ac:dyDescent="0.3">
      <c r="A300" s="233" t="str">
        <f t="shared" si="4"/>
        <v>1004-2017-00285</v>
      </c>
      <c r="B300" s="233" t="str">
        <f>РПЗ!$D300</f>
        <v>1004-2017-00285Поставка Комплект арматуры для трубопровода</v>
      </c>
      <c r="C300" s="233" t="str">
        <f>РПЗ!$AA300</f>
        <v>АО "НИИ "Полюс" им. М.Ф. Стельмаха" тел. отдела закупок 8-495-333-05-02</v>
      </c>
      <c r="D300" s="633" t="str">
        <f>РПЗ!$AB300</f>
        <v>Заказчик</v>
      </c>
      <c r="E300" s="96" t="s">
        <v>46</v>
      </c>
      <c r="F300" s="233" t="str">
        <f>РПЗ!Q300</f>
        <v>ОЗК</v>
      </c>
      <c r="G300" s="237"/>
      <c r="H300" s="237" t="str">
        <f>РПЗ!R300</f>
        <v>да</v>
      </c>
      <c r="I300" s="15">
        <f>РПЗ!W300</f>
        <v>0</v>
      </c>
      <c r="J300" s="233">
        <f>РПЗ!X300</f>
        <v>0</v>
      </c>
      <c r="K300" s="283">
        <f>РПЗ!Z300</f>
        <v>0</v>
      </c>
      <c r="L300" s="17"/>
      <c r="M300" s="18">
        <f>РПЗ!O300</f>
        <v>42767</v>
      </c>
      <c r="N300" s="238">
        <f>Таблица5[[#This Row],[10]]</f>
        <v>42767</v>
      </c>
      <c r="O300" s="17"/>
      <c r="P300" s="17"/>
      <c r="Q300" s="17"/>
      <c r="R300" s="17"/>
      <c r="S300" s="17"/>
      <c r="T300" s="686"/>
      <c r="U300" s="18">
        <f>РПЗ!P300</f>
        <v>43096</v>
      </c>
      <c r="V300" s="686"/>
      <c r="W300" s="236">
        <f>РПЗ!L300</f>
        <v>600000</v>
      </c>
      <c r="X300" s="689"/>
      <c r="Y300" s="689"/>
      <c r="Z300" s="690"/>
      <c r="AA300" s="691"/>
      <c r="AB300" s="111"/>
      <c r="AC300" s="17"/>
      <c r="AD300" s="690"/>
      <c r="AE300" s="686"/>
      <c r="AF300" s="474"/>
      <c r="AG300" s="692"/>
      <c r="AH300" s="236" t="str">
        <f>IF(Таблица5[[#This Row],[30]]=0,"НД",Таблица5[[#This Row],[20]]-Таблица5[[#This Row],[30]])</f>
        <v>НД</v>
      </c>
      <c r="AI300" s="511" t="str">
        <f>IF(((1-Таблица5[[#This Row],[30]]/Таблица5[[#This Row],[20]])=1),"НД",(1-Таблица5[[#This Row],[30]]/Таблица5[[#This Row],[20]]))</f>
        <v>НД</v>
      </c>
      <c r="AJ300" s="111"/>
      <c r="AK300" s="111"/>
      <c r="AL300" s="512"/>
      <c r="AM300" s="513"/>
      <c r="AN300" s="465"/>
      <c r="AO300" s="468" t="str">
        <f>РПЗ!AD300</f>
        <v>Нет</v>
      </c>
      <c r="AP300" s="472">
        <f>РПЗ!V300</f>
        <v>0</v>
      </c>
      <c r="AQ300" s="470">
        <f>IF(Таблица5[[#This Row],[11]]=0,,MONTH(Таблица5[[#This Row],[11]]))</f>
        <v>2</v>
      </c>
    </row>
    <row r="301" spans="1:43" ht="39" thickBot="1" x14ac:dyDescent="0.3">
      <c r="A301" s="233" t="str">
        <f t="shared" si="4"/>
        <v>1004-2017-00286</v>
      </c>
      <c r="B301" s="233" t="str">
        <f>РПЗ!$D301</f>
        <v>1004-2017-00286Поставка Комплект арматуры для трубопровода</v>
      </c>
      <c r="C301" s="233" t="str">
        <f>РПЗ!$AA301</f>
        <v>АО "НИИ "Полюс" им. М.Ф. Стельмаха" тел. отдела закупок 8-495-333-05-02</v>
      </c>
      <c r="D301" s="633" t="str">
        <f>РПЗ!$AB301</f>
        <v>Заказчик</v>
      </c>
      <c r="E301" s="96" t="s">
        <v>46</v>
      </c>
      <c r="F301" s="233" t="str">
        <f>РПЗ!Q301</f>
        <v>ОЗК</v>
      </c>
      <c r="G301" s="237"/>
      <c r="H301" s="237" t="str">
        <f>РПЗ!R301</f>
        <v>да</v>
      </c>
      <c r="I301" s="15">
        <f>РПЗ!W301</f>
        <v>0</v>
      </c>
      <c r="J301" s="233">
        <f>РПЗ!X301</f>
        <v>0</v>
      </c>
      <c r="K301" s="283">
        <f>РПЗ!Z301</f>
        <v>0</v>
      </c>
      <c r="L301" s="17"/>
      <c r="M301" s="18">
        <f>РПЗ!O301</f>
        <v>42826</v>
      </c>
      <c r="N301" s="238">
        <f>Таблица5[[#This Row],[10]]</f>
        <v>42826</v>
      </c>
      <c r="O301" s="17"/>
      <c r="P301" s="17"/>
      <c r="Q301" s="17"/>
      <c r="R301" s="17"/>
      <c r="S301" s="17"/>
      <c r="T301" s="686"/>
      <c r="U301" s="18">
        <f>РПЗ!P301</f>
        <v>43096</v>
      </c>
      <c r="V301" s="686"/>
      <c r="W301" s="236">
        <f>РПЗ!L301</f>
        <v>800000</v>
      </c>
      <c r="X301" s="689"/>
      <c r="Y301" s="689"/>
      <c r="Z301" s="690"/>
      <c r="AA301" s="691"/>
      <c r="AB301" s="111"/>
      <c r="AC301" s="17"/>
      <c r="AD301" s="690"/>
      <c r="AE301" s="686"/>
      <c r="AF301" s="474"/>
      <c r="AG301" s="692"/>
      <c r="AH301" s="236" t="str">
        <f>IF(Таблица5[[#This Row],[30]]=0,"НД",Таблица5[[#This Row],[20]]-Таблица5[[#This Row],[30]])</f>
        <v>НД</v>
      </c>
      <c r="AI301" s="511" t="str">
        <f>IF(((1-Таблица5[[#This Row],[30]]/Таблица5[[#This Row],[20]])=1),"НД",(1-Таблица5[[#This Row],[30]]/Таблица5[[#This Row],[20]]))</f>
        <v>НД</v>
      </c>
      <c r="AJ301" s="111"/>
      <c r="AK301" s="111"/>
      <c r="AL301" s="512"/>
      <c r="AM301" s="513"/>
      <c r="AN301" s="465"/>
      <c r="AO301" s="468" t="str">
        <f>РПЗ!AD301</f>
        <v>Нет</v>
      </c>
      <c r="AP301" s="472">
        <f>РПЗ!V301</f>
        <v>0</v>
      </c>
      <c r="AQ301" s="470">
        <f>IF(Таблица5[[#This Row],[11]]=0,,MONTH(Таблица5[[#This Row],[11]]))</f>
        <v>4</v>
      </c>
    </row>
    <row r="302" spans="1:43" ht="39" thickBot="1" x14ac:dyDescent="0.3">
      <c r="A302" s="233" t="str">
        <f t="shared" si="4"/>
        <v>1004-2017-00287</v>
      </c>
      <c r="B302" s="233" t="str">
        <f>РПЗ!$D302</f>
        <v>1004-2017-00287Поставка Комплект труб и фитингов для канализации</v>
      </c>
      <c r="C302" s="233" t="str">
        <f>РПЗ!$AA302</f>
        <v>АО "НИИ "Полюс" им. М.Ф. Стельмаха" тел. отдела закупок 8-495-333-05-02</v>
      </c>
      <c r="D302" s="633" t="str">
        <f>РПЗ!$AB302</f>
        <v>Заказчик</v>
      </c>
      <c r="E302" s="96" t="s">
        <v>46</v>
      </c>
      <c r="F302" s="233" t="str">
        <f>РПЗ!Q302</f>
        <v>ОЗК</v>
      </c>
      <c r="G302" s="237"/>
      <c r="H302" s="237" t="str">
        <f>РПЗ!R302</f>
        <v>да</v>
      </c>
      <c r="I302" s="15">
        <f>РПЗ!W302</f>
        <v>0</v>
      </c>
      <c r="J302" s="233">
        <f>РПЗ!X302</f>
        <v>0</v>
      </c>
      <c r="K302" s="283">
        <f>РПЗ!Z302</f>
        <v>0</v>
      </c>
      <c r="L302" s="17"/>
      <c r="M302" s="18">
        <f>РПЗ!O302</f>
        <v>42767</v>
      </c>
      <c r="N302" s="238">
        <f>Таблица5[[#This Row],[10]]</f>
        <v>42767</v>
      </c>
      <c r="O302" s="17"/>
      <c r="P302" s="17"/>
      <c r="Q302" s="17"/>
      <c r="R302" s="17"/>
      <c r="S302" s="17"/>
      <c r="T302" s="686"/>
      <c r="U302" s="18">
        <f>РПЗ!P302</f>
        <v>43096</v>
      </c>
      <c r="V302" s="686"/>
      <c r="W302" s="236">
        <f>РПЗ!L302</f>
        <v>1228500</v>
      </c>
      <c r="X302" s="689"/>
      <c r="Y302" s="689"/>
      <c r="Z302" s="690"/>
      <c r="AA302" s="691"/>
      <c r="AB302" s="111"/>
      <c r="AC302" s="17"/>
      <c r="AD302" s="690"/>
      <c r="AE302" s="686"/>
      <c r="AF302" s="474"/>
      <c r="AG302" s="692"/>
      <c r="AH302" s="236" t="str">
        <f>IF(Таблица5[[#This Row],[30]]=0,"НД",Таблица5[[#This Row],[20]]-Таблица5[[#This Row],[30]])</f>
        <v>НД</v>
      </c>
      <c r="AI302" s="511" t="str">
        <f>IF(((1-Таблица5[[#This Row],[30]]/Таблица5[[#This Row],[20]])=1),"НД",(1-Таблица5[[#This Row],[30]]/Таблица5[[#This Row],[20]]))</f>
        <v>НД</v>
      </c>
      <c r="AJ302" s="111"/>
      <c r="AK302" s="111"/>
      <c r="AL302" s="512"/>
      <c r="AM302" s="513"/>
      <c r="AN302" s="465"/>
      <c r="AO302" s="468" t="str">
        <f>РПЗ!AD302</f>
        <v>Нет</v>
      </c>
      <c r="AP302" s="472">
        <f>РПЗ!V302</f>
        <v>0</v>
      </c>
      <c r="AQ302" s="470">
        <f>IF(Таблица5[[#This Row],[11]]=0,,MONTH(Таблица5[[#This Row],[11]]))</f>
        <v>2</v>
      </c>
    </row>
    <row r="303" spans="1:43" ht="39" thickBot="1" x14ac:dyDescent="0.3">
      <c r="A303" s="233" t="str">
        <f t="shared" si="4"/>
        <v>1004-2017-00288</v>
      </c>
      <c r="B303" s="233" t="str">
        <f>РПЗ!$D303</f>
        <v>1004-2017-00288Поставка Комплект автомобильных шин</v>
      </c>
      <c r="C303" s="233" t="str">
        <f>РПЗ!$AA303</f>
        <v>АО "НИИ "Полюс" им. М.Ф. Стельмаха" тел. отдела закупок 8-495-333-05-02</v>
      </c>
      <c r="D303" s="633" t="str">
        <f>РПЗ!$AB303</f>
        <v>Заказчик</v>
      </c>
      <c r="E303" s="96" t="s">
        <v>46</v>
      </c>
      <c r="F303" s="233" t="str">
        <f>РПЗ!Q303</f>
        <v>ОЗК</v>
      </c>
      <c r="G303" s="237"/>
      <c r="H303" s="237" t="str">
        <f>РПЗ!R303</f>
        <v>да</v>
      </c>
      <c r="I303" s="15">
        <f>РПЗ!W303</f>
        <v>0</v>
      </c>
      <c r="J303" s="233">
        <f>РПЗ!X303</f>
        <v>0</v>
      </c>
      <c r="K303" s="283">
        <f>РПЗ!Z303</f>
        <v>0</v>
      </c>
      <c r="L303" s="17"/>
      <c r="M303" s="18">
        <f>РПЗ!O303</f>
        <v>42767</v>
      </c>
      <c r="N303" s="238">
        <f>Таблица5[[#This Row],[10]]</f>
        <v>42767</v>
      </c>
      <c r="O303" s="17"/>
      <c r="P303" s="17"/>
      <c r="Q303" s="17"/>
      <c r="R303" s="17"/>
      <c r="S303" s="17"/>
      <c r="T303" s="686"/>
      <c r="U303" s="18">
        <f>РПЗ!P303</f>
        <v>43096</v>
      </c>
      <c r="V303" s="686"/>
      <c r="W303" s="236">
        <f>РПЗ!L303</f>
        <v>220000</v>
      </c>
      <c r="X303" s="689"/>
      <c r="Y303" s="689"/>
      <c r="Z303" s="690"/>
      <c r="AA303" s="691"/>
      <c r="AB303" s="111"/>
      <c r="AC303" s="17"/>
      <c r="AD303" s="690"/>
      <c r="AE303" s="686"/>
      <c r="AF303" s="474"/>
      <c r="AG303" s="692"/>
      <c r="AH303" s="236" t="str">
        <f>IF(Таблица5[[#This Row],[30]]=0,"НД",Таблица5[[#This Row],[20]]-Таблица5[[#This Row],[30]])</f>
        <v>НД</v>
      </c>
      <c r="AI303" s="511" t="str">
        <f>IF(((1-Таблица5[[#This Row],[30]]/Таблица5[[#This Row],[20]])=1),"НД",(1-Таблица5[[#This Row],[30]]/Таблица5[[#This Row],[20]]))</f>
        <v>НД</v>
      </c>
      <c r="AJ303" s="111"/>
      <c r="AK303" s="111"/>
      <c r="AL303" s="512"/>
      <c r="AM303" s="513"/>
      <c r="AN303" s="465"/>
      <c r="AO303" s="468" t="str">
        <f>РПЗ!AD303</f>
        <v>Нет</v>
      </c>
      <c r="AP303" s="472">
        <f>РПЗ!V303</f>
        <v>0</v>
      </c>
      <c r="AQ303" s="470">
        <f>IF(Таблица5[[#This Row],[11]]=0,,MONTH(Таблица5[[#This Row],[11]]))</f>
        <v>2</v>
      </c>
    </row>
    <row r="304" spans="1:43" ht="39" thickBot="1" x14ac:dyDescent="0.3">
      <c r="A304" s="233" t="str">
        <f t="shared" si="4"/>
        <v>1004-2017-00289</v>
      </c>
      <c r="B304" s="233" t="str">
        <f>РПЗ!$D304</f>
        <v>1004-2017-00289Поставка Комплект автомобильных шин</v>
      </c>
      <c r="C304" s="233" t="str">
        <f>РПЗ!$AA304</f>
        <v>АО "НИИ "Полюс" им. М.Ф. Стельмаха" тел. отдела закупок 8-495-333-05-02</v>
      </c>
      <c r="D304" s="633" t="str">
        <f>РПЗ!$AB304</f>
        <v>Заказчик</v>
      </c>
      <c r="E304" s="96" t="s">
        <v>46</v>
      </c>
      <c r="F304" s="233" t="str">
        <f>РПЗ!Q304</f>
        <v>ОЗК</v>
      </c>
      <c r="G304" s="237"/>
      <c r="H304" s="237" t="str">
        <f>РПЗ!R304</f>
        <v>да</v>
      </c>
      <c r="I304" s="15">
        <f>РПЗ!W304</f>
        <v>0</v>
      </c>
      <c r="J304" s="233">
        <f>РПЗ!X304</f>
        <v>0</v>
      </c>
      <c r="K304" s="283">
        <f>РПЗ!Z304</f>
        <v>0</v>
      </c>
      <c r="L304" s="17"/>
      <c r="M304" s="18">
        <f>РПЗ!O304</f>
        <v>42917</v>
      </c>
      <c r="N304" s="238">
        <f>Таблица5[[#This Row],[10]]</f>
        <v>42917</v>
      </c>
      <c r="O304" s="17"/>
      <c r="P304" s="17"/>
      <c r="Q304" s="17"/>
      <c r="R304" s="17"/>
      <c r="S304" s="17"/>
      <c r="T304" s="686"/>
      <c r="U304" s="18">
        <f>РПЗ!P304</f>
        <v>43096</v>
      </c>
      <c r="V304" s="686"/>
      <c r="W304" s="236">
        <f>РПЗ!L304</f>
        <v>220000</v>
      </c>
      <c r="X304" s="689"/>
      <c r="Y304" s="689"/>
      <c r="Z304" s="690"/>
      <c r="AA304" s="691"/>
      <c r="AB304" s="111"/>
      <c r="AC304" s="17"/>
      <c r="AD304" s="690"/>
      <c r="AE304" s="686"/>
      <c r="AF304" s="474"/>
      <c r="AG304" s="692"/>
      <c r="AH304" s="236" t="str">
        <f>IF(Таблица5[[#This Row],[30]]=0,"НД",Таблица5[[#This Row],[20]]-Таблица5[[#This Row],[30]])</f>
        <v>НД</v>
      </c>
      <c r="AI304" s="511" t="str">
        <f>IF(((1-Таблица5[[#This Row],[30]]/Таблица5[[#This Row],[20]])=1),"НД",(1-Таблица5[[#This Row],[30]]/Таблица5[[#This Row],[20]]))</f>
        <v>НД</v>
      </c>
      <c r="AJ304" s="111"/>
      <c r="AK304" s="111"/>
      <c r="AL304" s="512"/>
      <c r="AM304" s="513"/>
      <c r="AN304" s="465"/>
      <c r="AO304" s="468" t="str">
        <f>РПЗ!AD304</f>
        <v>Нет</v>
      </c>
      <c r="AP304" s="472">
        <f>РПЗ!V304</f>
        <v>0</v>
      </c>
      <c r="AQ304" s="470">
        <f>IF(Таблица5[[#This Row],[11]]=0,,MONTH(Таблица5[[#This Row],[11]]))</f>
        <v>7</v>
      </c>
    </row>
    <row r="305" spans="1:43" ht="39" thickBot="1" x14ac:dyDescent="0.3">
      <c r="A305" s="233" t="str">
        <f t="shared" si="4"/>
        <v>1004-2017-00290</v>
      </c>
      <c r="B305" s="233" t="str">
        <f>РПЗ!$D305</f>
        <v>1004-2017-00290Поставка Комплект прокладочного материала</v>
      </c>
      <c r="C305" s="233" t="str">
        <f>РПЗ!$AA305</f>
        <v>АО "НИИ "Полюс" им. М.Ф. Стельмаха" тел. отдела закупок 8-495-333-05-02</v>
      </c>
      <c r="D305" s="633" t="str">
        <f>РПЗ!$AB305</f>
        <v>Заказчик</v>
      </c>
      <c r="E305" s="96" t="s">
        <v>46</v>
      </c>
      <c r="F305" s="233" t="str">
        <f>РПЗ!Q305</f>
        <v>ОЗК</v>
      </c>
      <c r="G305" s="237"/>
      <c r="H305" s="237" t="str">
        <f>РПЗ!R305</f>
        <v>да</v>
      </c>
      <c r="I305" s="15">
        <f>РПЗ!W305</f>
        <v>0</v>
      </c>
      <c r="J305" s="233">
        <f>РПЗ!X305</f>
        <v>0</v>
      </c>
      <c r="K305" s="283">
        <f>РПЗ!Z305</f>
        <v>0</v>
      </c>
      <c r="L305" s="17"/>
      <c r="M305" s="18">
        <f>РПЗ!O305</f>
        <v>42767</v>
      </c>
      <c r="N305" s="238">
        <f>Таблица5[[#This Row],[10]]</f>
        <v>42767</v>
      </c>
      <c r="O305" s="17"/>
      <c r="P305" s="17"/>
      <c r="Q305" s="17"/>
      <c r="R305" s="17"/>
      <c r="S305" s="17"/>
      <c r="T305" s="686"/>
      <c r="U305" s="18">
        <f>РПЗ!P305</f>
        <v>43096</v>
      </c>
      <c r="V305" s="686"/>
      <c r="W305" s="236">
        <f>РПЗ!L305</f>
        <v>300000</v>
      </c>
      <c r="X305" s="689"/>
      <c r="Y305" s="689"/>
      <c r="Z305" s="690"/>
      <c r="AA305" s="691"/>
      <c r="AB305" s="111"/>
      <c r="AC305" s="17"/>
      <c r="AD305" s="690"/>
      <c r="AE305" s="686"/>
      <c r="AF305" s="474"/>
      <c r="AG305" s="692"/>
      <c r="AH305" s="236" t="str">
        <f>IF(Таблица5[[#This Row],[30]]=0,"НД",Таблица5[[#This Row],[20]]-Таблица5[[#This Row],[30]])</f>
        <v>НД</v>
      </c>
      <c r="AI305" s="511" t="str">
        <f>IF(((1-Таблица5[[#This Row],[30]]/Таблица5[[#This Row],[20]])=1),"НД",(1-Таблица5[[#This Row],[30]]/Таблица5[[#This Row],[20]]))</f>
        <v>НД</v>
      </c>
      <c r="AJ305" s="111"/>
      <c r="AK305" s="111"/>
      <c r="AL305" s="512"/>
      <c r="AM305" s="513"/>
      <c r="AN305" s="465"/>
      <c r="AO305" s="468" t="str">
        <f>РПЗ!AD305</f>
        <v>Нет</v>
      </c>
      <c r="AP305" s="472">
        <f>РПЗ!V305</f>
        <v>0</v>
      </c>
      <c r="AQ305" s="470">
        <f>IF(Таблица5[[#This Row],[11]]=0,,MONTH(Таблица5[[#This Row],[11]]))</f>
        <v>2</v>
      </c>
    </row>
    <row r="306" spans="1:43" ht="39" thickBot="1" x14ac:dyDescent="0.3">
      <c r="A306" s="233" t="str">
        <f t="shared" si="4"/>
        <v>1004-2017-00291</v>
      </c>
      <c r="B306" s="233" t="str">
        <f>РПЗ!$D306</f>
        <v>1004-2017-00291Поставка Комплект подвесного потолка</v>
      </c>
      <c r="C306" s="233" t="str">
        <f>РПЗ!$AA306</f>
        <v>АО "НИИ "Полюс" им. М.Ф. Стельмаха" тел. отдела закупок 8-495-333-05-02</v>
      </c>
      <c r="D306" s="633" t="str">
        <f>РПЗ!$AB306</f>
        <v>Заказчик</v>
      </c>
      <c r="E306" s="96" t="s">
        <v>46</v>
      </c>
      <c r="F306" s="233" t="str">
        <f>РПЗ!Q306</f>
        <v>ОЗК</v>
      </c>
      <c r="G306" s="237"/>
      <c r="H306" s="237" t="str">
        <f>РПЗ!R306</f>
        <v>да</v>
      </c>
      <c r="I306" s="15">
        <f>РПЗ!W306</f>
        <v>0</v>
      </c>
      <c r="J306" s="233">
        <f>РПЗ!X306</f>
        <v>0</v>
      </c>
      <c r="K306" s="283">
        <f>РПЗ!Z306</f>
        <v>0</v>
      </c>
      <c r="L306" s="17"/>
      <c r="M306" s="18">
        <f>РПЗ!O306</f>
        <v>42767</v>
      </c>
      <c r="N306" s="238">
        <f>Таблица5[[#This Row],[10]]</f>
        <v>42767</v>
      </c>
      <c r="O306" s="17"/>
      <c r="P306" s="17"/>
      <c r="Q306" s="17"/>
      <c r="R306" s="17"/>
      <c r="S306" s="17"/>
      <c r="T306" s="686"/>
      <c r="U306" s="18">
        <f>РПЗ!P306</f>
        <v>43096</v>
      </c>
      <c r="V306" s="686"/>
      <c r="W306" s="236">
        <f>РПЗ!L306</f>
        <v>300000</v>
      </c>
      <c r="X306" s="689"/>
      <c r="Y306" s="689"/>
      <c r="Z306" s="690"/>
      <c r="AA306" s="691"/>
      <c r="AB306" s="111"/>
      <c r="AC306" s="17"/>
      <c r="AD306" s="690"/>
      <c r="AE306" s="686"/>
      <c r="AF306" s="474"/>
      <c r="AG306" s="692"/>
      <c r="AH306" s="236" t="str">
        <f>IF(Таблица5[[#This Row],[30]]=0,"НД",Таблица5[[#This Row],[20]]-Таблица5[[#This Row],[30]])</f>
        <v>НД</v>
      </c>
      <c r="AI306" s="511" t="str">
        <f>IF(((1-Таблица5[[#This Row],[30]]/Таблица5[[#This Row],[20]])=1),"НД",(1-Таблица5[[#This Row],[30]]/Таблица5[[#This Row],[20]]))</f>
        <v>НД</v>
      </c>
      <c r="AJ306" s="111"/>
      <c r="AK306" s="111"/>
      <c r="AL306" s="512"/>
      <c r="AM306" s="513"/>
      <c r="AN306" s="465"/>
      <c r="AO306" s="468" t="str">
        <f>РПЗ!AD306</f>
        <v>Нет</v>
      </c>
      <c r="AP306" s="472">
        <f>РПЗ!V306</f>
        <v>0</v>
      </c>
      <c r="AQ306" s="470">
        <f>IF(Таблица5[[#This Row],[11]]=0,,MONTH(Таблица5[[#This Row],[11]]))</f>
        <v>2</v>
      </c>
    </row>
    <row r="307" spans="1:43" ht="39" thickBot="1" x14ac:dyDescent="0.3">
      <c r="A307" s="233" t="str">
        <f t="shared" ref="A307:A370" si="5">INDEX(Диапазон1,ROW(), COLUMN())</f>
        <v>1004-2017-00292</v>
      </c>
      <c r="B307" s="233" t="str">
        <f>РПЗ!$D307</f>
        <v>1004-2017-00292Поставка Комплект дверей</v>
      </c>
      <c r="C307" s="233" t="str">
        <f>РПЗ!$AA307</f>
        <v>АО "НИИ "Полюс" им. М.Ф. Стельмаха" тел. отдела закупок 8-495-333-05-02</v>
      </c>
      <c r="D307" s="633" t="str">
        <f>РПЗ!$AB307</f>
        <v>Заказчик</v>
      </c>
      <c r="E307" s="96" t="s">
        <v>46</v>
      </c>
      <c r="F307" s="233" t="str">
        <f>РПЗ!Q307</f>
        <v>ОЗК</v>
      </c>
      <c r="G307" s="237"/>
      <c r="H307" s="237" t="str">
        <f>РПЗ!R307</f>
        <v>да</v>
      </c>
      <c r="I307" s="15">
        <f>РПЗ!W307</f>
        <v>0</v>
      </c>
      <c r="J307" s="233">
        <f>РПЗ!X307</f>
        <v>0</v>
      </c>
      <c r="K307" s="283">
        <f>РПЗ!Z307</f>
        <v>0</v>
      </c>
      <c r="L307" s="17"/>
      <c r="M307" s="18">
        <f>РПЗ!O307</f>
        <v>42767</v>
      </c>
      <c r="N307" s="238">
        <f>Таблица5[[#This Row],[10]]</f>
        <v>42767</v>
      </c>
      <c r="O307" s="17"/>
      <c r="P307" s="17"/>
      <c r="Q307" s="17"/>
      <c r="R307" s="17"/>
      <c r="S307" s="17"/>
      <c r="T307" s="686"/>
      <c r="U307" s="18">
        <f>РПЗ!P307</f>
        <v>43096</v>
      </c>
      <c r="V307" s="686"/>
      <c r="W307" s="236">
        <f>РПЗ!L307</f>
        <v>300000</v>
      </c>
      <c r="X307" s="689"/>
      <c r="Y307" s="689"/>
      <c r="Z307" s="690"/>
      <c r="AA307" s="691"/>
      <c r="AB307" s="111"/>
      <c r="AC307" s="17"/>
      <c r="AD307" s="690"/>
      <c r="AE307" s="686"/>
      <c r="AF307" s="474"/>
      <c r="AG307" s="692"/>
      <c r="AH307" s="236" t="str">
        <f>IF(Таблица5[[#This Row],[30]]=0,"НД",Таблица5[[#This Row],[20]]-Таблица5[[#This Row],[30]])</f>
        <v>НД</v>
      </c>
      <c r="AI307" s="511" t="str">
        <f>IF(((1-Таблица5[[#This Row],[30]]/Таблица5[[#This Row],[20]])=1),"НД",(1-Таблица5[[#This Row],[30]]/Таблица5[[#This Row],[20]]))</f>
        <v>НД</v>
      </c>
      <c r="AJ307" s="111"/>
      <c r="AK307" s="111"/>
      <c r="AL307" s="512"/>
      <c r="AM307" s="513"/>
      <c r="AN307" s="465"/>
      <c r="AO307" s="468" t="str">
        <f>РПЗ!AD307</f>
        <v>Нет</v>
      </c>
      <c r="AP307" s="472">
        <f>РПЗ!V307</f>
        <v>0</v>
      </c>
      <c r="AQ307" s="470">
        <f>IF(Таблица5[[#This Row],[11]]=0,,MONTH(Таблица5[[#This Row],[11]]))</f>
        <v>2</v>
      </c>
    </row>
    <row r="308" spans="1:43" ht="39" thickBot="1" x14ac:dyDescent="0.3">
      <c r="A308" s="233" t="str">
        <f t="shared" si="5"/>
        <v>1004-2017-00293</v>
      </c>
      <c r="B308" s="233" t="str">
        <f>РПЗ!$D308</f>
        <v xml:space="preserve">1004-2017-00293Поставка Комплект замков, дверных ручек и комплектующих </v>
      </c>
      <c r="C308" s="233" t="str">
        <f>РПЗ!$AA308</f>
        <v>АО "НИИ "Полюс" им. М.Ф. Стельмаха" тел. отдела закупок 8-495-333-05-02</v>
      </c>
      <c r="D308" s="633" t="str">
        <f>РПЗ!$AB308</f>
        <v>Заказчик</v>
      </c>
      <c r="E308" s="96" t="s">
        <v>46</v>
      </c>
      <c r="F308" s="233" t="str">
        <f>РПЗ!Q308</f>
        <v>ОЗК</v>
      </c>
      <c r="G308" s="237"/>
      <c r="H308" s="237" t="str">
        <f>РПЗ!R308</f>
        <v>да</v>
      </c>
      <c r="I308" s="15">
        <f>РПЗ!W308</f>
        <v>0</v>
      </c>
      <c r="J308" s="233">
        <f>РПЗ!X308</f>
        <v>0</v>
      </c>
      <c r="K308" s="283">
        <f>РПЗ!Z308</f>
        <v>0</v>
      </c>
      <c r="L308" s="17"/>
      <c r="M308" s="18">
        <f>РПЗ!O308</f>
        <v>42767</v>
      </c>
      <c r="N308" s="238">
        <f>Таблица5[[#This Row],[10]]</f>
        <v>42767</v>
      </c>
      <c r="O308" s="17"/>
      <c r="P308" s="17"/>
      <c r="Q308" s="17"/>
      <c r="R308" s="17"/>
      <c r="S308" s="17"/>
      <c r="T308" s="686"/>
      <c r="U308" s="18">
        <f>РПЗ!P308</f>
        <v>43096</v>
      </c>
      <c r="V308" s="686"/>
      <c r="W308" s="236">
        <f>РПЗ!L308</f>
        <v>250000</v>
      </c>
      <c r="X308" s="689"/>
      <c r="Y308" s="689"/>
      <c r="Z308" s="690"/>
      <c r="AA308" s="691"/>
      <c r="AB308" s="111"/>
      <c r="AC308" s="17"/>
      <c r="AD308" s="690"/>
      <c r="AE308" s="686"/>
      <c r="AF308" s="474"/>
      <c r="AG308" s="692"/>
      <c r="AH308" s="236" t="str">
        <f>IF(Таблица5[[#This Row],[30]]=0,"НД",Таблица5[[#This Row],[20]]-Таблица5[[#This Row],[30]])</f>
        <v>НД</v>
      </c>
      <c r="AI308" s="511" t="str">
        <f>IF(((1-Таблица5[[#This Row],[30]]/Таблица5[[#This Row],[20]])=1),"НД",(1-Таблица5[[#This Row],[30]]/Таблица5[[#This Row],[20]]))</f>
        <v>НД</v>
      </c>
      <c r="AJ308" s="111"/>
      <c r="AK308" s="111"/>
      <c r="AL308" s="512"/>
      <c r="AM308" s="513"/>
      <c r="AN308" s="465"/>
      <c r="AO308" s="468" t="str">
        <f>РПЗ!AD308</f>
        <v>Нет</v>
      </c>
      <c r="AP308" s="472">
        <f>РПЗ!V308</f>
        <v>0</v>
      </c>
      <c r="AQ308" s="470">
        <f>IF(Таблица5[[#This Row],[11]]=0,,MONTH(Таблица5[[#This Row],[11]]))</f>
        <v>2</v>
      </c>
    </row>
    <row r="309" spans="1:43" ht="39" thickBot="1" x14ac:dyDescent="0.3">
      <c r="A309" s="233" t="str">
        <f t="shared" si="5"/>
        <v>1004-2017-00294</v>
      </c>
      <c r="B309" s="233" t="str">
        <f>РПЗ!$D309</f>
        <v>1004-2017-00294Поставка Комплект для монтажа телекоммуникационных сетей</v>
      </c>
      <c r="C309" s="233" t="str">
        <f>РПЗ!$AA309</f>
        <v>АО "НИИ "Полюс" им. М.Ф. Стельмаха" тел. отдела закупок 8-495-333-05-02</v>
      </c>
      <c r="D309" s="633" t="str">
        <f>РПЗ!$AB309</f>
        <v>Заказчик</v>
      </c>
      <c r="E309" s="96" t="s">
        <v>46</v>
      </c>
      <c r="F309" s="233" t="str">
        <f>РПЗ!Q309</f>
        <v>ОЗК</v>
      </c>
      <c r="G309" s="237"/>
      <c r="H309" s="237" t="str">
        <f>РПЗ!R309</f>
        <v>да</v>
      </c>
      <c r="I309" s="15">
        <f>РПЗ!W309</f>
        <v>0</v>
      </c>
      <c r="J309" s="233">
        <f>РПЗ!X309</f>
        <v>0</v>
      </c>
      <c r="K309" s="283">
        <f>РПЗ!Z309</f>
        <v>0</v>
      </c>
      <c r="L309" s="17"/>
      <c r="M309" s="18">
        <f>РПЗ!O309</f>
        <v>42767</v>
      </c>
      <c r="N309" s="238">
        <f>Таблица5[[#This Row],[10]]</f>
        <v>42767</v>
      </c>
      <c r="O309" s="17"/>
      <c r="P309" s="17"/>
      <c r="Q309" s="17"/>
      <c r="R309" s="17"/>
      <c r="S309" s="17"/>
      <c r="T309" s="686"/>
      <c r="U309" s="18">
        <f>РПЗ!P309</f>
        <v>43096</v>
      </c>
      <c r="V309" s="686"/>
      <c r="W309" s="236">
        <f>РПЗ!L309</f>
        <v>400000</v>
      </c>
      <c r="X309" s="689"/>
      <c r="Y309" s="689"/>
      <c r="Z309" s="690"/>
      <c r="AA309" s="691"/>
      <c r="AB309" s="111"/>
      <c r="AC309" s="17"/>
      <c r="AD309" s="690"/>
      <c r="AE309" s="686"/>
      <c r="AF309" s="474"/>
      <c r="AG309" s="692"/>
      <c r="AH309" s="236" t="str">
        <f>IF(Таблица5[[#This Row],[30]]=0,"НД",Таблица5[[#This Row],[20]]-Таблица5[[#This Row],[30]])</f>
        <v>НД</v>
      </c>
      <c r="AI309" s="511" t="str">
        <f>IF(((1-Таблица5[[#This Row],[30]]/Таблица5[[#This Row],[20]])=1),"НД",(1-Таблица5[[#This Row],[30]]/Таблица5[[#This Row],[20]]))</f>
        <v>НД</v>
      </c>
      <c r="AJ309" s="111"/>
      <c r="AK309" s="111"/>
      <c r="AL309" s="512"/>
      <c r="AM309" s="513"/>
      <c r="AN309" s="465"/>
      <c r="AO309" s="468" t="str">
        <f>РПЗ!AD309</f>
        <v>Нет</v>
      </c>
      <c r="AP309" s="472">
        <f>РПЗ!V309</f>
        <v>0</v>
      </c>
      <c r="AQ309" s="470">
        <f>IF(Таблица5[[#This Row],[11]]=0,,MONTH(Таблица5[[#This Row],[11]]))</f>
        <v>2</v>
      </c>
    </row>
    <row r="310" spans="1:43" ht="39" thickBot="1" x14ac:dyDescent="0.3">
      <c r="A310" s="233" t="str">
        <f t="shared" si="5"/>
        <v>1004-2017-00295</v>
      </c>
      <c r="B310" s="233" t="str">
        <f>РПЗ!$D310</f>
        <v>1004-2017-00295Поставка Комплект кабелей</v>
      </c>
      <c r="C310" s="233" t="str">
        <f>РПЗ!$AA310</f>
        <v>АО "НИИ "Полюс" им. М.Ф. Стельмаха" тел. отдела закупок 8-495-333-05-02</v>
      </c>
      <c r="D310" s="633" t="str">
        <f>РПЗ!$AB310</f>
        <v>Заказчик</v>
      </c>
      <c r="E310" s="96" t="s">
        <v>46</v>
      </c>
      <c r="F310" s="233" t="str">
        <f>РПЗ!Q310</f>
        <v>ОЗК</v>
      </c>
      <c r="G310" s="237"/>
      <c r="H310" s="237" t="str">
        <f>РПЗ!R310</f>
        <v>да</v>
      </c>
      <c r="I310" s="15">
        <f>РПЗ!W310</f>
        <v>0</v>
      </c>
      <c r="J310" s="233">
        <f>РПЗ!X310</f>
        <v>0</v>
      </c>
      <c r="K310" s="283">
        <f>РПЗ!Z310</f>
        <v>0</v>
      </c>
      <c r="L310" s="17"/>
      <c r="M310" s="18">
        <f>РПЗ!O310</f>
        <v>42767</v>
      </c>
      <c r="N310" s="238">
        <f>Таблица5[[#This Row],[10]]</f>
        <v>42767</v>
      </c>
      <c r="O310" s="17"/>
      <c r="P310" s="17"/>
      <c r="Q310" s="17"/>
      <c r="R310" s="17"/>
      <c r="S310" s="17"/>
      <c r="T310" s="686"/>
      <c r="U310" s="18">
        <f>РПЗ!P310</f>
        <v>43096</v>
      </c>
      <c r="V310" s="686"/>
      <c r="W310" s="236">
        <f>РПЗ!L310</f>
        <v>1000000</v>
      </c>
      <c r="X310" s="689"/>
      <c r="Y310" s="689"/>
      <c r="Z310" s="690"/>
      <c r="AA310" s="691"/>
      <c r="AB310" s="111"/>
      <c r="AC310" s="17"/>
      <c r="AD310" s="690"/>
      <c r="AE310" s="686"/>
      <c r="AF310" s="474"/>
      <c r="AG310" s="692"/>
      <c r="AH310" s="236" t="str">
        <f>IF(Таблица5[[#This Row],[30]]=0,"НД",Таблица5[[#This Row],[20]]-Таблица5[[#This Row],[30]])</f>
        <v>НД</v>
      </c>
      <c r="AI310" s="511" t="str">
        <f>IF(((1-Таблица5[[#This Row],[30]]/Таблица5[[#This Row],[20]])=1),"НД",(1-Таблица5[[#This Row],[30]]/Таблица5[[#This Row],[20]]))</f>
        <v>НД</v>
      </c>
      <c r="AJ310" s="111"/>
      <c r="AK310" s="111"/>
      <c r="AL310" s="512"/>
      <c r="AM310" s="513"/>
      <c r="AN310" s="465"/>
      <c r="AO310" s="468" t="str">
        <f>РПЗ!AD310</f>
        <v>Нет</v>
      </c>
      <c r="AP310" s="472">
        <f>РПЗ!V310</f>
        <v>0</v>
      </c>
      <c r="AQ310" s="470">
        <f>IF(Таблица5[[#This Row],[11]]=0,,MONTH(Таблица5[[#This Row],[11]]))</f>
        <v>2</v>
      </c>
    </row>
    <row r="311" spans="1:43" ht="39" thickBot="1" x14ac:dyDescent="0.3">
      <c r="A311" s="233" t="str">
        <f t="shared" si="5"/>
        <v>1004-2017-00296</v>
      </c>
      <c r="B311" s="233" t="str">
        <f>РПЗ!$D311</f>
        <v>1004-2017-00296Поставка Комплект дверных доводчиков</v>
      </c>
      <c r="C311" s="233" t="str">
        <f>РПЗ!$AA311</f>
        <v>АО "НИИ "Полюс" им. М.Ф. Стельмаха" тел. отдела закупок 8-495-333-05-02</v>
      </c>
      <c r="D311" s="633" t="str">
        <f>РПЗ!$AB311</f>
        <v>Заказчик</v>
      </c>
      <c r="E311" s="96" t="s">
        <v>46</v>
      </c>
      <c r="F311" s="233" t="str">
        <f>РПЗ!Q311</f>
        <v>ОЗК</v>
      </c>
      <c r="G311" s="237"/>
      <c r="H311" s="237" t="str">
        <f>РПЗ!R311</f>
        <v>да</v>
      </c>
      <c r="I311" s="15">
        <f>РПЗ!W311</f>
        <v>0</v>
      </c>
      <c r="J311" s="233">
        <f>РПЗ!X311</f>
        <v>0</v>
      </c>
      <c r="K311" s="283">
        <f>РПЗ!Z311</f>
        <v>0</v>
      </c>
      <c r="L311" s="17"/>
      <c r="M311" s="18">
        <f>РПЗ!O311</f>
        <v>42767</v>
      </c>
      <c r="N311" s="238">
        <f>Таблица5[[#This Row],[10]]</f>
        <v>42767</v>
      </c>
      <c r="O311" s="17"/>
      <c r="P311" s="17"/>
      <c r="Q311" s="17"/>
      <c r="R311" s="17"/>
      <c r="S311" s="17"/>
      <c r="T311" s="686"/>
      <c r="U311" s="18">
        <f>РПЗ!P311</f>
        <v>43096</v>
      </c>
      <c r="V311" s="686"/>
      <c r="W311" s="236">
        <f>РПЗ!L311</f>
        <v>200000</v>
      </c>
      <c r="X311" s="689"/>
      <c r="Y311" s="689"/>
      <c r="Z311" s="690"/>
      <c r="AA311" s="691"/>
      <c r="AB311" s="111"/>
      <c r="AC311" s="17"/>
      <c r="AD311" s="690"/>
      <c r="AE311" s="686"/>
      <c r="AF311" s="474"/>
      <c r="AG311" s="692"/>
      <c r="AH311" s="236" t="str">
        <f>IF(Таблица5[[#This Row],[30]]=0,"НД",Таблица5[[#This Row],[20]]-Таблица5[[#This Row],[30]])</f>
        <v>НД</v>
      </c>
      <c r="AI311" s="511" t="str">
        <f>IF(((1-Таблица5[[#This Row],[30]]/Таблица5[[#This Row],[20]])=1),"НД",(1-Таблица5[[#This Row],[30]]/Таблица5[[#This Row],[20]]))</f>
        <v>НД</v>
      </c>
      <c r="AJ311" s="111"/>
      <c r="AK311" s="111"/>
      <c r="AL311" s="512"/>
      <c r="AM311" s="513"/>
      <c r="AN311" s="465"/>
      <c r="AO311" s="468" t="str">
        <f>РПЗ!AD311</f>
        <v>Нет</v>
      </c>
      <c r="AP311" s="472">
        <f>РПЗ!V311</f>
        <v>0</v>
      </c>
      <c r="AQ311" s="470">
        <f>IF(Таблица5[[#This Row],[11]]=0,,MONTH(Таблица5[[#This Row],[11]]))</f>
        <v>2</v>
      </c>
    </row>
    <row r="312" spans="1:43" ht="39" thickBot="1" x14ac:dyDescent="0.3">
      <c r="A312" s="233" t="str">
        <f t="shared" si="5"/>
        <v>1004-2017-00297</v>
      </c>
      <c r="B312" s="233" t="str">
        <f>РПЗ!$D312</f>
        <v>1004-2017-00297Поставка Комплект дверных замков</v>
      </c>
      <c r="C312" s="233" t="str">
        <f>РПЗ!$AA312</f>
        <v>АО "НИИ "Полюс" им. М.Ф. Стельмаха" тел. отдела закупок 8-495-333-05-02</v>
      </c>
      <c r="D312" s="633" t="str">
        <f>РПЗ!$AB312</f>
        <v>Заказчик</v>
      </c>
      <c r="E312" s="96" t="s">
        <v>46</v>
      </c>
      <c r="F312" s="233" t="str">
        <f>РПЗ!Q312</f>
        <v>ОЗК</v>
      </c>
      <c r="G312" s="237"/>
      <c r="H312" s="237" t="str">
        <f>РПЗ!R312</f>
        <v>да</v>
      </c>
      <c r="I312" s="15">
        <f>РПЗ!W312</f>
        <v>0</v>
      </c>
      <c r="J312" s="233">
        <f>РПЗ!X312</f>
        <v>0</v>
      </c>
      <c r="K312" s="283">
        <f>РПЗ!Z312</f>
        <v>0</v>
      </c>
      <c r="L312" s="17"/>
      <c r="M312" s="18">
        <f>РПЗ!O312</f>
        <v>42767</v>
      </c>
      <c r="N312" s="238">
        <f>Таблица5[[#This Row],[10]]</f>
        <v>42767</v>
      </c>
      <c r="O312" s="17"/>
      <c r="P312" s="17"/>
      <c r="Q312" s="17"/>
      <c r="R312" s="17"/>
      <c r="S312" s="17"/>
      <c r="T312" s="686"/>
      <c r="U312" s="18">
        <f>РПЗ!P312</f>
        <v>43096</v>
      </c>
      <c r="V312" s="686"/>
      <c r="W312" s="236">
        <f>РПЗ!L312</f>
        <v>200000</v>
      </c>
      <c r="X312" s="689"/>
      <c r="Y312" s="689"/>
      <c r="Z312" s="690"/>
      <c r="AA312" s="691"/>
      <c r="AB312" s="111"/>
      <c r="AC312" s="17"/>
      <c r="AD312" s="690"/>
      <c r="AE312" s="686"/>
      <c r="AF312" s="474"/>
      <c r="AG312" s="692"/>
      <c r="AH312" s="236" t="str">
        <f>IF(Таблица5[[#This Row],[30]]=0,"НД",Таблица5[[#This Row],[20]]-Таблица5[[#This Row],[30]])</f>
        <v>НД</v>
      </c>
      <c r="AI312" s="511" t="str">
        <f>IF(((1-Таблица5[[#This Row],[30]]/Таблица5[[#This Row],[20]])=1),"НД",(1-Таблица5[[#This Row],[30]]/Таблица5[[#This Row],[20]]))</f>
        <v>НД</v>
      </c>
      <c r="AJ312" s="111"/>
      <c r="AK312" s="111"/>
      <c r="AL312" s="512"/>
      <c r="AM312" s="513"/>
      <c r="AN312" s="465"/>
      <c r="AO312" s="468" t="str">
        <f>РПЗ!AD312</f>
        <v>Нет</v>
      </c>
      <c r="AP312" s="472">
        <f>РПЗ!V312</f>
        <v>0</v>
      </c>
      <c r="AQ312" s="470">
        <f>IF(Таблица5[[#This Row],[11]]=0,,MONTH(Таблица5[[#This Row],[11]]))</f>
        <v>2</v>
      </c>
    </row>
    <row r="313" spans="1:43" ht="39" thickBot="1" x14ac:dyDescent="0.3">
      <c r="A313" s="233" t="str">
        <f t="shared" si="5"/>
        <v>1004-2017-00298</v>
      </c>
      <c r="B313" s="233" t="str">
        <f>РПЗ!$D313</f>
        <v>1004-2017-00298Поставка Комплект радиаторов и клапанов</v>
      </c>
      <c r="C313" s="233" t="str">
        <f>РПЗ!$AA313</f>
        <v>АО "НИИ "Полюс" им. М.Ф. Стельмаха" тел. отдела закупок 8-495-333-05-02</v>
      </c>
      <c r="D313" s="633" t="str">
        <f>РПЗ!$AB313</f>
        <v>Заказчик</v>
      </c>
      <c r="E313" s="96" t="s">
        <v>46</v>
      </c>
      <c r="F313" s="233" t="str">
        <f>РПЗ!Q313</f>
        <v>ОЗК</v>
      </c>
      <c r="G313" s="237"/>
      <c r="H313" s="237" t="str">
        <f>РПЗ!R313</f>
        <v>да</v>
      </c>
      <c r="I313" s="15">
        <f>РПЗ!W313</f>
        <v>0</v>
      </c>
      <c r="J313" s="233">
        <f>РПЗ!X313</f>
        <v>0</v>
      </c>
      <c r="K313" s="283">
        <f>РПЗ!Z313</f>
        <v>0</v>
      </c>
      <c r="L313" s="17"/>
      <c r="M313" s="18">
        <f>РПЗ!O313</f>
        <v>42767</v>
      </c>
      <c r="N313" s="238">
        <f>Таблица5[[#This Row],[10]]</f>
        <v>42767</v>
      </c>
      <c r="O313" s="17"/>
      <c r="P313" s="17"/>
      <c r="Q313" s="17"/>
      <c r="R313" s="17"/>
      <c r="S313" s="17"/>
      <c r="T313" s="686"/>
      <c r="U313" s="18">
        <f>РПЗ!P313</f>
        <v>43096</v>
      </c>
      <c r="V313" s="686"/>
      <c r="W313" s="236">
        <f>РПЗ!L313</f>
        <v>200000</v>
      </c>
      <c r="X313" s="689"/>
      <c r="Y313" s="689"/>
      <c r="Z313" s="690"/>
      <c r="AA313" s="691"/>
      <c r="AB313" s="111"/>
      <c r="AC313" s="17"/>
      <c r="AD313" s="690"/>
      <c r="AE313" s="686"/>
      <c r="AF313" s="474"/>
      <c r="AG313" s="692"/>
      <c r="AH313" s="236" t="str">
        <f>IF(Таблица5[[#This Row],[30]]=0,"НД",Таблица5[[#This Row],[20]]-Таблица5[[#This Row],[30]])</f>
        <v>НД</v>
      </c>
      <c r="AI313" s="511" t="str">
        <f>IF(((1-Таблица5[[#This Row],[30]]/Таблица5[[#This Row],[20]])=1),"НД",(1-Таблица5[[#This Row],[30]]/Таблица5[[#This Row],[20]]))</f>
        <v>НД</v>
      </c>
      <c r="AJ313" s="111"/>
      <c r="AK313" s="111"/>
      <c r="AL313" s="512"/>
      <c r="AM313" s="513"/>
      <c r="AN313" s="465"/>
      <c r="AO313" s="468" t="str">
        <f>РПЗ!AD313</f>
        <v>Нет</v>
      </c>
      <c r="AP313" s="472">
        <f>РПЗ!V313</f>
        <v>0</v>
      </c>
      <c r="AQ313" s="470">
        <f>IF(Таблица5[[#This Row],[11]]=0,,MONTH(Таблица5[[#This Row],[11]]))</f>
        <v>2</v>
      </c>
    </row>
    <row r="314" spans="1:43" ht="39" thickBot="1" x14ac:dyDescent="0.3">
      <c r="A314" s="233" t="str">
        <f t="shared" si="5"/>
        <v>1004-2017-00299</v>
      </c>
      <c r="B314" s="233" t="str">
        <f>РПЗ!$D314</f>
        <v>1004-2017-00299Поставка Лакокрасочные материалы</v>
      </c>
      <c r="C314" s="233" t="str">
        <f>РПЗ!$AA314</f>
        <v>АО "НИИ "Полюс" им. М.Ф. Стельмаха" тел. отдела закупок 8-495-333-05-02</v>
      </c>
      <c r="D314" s="633" t="str">
        <f>РПЗ!$AB314</f>
        <v>Заказчик</v>
      </c>
      <c r="E314" s="96" t="s">
        <v>46</v>
      </c>
      <c r="F314" s="233" t="str">
        <f>РПЗ!Q314</f>
        <v>ОЗК</v>
      </c>
      <c r="G314" s="237"/>
      <c r="H314" s="237" t="str">
        <f>РПЗ!R314</f>
        <v>да</v>
      </c>
      <c r="I314" s="15">
        <f>РПЗ!W314</f>
        <v>0</v>
      </c>
      <c r="J314" s="233">
        <f>РПЗ!X314</f>
        <v>0</v>
      </c>
      <c r="K314" s="283">
        <f>РПЗ!Z314</f>
        <v>0</v>
      </c>
      <c r="L314" s="17"/>
      <c r="M314" s="18">
        <f>РПЗ!O314</f>
        <v>42767</v>
      </c>
      <c r="N314" s="238">
        <f>Таблица5[[#This Row],[10]]</f>
        <v>42767</v>
      </c>
      <c r="O314" s="17"/>
      <c r="P314" s="17"/>
      <c r="Q314" s="17"/>
      <c r="R314" s="17"/>
      <c r="S314" s="17"/>
      <c r="T314" s="686"/>
      <c r="U314" s="18">
        <f>РПЗ!P314</f>
        <v>43096</v>
      </c>
      <c r="V314" s="686"/>
      <c r="W314" s="236">
        <f>РПЗ!L314</f>
        <v>200000</v>
      </c>
      <c r="X314" s="689"/>
      <c r="Y314" s="689"/>
      <c r="Z314" s="690"/>
      <c r="AA314" s="691"/>
      <c r="AB314" s="111"/>
      <c r="AC314" s="17"/>
      <c r="AD314" s="690"/>
      <c r="AE314" s="686"/>
      <c r="AF314" s="474"/>
      <c r="AG314" s="692"/>
      <c r="AH314" s="236" t="str">
        <f>IF(Таблица5[[#This Row],[30]]=0,"НД",Таблица5[[#This Row],[20]]-Таблица5[[#This Row],[30]])</f>
        <v>НД</v>
      </c>
      <c r="AI314" s="511" t="str">
        <f>IF(((1-Таблица5[[#This Row],[30]]/Таблица5[[#This Row],[20]])=1),"НД",(1-Таблица5[[#This Row],[30]]/Таблица5[[#This Row],[20]]))</f>
        <v>НД</v>
      </c>
      <c r="AJ314" s="111"/>
      <c r="AK314" s="111"/>
      <c r="AL314" s="512"/>
      <c r="AM314" s="513"/>
      <c r="AN314" s="465"/>
      <c r="AO314" s="468" t="str">
        <f>РПЗ!AD314</f>
        <v>Нет</v>
      </c>
      <c r="AP314" s="472">
        <f>РПЗ!V314</f>
        <v>0</v>
      </c>
      <c r="AQ314" s="470">
        <f>IF(Таблица5[[#This Row],[11]]=0,,MONTH(Таблица5[[#This Row],[11]]))</f>
        <v>2</v>
      </c>
    </row>
    <row r="315" spans="1:43" ht="39" thickBot="1" x14ac:dyDescent="0.3">
      <c r="A315" s="233" t="str">
        <f t="shared" si="5"/>
        <v>1004-2017-00300</v>
      </c>
      <c r="B315" s="233" t="str">
        <f>РПЗ!$D315</f>
        <v>1004-2017-00300Поставка Комплект арматуры</v>
      </c>
      <c r="C315" s="233" t="str">
        <f>РПЗ!$AA315</f>
        <v>АО "НИИ "Полюс" им. М.Ф. Стельмаха" тел. отдела закупок 8-495-333-05-02</v>
      </c>
      <c r="D315" s="633" t="str">
        <f>РПЗ!$AB315</f>
        <v>Заказчик</v>
      </c>
      <c r="E315" s="96" t="s">
        <v>46</v>
      </c>
      <c r="F315" s="233" t="str">
        <f>РПЗ!Q315</f>
        <v>ОЗК</v>
      </c>
      <c r="G315" s="237"/>
      <c r="H315" s="237" t="str">
        <f>РПЗ!R315</f>
        <v>да</v>
      </c>
      <c r="I315" s="15">
        <f>РПЗ!W315</f>
        <v>0</v>
      </c>
      <c r="J315" s="233">
        <f>РПЗ!X315</f>
        <v>0</v>
      </c>
      <c r="K315" s="283">
        <f>РПЗ!Z315</f>
        <v>0</v>
      </c>
      <c r="L315" s="17"/>
      <c r="M315" s="18">
        <f>РПЗ!O315</f>
        <v>42767</v>
      </c>
      <c r="N315" s="238">
        <f>Таблица5[[#This Row],[10]]</f>
        <v>42767</v>
      </c>
      <c r="O315" s="17"/>
      <c r="P315" s="17"/>
      <c r="Q315" s="17"/>
      <c r="R315" s="17"/>
      <c r="S315" s="17"/>
      <c r="T315" s="686"/>
      <c r="U315" s="18">
        <f>РПЗ!P315</f>
        <v>43096</v>
      </c>
      <c r="V315" s="686"/>
      <c r="W315" s="236">
        <f>РПЗ!L315</f>
        <v>500000</v>
      </c>
      <c r="X315" s="689"/>
      <c r="Y315" s="689"/>
      <c r="Z315" s="690"/>
      <c r="AA315" s="691"/>
      <c r="AB315" s="111"/>
      <c r="AC315" s="17"/>
      <c r="AD315" s="690"/>
      <c r="AE315" s="686"/>
      <c r="AF315" s="474"/>
      <c r="AG315" s="692"/>
      <c r="AH315" s="236" t="str">
        <f>IF(Таблица5[[#This Row],[30]]=0,"НД",Таблица5[[#This Row],[20]]-Таблица5[[#This Row],[30]])</f>
        <v>НД</v>
      </c>
      <c r="AI315" s="511" t="str">
        <f>IF(((1-Таблица5[[#This Row],[30]]/Таблица5[[#This Row],[20]])=1),"НД",(1-Таблица5[[#This Row],[30]]/Таблица5[[#This Row],[20]]))</f>
        <v>НД</v>
      </c>
      <c r="AJ315" s="111"/>
      <c r="AK315" s="111"/>
      <c r="AL315" s="512"/>
      <c r="AM315" s="513"/>
      <c r="AN315" s="465"/>
      <c r="AO315" s="468" t="str">
        <f>РПЗ!AD315</f>
        <v>Нет</v>
      </c>
      <c r="AP315" s="472">
        <f>РПЗ!V315</f>
        <v>0</v>
      </c>
      <c r="AQ315" s="470">
        <f>IF(Таблица5[[#This Row],[11]]=0,,MONTH(Таблица5[[#This Row],[11]]))</f>
        <v>2</v>
      </c>
    </row>
    <row r="316" spans="1:43" ht="39" thickBot="1" x14ac:dyDescent="0.3">
      <c r="A316" s="233" t="str">
        <f t="shared" si="5"/>
        <v>1004-2017-00301</v>
      </c>
      <c r="B316" s="233" t="str">
        <f>РПЗ!$D316</f>
        <v>1004-2017-00301Поставка Комплект изделий из дерева</v>
      </c>
      <c r="C316" s="233" t="str">
        <f>РПЗ!$AA316</f>
        <v>АО "НИИ "Полюс" им. М.Ф. Стельмаха" тел. отдела закупок 8-495-333-05-02</v>
      </c>
      <c r="D316" s="633" t="str">
        <f>РПЗ!$AB316</f>
        <v>Заказчик</v>
      </c>
      <c r="E316" s="96" t="s">
        <v>46</v>
      </c>
      <c r="F316" s="233" t="str">
        <f>РПЗ!Q316</f>
        <v>ОЗК</v>
      </c>
      <c r="G316" s="237"/>
      <c r="H316" s="237" t="str">
        <f>РПЗ!R316</f>
        <v>да</v>
      </c>
      <c r="I316" s="15">
        <f>РПЗ!W316</f>
        <v>0</v>
      </c>
      <c r="J316" s="233">
        <f>РПЗ!X316</f>
        <v>0</v>
      </c>
      <c r="K316" s="283">
        <f>РПЗ!Z316</f>
        <v>0</v>
      </c>
      <c r="L316" s="17"/>
      <c r="M316" s="18">
        <f>РПЗ!O316</f>
        <v>42767</v>
      </c>
      <c r="N316" s="238">
        <f>Таблица5[[#This Row],[10]]</f>
        <v>42767</v>
      </c>
      <c r="O316" s="17"/>
      <c r="P316" s="17"/>
      <c r="Q316" s="17"/>
      <c r="R316" s="17"/>
      <c r="S316" s="17"/>
      <c r="T316" s="686"/>
      <c r="U316" s="18">
        <f>РПЗ!P316</f>
        <v>43096</v>
      </c>
      <c r="V316" s="686"/>
      <c r="W316" s="236">
        <f>РПЗ!L316</f>
        <v>400000</v>
      </c>
      <c r="X316" s="689"/>
      <c r="Y316" s="689"/>
      <c r="Z316" s="690"/>
      <c r="AA316" s="691"/>
      <c r="AB316" s="111"/>
      <c r="AC316" s="17"/>
      <c r="AD316" s="690"/>
      <c r="AE316" s="686"/>
      <c r="AF316" s="474"/>
      <c r="AG316" s="692"/>
      <c r="AH316" s="236" t="str">
        <f>IF(Таблица5[[#This Row],[30]]=0,"НД",Таблица5[[#This Row],[20]]-Таблица5[[#This Row],[30]])</f>
        <v>НД</v>
      </c>
      <c r="AI316" s="511" t="str">
        <f>IF(((1-Таблица5[[#This Row],[30]]/Таблица5[[#This Row],[20]])=1),"НД",(1-Таблица5[[#This Row],[30]]/Таблица5[[#This Row],[20]]))</f>
        <v>НД</v>
      </c>
      <c r="AJ316" s="111"/>
      <c r="AK316" s="111"/>
      <c r="AL316" s="512"/>
      <c r="AM316" s="513"/>
      <c r="AN316" s="465"/>
      <c r="AO316" s="468" t="str">
        <f>РПЗ!AD316</f>
        <v>Нет</v>
      </c>
      <c r="AP316" s="472">
        <f>РПЗ!V316</f>
        <v>0</v>
      </c>
      <c r="AQ316" s="470">
        <f>IF(Таблица5[[#This Row],[11]]=0,,MONTH(Таблица5[[#This Row],[11]]))</f>
        <v>2</v>
      </c>
    </row>
    <row r="317" spans="1:43" ht="39" thickBot="1" x14ac:dyDescent="0.3">
      <c r="A317" s="233" t="str">
        <f t="shared" si="5"/>
        <v>1004-2017-00302</v>
      </c>
      <c r="B317" s="233" t="str">
        <f>РПЗ!$D317</f>
        <v>1004-2017-00302Поставка Автомобильные аккумуляторы</v>
      </c>
      <c r="C317" s="233" t="str">
        <f>РПЗ!$AA317</f>
        <v>АО "НИИ "Полюс" им. М.Ф. Стельмаха" тел. отдела закупок 8-495-333-05-02</v>
      </c>
      <c r="D317" s="633" t="str">
        <f>РПЗ!$AB317</f>
        <v>Заказчик</v>
      </c>
      <c r="E317" s="96" t="s">
        <v>46</v>
      </c>
      <c r="F317" s="233" t="str">
        <f>РПЗ!Q317</f>
        <v>ОЗК</v>
      </c>
      <c r="G317" s="237"/>
      <c r="H317" s="237" t="str">
        <f>РПЗ!R317</f>
        <v>да</v>
      </c>
      <c r="I317" s="15">
        <f>РПЗ!W317</f>
        <v>0</v>
      </c>
      <c r="J317" s="233">
        <f>РПЗ!X317</f>
        <v>0</v>
      </c>
      <c r="K317" s="283">
        <f>РПЗ!Z317</f>
        <v>0</v>
      </c>
      <c r="L317" s="17"/>
      <c r="M317" s="18">
        <f>РПЗ!O317</f>
        <v>42767</v>
      </c>
      <c r="N317" s="238">
        <f>Таблица5[[#This Row],[10]]</f>
        <v>42767</v>
      </c>
      <c r="O317" s="17"/>
      <c r="P317" s="17"/>
      <c r="Q317" s="17"/>
      <c r="R317" s="17"/>
      <c r="S317" s="17"/>
      <c r="T317" s="686"/>
      <c r="U317" s="18">
        <f>РПЗ!P317</f>
        <v>43096</v>
      </c>
      <c r="V317" s="686"/>
      <c r="W317" s="236">
        <f>РПЗ!L317</f>
        <v>100000</v>
      </c>
      <c r="X317" s="689"/>
      <c r="Y317" s="689"/>
      <c r="Z317" s="690"/>
      <c r="AA317" s="691"/>
      <c r="AB317" s="111"/>
      <c r="AC317" s="17"/>
      <c r="AD317" s="690"/>
      <c r="AE317" s="686"/>
      <c r="AF317" s="474"/>
      <c r="AG317" s="692"/>
      <c r="AH317" s="236" t="str">
        <f>IF(Таблица5[[#This Row],[30]]=0,"НД",Таблица5[[#This Row],[20]]-Таблица5[[#This Row],[30]])</f>
        <v>НД</v>
      </c>
      <c r="AI317" s="511" t="str">
        <f>IF(((1-Таблица5[[#This Row],[30]]/Таблица5[[#This Row],[20]])=1),"НД",(1-Таблица5[[#This Row],[30]]/Таблица5[[#This Row],[20]]))</f>
        <v>НД</v>
      </c>
      <c r="AJ317" s="111"/>
      <c r="AK317" s="111"/>
      <c r="AL317" s="512"/>
      <c r="AM317" s="513"/>
      <c r="AN317" s="465"/>
      <c r="AO317" s="468" t="str">
        <f>РПЗ!AD317</f>
        <v>Нет</v>
      </c>
      <c r="AP317" s="472">
        <f>РПЗ!V317</f>
        <v>0</v>
      </c>
      <c r="AQ317" s="470">
        <f>IF(Таблица5[[#This Row],[11]]=0,,MONTH(Таблица5[[#This Row],[11]]))</f>
        <v>2</v>
      </c>
    </row>
    <row r="318" spans="1:43" ht="38.25" x14ac:dyDescent="0.25">
      <c r="A318" s="233" t="str">
        <f t="shared" si="5"/>
        <v>1004-2017-00303</v>
      </c>
      <c r="B318" s="233" t="str">
        <f>РПЗ!$D318</f>
        <v>1004-2017-00303Поставка Комплект для монтажа телекоммуникационных сетей</v>
      </c>
      <c r="C318" s="233" t="str">
        <f>РПЗ!$AA318</f>
        <v>АО "НИИ "Полюс" им. М.Ф. Стельмаха" тел. отдела закупок 8-495-333-05-02</v>
      </c>
      <c r="D318" s="633" t="str">
        <f>РПЗ!$AB318</f>
        <v>Заказчик</v>
      </c>
      <c r="E318" s="96" t="s">
        <v>46</v>
      </c>
      <c r="F318" s="233" t="str">
        <f>РПЗ!Q318</f>
        <v>ОЗК</v>
      </c>
      <c r="G318" s="237"/>
      <c r="H318" s="237" t="str">
        <f>РПЗ!R318</f>
        <v>да</v>
      </c>
      <c r="I318" s="15">
        <f>РПЗ!W318</f>
        <v>0</v>
      </c>
      <c r="J318" s="233">
        <f>РПЗ!X318</f>
        <v>0</v>
      </c>
      <c r="K318" s="283">
        <f>РПЗ!Z318</f>
        <v>0</v>
      </c>
      <c r="L318" s="17"/>
      <c r="M318" s="18">
        <f>РПЗ!O318</f>
        <v>42856</v>
      </c>
      <c r="N318" s="238">
        <f>Таблица5[[#This Row],[10]]</f>
        <v>42856</v>
      </c>
      <c r="O318" s="17"/>
      <c r="P318" s="17"/>
      <c r="Q318" s="17"/>
      <c r="R318" s="17"/>
      <c r="S318" s="17"/>
      <c r="T318" s="686"/>
      <c r="U318" s="18">
        <f>РПЗ!P318</f>
        <v>43096</v>
      </c>
      <c r="V318" s="686"/>
      <c r="W318" s="236">
        <f>РПЗ!L318</f>
        <v>400000</v>
      </c>
      <c r="X318" s="689"/>
      <c r="Y318" s="689"/>
      <c r="Z318" s="690"/>
      <c r="AA318" s="691"/>
      <c r="AB318" s="111"/>
      <c r="AC318" s="17"/>
      <c r="AD318" s="690"/>
      <c r="AE318" s="686"/>
      <c r="AF318" s="474"/>
      <c r="AG318" s="692"/>
      <c r="AH318" s="236" t="str">
        <f>IF(Таблица5[[#This Row],[30]]=0,"НД",Таблица5[[#This Row],[20]]-Таблица5[[#This Row],[30]])</f>
        <v>НД</v>
      </c>
      <c r="AI318" s="511" t="str">
        <f>IF(((1-Таблица5[[#This Row],[30]]/Таблица5[[#This Row],[20]])=1),"НД",(1-Таблица5[[#This Row],[30]]/Таблица5[[#This Row],[20]]))</f>
        <v>НД</v>
      </c>
      <c r="AJ318" s="111"/>
      <c r="AK318" s="111"/>
      <c r="AL318" s="512"/>
      <c r="AM318" s="513"/>
      <c r="AN318" s="465"/>
      <c r="AO318" s="468" t="str">
        <f>РПЗ!AD318</f>
        <v>Нет</v>
      </c>
      <c r="AP318" s="472">
        <f>РПЗ!V318</f>
        <v>0</v>
      </c>
      <c r="AQ318" s="470">
        <f>IF(Таблица5[[#This Row],[11]]=0,,MONTH(Таблица5[[#This Row],[11]]))</f>
        <v>5</v>
      </c>
    </row>
    <row r="319" spans="1:43" ht="76.5" x14ac:dyDescent="0.25">
      <c r="A319" s="233" t="str">
        <f t="shared" si="5"/>
        <v>1004-2017-00304</v>
      </c>
      <c r="B319" s="233" t="str">
        <f>РПЗ!$D319</f>
        <v>1004-2017-00304Поставка Контактная пластина ВАНЕ.741221.001; Крышка ет.8.050.477 (без стекла);                          Доработка корпуса ЖГДК 203129.010;     Корпус ет.4106654.СБ</v>
      </c>
      <c r="C319" s="233" t="str">
        <f>РПЗ!$AA319</f>
        <v>АО "НИИ "Полюс" им. М.Ф. Стельмаха" тел. отдела закупок 8-495-333-05-02</v>
      </c>
      <c r="D319" s="633" t="str">
        <f>РПЗ!$AB319</f>
        <v>Заказчик</v>
      </c>
      <c r="E319" s="510" t="s">
        <v>62</v>
      </c>
      <c r="F319" s="233" t="str">
        <f>РПЗ!Q319</f>
        <v>ЕП</v>
      </c>
      <c r="G319" s="237" t="str">
        <f>Таблица5[[#This Row],[6]]</f>
        <v>ЕП</v>
      </c>
      <c r="H319" s="237" t="str">
        <f>РПЗ!R319</f>
        <v>нет</v>
      </c>
      <c r="I319" s="15" t="str">
        <f>РПЗ!W319</f>
        <v>6.6.2(9)</v>
      </c>
      <c r="J319" s="233">
        <f>РПЗ!X319</f>
        <v>4026000108</v>
      </c>
      <c r="K319" s="283">
        <f>РПЗ!Z319</f>
        <v>635178.06999999995</v>
      </c>
      <c r="L319" s="17">
        <v>42844</v>
      </c>
      <c r="M319" s="18">
        <f>РПЗ!O319</f>
        <v>42856</v>
      </c>
      <c r="N319" s="238">
        <f>Таблица5[[#This Row],[10]]</f>
        <v>42856</v>
      </c>
      <c r="O319" s="17"/>
      <c r="P319" s="17"/>
      <c r="Q319" s="17"/>
      <c r="R319" s="17"/>
      <c r="S319" s="17"/>
      <c r="T319" s="686">
        <v>42866</v>
      </c>
      <c r="U319" s="18">
        <f>РПЗ!P319</f>
        <v>43096</v>
      </c>
      <c r="V319" s="686">
        <v>43070</v>
      </c>
      <c r="W319" s="236">
        <f>РПЗ!L319</f>
        <v>635178.06999999995</v>
      </c>
      <c r="X319" s="689">
        <v>1</v>
      </c>
      <c r="Y319" s="689">
        <v>0</v>
      </c>
      <c r="Z319" s="691">
        <v>4026000108</v>
      </c>
      <c r="AA319" s="691" t="s">
        <v>5084</v>
      </c>
      <c r="AB319" s="111">
        <v>635178.06999999995</v>
      </c>
      <c r="AC319" s="17">
        <v>43070</v>
      </c>
      <c r="AD319" s="690" t="s">
        <v>5092</v>
      </c>
      <c r="AE319" s="686">
        <v>42866</v>
      </c>
      <c r="AF319" s="474"/>
      <c r="AG319" s="692">
        <v>635178.06999999995</v>
      </c>
      <c r="AH319" s="236">
        <f>IF(Таблица5[[#This Row],[30]]=0,"НД",Таблица5[[#This Row],[20]]-Таблица5[[#This Row],[30]])</f>
        <v>0</v>
      </c>
      <c r="AI319" s="511">
        <f>IF(((1-Таблица5[[#This Row],[30]]/Таблица5[[#This Row],[20]])=1),"НД",(1-Таблица5[[#This Row],[30]]/Таблица5[[#This Row],[20]]))</f>
        <v>0</v>
      </c>
      <c r="AJ319" s="111"/>
      <c r="AK319" s="111"/>
      <c r="AL319" s="512"/>
      <c r="AM319" s="513" t="s">
        <v>113</v>
      </c>
      <c r="AN319" s="801">
        <v>31705079867</v>
      </c>
      <c r="AO319" s="468" t="str">
        <f>РПЗ!AD319</f>
        <v>Нет</v>
      </c>
      <c r="AP319" s="472">
        <f>РПЗ!V319</f>
        <v>0</v>
      </c>
      <c r="AQ319" s="470">
        <f>IF(Таблица5[[#This Row],[11]]=0,,MONTH(Таблица5[[#This Row],[11]]))</f>
        <v>5</v>
      </c>
    </row>
    <row r="320" spans="1:43" ht="39" thickBot="1" x14ac:dyDescent="0.3">
      <c r="A320" s="233" t="str">
        <f t="shared" si="5"/>
        <v>1004-2017-00305</v>
      </c>
      <c r="B320" s="233" t="str">
        <f>РПЗ!$D320</f>
        <v>1004-2017-00305Поставка Корпус ЖГДК.711314.001</v>
      </c>
      <c r="C320" s="233" t="str">
        <f>РПЗ!$AA320</f>
        <v>АО "НИИ "Полюс" им. М.Ф. Стельмаха" тел. отдела закупок 8-495-333-05-02</v>
      </c>
      <c r="D320" s="633" t="str">
        <f>РПЗ!$AB320</f>
        <v>Заказчик</v>
      </c>
      <c r="E320" s="510" t="s">
        <v>62</v>
      </c>
      <c r="F320" s="233" t="str">
        <f>РПЗ!Q320</f>
        <v>ЕП</v>
      </c>
      <c r="G320" s="237" t="str">
        <f>Таблица5[[#This Row],[6]]</f>
        <v>ЕП</v>
      </c>
      <c r="H320" s="237" t="str">
        <f>РПЗ!R320</f>
        <v>Нет</v>
      </c>
      <c r="I320" s="15" t="str">
        <f>РПЗ!W320</f>
        <v>6.6.2(9)</v>
      </c>
      <c r="J320" s="233">
        <f>РПЗ!X320</f>
        <v>7729746311</v>
      </c>
      <c r="K320" s="283">
        <f>РПЗ!Z320</f>
        <v>1122000</v>
      </c>
      <c r="L320" s="17">
        <v>42810</v>
      </c>
      <c r="M320" s="18">
        <f>РПЗ!O320</f>
        <v>42795</v>
      </c>
      <c r="N320" s="238">
        <f>Таблица5[[#This Row],[10]]</f>
        <v>42795</v>
      </c>
      <c r="O320" s="17"/>
      <c r="P320" s="17"/>
      <c r="Q320" s="17"/>
      <c r="R320" s="17"/>
      <c r="S320" s="17"/>
      <c r="T320" s="661" t="s">
        <v>3306</v>
      </c>
      <c r="U320" s="18">
        <f>РПЗ!P320</f>
        <v>43096</v>
      </c>
      <c r="V320" s="762">
        <v>42917</v>
      </c>
      <c r="W320" s="236">
        <f>РПЗ!L320</f>
        <v>1122000</v>
      </c>
      <c r="X320" s="689">
        <v>1</v>
      </c>
      <c r="Y320" s="689">
        <v>0</v>
      </c>
      <c r="Z320" s="691">
        <v>7729746311</v>
      </c>
      <c r="AA320" s="691" t="s">
        <v>3305</v>
      </c>
      <c r="AB320" s="701">
        <v>1122000</v>
      </c>
      <c r="AC320" s="17">
        <v>42917</v>
      </c>
      <c r="AD320" s="832" t="s">
        <v>3307</v>
      </c>
      <c r="AE320" s="700" t="s">
        <v>3306</v>
      </c>
      <c r="AF320" s="474"/>
      <c r="AG320" s="691">
        <v>1122000</v>
      </c>
      <c r="AH320" s="236">
        <f>IF(Таблица5[[#This Row],[30]]=0,"НД",Таблица5[[#This Row],[20]]-Таблица5[[#This Row],[30]])</f>
        <v>0</v>
      </c>
      <c r="AI320" s="511">
        <f>IF(((1-Таблица5[[#This Row],[30]]/Таблица5[[#This Row],[20]])=1),"НД",(1-Таблица5[[#This Row],[30]]/Таблица5[[#This Row],[20]]))</f>
        <v>0</v>
      </c>
      <c r="AJ320" s="701">
        <v>1122000</v>
      </c>
      <c r="AK320" s="111"/>
      <c r="AL320" s="512"/>
      <c r="AM320" s="513" t="s">
        <v>113</v>
      </c>
      <c r="AN320" s="802">
        <v>31704902815</v>
      </c>
      <c r="AO320" s="468" t="str">
        <f>РПЗ!AD320</f>
        <v>Нет</v>
      </c>
      <c r="AP320" s="472">
        <f>РПЗ!V320</f>
        <v>0</v>
      </c>
      <c r="AQ320" s="470">
        <f>IF(Таблица5[[#This Row],[11]]=0,,MONTH(Таблица5[[#This Row],[11]]))</f>
        <v>3</v>
      </c>
    </row>
    <row r="321" spans="1:43" ht="39" thickBot="1" x14ac:dyDescent="0.3">
      <c r="A321" s="233" t="str">
        <f t="shared" si="5"/>
        <v>1004-2017-00306</v>
      </c>
      <c r="B321" s="233" t="str">
        <f>РПЗ!$D321</f>
        <v>1004-2017-00306Поставка Подложка GaAs</v>
      </c>
      <c r="C321" s="233" t="str">
        <f>РПЗ!$AA321</f>
        <v>АО "НИИ "Полюс" им. М.Ф. Стельмаха" тел. отдела закупок 8-495-333-05-02</v>
      </c>
      <c r="D321" s="633" t="str">
        <f>РПЗ!$AB321</f>
        <v>Заказчик</v>
      </c>
      <c r="E321" s="96" t="s">
        <v>46</v>
      </c>
      <c r="F321" s="233" t="str">
        <f>РПЗ!Q321</f>
        <v>ОЗК</v>
      </c>
      <c r="G321" s="237"/>
      <c r="H321" s="237" t="str">
        <f>РПЗ!R321</f>
        <v>да</v>
      </c>
      <c r="I321" s="15">
        <f>РПЗ!W321</f>
        <v>0</v>
      </c>
      <c r="J321" s="233">
        <f>РПЗ!X321</f>
        <v>0</v>
      </c>
      <c r="K321" s="283">
        <f>РПЗ!Z321</f>
        <v>0</v>
      </c>
      <c r="L321" s="17"/>
      <c r="M321" s="18">
        <f>РПЗ!O321</f>
        <v>42736</v>
      </c>
      <c r="N321" s="238">
        <f>Таблица5[[#This Row],[10]]</f>
        <v>42736</v>
      </c>
      <c r="O321" s="17"/>
      <c r="P321" s="17"/>
      <c r="Q321" s="17"/>
      <c r="R321" s="17"/>
      <c r="S321" s="17"/>
      <c r="T321" s="686"/>
      <c r="U321" s="18">
        <f>РПЗ!P321</f>
        <v>43096</v>
      </c>
      <c r="V321" s="686"/>
      <c r="W321" s="236">
        <f>РПЗ!L321</f>
        <v>400000</v>
      </c>
      <c r="X321" s="689"/>
      <c r="Y321" s="689"/>
      <c r="Z321" s="690"/>
      <c r="AA321" s="691"/>
      <c r="AB321" s="111"/>
      <c r="AC321" s="17"/>
      <c r="AD321" s="690"/>
      <c r="AE321" s="686"/>
      <c r="AF321" s="474"/>
      <c r="AG321" s="692"/>
      <c r="AH321" s="236" t="str">
        <f>IF(Таблица5[[#This Row],[30]]=0,"НД",Таблица5[[#This Row],[20]]-Таблица5[[#This Row],[30]])</f>
        <v>НД</v>
      </c>
      <c r="AI321" s="511" t="str">
        <f>IF(((1-Таблица5[[#This Row],[30]]/Таблица5[[#This Row],[20]])=1),"НД",(1-Таблица5[[#This Row],[30]]/Таблица5[[#This Row],[20]]))</f>
        <v>НД</v>
      </c>
      <c r="AJ321" s="111"/>
      <c r="AK321" s="111"/>
      <c r="AL321" s="512"/>
      <c r="AM321" s="513"/>
      <c r="AN321" s="465"/>
      <c r="AO321" s="468" t="str">
        <f>РПЗ!AD321</f>
        <v>Нет</v>
      </c>
      <c r="AP321" s="472">
        <f>РПЗ!V321</f>
        <v>0</v>
      </c>
      <c r="AQ321" s="470">
        <f>IF(Таблица5[[#This Row],[11]]=0,,MONTH(Таблица5[[#This Row],[11]]))</f>
        <v>1</v>
      </c>
    </row>
    <row r="322" spans="1:43" ht="39" thickBot="1" x14ac:dyDescent="0.3">
      <c r="A322" s="233" t="str">
        <f t="shared" si="5"/>
        <v>1004-2017-00307</v>
      </c>
      <c r="B322" s="233" t="str">
        <f>РПЗ!$D322</f>
        <v>1004-2017-00307Поставка Арсин</v>
      </c>
      <c r="C322" s="233" t="str">
        <f>РПЗ!$AA322</f>
        <v>АО "НИИ "Полюс" им. М.Ф. Стельмаха" тел. отдела закупок 8-495-333-05-02</v>
      </c>
      <c r="D322" s="633" t="str">
        <f>РПЗ!$AB322</f>
        <v>Заказчик</v>
      </c>
      <c r="E322" s="96" t="s">
        <v>46</v>
      </c>
      <c r="F322" s="233" t="str">
        <f>РПЗ!Q322</f>
        <v>ОЗК</v>
      </c>
      <c r="G322" s="237"/>
      <c r="H322" s="237" t="str">
        <f>РПЗ!R322</f>
        <v>да</v>
      </c>
      <c r="I322" s="15">
        <f>РПЗ!W322</f>
        <v>0</v>
      </c>
      <c r="J322" s="233">
        <f>РПЗ!X322</f>
        <v>0</v>
      </c>
      <c r="K322" s="283">
        <f>РПЗ!Z322</f>
        <v>0</v>
      </c>
      <c r="L322" s="17"/>
      <c r="M322" s="18">
        <f>РПЗ!O322</f>
        <v>42736</v>
      </c>
      <c r="N322" s="238">
        <f>Таблица5[[#This Row],[10]]</f>
        <v>42736</v>
      </c>
      <c r="O322" s="17"/>
      <c r="P322" s="17"/>
      <c r="Q322" s="17"/>
      <c r="R322" s="17"/>
      <c r="S322" s="17"/>
      <c r="T322" s="686"/>
      <c r="U322" s="18">
        <f>РПЗ!P322</f>
        <v>43096</v>
      </c>
      <c r="V322" s="686"/>
      <c r="W322" s="236">
        <f>РПЗ!L322</f>
        <v>287500</v>
      </c>
      <c r="X322" s="689"/>
      <c r="Y322" s="689"/>
      <c r="Z322" s="690"/>
      <c r="AA322" s="691"/>
      <c r="AB322" s="111"/>
      <c r="AC322" s="17"/>
      <c r="AD322" s="690"/>
      <c r="AE322" s="686"/>
      <c r="AF322" s="474"/>
      <c r="AG322" s="692"/>
      <c r="AH322" s="236" t="str">
        <f>IF(Таблица5[[#This Row],[30]]=0,"НД",Таблица5[[#This Row],[20]]-Таблица5[[#This Row],[30]])</f>
        <v>НД</v>
      </c>
      <c r="AI322" s="511" t="str">
        <f>IF(((1-Таблица5[[#This Row],[30]]/Таблица5[[#This Row],[20]])=1),"НД",(1-Таблица5[[#This Row],[30]]/Таблица5[[#This Row],[20]]))</f>
        <v>НД</v>
      </c>
      <c r="AJ322" s="111"/>
      <c r="AK322" s="111"/>
      <c r="AL322" s="512"/>
      <c r="AM322" s="513"/>
      <c r="AN322" s="465"/>
      <c r="AO322" s="468" t="str">
        <f>РПЗ!AD322</f>
        <v>Нет</v>
      </c>
      <c r="AP322" s="472">
        <f>РПЗ!V322</f>
        <v>0</v>
      </c>
      <c r="AQ322" s="470">
        <f>IF(Таблица5[[#This Row],[11]]=0,,MONTH(Таблица5[[#This Row],[11]]))</f>
        <v>1</v>
      </c>
    </row>
    <row r="323" spans="1:43" ht="39" thickBot="1" x14ac:dyDescent="0.3">
      <c r="A323" s="233" t="str">
        <f t="shared" si="5"/>
        <v>1004-2017-00308</v>
      </c>
      <c r="B323" s="233" t="str">
        <f>РПЗ!$D323</f>
        <v>1004-2017-00308Поставка Триметилгалий;        Триметилиндий;   Триметилалюминий;  Диэтилцинк</v>
      </c>
      <c r="C323" s="233" t="str">
        <f>РПЗ!$AA323</f>
        <v>АО "НИИ "Полюс" им. М.Ф. Стельмаха" тел. отдела закупок 8-495-333-05-02</v>
      </c>
      <c r="D323" s="633" t="str">
        <f>РПЗ!$AB323</f>
        <v>Заказчик</v>
      </c>
      <c r="E323" s="96" t="s">
        <v>46</v>
      </c>
      <c r="F323" s="233" t="str">
        <f>РПЗ!Q323</f>
        <v>ОЗК</v>
      </c>
      <c r="G323" s="237"/>
      <c r="H323" s="237" t="str">
        <f>РПЗ!R323</f>
        <v>да</v>
      </c>
      <c r="I323" s="15">
        <f>РПЗ!W323</f>
        <v>0</v>
      </c>
      <c r="J323" s="233">
        <f>РПЗ!X323</f>
        <v>0</v>
      </c>
      <c r="K323" s="283">
        <f>РПЗ!Z323</f>
        <v>0</v>
      </c>
      <c r="L323" s="17"/>
      <c r="M323" s="18">
        <f>РПЗ!O323</f>
        <v>42736</v>
      </c>
      <c r="N323" s="238">
        <f>Таблица5[[#This Row],[10]]</f>
        <v>42736</v>
      </c>
      <c r="O323" s="17"/>
      <c r="P323" s="17"/>
      <c r="Q323" s="17"/>
      <c r="R323" s="17"/>
      <c r="S323" s="17"/>
      <c r="T323" s="686"/>
      <c r="U323" s="18">
        <f>РПЗ!P323</f>
        <v>43096</v>
      </c>
      <c r="V323" s="686"/>
      <c r="W323" s="236">
        <f>РПЗ!L323</f>
        <v>1648000</v>
      </c>
      <c r="X323" s="689"/>
      <c r="Y323" s="689"/>
      <c r="Z323" s="690"/>
      <c r="AA323" s="691"/>
      <c r="AB323" s="111"/>
      <c r="AC323" s="17"/>
      <c r="AD323" s="690"/>
      <c r="AE323" s="686"/>
      <c r="AF323" s="474"/>
      <c r="AG323" s="692"/>
      <c r="AH323" s="236" t="str">
        <f>IF(Таблица5[[#This Row],[30]]=0,"НД",Таблица5[[#This Row],[20]]-Таблица5[[#This Row],[30]])</f>
        <v>НД</v>
      </c>
      <c r="AI323" s="511" t="str">
        <f>IF(((1-Таблица5[[#This Row],[30]]/Таблица5[[#This Row],[20]])=1),"НД",(1-Таблица5[[#This Row],[30]]/Таблица5[[#This Row],[20]]))</f>
        <v>НД</v>
      </c>
      <c r="AJ323" s="111"/>
      <c r="AK323" s="111"/>
      <c r="AL323" s="512"/>
      <c r="AM323" s="513"/>
      <c r="AN323" s="465"/>
      <c r="AO323" s="468" t="str">
        <f>РПЗ!AD323</f>
        <v>Нет</v>
      </c>
      <c r="AP323" s="472">
        <f>РПЗ!V323</f>
        <v>0</v>
      </c>
      <c r="AQ323" s="470">
        <f>IF(Таблица5[[#This Row],[11]]=0,,MONTH(Таблица5[[#This Row],[11]]))</f>
        <v>1</v>
      </c>
    </row>
    <row r="324" spans="1:43" ht="39" thickBot="1" x14ac:dyDescent="0.3">
      <c r="A324" s="233" t="str">
        <f t="shared" si="5"/>
        <v>1004-2017-00309</v>
      </c>
      <c r="B324" s="233" t="str">
        <f>РПЗ!$D324</f>
        <v xml:space="preserve">1004-2017-00309Поставка иИзготовление линзы ЖГДК.203512.028 </v>
      </c>
      <c r="C324" s="233" t="str">
        <f>РПЗ!$AA324</f>
        <v>АО "НИИ "Полюс" им. М.Ф. Стельмаха" тел. отдела закупок 8-495-333-05-02</v>
      </c>
      <c r="D324" s="633" t="str">
        <f>РПЗ!$AB324</f>
        <v>Заказчик</v>
      </c>
      <c r="E324" s="96" t="s">
        <v>46</v>
      </c>
      <c r="F324" s="233" t="str">
        <f>РПЗ!Q324</f>
        <v>ЕП</v>
      </c>
      <c r="G324" s="237"/>
      <c r="H324" s="237" t="str">
        <f>РПЗ!R324</f>
        <v>Нет</v>
      </c>
      <c r="I324" s="15" t="str">
        <f>РПЗ!W324</f>
        <v>6.6.2(11)</v>
      </c>
      <c r="J324" s="233">
        <f>РПЗ!X324</f>
        <v>7727768951</v>
      </c>
      <c r="K324" s="283">
        <f>РПЗ!Z324</f>
        <v>137000</v>
      </c>
      <c r="L324" s="17"/>
      <c r="M324" s="18">
        <f>РПЗ!O324</f>
        <v>42736</v>
      </c>
      <c r="N324" s="238">
        <f>Таблица5[[#This Row],[10]]</f>
        <v>42736</v>
      </c>
      <c r="O324" s="17"/>
      <c r="P324" s="17"/>
      <c r="Q324" s="17"/>
      <c r="R324" s="17"/>
      <c r="S324" s="17"/>
      <c r="T324" s="686"/>
      <c r="U324" s="18">
        <f>РПЗ!P324</f>
        <v>43070</v>
      </c>
      <c r="V324" s="686"/>
      <c r="W324" s="236">
        <f>РПЗ!L324</f>
        <v>137000</v>
      </c>
      <c r="X324" s="689"/>
      <c r="Y324" s="689"/>
      <c r="Z324" s="690"/>
      <c r="AA324" s="691"/>
      <c r="AB324" s="111"/>
      <c r="AC324" s="17"/>
      <c r="AD324" s="690"/>
      <c r="AE324" s="686"/>
      <c r="AF324" s="474"/>
      <c r="AG324" s="692"/>
      <c r="AH324" s="236" t="str">
        <f>IF(Таблица5[[#This Row],[30]]=0,"НД",Таблица5[[#This Row],[20]]-Таблица5[[#This Row],[30]])</f>
        <v>НД</v>
      </c>
      <c r="AI324" s="511" t="str">
        <f>IF(((1-Таблица5[[#This Row],[30]]/Таблица5[[#This Row],[20]])=1),"НД",(1-Таблица5[[#This Row],[30]]/Таблица5[[#This Row],[20]]))</f>
        <v>НД</v>
      </c>
      <c r="AJ324" s="111"/>
      <c r="AK324" s="111"/>
      <c r="AL324" s="512"/>
      <c r="AM324" s="513"/>
      <c r="AN324" s="465"/>
      <c r="AO324" s="468" t="str">
        <f>РПЗ!AD324</f>
        <v>Нет</v>
      </c>
      <c r="AP324" s="472">
        <f>РПЗ!V324</f>
        <v>0</v>
      </c>
      <c r="AQ324" s="470">
        <f>IF(Таблица5[[#This Row],[11]]=0,,MONTH(Таблица5[[#This Row],[11]]))</f>
        <v>1</v>
      </c>
    </row>
    <row r="325" spans="1:43" ht="39" thickBot="1" x14ac:dyDescent="0.3">
      <c r="A325" s="233" t="str">
        <f t="shared" si="5"/>
        <v>1004-2017-00310</v>
      </c>
      <c r="B325" s="233" t="str">
        <f>РПЗ!$D325</f>
        <v>1004-2017-00310Поставка Изготовление и поставка печатных плат для изд. ЛД-294</v>
      </c>
      <c r="C325" s="233" t="str">
        <f>РПЗ!$AA325</f>
        <v>АО "НИИ "Полюс" им. М.Ф. Стельмаха" тел. отдела закупок 8-495-333-05-02</v>
      </c>
      <c r="D325" s="633" t="str">
        <f>РПЗ!$AB325</f>
        <v>Заказчик</v>
      </c>
      <c r="E325" s="96" t="s">
        <v>46</v>
      </c>
      <c r="F325" s="233" t="str">
        <f>РПЗ!Q325</f>
        <v>ЕП</v>
      </c>
      <c r="G325" s="237"/>
      <c r="H325" s="237" t="str">
        <f>РПЗ!R325</f>
        <v>Нет</v>
      </c>
      <c r="I325" s="15" t="str">
        <f>РПЗ!W325</f>
        <v>6.6.2(11)</v>
      </c>
      <c r="J325" s="233">
        <f>РПЗ!X325</f>
        <v>7735127006</v>
      </c>
      <c r="K325" s="283">
        <f>РПЗ!Z325</f>
        <v>178000</v>
      </c>
      <c r="L325" s="17"/>
      <c r="M325" s="18">
        <f>РПЗ!O325</f>
        <v>42736</v>
      </c>
      <c r="N325" s="238">
        <f>Таблица5[[#This Row],[10]]</f>
        <v>42736</v>
      </c>
      <c r="O325" s="17"/>
      <c r="P325" s="17"/>
      <c r="Q325" s="17"/>
      <c r="R325" s="17"/>
      <c r="S325" s="17"/>
      <c r="T325" s="686"/>
      <c r="U325" s="18">
        <f>РПЗ!P325</f>
        <v>42887</v>
      </c>
      <c r="V325" s="686"/>
      <c r="W325" s="236">
        <f>РПЗ!L325</f>
        <v>178000</v>
      </c>
      <c r="X325" s="689"/>
      <c r="Y325" s="689"/>
      <c r="Z325" s="690"/>
      <c r="AA325" s="691"/>
      <c r="AB325" s="111"/>
      <c r="AC325" s="17"/>
      <c r="AD325" s="690"/>
      <c r="AE325" s="686"/>
      <c r="AF325" s="474"/>
      <c r="AG325" s="692"/>
      <c r="AH325" s="236" t="str">
        <f>IF(Таблица5[[#This Row],[30]]=0,"НД",Таблица5[[#This Row],[20]]-Таблица5[[#This Row],[30]])</f>
        <v>НД</v>
      </c>
      <c r="AI325" s="511" t="str">
        <f>IF(((1-Таблица5[[#This Row],[30]]/Таблица5[[#This Row],[20]])=1),"НД",(1-Таблица5[[#This Row],[30]]/Таблица5[[#This Row],[20]]))</f>
        <v>НД</v>
      </c>
      <c r="AJ325" s="111"/>
      <c r="AK325" s="111"/>
      <c r="AL325" s="512"/>
      <c r="AM325" s="513"/>
      <c r="AN325" s="465"/>
      <c r="AO325" s="468" t="str">
        <f>РПЗ!AD325</f>
        <v>Нет</v>
      </c>
      <c r="AP325" s="472">
        <f>РПЗ!V325</f>
        <v>0</v>
      </c>
      <c r="AQ325" s="470">
        <f>IF(Таблица5[[#This Row],[11]]=0,,MONTH(Таблица5[[#This Row],[11]]))</f>
        <v>1</v>
      </c>
    </row>
    <row r="326" spans="1:43" ht="51.75" thickBot="1" x14ac:dyDescent="0.3">
      <c r="A326" s="233" t="str">
        <f t="shared" si="5"/>
        <v>1004-2017-00311</v>
      </c>
      <c r="B326" s="233" t="str">
        <f>РПЗ!$D326</f>
        <v>1004-2017-00311Поставка и Изготовление и поставка колодок (БЛ6.673.166) и трансформаторов (ет4.720.436)  для изд. ЛД-294</v>
      </c>
      <c r="C326" s="233" t="str">
        <f>РПЗ!$AA326</f>
        <v>АО "НИИ "Полюс" им. М.Ф. Стельмаха" тел. отдела закупок 8-495-333-05-02</v>
      </c>
      <c r="D326" s="633" t="str">
        <f>РПЗ!$AB326</f>
        <v>Заказчик</v>
      </c>
      <c r="E326" s="96" t="s">
        <v>46</v>
      </c>
      <c r="F326" s="233" t="str">
        <f>РПЗ!Q326</f>
        <v>ЕП</v>
      </c>
      <c r="G326" s="237"/>
      <c r="H326" s="237" t="str">
        <f>РПЗ!R326</f>
        <v>Нет</v>
      </c>
      <c r="I326" s="15" t="str">
        <f>РПЗ!W326</f>
        <v>6.6.2(11)</v>
      </c>
      <c r="J326" s="233">
        <f>РПЗ!X326</f>
        <v>5024022965</v>
      </c>
      <c r="K326" s="283">
        <f>РПЗ!Z326</f>
        <v>173000</v>
      </c>
      <c r="L326" s="17"/>
      <c r="M326" s="18">
        <f>РПЗ!O326</f>
        <v>42736</v>
      </c>
      <c r="N326" s="238">
        <f>Таблица5[[#This Row],[10]]</f>
        <v>42736</v>
      </c>
      <c r="O326" s="17"/>
      <c r="P326" s="17"/>
      <c r="Q326" s="17"/>
      <c r="R326" s="17"/>
      <c r="S326" s="17"/>
      <c r="T326" s="686"/>
      <c r="U326" s="18">
        <f>РПЗ!P326</f>
        <v>43070</v>
      </c>
      <c r="V326" s="686"/>
      <c r="W326" s="236">
        <f>РПЗ!L326</f>
        <v>173000</v>
      </c>
      <c r="X326" s="689"/>
      <c r="Y326" s="689"/>
      <c r="Z326" s="690"/>
      <c r="AA326" s="691"/>
      <c r="AB326" s="111"/>
      <c r="AC326" s="17"/>
      <c r="AD326" s="690"/>
      <c r="AE326" s="686"/>
      <c r="AF326" s="474"/>
      <c r="AG326" s="692"/>
      <c r="AH326" s="236" t="str">
        <f>IF(Таблица5[[#This Row],[30]]=0,"НД",Таблица5[[#This Row],[20]]-Таблица5[[#This Row],[30]])</f>
        <v>НД</v>
      </c>
      <c r="AI326" s="511" t="str">
        <f>IF(((1-Таблица5[[#This Row],[30]]/Таблица5[[#This Row],[20]])=1),"НД",(1-Таблица5[[#This Row],[30]]/Таблица5[[#This Row],[20]]))</f>
        <v>НД</v>
      </c>
      <c r="AJ326" s="111"/>
      <c r="AK326" s="111"/>
      <c r="AL326" s="512"/>
      <c r="AM326" s="513"/>
      <c r="AN326" s="465"/>
      <c r="AO326" s="468" t="str">
        <f>РПЗ!AD326</f>
        <v>Нет</v>
      </c>
      <c r="AP326" s="472">
        <f>РПЗ!V326</f>
        <v>0</v>
      </c>
      <c r="AQ326" s="470">
        <f>IF(Таблица5[[#This Row],[11]]=0,,MONTH(Таблица5[[#This Row],[11]]))</f>
        <v>1</v>
      </c>
    </row>
    <row r="327" spans="1:43" ht="39" thickBot="1" x14ac:dyDescent="0.3">
      <c r="A327" s="233" t="str">
        <f t="shared" si="5"/>
        <v>1004-2017-00312</v>
      </c>
      <c r="B327" s="233" t="str">
        <f>РПЗ!$D327</f>
        <v>1004-2017-00312Поставка иИзготовление механических деталей для изд. ЛД-294</v>
      </c>
      <c r="C327" s="233" t="str">
        <f>РПЗ!$AA327</f>
        <v>АО "НИИ "Полюс" им. М.Ф. Стельмаха" тел. отдела закупок 8-495-333-05-02</v>
      </c>
      <c r="D327" s="633" t="str">
        <f>РПЗ!$AB327</f>
        <v>Заказчик</v>
      </c>
      <c r="E327" s="96" t="s">
        <v>46</v>
      </c>
      <c r="F327" s="233" t="str">
        <f>РПЗ!Q327</f>
        <v>ЕП</v>
      </c>
      <c r="G327" s="237"/>
      <c r="H327" s="237" t="str">
        <f>РПЗ!R327</f>
        <v>Нет</v>
      </c>
      <c r="I327" s="15" t="str">
        <f>РПЗ!W327</f>
        <v>6.6.2(11)</v>
      </c>
      <c r="J327" s="233" t="str">
        <f>РПЗ!X327</f>
        <v xml:space="preserve"> УНН 190437885</v>
      </c>
      <c r="K327" s="283">
        <f>РПЗ!Z327</f>
        <v>1890000</v>
      </c>
      <c r="L327" s="17"/>
      <c r="M327" s="18">
        <f>РПЗ!O327</f>
        <v>42736</v>
      </c>
      <c r="N327" s="238">
        <f>Таблица5[[#This Row],[10]]</f>
        <v>42736</v>
      </c>
      <c r="O327" s="17"/>
      <c r="P327" s="17"/>
      <c r="Q327" s="17"/>
      <c r="R327" s="17"/>
      <c r="S327" s="17"/>
      <c r="T327" s="686"/>
      <c r="U327" s="18">
        <f>РПЗ!P327</f>
        <v>43070</v>
      </c>
      <c r="V327" s="686"/>
      <c r="W327" s="236">
        <f>РПЗ!L327</f>
        <v>1890000</v>
      </c>
      <c r="X327" s="689"/>
      <c r="Y327" s="689"/>
      <c r="Z327" s="690"/>
      <c r="AA327" s="691"/>
      <c r="AB327" s="111"/>
      <c r="AC327" s="17"/>
      <c r="AD327" s="690"/>
      <c r="AE327" s="686"/>
      <c r="AF327" s="474"/>
      <c r="AG327" s="692"/>
      <c r="AH327" s="236" t="str">
        <f>IF(Таблица5[[#This Row],[30]]=0,"НД",Таблица5[[#This Row],[20]]-Таблица5[[#This Row],[30]])</f>
        <v>НД</v>
      </c>
      <c r="AI327" s="511" t="str">
        <f>IF(((1-Таблица5[[#This Row],[30]]/Таблица5[[#This Row],[20]])=1),"НД",(1-Таблица5[[#This Row],[30]]/Таблица5[[#This Row],[20]]))</f>
        <v>НД</v>
      </c>
      <c r="AJ327" s="111"/>
      <c r="AK327" s="111"/>
      <c r="AL327" s="512"/>
      <c r="AM327" s="513"/>
      <c r="AN327" s="465"/>
      <c r="AO327" s="468" t="str">
        <f>РПЗ!AD327</f>
        <v>Нет</v>
      </c>
      <c r="AP327" s="472">
        <f>РПЗ!V327</f>
        <v>0</v>
      </c>
      <c r="AQ327" s="470">
        <f>IF(Таблица5[[#This Row],[11]]=0,,MONTH(Таблица5[[#This Row],[11]]))</f>
        <v>1</v>
      </c>
    </row>
    <row r="328" spans="1:43" ht="51.75" thickBot="1" x14ac:dyDescent="0.3">
      <c r="A328" s="233" t="str">
        <f t="shared" si="5"/>
        <v>1004-2017-00313</v>
      </c>
      <c r="B328" s="233" t="str">
        <f>РПЗ!$D328</f>
        <v>1004-2017-00313Поставка иИзготовление и поставка активного элемента ГП3х50-Э0.1 категории "ВП"</v>
      </c>
      <c r="C328" s="233" t="str">
        <f>РПЗ!$AA328</f>
        <v>АО "НИИ "Полюс" им. М.Ф. Стельмаха" тел. отдела закупок 8-495-333-05-02</v>
      </c>
      <c r="D328" s="633" t="str">
        <f>РПЗ!$AB328</f>
        <v>Заказчик</v>
      </c>
      <c r="E328" s="96" t="s">
        <v>46</v>
      </c>
      <c r="F328" s="233" t="str">
        <f>РПЗ!Q328</f>
        <v>ЕП</v>
      </c>
      <c r="G328" s="237"/>
      <c r="H328" s="237" t="str">
        <f>РПЗ!R328</f>
        <v>Нет</v>
      </c>
      <c r="I328" s="15" t="str">
        <f>РПЗ!W328</f>
        <v>6.6.2(11)</v>
      </c>
      <c r="J328" s="233">
        <f>РПЗ!X328</f>
        <v>2635063350</v>
      </c>
      <c r="K328" s="283">
        <f>РПЗ!Z328</f>
        <v>3012770</v>
      </c>
      <c r="L328" s="17"/>
      <c r="M328" s="18">
        <f>РПЗ!O328</f>
        <v>42736</v>
      </c>
      <c r="N328" s="238">
        <f>Таблица5[[#This Row],[10]]</f>
        <v>42736</v>
      </c>
      <c r="O328" s="17"/>
      <c r="P328" s="17"/>
      <c r="Q328" s="17"/>
      <c r="R328" s="17"/>
      <c r="S328" s="17"/>
      <c r="T328" s="686"/>
      <c r="U328" s="18">
        <f>РПЗ!P328</f>
        <v>43070</v>
      </c>
      <c r="V328" s="686"/>
      <c r="W328" s="236">
        <f>РПЗ!L328</f>
        <v>3012770</v>
      </c>
      <c r="X328" s="689"/>
      <c r="Y328" s="689"/>
      <c r="Z328" s="690"/>
      <c r="AA328" s="691"/>
      <c r="AB328" s="111"/>
      <c r="AC328" s="17"/>
      <c r="AD328" s="690"/>
      <c r="AE328" s="686"/>
      <c r="AF328" s="474"/>
      <c r="AG328" s="692"/>
      <c r="AH328" s="236" t="str">
        <f>IF(Таблица5[[#This Row],[30]]=0,"НД",Таблица5[[#This Row],[20]]-Таблица5[[#This Row],[30]])</f>
        <v>НД</v>
      </c>
      <c r="AI328" s="511" t="str">
        <f>IF(((1-Таблица5[[#This Row],[30]]/Таблица5[[#This Row],[20]])=1),"НД",(1-Таблица5[[#This Row],[30]]/Таблица5[[#This Row],[20]]))</f>
        <v>НД</v>
      </c>
      <c r="AJ328" s="111"/>
      <c r="AK328" s="111"/>
      <c r="AL328" s="512"/>
      <c r="AM328" s="513"/>
      <c r="AN328" s="465"/>
      <c r="AO328" s="468" t="str">
        <f>РПЗ!AD328</f>
        <v>Нет</v>
      </c>
      <c r="AP328" s="472">
        <f>РПЗ!V328</f>
        <v>0</v>
      </c>
      <c r="AQ328" s="470">
        <f>IF(Таблица5[[#This Row],[11]]=0,,MONTH(Таблица5[[#This Row],[11]]))</f>
        <v>1</v>
      </c>
    </row>
    <row r="329" spans="1:43" ht="39" thickBot="1" x14ac:dyDescent="0.3">
      <c r="A329" s="233" t="str">
        <f t="shared" si="5"/>
        <v>1004-2017-00314</v>
      </c>
      <c r="B329" s="233" t="str">
        <f>РПЗ!$D329</f>
        <v>1004-2017-00314Поставка Катушка ЖГДК.671128.034 для изд. ЛД-294</v>
      </c>
      <c r="C329" s="233" t="str">
        <f>РПЗ!$AA329</f>
        <v>АО "НИИ "Полюс" им. М.Ф. Стельмаха" тел. отдела закупок 8-495-333-05-02</v>
      </c>
      <c r="D329" s="633" t="str">
        <f>РПЗ!$AB329</f>
        <v>Заказчик</v>
      </c>
      <c r="E329" s="96" t="s">
        <v>46</v>
      </c>
      <c r="F329" s="233" t="str">
        <f>РПЗ!Q329</f>
        <v>ЕП</v>
      </c>
      <c r="G329" s="237"/>
      <c r="H329" s="237" t="str">
        <f>РПЗ!R329</f>
        <v>Нет</v>
      </c>
      <c r="I329" s="15" t="str">
        <f>РПЗ!W329</f>
        <v>6.6.2(11)</v>
      </c>
      <c r="J329" s="233">
        <f>РПЗ!X329</f>
        <v>6829000109</v>
      </c>
      <c r="K329" s="283">
        <f>РПЗ!Z329</f>
        <v>150000</v>
      </c>
      <c r="L329" s="17"/>
      <c r="M329" s="18">
        <f>РПЗ!O329</f>
        <v>42736</v>
      </c>
      <c r="N329" s="238">
        <f>Таблица5[[#This Row],[10]]</f>
        <v>42736</v>
      </c>
      <c r="O329" s="17"/>
      <c r="P329" s="17"/>
      <c r="Q329" s="17"/>
      <c r="R329" s="17"/>
      <c r="S329" s="17"/>
      <c r="T329" s="686"/>
      <c r="U329" s="18">
        <f>РПЗ!P329</f>
        <v>43070</v>
      </c>
      <c r="V329" s="686"/>
      <c r="W329" s="236">
        <f>РПЗ!L329</f>
        <v>150000</v>
      </c>
      <c r="X329" s="689"/>
      <c r="Y329" s="689"/>
      <c r="Z329" s="690"/>
      <c r="AA329" s="691"/>
      <c r="AB329" s="111"/>
      <c r="AC329" s="17"/>
      <c r="AD329" s="690"/>
      <c r="AE329" s="686"/>
      <c r="AF329" s="474"/>
      <c r="AG329" s="692"/>
      <c r="AH329" s="236" t="str">
        <f>IF(Таблица5[[#This Row],[30]]=0,"НД",Таблица5[[#This Row],[20]]-Таблица5[[#This Row],[30]])</f>
        <v>НД</v>
      </c>
      <c r="AI329" s="511" t="str">
        <f>IF(((1-Таблица5[[#This Row],[30]]/Таблица5[[#This Row],[20]])=1),"НД",(1-Таблица5[[#This Row],[30]]/Таблица5[[#This Row],[20]]))</f>
        <v>НД</v>
      </c>
      <c r="AJ329" s="111"/>
      <c r="AK329" s="111"/>
      <c r="AL329" s="512"/>
      <c r="AM329" s="513"/>
      <c r="AN329" s="465"/>
      <c r="AO329" s="468" t="str">
        <f>РПЗ!AD329</f>
        <v>Нет</v>
      </c>
      <c r="AP329" s="472">
        <f>РПЗ!V329</f>
        <v>0</v>
      </c>
      <c r="AQ329" s="470">
        <f>IF(Таблица5[[#This Row],[11]]=0,,MONTH(Таблица5[[#This Row],[11]]))</f>
        <v>1</v>
      </c>
    </row>
    <row r="330" spans="1:43" ht="39" thickBot="1" x14ac:dyDescent="0.3">
      <c r="A330" s="233" t="str">
        <f t="shared" si="5"/>
        <v>1004-2017-00315</v>
      </c>
      <c r="B330" s="233" t="str">
        <f>РПЗ!$D330</f>
        <v>1004-2017-00315Поставка и Изготовление механических деталей для изд. МТД</v>
      </c>
      <c r="C330" s="233" t="str">
        <f>РПЗ!$AA330</f>
        <v>АО "НИИ "Полюс" им. М.Ф. Стельмаха" тел. отдела закупок 8-495-333-05-02</v>
      </c>
      <c r="D330" s="633" t="str">
        <f>РПЗ!$AB330</f>
        <v>Заказчик</v>
      </c>
      <c r="E330" s="96" t="s">
        <v>46</v>
      </c>
      <c r="F330" s="233" t="str">
        <f>РПЗ!Q330</f>
        <v>ЕП</v>
      </c>
      <c r="G330" s="237"/>
      <c r="H330" s="237" t="str">
        <f>РПЗ!R330</f>
        <v>Нет</v>
      </c>
      <c r="I330" s="15" t="str">
        <f>РПЗ!W330</f>
        <v>6.6.2(11)</v>
      </c>
      <c r="J330" s="233" t="str">
        <f>РПЗ!X330</f>
        <v>УНН 190437885</v>
      </c>
      <c r="K330" s="283">
        <f>РПЗ!Z330</f>
        <v>15015000</v>
      </c>
      <c r="L330" s="17"/>
      <c r="M330" s="18">
        <f>РПЗ!O330</f>
        <v>42767</v>
      </c>
      <c r="N330" s="238">
        <f>Таблица5[[#This Row],[10]]</f>
        <v>42767</v>
      </c>
      <c r="O330" s="17"/>
      <c r="P330" s="17"/>
      <c r="Q330" s="17"/>
      <c r="R330" s="17"/>
      <c r="S330" s="17"/>
      <c r="T330" s="686"/>
      <c r="U330" s="18">
        <f>РПЗ!P330</f>
        <v>43070</v>
      </c>
      <c r="V330" s="686"/>
      <c r="W330" s="236">
        <f>РПЗ!L330</f>
        <v>15015000</v>
      </c>
      <c r="X330" s="689"/>
      <c r="Y330" s="689"/>
      <c r="Z330" s="690"/>
      <c r="AA330" s="691"/>
      <c r="AB330" s="111"/>
      <c r="AC330" s="17"/>
      <c r="AD330" s="690"/>
      <c r="AE330" s="686"/>
      <c r="AF330" s="474"/>
      <c r="AG330" s="692"/>
      <c r="AH330" s="236" t="str">
        <f>IF(Таблица5[[#This Row],[30]]=0,"НД",Таблица5[[#This Row],[20]]-Таблица5[[#This Row],[30]])</f>
        <v>НД</v>
      </c>
      <c r="AI330" s="511" t="str">
        <f>IF(((1-Таблица5[[#This Row],[30]]/Таблица5[[#This Row],[20]])=1),"НД",(1-Таблица5[[#This Row],[30]]/Таблица5[[#This Row],[20]]))</f>
        <v>НД</v>
      </c>
      <c r="AJ330" s="111"/>
      <c r="AK330" s="111"/>
      <c r="AL330" s="512"/>
      <c r="AM330" s="513"/>
      <c r="AN330" s="465"/>
      <c r="AO330" s="468" t="str">
        <f>РПЗ!AD330</f>
        <v>Нет</v>
      </c>
      <c r="AP330" s="472">
        <f>РПЗ!V330</f>
        <v>0</v>
      </c>
      <c r="AQ330" s="470">
        <f>IF(Таблица5[[#This Row],[11]]=0,,MONTH(Таблица5[[#This Row],[11]]))</f>
        <v>2</v>
      </c>
    </row>
    <row r="331" spans="1:43" ht="39" thickBot="1" x14ac:dyDescent="0.3">
      <c r="A331" s="233" t="str">
        <f t="shared" si="5"/>
        <v>1004-2017-00316</v>
      </c>
      <c r="B331" s="233" t="str">
        <f>РПЗ!$D331</f>
        <v>1004-2017-00316Поставка иИзготовление и поставка печатных плат для изд. МТД</v>
      </c>
      <c r="C331" s="233" t="str">
        <f>РПЗ!$AA331</f>
        <v>АО "НИИ "Полюс" им. М.Ф. Стельмаха" тел. отдела закупок 8-495-333-05-02</v>
      </c>
      <c r="D331" s="633" t="str">
        <f>РПЗ!$AB331</f>
        <v>Заказчик</v>
      </c>
      <c r="E331" s="96" t="s">
        <v>46</v>
      </c>
      <c r="F331" s="233" t="str">
        <f>РПЗ!Q331</f>
        <v>ЕП</v>
      </c>
      <c r="G331" s="237"/>
      <c r="H331" s="237" t="str">
        <f>РПЗ!R331</f>
        <v>Нет</v>
      </c>
      <c r="I331" s="15" t="str">
        <f>РПЗ!W331</f>
        <v>6.6.2(11)</v>
      </c>
      <c r="J331" s="233">
        <f>РПЗ!X331</f>
        <v>7735127006</v>
      </c>
      <c r="K331" s="283">
        <f>РПЗ!Z331</f>
        <v>250000</v>
      </c>
      <c r="L331" s="17"/>
      <c r="M331" s="18">
        <f>РПЗ!O331</f>
        <v>42767</v>
      </c>
      <c r="N331" s="238">
        <f>Таблица5[[#This Row],[10]]</f>
        <v>42767</v>
      </c>
      <c r="O331" s="17"/>
      <c r="P331" s="17"/>
      <c r="Q331" s="17"/>
      <c r="R331" s="17"/>
      <c r="S331" s="17"/>
      <c r="T331" s="686"/>
      <c r="U331" s="18">
        <f>РПЗ!P331</f>
        <v>43070</v>
      </c>
      <c r="V331" s="686"/>
      <c r="W331" s="236">
        <f>РПЗ!L331</f>
        <v>250000</v>
      </c>
      <c r="X331" s="689"/>
      <c r="Y331" s="689"/>
      <c r="Z331" s="690"/>
      <c r="AA331" s="691"/>
      <c r="AB331" s="111"/>
      <c r="AC331" s="17"/>
      <c r="AD331" s="690"/>
      <c r="AE331" s="686"/>
      <c r="AF331" s="474"/>
      <c r="AG331" s="692"/>
      <c r="AH331" s="236" t="str">
        <f>IF(Таблица5[[#This Row],[30]]=0,"НД",Таблица5[[#This Row],[20]]-Таблица5[[#This Row],[30]])</f>
        <v>НД</v>
      </c>
      <c r="AI331" s="511" t="str">
        <f>IF(((1-Таблица5[[#This Row],[30]]/Таблица5[[#This Row],[20]])=1),"НД",(1-Таблица5[[#This Row],[30]]/Таблица5[[#This Row],[20]]))</f>
        <v>НД</v>
      </c>
      <c r="AJ331" s="111"/>
      <c r="AK331" s="111"/>
      <c r="AL331" s="512"/>
      <c r="AM331" s="513"/>
      <c r="AN331" s="465"/>
      <c r="AO331" s="468" t="str">
        <f>РПЗ!AD331</f>
        <v>Нет</v>
      </c>
      <c r="AP331" s="472">
        <f>РПЗ!V331</f>
        <v>0</v>
      </c>
      <c r="AQ331" s="470">
        <f>IF(Таблица5[[#This Row],[11]]=0,,MONTH(Таблица5[[#This Row],[11]]))</f>
        <v>2</v>
      </c>
    </row>
    <row r="332" spans="1:43" ht="39" thickBot="1" x14ac:dyDescent="0.3">
      <c r="A332" s="233" t="str">
        <f t="shared" si="5"/>
        <v>1004-2017-00317</v>
      </c>
      <c r="B332" s="233" t="str">
        <f>РПЗ!$D332</f>
        <v>1004-2017-00317Поставка Катушка ЖГДК.671128.034 для МТД</v>
      </c>
      <c r="C332" s="233" t="str">
        <f>РПЗ!$AA332</f>
        <v>АО "НИИ "Полюс" им. М.Ф. Стельмаха" тел. отдела закупок 8-495-333-05-02</v>
      </c>
      <c r="D332" s="633" t="str">
        <f>РПЗ!$AB332</f>
        <v>Заказчик</v>
      </c>
      <c r="E332" s="96" t="s">
        <v>46</v>
      </c>
      <c r="F332" s="233" t="str">
        <f>РПЗ!Q332</f>
        <v>ЕП</v>
      </c>
      <c r="G332" s="237"/>
      <c r="H332" s="237" t="str">
        <f>РПЗ!R332</f>
        <v>Нет</v>
      </c>
      <c r="I332" s="15" t="str">
        <f>РПЗ!W332</f>
        <v>6.6.2(11)</v>
      </c>
      <c r="J332" s="233">
        <f>РПЗ!X332</f>
        <v>6829000109</v>
      </c>
      <c r="K332" s="283">
        <f>РПЗ!Z332</f>
        <v>184000</v>
      </c>
      <c r="L332" s="17"/>
      <c r="M332" s="18">
        <f>РПЗ!O332</f>
        <v>42767</v>
      </c>
      <c r="N332" s="238">
        <f>Таблица5[[#This Row],[10]]</f>
        <v>42767</v>
      </c>
      <c r="O332" s="17"/>
      <c r="P332" s="17"/>
      <c r="Q332" s="17"/>
      <c r="R332" s="17"/>
      <c r="S332" s="17"/>
      <c r="T332" s="686"/>
      <c r="U332" s="18">
        <f>РПЗ!P332</f>
        <v>43070</v>
      </c>
      <c r="V332" s="686"/>
      <c r="W332" s="236">
        <f>РПЗ!L332</f>
        <v>184000</v>
      </c>
      <c r="X332" s="689"/>
      <c r="Y332" s="689"/>
      <c r="Z332" s="690"/>
      <c r="AA332" s="691"/>
      <c r="AB332" s="111"/>
      <c r="AC332" s="17"/>
      <c r="AD332" s="690"/>
      <c r="AE332" s="686"/>
      <c r="AF332" s="474"/>
      <c r="AG332" s="692"/>
      <c r="AH332" s="236" t="str">
        <f>IF(Таблица5[[#This Row],[30]]=0,"НД",Таблица5[[#This Row],[20]]-Таблица5[[#This Row],[30]])</f>
        <v>НД</v>
      </c>
      <c r="AI332" s="511" t="str">
        <f>IF(((1-Таблица5[[#This Row],[30]]/Таблица5[[#This Row],[20]])=1),"НД",(1-Таблица5[[#This Row],[30]]/Таблица5[[#This Row],[20]]))</f>
        <v>НД</v>
      </c>
      <c r="AJ332" s="111"/>
      <c r="AK332" s="111"/>
      <c r="AL332" s="512"/>
      <c r="AM332" s="513"/>
      <c r="AN332" s="465"/>
      <c r="AO332" s="468" t="str">
        <f>РПЗ!AD332</f>
        <v>Нет</v>
      </c>
      <c r="AP332" s="472">
        <f>РПЗ!V332</f>
        <v>0</v>
      </c>
      <c r="AQ332" s="470">
        <f>IF(Таблица5[[#This Row],[11]]=0,,MONTH(Таблица5[[#This Row],[11]]))</f>
        <v>2</v>
      </c>
    </row>
    <row r="333" spans="1:43" ht="39" thickBot="1" x14ac:dyDescent="0.3">
      <c r="A333" s="233" t="str">
        <f t="shared" si="5"/>
        <v>1004-2017-00318</v>
      </c>
      <c r="B333" s="233" t="str">
        <f>РПЗ!$D333</f>
        <v>1004-2017-00318Поставка Зеркало ЖГДК.203622.003</v>
      </c>
      <c r="C333" s="233" t="str">
        <f>РПЗ!$AA333</f>
        <v>АО "НИИ "Полюс" им. М.Ф. Стельмаха" тел. отдела закупок 8-495-333-05-02</v>
      </c>
      <c r="D333" s="633" t="str">
        <f>РПЗ!$AB333</f>
        <v>Заказчик</v>
      </c>
      <c r="E333" s="96" t="s">
        <v>46</v>
      </c>
      <c r="F333" s="233" t="str">
        <f>РПЗ!Q333</f>
        <v>ЕП</v>
      </c>
      <c r="G333" s="237"/>
      <c r="H333" s="237" t="str">
        <f>РПЗ!R333</f>
        <v>Нет</v>
      </c>
      <c r="I333" s="15" t="str">
        <f>РПЗ!W333</f>
        <v>6.6.2(11)</v>
      </c>
      <c r="J333" s="233">
        <f>РПЗ!X333</f>
        <v>7727768951</v>
      </c>
      <c r="K333" s="283">
        <f>РПЗ!Z333</f>
        <v>345000</v>
      </c>
      <c r="L333" s="17"/>
      <c r="M333" s="18">
        <f>РПЗ!O333</f>
        <v>42736</v>
      </c>
      <c r="N333" s="238">
        <f>Таблица5[[#This Row],[10]]</f>
        <v>42736</v>
      </c>
      <c r="O333" s="17"/>
      <c r="P333" s="17"/>
      <c r="Q333" s="17"/>
      <c r="R333" s="17"/>
      <c r="S333" s="17"/>
      <c r="T333" s="686"/>
      <c r="U333" s="18">
        <f>РПЗ!P333</f>
        <v>43070</v>
      </c>
      <c r="V333" s="686"/>
      <c r="W333" s="236">
        <f>РПЗ!L333</f>
        <v>345000</v>
      </c>
      <c r="X333" s="689"/>
      <c r="Y333" s="689"/>
      <c r="Z333" s="690"/>
      <c r="AA333" s="691"/>
      <c r="AB333" s="111"/>
      <c r="AC333" s="17"/>
      <c r="AD333" s="690"/>
      <c r="AE333" s="686"/>
      <c r="AF333" s="474"/>
      <c r="AG333" s="692"/>
      <c r="AH333" s="236" t="str">
        <f>IF(Таблица5[[#This Row],[30]]=0,"НД",Таблица5[[#This Row],[20]]-Таблица5[[#This Row],[30]])</f>
        <v>НД</v>
      </c>
      <c r="AI333" s="511" t="str">
        <f>IF(((1-Таблица5[[#This Row],[30]]/Таблица5[[#This Row],[20]])=1),"НД",(1-Таблица5[[#This Row],[30]]/Таблица5[[#This Row],[20]]))</f>
        <v>НД</v>
      </c>
      <c r="AJ333" s="111"/>
      <c r="AK333" s="111"/>
      <c r="AL333" s="512"/>
      <c r="AM333" s="513"/>
      <c r="AN333" s="465"/>
      <c r="AO333" s="468" t="str">
        <f>РПЗ!AD333</f>
        <v>Нет</v>
      </c>
      <c r="AP333" s="472">
        <f>РПЗ!V333</f>
        <v>0</v>
      </c>
      <c r="AQ333" s="470">
        <f>IF(Таблица5[[#This Row],[11]]=0,,MONTH(Таблица5[[#This Row],[11]]))</f>
        <v>1</v>
      </c>
    </row>
    <row r="334" spans="1:43" ht="39" thickBot="1" x14ac:dyDescent="0.3">
      <c r="A334" s="233" t="str">
        <f t="shared" si="5"/>
        <v>1004-2017-00319</v>
      </c>
      <c r="B334" s="233" t="str">
        <f>РПЗ!$D334</f>
        <v>1004-2017-00319Поставка Печатные платы для МТ-401</v>
      </c>
      <c r="C334" s="233" t="str">
        <f>РПЗ!$AA334</f>
        <v>АО "НИИ "Полюс" им. М.Ф. Стельмаха" тел. отдела закупок 8-495-333-05-02</v>
      </c>
      <c r="D334" s="633" t="str">
        <f>РПЗ!$AB334</f>
        <v>Заказчик</v>
      </c>
      <c r="E334" s="96" t="s">
        <v>46</v>
      </c>
      <c r="F334" s="233" t="str">
        <f>РПЗ!Q334</f>
        <v>ЕП</v>
      </c>
      <c r="G334" s="237"/>
      <c r="H334" s="237" t="str">
        <f>РПЗ!R334</f>
        <v>Нет</v>
      </c>
      <c r="I334" s="15" t="str">
        <f>РПЗ!W334</f>
        <v>6.6.2(11)</v>
      </c>
      <c r="J334" s="233">
        <f>РПЗ!X334</f>
        <v>7735127006</v>
      </c>
      <c r="K334" s="283">
        <f>РПЗ!Z334</f>
        <v>291000</v>
      </c>
      <c r="L334" s="17"/>
      <c r="M334" s="18">
        <f>РПЗ!O334</f>
        <v>42736</v>
      </c>
      <c r="N334" s="238">
        <f>Таблица5[[#This Row],[10]]</f>
        <v>42736</v>
      </c>
      <c r="O334" s="17"/>
      <c r="P334" s="17"/>
      <c r="Q334" s="17"/>
      <c r="R334" s="17"/>
      <c r="S334" s="17"/>
      <c r="T334" s="686"/>
      <c r="U334" s="18">
        <f>РПЗ!P334</f>
        <v>43070</v>
      </c>
      <c r="V334" s="686"/>
      <c r="W334" s="236">
        <f>РПЗ!L334</f>
        <v>291000</v>
      </c>
      <c r="X334" s="689"/>
      <c r="Y334" s="689"/>
      <c r="Z334" s="690"/>
      <c r="AA334" s="691"/>
      <c r="AB334" s="111"/>
      <c r="AC334" s="17"/>
      <c r="AD334" s="690"/>
      <c r="AE334" s="686"/>
      <c r="AF334" s="474"/>
      <c r="AG334" s="692"/>
      <c r="AH334" s="236" t="str">
        <f>IF(Таблица5[[#This Row],[30]]=0,"НД",Таблица5[[#This Row],[20]]-Таблица5[[#This Row],[30]])</f>
        <v>НД</v>
      </c>
      <c r="AI334" s="511" t="str">
        <f>IF(((1-Таблица5[[#This Row],[30]]/Таблица5[[#This Row],[20]])=1),"НД",(1-Таблица5[[#This Row],[30]]/Таблица5[[#This Row],[20]]))</f>
        <v>НД</v>
      </c>
      <c r="AJ334" s="111"/>
      <c r="AK334" s="111"/>
      <c r="AL334" s="512"/>
      <c r="AM334" s="513"/>
      <c r="AN334" s="465"/>
      <c r="AO334" s="468" t="str">
        <f>РПЗ!AD334</f>
        <v>Нет</v>
      </c>
      <c r="AP334" s="472">
        <f>РПЗ!V334</f>
        <v>0</v>
      </c>
      <c r="AQ334" s="470">
        <f>IF(Таблица5[[#This Row],[11]]=0,,MONTH(Таблица5[[#This Row],[11]]))</f>
        <v>1</v>
      </c>
    </row>
    <row r="335" spans="1:43" ht="39" thickBot="1" x14ac:dyDescent="0.3">
      <c r="A335" s="233" t="str">
        <f t="shared" si="5"/>
        <v>1004-2017-00320</v>
      </c>
      <c r="B335" s="233" t="str">
        <f>РПЗ!$D335</f>
        <v>1004-2017-00320Поставка Печатные платы для МТ-401</v>
      </c>
      <c r="C335" s="233" t="str">
        <f>РПЗ!$AA335</f>
        <v>АО "НИИ "Полюс" им. М.Ф. Стельмаха" тел. отдела закупок 8-495-333-05-02</v>
      </c>
      <c r="D335" s="633" t="str">
        <f>РПЗ!$AB335</f>
        <v>Заказчик</v>
      </c>
      <c r="E335" s="96" t="s">
        <v>46</v>
      </c>
      <c r="F335" s="233" t="str">
        <f>РПЗ!Q335</f>
        <v>ЕП</v>
      </c>
      <c r="G335" s="237"/>
      <c r="H335" s="237" t="str">
        <f>РПЗ!R335</f>
        <v>Нет</v>
      </c>
      <c r="I335" s="15" t="str">
        <f>РПЗ!W335</f>
        <v>6.6.2(11)</v>
      </c>
      <c r="J335" s="233">
        <f>РПЗ!X335</f>
        <v>7735127006</v>
      </c>
      <c r="K335" s="283">
        <f>РПЗ!Z335</f>
        <v>356000</v>
      </c>
      <c r="L335" s="17"/>
      <c r="M335" s="18">
        <f>РПЗ!O335</f>
        <v>42736</v>
      </c>
      <c r="N335" s="238">
        <f>Таблица5[[#This Row],[10]]</f>
        <v>42736</v>
      </c>
      <c r="O335" s="17"/>
      <c r="P335" s="17"/>
      <c r="Q335" s="17"/>
      <c r="R335" s="17"/>
      <c r="S335" s="17"/>
      <c r="T335" s="686"/>
      <c r="U335" s="18">
        <f>РПЗ!P335</f>
        <v>43070</v>
      </c>
      <c r="V335" s="686"/>
      <c r="W335" s="236">
        <f>РПЗ!L335</f>
        <v>356000</v>
      </c>
      <c r="X335" s="689"/>
      <c r="Y335" s="689"/>
      <c r="Z335" s="690"/>
      <c r="AA335" s="691"/>
      <c r="AB335" s="111"/>
      <c r="AC335" s="17"/>
      <c r="AD335" s="690"/>
      <c r="AE335" s="686"/>
      <c r="AF335" s="474"/>
      <c r="AG335" s="692"/>
      <c r="AH335" s="236" t="str">
        <f>IF(Таблица5[[#This Row],[30]]=0,"НД",Таблица5[[#This Row],[20]]-Таблица5[[#This Row],[30]])</f>
        <v>НД</v>
      </c>
      <c r="AI335" s="511" t="str">
        <f>IF(((1-Таблица5[[#This Row],[30]]/Таблица5[[#This Row],[20]])=1),"НД",(1-Таблица5[[#This Row],[30]]/Таблица5[[#This Row],[20]]))</f>
        <v>НД</v>
      </c>
      <c r="AJ335" s="111"/>
      <c r="AK335" s="111"/>
      <c r="AL335" s="512"/>
      <c r="AM335" s="513"/>
      <c r="AN335" s="465"/>
      <c r="AO335" s="468" t="str">
        <f>РПЗ!AD335</f>
        <v>Нет</v>
      </c>
      <c r="AP335" s="472">
        <f>РПЗ!V335</f>
        <v>0</v>
      </c>
      <c r="AQ335" s="470">
        <f>IF(Таблица5[[#This Row],[11]]=0,,MONTH(Таблица5[[#This Row],[11]]))</f>
        <v>1</v>
      </c>
    </row>
    <row r="336" spans="1:43" ht="39" thickBot="1" x14ac:dyDescent="0.3">
      <c r="A336" s="233" t="str">
        <f t="shared" si="5"/>
        <v>1004-2017-00321</v>
      </c>
      <c r="B336" s="233" t="str">
        <f>РПЗ!$D336</f>
        <v>1004-2017-00321Поставка Печатные платы для МТ-401</v>
      </c>
      <c r="C336" s="233" t="str">
        <f>РПЗ!$AA336</f>
        <v>АО "НИИ "Полюс" им. М.Ф. Стельмаха" тел. отдела закупок 8-495-333-05-02</v>
      </c>
      <c r="D336" s="633" t="str">
        <f>РПЗ!$AB336</f>
        <v>Заказчик</v>
      </c>
      <c r="E336" s="96" t="s">
        <v>46</v>
      </c>
      <c r="F336" s="233" t="str">
        <f>РПЗ!Q336</f>
        <v>ЕП</v>
      </c>
      <c r="G336" s="237"/>
      <c r="H336" s="237" t="str">
        <f>РПЗ!R336</f>
        <v>Нет</v>
      </c>
      <c r="I336" s="15" t="str">
        <f>РПЗ!W336</f>
        <v>6.6.2(11)</v>
      </c>
      <c r="J336" s="233">
        <f>РПЗ!X336</f>
        <v>7735127006</v>
      </c>
      <c r="K336" s="283">
        <f>РПЗ!Z336</f>
        <v>647000</v>
      </c>
      <c r="L336" s="17"/>
      <c r="M336" s="18">
        <f>РПЗ!O336</f>
        <v>42736</v>
      </c>
      <c r="N336" s="238">
        <f>Таблица5[[#This Row],[10]]</f>
        <v>42736</v>
      </c>
      <c r="O336" s="17"/>
      <c r="P336" s="17"/>
      <c r="Q336" s="17"/>
      <c r="R336" s="17"/>
      <c r="S336" s="17"/>
      <c r="T336" s="686"/>
      <c r="U336" s="18">
        <f>РПЗ!P336</f>
        <v>43070</v>
      </c>
      <c r="V336" s="686"/>
      <c r="W336" s="236">
        <f>РПЗ!L336</f>
        <v>647000</v>
      </c>
      <c r="X336" s="689"/>
      <c r="Y336" s="689"/>
      <c r="Z336" s="690"/>
      <c r="AA336" s="691"/>
      <c r="AB336" s="111"/>
      <c r="AC336" s="17"/>
      <c r="AD336" s="690"/>
      <c r="AE336" s="686"/>
      <c r="AF336" s="474"/>
      <c r="AG336" s="692"/>
      <c r="AH336" s="236" t="str">
        <f>IF(Таблица5[[#This Row],[30]]=0,"НД",Таблица5[[#This Row],[20]]-Таблица5[[#This Row],[30]])</f>
        <v>НД</v>
      </c>
      <c r="AI336" s="511" t="str">
        <f>IF(((1-Таблица5[[#This Row],[30]]/Таблица5[[#This Row],[20]])=1),"НД",(1-Таблица5[[#This Row],[30]]/Таблица5[[#This Row],[20]]))</f>
        <v>НД</v>
      </c>
      <c r="AJ336" s="111"/>
      <c r="AK336" s="111"/>
      <c r="AL336" s="512"/>
      <c r="AM336" s="513"/>
      <c r="AN336" s="465"/>
      <c r="AO336" s="468" t="str">
        <f>РПЗ!AD336</f>
        <v>Нет</v>
      </c>
      <c r="AP336" s="472">
        <f>РПЗ!V336</f>
        <v>0</v>
      </c>
      <c r="AQ336" s="470">
        <f>IF(Таблица5[[#This Row],[11]]=0,,MONTH(Таблица5[[#This Row],[11]]))</f>
        <v>1</v>
      </c>
    </row>
    <row r="337" spans="1:43" ht="39" thickBot="1" x14ac:dyDescent="0.3">
      <c r="A337" s="233" t="str">
        <f t="shared" si="5"/>
        <v>1004-2017-00322</v>
      </c>
      <c r="B337" s="233" t="str">
        <f>РПЗ!$D337</f>
        <v>1004-2017-00322Поставка Механические детали для МТ-401</v>
      </c>
      <c r="C337" s="233" t="str">
        <f>РПЗ!$AA337</f>
        <v>АО "НИИ "Полюс" им. М.Ф. Стельмаха" тел. отдела закупок 8-495-333-05-02</v>
      </c>
      <c r="D337" s="633" t="str">
        <f>РПЗ!$AB337</f>
        <v>Заказчик</v>
      </c>
      <c r="E337" s="96" t="s">
        <v>46</v>
      </c>
      <c r="F337" s="233" t="str">
        <f>РПЗ!Q337</f>
        <v>ЕП</v>
      </c>
      <c r="G337" s="237"/>
      <c r="H337" s="237" t="str">
        <f>РПЗ!R337</f>
        <v>Нет</v>
      </c>
      <c r="I337" s="15" t="str">
        <f>РПЗ!W337</f>
        <v>6.6.2(11)</v>
      </c>
      <c r="J337" s="233" t="str">
        <f>РПЗ!X337</f>
        <v>УНН 190437885</v>
      </c>
      <c r="K337" s="283">
        <f>РПЗ!Z337</f>
        <v>1926000</v>
      </c>
      <c r="L337" s="17"/>
      <c r="M337" s="18">
        <f>РПЗ!O337</f>
        <v>42736</v>
      </c>
      <c r="N337" s="238">
        <f>Таблица5[[#This Row],[10]]</f>
        <v>42736</v>
      </c>
      <c r="O337" s="17"/>
      <c r="P337" s="17"/>
      <c r="Q337" s="17"/>
      <c r="R337" s="17"/>
      <c r="S337" s="17"/>
      <c r="T337" s="686"/>
      <c r="U337" s="18">
        <f>РПЗ!P337</f>
        <v>43070</v>
      </c>
      <c r="V337" s="686"/>
      <c r="W337" s="236">
        <f>РПЗ!L337</f>
        <v>1926000</v>
      </c>
      <c r="X337" s="689"/>
      <c r="Y337" s="689"/>
      <c r="Z337" s="690"/>
      <c r="AA337" s="691"/>
      <c r="AB337" s="111"/>
      <c r="AC337" s="17"/>
      <c r="AD337" s="690"/>
      <c r="AE337" s="686"/>
      <c r="AF337" s="474"/>
      <c r="AG337" s="692"/>
      <c r="AH337" s="236" t="str">
        <f>IF(Таблица5[[#This Row],[30]]=0,"НД",Таблица5[[#This Row],[20]]-Таблица5[[#This Row],[30]])</f>
        <v>НД</v>
      </c>
      <c r="AI337" s="511" t="str">
        <f>IF(((1-Таблица5[[#This Row],[30]]/Таблица5[[#This Row],[20]])=1),"НД",(1-Таблица5[[#This Row],[30]]/Таблица5[[#This Row],[20]]))</f>
        <v>НД</v>
      </c>
      <c r="AJ337" s="111"/>
      <c r="AK337" s="111"/>
      <c r="AL337" s="512"/>
      <c r="AM337" s="513"/>
      <c r="AN337" s="465"/>
      <c r="AO337" s="468" t="str">
        <f>РПЗ!AD337</f>
        <v>Нет</v>
      </c>
      <c r="AP337" s="472">
        <f>РПЗ!V337</f>
        <v>0</v>
      </c>
      <c r="AQ337" s="470">
        <f>IF(Таблица5[[#This Row],[11]]=0,,MONTH(Таблица5[[#This Row],[11]]))</f>
        <v>1</v>
      </c>
    </row>
    <row r="338" spans="1:43" ht="38.25" x14ac:dyDescent="0.25">
      <c r="A338" s="233" t="str">
        <f t="shared" si="5"/>
        <v>1004-2017-00323</v>
      </c>
      <c r="B338" s="233" t="str">
        <f>РПЗ!$D338</f>
        <v>1004-2017-00323Поставка Механические детали для МТ-401</v>
      </c>
      <c r="C338" s="233" t="str">
        <f>РПЗ!$AA338</f>
        <v>АО "НИИ "Полюс" им. М.Ф. Стельмаха" тел. отдела закупок 8-495-333-05-02</v>
      </c>
      <c r="D338" s="633" t="str">
        <f>РПЗ!$AB338</f>
        <v>Заказчик</v>
      </c>
      <c r="E338" s="96" t="s">
        <v>46</v>
      </c>
      <c r="F338" s="233" t="str">
        <f>РПЗ!Q338</f>
        <v>ОЗК</v>
      </c>
      <c r="G338" s="237"/>
      <c r="H338" s="237" t="str">
        <f>РПЗ!R338</f>
        <v>да</v>
      </c>
      <c r="I338" s="15">
        <f>РПЗ!W338</f>
        <v>0</v>
      </c>
      <c r="J338" s="233">
        <f>РПЗ!X338</f>
        <v>0</v>
      </c>
      <c r="K338" s="283">
        <f>РПЗ!Z338</f>
        <v>0</v>
      </c>
      <c r="L338" s="17"/>
      <c r="M338" s="18">
        <f>РПЗ!O338</f>
        <v>42736</v>
      </c>
      <c r="N338" s="238">
        <f>Таблица5[[#This Row],[10]]</f>
        <v>42736</v>
      </c>
      <c r="O338" s="17"/>
      <c r="P338" s="17"/>
      <c r="Q338" s="17"/>
      <c r="R338" s="17"/>
      <c r="S338" s="17"/>
      <c r="T338" s="686"/>
      <c r="U338" s="18">
        <f>РПЗ!P338</f>
        <v>43070</v>
      </c>
      <c r="V338" s="686"/>
      <c r="W338" s="236">
        <f>РПЗ!L338</f>
        <v>2354000</v>
      </c>
      <c r="X338" s="689"/>
      <c r="Y338" s="689"/>
      <c r="Z338" s="690"/>
      <c r="AA338" s="691"/>
      <c r="AB338" s="111"/>
      <c r="AC338" s="17"/>
      <c r="AD338" s="690"/>
      <c r="AE338" s="686"/>
      <c r="AF338" s="474"/>
      <c r="AG338" s="692"/>
      <c r="AH338" s="236" t="str">
        <f>IF(Таблица5[[#This Row],[30]]=0,"НД",Таблица5[[#This Row],[20]]-Таблица5[[#This Row],[30]])</f>
        <v>НД</v>
      </c>
      <c r="AI338" s="511" t="str">
        <f>IF(((1-Таблица5[[#This Row],[30]]/Таблица5[[#This Row],[20]])=1),"НД",(1-Таблица5[[#This Row],[30]]/Таблица5[[#This Row],[20]]))</f>
        <v>НД</v>
      </c>
      <c r="AJ338" s="111"/>
      <c r="AK338" s="111"/>
      <c r="AL338" s="512"/>
      <c r="AM338" s="513"/>
      <c r="AN338" s="465"/>
      <c r="AO338" s="468" t="str">
        <f>РПЗ!AD338</f>
        <v>Нет</v>
      </c>
      <c r="AP338" s="472">
        <f>РПЗ!V338</f>
        <v>0</v>
      </c>
      <c r="AQ338" s="470">
        <f>IF(Таблица5[[#This Row],[11]]=0,,MONTH(Таблица5[[#This Row],[11]]))</f>
        <v>1</v>
      </c>
    </row>
    <row r="339" spans="1:43" ht="39" thickBot="1" x14ac:dyDescent="0.3">
      <c r="A339" s="233" t="str">
        <f t="shared" si="5"/>
        <v>1004-2017-00324</v>
      </c>
      <c r="B339" s="233" t="str">
        <f>РПЗ!$D339</f>
        <v>1004-2017-00324Поставка Механические детали для МТ-401</v>
      </c>
      <c r="C339" s="233" t="str">
        <f>РПЗ!$AA339</f>
        <v>АО "НИИ "Полюс" им. М.Ф. Стельмаха" тел. отдела закупок 8-495-333-05-02</v>
      </c>
      <c r="D339" s="633" t="str">
        <f>РПЗ!$AB339</f>
        <v>Заказчик</v>
      </c>
      <c r="E339" s="510" t="s">
        <v>62</v>
      </c>
      <c r="F339" s="233" t="str">
        <f>РПЗ!Q339</f>
        <v>ЕП</v>
      </c>
      <c r="G339" s="237" t="str">
        <f>Таблица5[[#This Row],[6]]</f>
        <v>ЕП</v>
      </c>
      <c r="H339" s="237" t="str">
        <f>РПЗ!R339</f>
        <v>Нет</v>
      </c>
      <c r="I339" s="15" t="str">
        <f>РПЗ!W339</f>
        <v>6.6.2(11)</v>
      </c>
      <c r="J339" s="233" t="str">
        <f>РПЗ!X339</f>
        <v>УНН 190437885</v>
      </c>
      <c r="K339" s="283">
        <f>РПЗ!Z339</f>
        <v>4472720</v>
      </c>
      <c r="L339" s="17">
        <v>42765</v>
      </c>
      <c r="M339" s="18">
        <f>РПЗ!O339</f>
        <v>42736</v>
      </c>
      <c r="N339" s="238">
        <f>Таблица5[[#This Row],[10]]</f>
        <v>42736</v>
      </c>
      <c r="O339" s="17"/>
      <c r="P339" s="17"/>
      <c r="Q339" s="17"/>
      <c r="R339" s="17"/>
      <c r="S339" s="17"/>
      <c r="T339" s="695" t="s">
        <v>2332</v>
      </c>
      <c r="U339" s="18">
        <f>РПЗ!P339</f>
        <v>43070</v>
      </c>
      <c r="V339" s="760">
        <v>42887</v>
      </c>
      <c r="W339" s="236">
        <f>РПЗ!L339</f>
        <v>4472720</v>
      </c>
      <c r="X339" s="689">
        <v>1</v>
      </c>
      <c r="Y339" s="689"/>
      <c r="Z339" s="691">
        <v>190437885</v>
      </c>
      <c r="AA339" s="691" t="s">
        <v>2335</v>
      </c>
      <c r="AB339" s="111">
        <v>4472720</v>
      </c>
      <c r="AC339" s="808">
        <v>42887</v>
      </c>
      <c r="AD339" s="810" t="s">
        <v>2336</v>
      </c>
      <c r="AE339" s="703" t="s">
        <v>2332</v>
      </c>
      <c r="AF339" s="474"/>
      <c r="AG339" s="827">
        <v>4472720</v>
      </c>
      <c r="AH339" s="236">
        <f>IF(Таблица5[[#This Row],[30]]=0,"НД",Таблица5[[#This Row],[20]]-Таблица5[[#This Row],[30]])</f>
        <v>0</v>
      </c>
      <c r="AI339" s="511">
        <f>IF(((1-Таблица5[[#This Row],[30]]/Таблица5[[#This Row],[20]])=1),"НД",(1-Таблица5[[#This Row],[30]]/Таблица5[[#This Row],[20]]))</f>
        <v>0</v>
      </c>
      <c r="AJ339" s="111"/>
      <c r="AK339" s="111"/>
      <c r="AL339" s="512"/>
      <c r="AM339" s="513" t="s">
        <v>113</v>
      </c>
      <c r="AN339" s="801">
        <v>31704733273</v>
      </c>
      <c r="AO339" s="468" t="str">
        <f>РПЗ!AD339</f>
        <v>Нет</v>
      </c>
      <c r="AP339" s="472">
        <f>РПЗ!V339</f>
        <v>0</v>
      </c>
      <c r="AQ339" s="470">
        <f>IF(Таблица5[[#This Row],[11]]=0,,MONTH(Таблица5[[#This Row],[11]]))</f>
        <v>1</v>
      </c>
    </row>
    <row r="340" spans="1:43" ht="39" thickBot="1" x14ac:dyDescent="0.3">
      <c r="A340" s="233" t="str">
        <f t="shared" si="5"/>
        <v>1004-2017-00325</v>
      </c>
      <c r="B340" s="233" t="str">
        <f>РПЗ!$D340</f>
        <v>1004-2017-00325Поставка Механические детали для ИЗ-103</v>
      </c>
      <c r="C340" s="233" t="str">
        <f>РПЗ!$AA340</f>
        <v>АО "НИИ "Полюс" им. М.Ф. Стельмаха" тел. отдела закупок 8-495-333-05-02</v>
      </c>
      <c r="D340" s="633" t="str">
        <f>РПЗ!$AB340</f>
        <v>Заказчик</v>
      </c>
      <c r="E340" s="96" t="s">
        <v>46</v>
      </c>
      <c r="F340" s="233" t="str">
        <f>РПЗ!Q340</f>
        <v>ЕП</v>
      </c>
      <c r="G340" s="237"/>
      <c r="H340" s="237" t="str">
        <f>РПЗ!R340</f>
        <v>Нет</v>
      </c>
      <c r="I340" s="15" t="str">
        <f>РПЗ!W340</f>
        <v>6.6.2(11)</v>
      </c>
      <c r="J340" s="233" t="str">
        <f>РПЗ!X340</f>
        <v>УНН 190437885</v>
      </c>
      <c r="K340" s="283">
        <f>РПЗ!Z340</f>
        <v>632000</v>
      </c>
      <c r="L340" s="17"/>
      <c r="M340" s="18">
        <f>РПЗ!O340</f>
        <v>42767</v>
      </c>
      <c r="N340" s="238">
        <f>Таблица5[[#This Row],[10]]</f>
        <v>42767</v>
      </c>
      <c r="O340" s="17"/>
      <c r="P340" s="17"/>
      <c r="Q340" s="17"/>
      <c r="R340" s="17"/>
      <c r="S340" s="17"/>
      <c r="T340" s="686"/>
      <c r="U340" s="18">
        <f>РПЗ!P340</f>
        <v>43070</v>
      </c>
      <c r="V340" s="686"/>
      <c r="W340" s="236">
        <f>РПЗ!L340</f>
        <v>632000</v>
      </c>
      <c r="X340" s="689"/>
      <c r="Y340" s="689"/>
      <c r="Z340" s="690"/>
      <c r="AA340" s="691"/>
      <c r="AB340" s="111"/>
      <c r="AC340" s="17"/>
      <c r="AD340" s="690"/>
      <c r="AE340" s="686"/>
      <c r="AF340" s="474"/>
      <c r="AG340" s="692"/>
      <c r="AH340" s="236" t="str">
        <f>IF(Таблица5[[#This Row],[30]]=0,"НД",Таблица5[[#This Row],[20]]-Таблица5[[#This Row],[30]])</f>
        <v>НД</v>
      </c>
      <c r="AI340" s="511" t="str">
        <f>IF(((1-Таблица5[[#This Row],[30]]/Таблица5[[#This Row],[20]])=1),"НД",(1-Таблица5[[#This Row],[30]]/Таблица5[[#This Row],[20]]))</f>
        <v>НД</v>
      </c>
      <c r="AJ340" s="111"/>
      <c r="AK340" s="111"/>
      <c r="AL340" s="512"/>
      <c r="AM340" s="513"/>
      <c r="AN340" s="465"/>
      <c r="AO340" s="468" t="str">
        <f>РПЗ!AD340</f>
        <v>Нет</v>
      </c>
      <c r="AP340" s="472">
        <f>РПЗ!V340</f>
        <v>0</v>
      </c>
      <c r="AQ340" s="470">
        <f>IF(Таблица5[[#This Row],[11]]=0,,MONTH(Таблица5[[#This Row],[11]]))</f>
        <v>2</v>
      </c>
    </row>
    <row r="341" spans="1:43" ht="39" thickBot="1" x14ac:dyDescent="0.3">
      <c r="A341" s="233" t="str">
        <f t="shared" si="5"/>
        <v>1004-2017-00326</v>
      </c>
      <c r="B341" s="233" t="str">
        <f>РПЗ!$D341</f>
        <v xml:space="preserve">1004-2017-00326Поставка Информационное обслуживание </v>
      </c>
      <c r="C341" s="233" t="str">
        <f>РПЗ!$AA341</f>
        <v>АО "НИИ "Полюс" им. М.Ф. Стельмаха" тел. отдела закупок 8-495-333-05-02</v>
      </c>
      <c r="D341" s="633" t="str">
        <f>РПЗ!$AB341</f>
        <v>Заказчик</v>
      </c>
      <c r="E341" s="96" t="s">
        <v>46</v>
      </c>
      <c r="F341" s="233" t="str">
        <f>РПЗ!Q341</f>
        <v>ОЗК</v>
      </c>
      <c r="G341" s="237"/>
      <c r="H341" s="237" t="str">
        <f>РПЗ!R341</f>
        <v>да</v>
      </c>
      <c r="I341" s="15">
        <f>РПЗ!W341</f>
        <v>0</v>
      </c>
      <c r="J341" s="233">
        <f>РПЗ!X341</f>
        <v>0</v>
      </c>
      <c r="K341" s="283">
        <f>РПЗ!Z341</f>
        <v>0</v>
      </c>
      <c r="L341" s="17"/>
      <c r="M341" s="18">
        <f>РПЗ!O341</f>
        <v>43040</v>
      </c>
      <c r="N341" s="238">
        <f>Таблица5[[#This Row],[10]]</f>
        <v>43040</v>
      </c>
      <c r="O341" s="17"/>
      <c r="P341" s="17"/>
      <c r="Q341" s="17"/>
      <c r="R341" s="17"/>
      <c r="S341" s="17"/>
      <c r="T341" s="686"/>
      <c r="U341" s="18">
        <f>РПЗ!P341</f>
        <v>43405</v>
      </c>
      <c r="V341" s="686"/>
      <c r="W341" s="236">
        <f>РПЗ!L341</f>
        <v>140000</v>
      </c>
      <c r="X341" s="689"/>
      <c r="Y341" s="689"/>
      <c r="Z341" s="690"/>
      <c r="AA341" s="691"/>
      <c r="AB341" s="111"/>
      <c r="AC341" s="17"/>
      <c r="AD341" s="690"/>
      <c r="AE341" s="686"/>
      <c r="AF341" s="474"/>
      <c r="AG341" s="692"/>
      <c r="AH341" s="236" t="str">
        <f>IF(Таблица5[[#This Row],[30]]=0,"НД",Таблица5[[#This Row],[20]]-Таблица5[[#This Row],[30]])</f>
        <v>НД</v>
      </c>
      <c r="AI341" s="511" t="str">
        <f>IF(((1-Таблица5[[#This Row],[30]]/Таблица5[[#This Row],[20]])=1),"НД",(1-Таблица5[[#This Row],[30]]/Таблица5[[#This Row],[20]]))</f>
        <v>НД</v>
      </c>
      <c r="AJ341" s="111"/>
      <c r="AK341" s="111"/>
      <c r="AL341" s="512"/>
      <c r="AM341" s="513"/>
      <c r="AN341" s="465"/>
      <c r="AO341" s="468" t="str">
        <f>РПЗ!AD341</f>
        <v>Нет</v>
      </c>
      <c r="AP341" s="472">
        <f>РПЗ!V341</f>
        <v>0</v>
      </c>
      <c r="AQ341" s="470">
        <f>IF(Таблица5[[#This Row],[11]]=0,,MONTH(Таблица5[[#This Row],[11]]))</f>
        <v>11</v>
      </c>
    </row>
    <row r="342" spans="1:43" ht="39" thickBot="1" x14ac:dyDescent="0.3">
      <c r="A342" s="233" t="str">
        <f t="shared" si="5"/>
        <v>1004-2017-00327</v>
      </c>
      <c r="B342" s="233" t="str">
        <f>РПЗ!$D342</f>
        <v xml:space="preserve">1004-2017-00327Поставка тепловой энергии </v>
      </c>
      <c r="C342" s="233" t="str">
        <f>РПЗ!$AA342</f>
        <v>АО "НИИ "Полюс" им. М.Ф. Стельмаха" тел. отдела закупок 8-495-333-05-02</v>
      </c>
      <c r="D342" s="633" t="str">
        <f>РПЗ!$AB342</f>
        <v>Заказчик</v>
      </c>
      <c r="E342" s="96" t="s">
        <v>46</v>
      </c>
      <c r="F342" s="233" t="str">
        <f>РПЗ!Q342</f>
        <v>ОК</v>
      </c>
      <c r="G342" s="237"/>
      <c r="H342" s="237" t="str">
        <f>РПЗ!R342</f>
        <v>да</v>
      </c>
      <c r="I342" s="15">
        <f>РПЗ!W342</f>
        <v>0</v>
      </c>
      <c r="J342" s="233">
        <f>РПЗ!X342</f>
        <v>0</v>
      </c>
      <c r="K342" s="283">
        <f>РПЗ!Z342</f>
        <v>0</v>
      </c>
      <c r="L342" s="17"/>
      <c r="M342" s="18">
        <f>РПЗ!O342</f>
        <v>42736</v>
      </c>
      <c r="N342" s="238">
        <f>Таблица5[[#This Row],[10]]</f>
        <v>42736</v>
      </c>
      <c r="O342" s="17"/>
      <c r="P342" s="17"/>
      <c r="Q342" s="17"/>
      <c r="R342" s="17"/>
      <c r="S342" s="17"/>
      <c r="T342" s="686"/>
      <c r="U342" s="18">
        <f>РПЗ!P342</f>
        <v>43070</v>
      </c>
      <c r="V342" s="686"/>
      <c r="W342" s="236">
        <f>РПЗ!L342</f>
        <v>20000000</v>
      </c>
      <c r="X342" s="689"/>
      <c r="Y342" s="689"/>
      <c r="Z342" s="690"/>
      <c r="AA342" s="691"/>
      <c r="AB342" s="111"/>
      <c r="AC342" s="17"/>
      <c r="AD342" s="690"/>
      <c r="AE342" s="686"/>
      <c r="AF342" s="474"/>
      <c r="AG342" s="692"/>
      <c r="AH342" s="236" t="str">
        <f>IF(Таблица5[[#This Row],[30]]=0,"НД",Таблица5[[#This Row],[20]]-Таблица5[[#This Row],[30]])</f>
        <v>НД</v>
      </c>
      <c r="AI342" s="511" t="str">
        <f>IF(((1-Таблица5[[#This Row],[30]]/Таблица5[[#This Row],[20]])=1),"НД",(1-Таблица5[[#This Row],[30]]/Таблица5[[#This Row],[20]]))</f>
        <v>НД</v>
      </c>
      <c r="AJ342" s="111"/>
      <c r="AK342" s="111"/>
      <c r="AL342" s="512"/>
      <c r="AM342" s="513"/>
      <c r="AN342" s="465"/>
      <c r="AO342" s="468" t="str">
        <f>РПЗ!AD342</f>
        <v>Нет</v>
      </c>
      <c r="AP342" s="472">
        <f>РПЗ!V342</f>
        <v>0</v>
      </c>
      <c r="AQ342" s="470">
        <f>IF(Таблица5[[#This Row],[11]]=0,,MONTH(Таблица5[[#This Row],[11]]))</f>
        <v>1</v>
      </c>
    </row>
    <row r="343" spans="1:43" ht="39" thickBot="1" x14ac:dyDescent="0.3">
      <c r="A343" s="233" t="str">
        <f t="shared" si="5"/>
        <v>1004-2017-00328</v>
      </c>
      <c r="B343" s="233" t="str">
        <f>РПЗ!$D343</f>
        <v xml:space="preserve">1004-2017-00328поставка холодной воды и водоотведение </v>
      </c>
      <c r="C343" s="233" t="str">
        <f>РПЗ!$AA343</f>
        <v>АО "НИИ "Полюс" им. М.Ф. Стельмаха" тел. отдела закупок 8-495-333-05-02</v>
      </c>
      <c r="D343" s="633" t="str">
        <f>РПЗ!$AB343</f>
        <v>Заказчик</v>
      </c>
      <c r="E343" s="96" t="s">
        <v>46</v>
      </c>
      <c r="F343" s="233" t="str">
        <f>РПЗ!Q343</f>
        <v>ОЗК</v>
      </c>
      <c r="G343" s="237"/>
      <c r="H343" s="237" t="str">
        <f>РПЗ!R343</f>
        <v>да</v>
      </c>
      <c r="I343" s="15">
        <f>РПЗ!W343</f>
        <v>0</v>
      </c>
      <c r="J343" s="233">
        <f>РПЗ!X343</f>
        <v>0</v>
      </c>
      <c r="K343" s="283">
        <f>РПЗ!Z343</f>
        <v>0</v>
      </c>
      <c r="L343" s="17"/>
      <c r="M343" s="18">
        <f>РПЗ!O343</f>
        <v>42736</v>
      </c>
      <c r="N343" s="238">
        <f>Таблица5[[#This Row],[10]]</f>
        <v>42736</v>
      </c>
      <c r="O343" s="17"/>
      <c r="P343" s="17"/>
      <c r="Q343" s="17"/>
      <c r="R343" s="17"/>
      <c r="S343" s="17"/>
      <c r="T343" s="686"/>
      <c r="U343" s="18">
        <f>РПЗ!P343</f>
        <v>43070</v>
      </c>
      <c r="V343" s="686"/>
      <c r="W343" s="236">
        <f>РПЗ!L343</f>
        <v>4400000</v>
      </c>
      <c r="X343" s="689"/>
      <c r="Y343" s="689"/>
      <c r="Z343" s="690"/>
      <c r="AA343" s="691"/>
      <c r="AB343" s="111"/>
      <c r="AC343" s="17"/>
      <c r="AD343" s="690"/>
      <c r="AE343" s="686"/>
      <c r="AF343" s="474"/>
      <c r="AG343" s="692"/>
      <c r="AH343" s="236" t="str">
        <f>IF(Таблица5[[#This Row],[30]]=0,"НД",Таблица5[[#This Row],[20]]-Таблица5[[#This Row],[30]])</f>
        <v>НД</v>
      </c>
      <c r="AI343" s="511" t="str">
        <f>IF(((1-Таблица5[[#This Row],[30]]/Таблица5[[#This Row],[20]])=1),"НД",(1-Таблица5[[#This Row],[30]]/Таблица5[[#This Row],[20]]))</f>
        <v>НД</v>
      </c>
      <c r="AJ343" s="111"/>
      <c r="AK343" s="111"/>
      <c r="AL343" s="512"/>
      <c r="AM343" s="513"/>
      <c r="AN343" s="465"/>
      <c r="AO343" s="468" t="str">
        <f>РПЗ!AD343</f>
        <v>Нет</v>
      </c>
      <c r="AP343" s="472">
        <f>РПЗ!V343</f>
        <v>0</v>
      </c>
      <c r="AQ343" s="470">
        <f>IF(Таблица5[[#This Row],[11]]=0,,MONTH(Таблица5[[#This Row],[11]]))</f>
        <v>1</v>
      </c>
    </row>
    <row r="344" spans="1:43" ht="39" thickBot="1" x14ac:dyDescent="0.3">
      <c r="A344" s="233" t="str">
        <f t="shared" si="5"/>
        <v>1004-2017-00329</v>
      </c>
      <c r="B344" s="233" t="str">
        <f>РПЗ!$D344</f>
        <v xml:space="preserve">1004-2017-00329поставка тепловой энергии на спортбазу "узкое" </v>
      </c>
      <c r="C344" s="233" t="str">
        <f>РПЗ!$AA344</f>
        <v>АО "НИИ "Полюс" им. М.Ф. Стельмаха" тел. отдела закупок 8-495-333-05-02</v>
      </c>
      <c r="D344" s="633" t="str">
        <f>РПЗ!$AB344</f>
        <v>Заказчик</v>
      </c>
      <c r="E344" s="96" t="s">
        <v>46</v>
      </c>
      <c r="F344" s="233" t="str">
        <f>РПЗ!Q344</f>
        <v>ОЗК</v>
      </c>
      <c r="G344" s="237"/>
      <c r="H344" s="237" t="str">
        <f>РПЗ!R344</f>
        <v>да</v>
      </c>
      <c r="I344" s="15">
        <f>РПЗ!W344</f>
        <v>0</v>
      </c>
      <c r="J344" s="233">
        <f>РПЗ!X344</f>
        <v>0</v>
      </c>
      <c r="K344" s="283">
        <f>РПЗ!Z344</f>
        <v>0</v>
      </c>
      <c r="L344" s="17"/>
      <c r="M344" s="18">
        <f>РПЗ!O344</f>
        <v>42736</v>
      </c>
      <c r="N344" s="238">
        <f>Таблица5[[#This Row],[10]]</f>
        <v>42736</v>
      </c>
      <c r="O344" s="17"/>
      <c r="P344" s="17"/>
      <c r="Q344" s="17"/>
      <c r="R344" s="17"/>
      <c r="S344" s="17"/>
      <c r="T344" s="686"/>
      <c r="U344" s="18">
        <f>РПЗ!P344</f>
        <v>43070</v>
      </c>
      <c r="V344" s="686"/>
      <c r="W344" s="236">
        <f>РПЗ!L344</f>
        <v>450000</v>
      </c>
      <c r="X344" s="689"/>
      <c r="Y344" s="689"/>
      <c r="Z344" s="690"/>
      <c r="AA344" s="691"/>
      <c r="AB344" s="111"/>
      <c r="AC344" s="17"/>
      <c r="AD344" s="690"/>
      <c r="AE344" s="686"/>
      <c r="AF344" s="474"/>
      <c r="AG344" s="692"/>
      <c r="AH344" s="236" t="str">
        <f>IF(Таблица5[[#This Row],[30]]=0,"НД",Таблица5[[#This Row],[20]]-Таблица5[[#This Row],[30]])</f>
        <v>НД</v>
      </c>
      <c r="AI344" s="511" t="str">
        <f>IF(((1-Таблица5[[#This Row],[30]]/Таблица5[[#This Row],[20]])=1),"НД",(1-Таблица5[[#This Row],[30]]/Таблица5[[#This Row],[20]]))</f>
        <v>НД</v>
      </c>
      <c r="AJ344" s="111"/>
      <c r="AK344" s="111"/>
      <c r="AL344" s="512"/>
      <c r="AM344" s="513"/>
      <c r="AN344" s="465"/>
      <c r="AO344" s="468" t="str">
        <f>РПЗ!AD344</f>
        <v>Нет</v>
      </c>
      <c r="AP344" s="472">
        <f>РПЗ!V344</f>
        <v>0</v>
      </c>
      <c r="AQ344" s="470">
        <f>IF(Таблица5[[#This Row],[11]]=0,,MONTH(Таблица5[[#This Row],[11]]))</f>
        <v>1</v>
      </c>
    </row>
    <row r="345" spans="1:43" ht="39" thickBot="1" x14ac:dyDescent="0.3">
      <c r="A345" s="233" t="str">
        <f t="shared" si="5"/>
        <v>1004-2017-00330</v>
      </c>
      <c r="B345" s="233" t="str">
        <f>РПЗ!$D345</f>
        <v xml:space="preserve">1004-2017-00330Поставка холодной воды и водоотведение на спортбазу Узкое </v>
      </c>
      <c r="C345" s="233" t="str">
        <f>РПЗ!$AA345</f>
        <v>АО "НИИ "Полюс" им. М.Ф. Стельмаха" тел. отдела закупок 8-495-333-05-02</v>
      </c>
      <c r="D345" s="633" t="str">
        <f>РПЗ!$AB345</f>
        <v>Заказчик</v>
      </c>
      <c r="E345" s="96" t="s">
        <v>46</v>
      </c>
      <c r="F345" s="233" t="str">
        <f>РПЗ!Q345</f>
        <v>ОЗК</v>
      </c>
      <c r="G345" s="237"/>
      <c r="H345" s="237" t="str">
        <f>РПЗ!R345</f>
        <v>да</v>
      </c>
      <c r="I345" s="15">
        <f>РПЗ!W345</f>
        <v>0</v>
      </c>
      <c r="J345" s="233">
        <f>РПЗ!X345</f>
        <v>0</v>
      </c>
      <c r="K345" s="283">
        <f>РПЗ!Z345</f>
        <v>0</v>
      </c>
      <c r="L345" s="17"/>
      <c r="M345" s="18">
        <f>РПЗ!O345</f>
        <v>42736</v>
      </c>
      <c r="N345" s="238">
        <f>Таблица5[[#This Row],[10]]</f>
        <v>42736</v>
      </c>
      <c r="O345" s="17"/>
      <c r="P345" s="17"/>
      <c r="Q345" s="17"/>
      <c r="R345" s="17"/>
      <c r="S345" s="17"/>
      <c r="T345" s="686"/>
      <c r="U345" s="18">
        <f>РПЗ!P345</f>
        <v>43070</v>
      </c>
      <c r="V345" s="686"/>
      <c r="W345" s="236">
        <f>РПЗ!L345</f>
        <v>140000</v>
      </c>
      <c r="X345" s="689"/>
      <c r="Y345" s="689"/>
      <c r="Z345" s="690"/>
      <c r="AA345" s="691"/>
      <c r="AB345" s="111"/>
      <c r="AC345" s="17"/>
      <c r="AD345" s="690"/>
      <c r="AE345" s="686"/>
      <c r="AF345" s="474"/>
      <c r="AG345" s="692"/>
      <c r="AH345" s="236" t="str">
        <f>IF(Таблица5[[#This Row],[30]]=0,"НД",Таблица5[[#This Row],[20]]-Таблица5[[#This Row],[30]])</f>
        <v>НД</v>
      </c>
      <c r="AI345" s="511" t="str">
        <f>IF(((1-Таблица5[[#This Row],[30]]/Таблица5[[#This Row],[20]])=1),"НД",(1-Таблица5[[#This Row],[30]]/Таблица5[[#This Row],[20]]))</f>
        <v>НД</v>
      </c>
      <c r="AJ345" s="111"/>
      <c r="AK345" s="111"/>
      <c r="AL345" s="512"/>
      <c r="AM345" s="513"/>
      <c r="AN345" s="465"/>
      <c r="AO345" s="468" t="str">
        <f>РПЗ!AD345</f>
        <v>Нет</v>
      </c>
      <c r="AP345" s="472">
        <f>РПЗ!V345</f>
        <v>0</v>
      </c>
      <c r="AQ345" s="470">
        <f>IF(Таблица5[[#This Row],[11]]=0,,MONTH(Таблица5[[#This Row],[11]]))</f>
        <v>1</v>
      </c>
    </row>
    <row r="346" spans="1:43" ht="39" thickBot="1" x14ac:dyDescent="0.3">
      <c r="A346" s="233" t="str">
        <f t="shared" si="5"/>
        <v>1004-2017-00331</v>
      </c>
      <c r="B346" s="233" t="str">
        <f>РПЗ!$D346</f>
        <v xml:space="preserve">1004-2017-00331выполнение программы производственного контроля </v>
      </c>
      <c r="C346" s="233" t="str">
        <f>РПЗ!$AA346</f>
        <v>АО "НИИ "Полюс" им. М.Ф. Стельмаха" тел. отдела закупок 8-495-333-05-02</v>
      </c>
      <c r="D346" s="633" t="str">
        <f>РПЗ!$AB346</f>
        <v>Заказчик</v>
      </c>
      <c r="E346" s="96" t="s">
        <v>46</v>
      </c>
      <c r="F346" s="233" t="str">
        <f>РПЗ!Q346</f>
        <v>ОЗК</v>
      </c>
      <c r="G346" s="237"/>
      <c r="H346" s="237" t="str">
        <f>РПЗ!R346</f>
        <v>да</v>
      </c>
      <c r="I346" s="15">
        <f>РПЗ!W346</f>
        <v>0</v>
      </c>
      <c r="J346" s="233">
        <f>РПЗ!X346</f>
        <v>0</v>
      </c>
      <c r="K346" s="283">
        <f>РПЗ!Z346</f>
        <v>0</v>
      </c>
      <c r="L346" s="17"/>
      <c r="M346" s="18">
        <f>РПЗ!O346</f>
        <v>42736</v>
      </c>
      <c r="N346" s="238">
        <f>Таблица5[[#This Row],[10]]</f>
        <v>42736</v>
      </c>
      <c r="O346" s="17"/>
      <c r="P346" s="17"/>
      <c r="Q346" s="17"/>
      <c r="R346" s="17"/>
      <c r="S346" s="17"/>
      <c r="T346" s="686"/>
      <c r="U346" s="18">
        <f>РПЗ!P346</f>
        <v>43070</v>
      </c>
      <c r="V346" s="686"/>
      <c r="W346" s="236">
        <f>РПЗ!L346</f>
        <v>200000</v>
      </c>
      <c r="X346" s="689"/>
      <c r="Y346" s="689"/>
      <c r="Z346" s="690"/>
      <c r="AA346" s="691"/>
      <c r="AB346" s="111"/>
      <c r="AC346" s="17"/>
      <c r="AD346" s="690"/>
      <c r="AE346" s="686"/>
      <c r="AF346" s="474"/>
      <c r="AG346" s="692"/>
      <c r="AH346" s="236" t="str">
        <f>IF(Таблица5[[#This Row],[30]]=0,"НД",Таблица5[[#This Row],[20]]-Таблица5[[#This Row],[30]])</f>
        <v>НД</v>
      </c>
      <c r="AI346" s="511" t="str">
        <f>IF(((1-Таблица5[[#This Row],[30]]/Таблица5[[#This Row],[20]])=1),"НД",(1-Таблица5[[#This Row],[30]]/Таблица5[[#This Row],[20]]))</f>
        <v>НД</v>
      </c>
      <c r="AJ346" s="111"/>
      <c r="AK346" s="111"/>
      <c r="AL346" s="512"/>
      <c r="AM346" s="513"/>
      <c r="AN346" s="465"/>
      <c r="AO346" s="468" t="str">
        <f>РПЗ!AD346</f>
        <v>Нет</v>
      </c>
      <c r="AP346" s="472">
        <f>РПЗ!V346</f>
        <v>0</v>
      </c>
      <c r="AQ346" s="470">
        <f>IF(Таблица5[[#This Row],[11]]=0,,MONTH(Таблица5[[#This Row],[11]]))</f>
        <v>1</v>
      </c>
    </row>
    <row r="347" spans="1:43" ht="39" thickBot="1" x14ac:dyDescent="0.3">
      <c r="A347" s="233" t="str">
        <f t="shared" si="5"/>
        <v>1004-2017-00332</v>
      </c>
      <c r="B347" s="233" t="str">
        <f>РПЗ!$D347</f>
        <v>1004-2017-00332 Оказание услуг по вывозу  промышленных отходов</v>
      </c>
      <c r="C347" s="233" t="str">
        <f>РПЗ!$AA347</f>
        <v>АО "НИИ "Полюс" им. М.Ф. Стельмаха" тел. отдела закупок 8-495-333-05-02</v>
      </c>
      <c r="D347" s="633" t="str">
        <f>РПЗ!$AB347</f>
        <v>Заказчик</v>
      </c>
      <c r="E347" s="96" t="s">
        <v>46</v>
      </c>
      <c r="F347" s="233" t="str">
        <f>РПЗ!Q347</f>
        <v>ОЗК</v>
      </c>
      <c r="G347" s="237"/>
      <c r="H347" s="237" t="str">
        <f>РПЗ!R347</f>
        <v>да</v>
      </c>
      <c r="I347" s="15">
        <f>РПЗ!W347</f>
        <v>0</v>
      </c>
      <c r="J347" s="233">
        <f>РПЗ!X347</f>
        <v>0</v>
      </c>
      <c r="K347" s="283">
        <f>РПЗ!Z347</f>
        <v>0</v>
      </c>
      <c r="L347" s="17"/>
      <c r="M347" s="18">
        <f>РПЗ!O347</f>
        <v>42736</v>
      </c>
      <c r="N347" s="238">
        <f>Таблица5[[#This Row],[10]]</f>
        <v>42736</v>
      </c>
      <c r="O347" s="17"/>
      <c r="P347" s="17"/>
      <c r="Q347" s="17"/>
      <c r="R347" s="17"/>
      <c r="S347" s="17"/>
      <c r="T347" s="686"/>
      <c r="U347" s="18">
        <f>РПЗ!P347</f>
        <v>43070</v>
      </c>
      <c r="V347" s="686"/>
      <c r="W347" s="236">
        <f>РПЗ!L347</f>
        <v>350000</v>
      </c>
      <c r="X347" s="689"/>
      <c r="Y347" s="689"/>
      <c r="Z347" s="690"/>
      <c r="AA347" s="691"/>
      <c r="AB347" s="111"/>
      <c r="AC347" s="17"/>
      <c r="AD347" s="690"/>
      <c r="AE347" s="686"/>
      <c r="AF347" s="474"/>
      <c r="AG347" s="692"/>
      <c r="AH347" s="236" t="str">
        <f>IF(Таблица5[[#This Row],[30]]=0,"НД",Таблица5[[#This Row],[20]]-Таблица5[[#This Row],[30]])</f>
        <v>НД</v>
      </c>
      <c r="AI347" s="511" t="str">
        <f>IF(((1-Таблица5[[#This Row],[30]]/Таблица5[[#This Row],[20]])=1),"НД",(1-Таблица5[[#This Row],[30]]/Таблица5[[#This Row],[20]]))</f>
        <v>НД</v>
      </c>
      <c r="AJ347" s="111"/>
      <c r="AK347" s="111"/>
      <c r="AL347" s="512"/>
      <c r="AM347" s="513"/>
      <c r="AN347" s="465"/>
      <c r="AO347" s="468" t="str">
        <f>РПЗ!AD347</f>
        <v>Нет</v>
      </c>
      <c r="AP347" s="472">
        <f>РПЗ!V347</f>
        <v>0</v>
      </c>
      <c r="AQ347" s="470">
        <f>IF(Таблица5[[#This Row],[11]]=0,,MONTH(Таблица5[[#This Row],[11]]))</f>
        <v>1</v>
      </c>
    </row>
    <row r="348" spans="1:43" ht="39" thickBot="1" x14ac:dyDescent="0.3">
      <c r="A348" s="233" t="str">
        <f t="shared" si="5"/>
        <v>1004-2017-00333</v>
      </c>
      <c r="B348" s="233" t="str">
        <f>РПЗ!$D348</f>
        <v>1004-2017-00333 Оказание услуг по приёму  и транспортировку и очистку сточных вод</v>
      </c>
      <c r="C348" s="233" t="str">
        <f>РПЗ!$AA348</f>
        <v>АО "НИИ "Полюс" им. М.Ф. Стельмаха" тел. отдела закупок 8-495-333-05-02</v>
      </c>
      <c r="D348" s="633" t="str">
        <f>РПЗ!$AB348</f>
        <v>Заказчик</v>
      </c>
      <c r="E348" s="96" t="s">
        <v>46</v>
      </c>
      <c r="F348" s="233" t="str">
        <f>РПЗ!Q348</f>
        <v>ОЗК</v>
      </c>
      <c r="G348" s="237"/>
      <c r="H348" s="237" t="str">
        <f>РПЗ!R348</f>
        <v>да</v>
      </c>
      <c r="I348" s="15">
        <f>РПЗ!W348</f>
        <v>0</v>
      </c>
      <c r="J348" s="233">
        <f>РПЗ!X348</f>
        <v>0</v>
      </c>
      <c r="K348" s="283">
        <f>РПЗ!Z348</f>
        <v>0</v>
      </c>
      <c r="L348" s="17"/>
      <c r="M348" s="18">
        <f>РПЗ!O348</f>
        <v>42736</v>
      </c>
      <c r="N348" s="238">
        <f>Таблица5[[#This Row],[10]]</f>
        <v>42736</v>
      </c>
      <c r="O348" s="17"/>
      <c r="P348" s="17"/>
      <c r="Q348" s="17"/>
      <c r="R348" s="17"/>
      <c r="S348" s="17"/>
      <c r="T348" s="686"/>
      <c r="U348" s="18">
        <f>РПЗ!P348</f>
        <v>43070</v>
      </c>
      <c r="V348" s="686"/>
      <c r="W348" s="236">
        <f>РПЗ!L348</f>
        <v>370889.28</v>
      </c>
      <c r="X348" s="689"/>
      <c r="Y348" s="689"/>
      <c r="Z348" s="690"/>
      <c r="AA348" s="691"/>
      <c r="AB348" s="111"/>
      <c r="AC348" s="17"/>
      <c r="AD348" s="690"/>
      <c r="AE348" s="686"/>
      <c r="AF348" s="474"/>
      <c r="AG348" s="692"/>
      <c r="AH348" s="236" t="str">
        <f>IF(Таблица5[[#This Row],[30]]=0,"НД",Таблица5[[#This Row],[20]]-Таблица5[[#This Row],[30]])</f>
        <v>НД</v>
      </c>
      <c r="AI348" s="511" t="str">
        <f>IF(((1-Таблица5[[#This Row],[30]]/Таблица5[[#This Row],[20]])=1),"НД",(1-Таблица5[[#This Row],[30]]/Таблица5[[#This Row],[20]]))</f>
        <v>НД</v>
      </c>
      <c r="AJ348" s="111"/>
      <c r="AK348" s="111"/>
      <c r="AL348" s="512"/>
      <c r="AM348" s="513"/>
      <c r="AN348" s="465"/>
      <c r="AO348" s="468" t="str">
        <f>РПЗ!AD348</f>
        <v>Нет</v>
      </c>
      <c r="AP348" s="472">
        <f>РПЗ!V348</f>
        <v>0</v>
      </c>
      <c r="AQ348" s="470">
        <f>IF(Таблица5[[#This Row],[11]]=0,,MONTH(Таблица5[[#This Row],[11]]))</f>
        <v>1</v>
      </c>
    </row>
    <row r="349" spans="1:43" ht="39" thickBot="1" x14ac:dyDescent="0.3">
      <c r="A349" s="233" t="str">
        <f t="shared" si="5"/>
        <v>1004-2017-00334</v>
      </c>
      <c r="B349" s="233" t="str">
        <f>РПЗ!$D349</f>
        <v xml:space="preserve">1004-2017-00334Услуга по  Разработке   проекта санитарно-защитной зоны </v>
      </c>
      <c r="C349" s="233" t="str">
        <f>РПЗ!$AA349</f>
        <v>АО "НИИ "Полюс" им. М.Ф. Стельмаха" тел. отдела закупок 8-495-333-05-02</v>
      </c>
      <c r="D349" s="633" t="str">
        <f>РПЗ!$AB349</f>
        <v>Заказчик</v>
      </c>
      <c r="E349" s="96" t="s">
        <v>46</v>
      </c>
      <c r="F349" s="233" t="str">
        <f>РПЗ!Q349</f>
        <v>ОЗК</v>
      </c>
      <c r="G349" s="237"/>
      <c r="H349" s="237" t="str">
        <f>РПЗ!R349</f>
        <v>да</v>
      </c>
      <c r="I349" s="15">
        <f>РПЗ!W349</f>
        <v>0</v>
      </c>
      <c r="J349" s="233">
        <f>РПЗ!X349</f>
        <v>0</v>
      </c>
      <c r="K349" s="283">
        <f>РПЗ!Z349</f>
        <v>0</v>
      </c>
      <c r="L349" s="17"/>
      <c r="M349" s="18">
        <f>РПЗ!O349</f>
        <v>42736</v>
      </c>
      <c r="N349" s="238">
        <f>Таблица5[[#This Row],[10]]</f>
        <v>42736</v>
      </c>
      <c r="O349" s="17"/>
      <c r="P349" s="17"/>
      <c r="Q349" s="17"/>
      <c r="R349" s="17"/>
      <c r="S349" s="17"/>
      <c r="T349" s="686"/>
      <c r="U349" s="18">
        <f>РПЗ!P349</f>
        <v>42887</v>
      </c>
      <c r="V349" s="686"/>
      <c r="W349" s="236">
        <f>РПЗ!L349</f>
        <v>200000</v>
      </c>
      <c r="X349" s="689"/>
      <c r="Y349" s="689"/>
      <c r="Z349" s="690"/>
      <c r="AA349" s="691"/>
      <c r="AB349" s="111"/>
      <c r="AC349" s="17"/>
      <c r="AD349" s="690"/>
      <c r="AE349" s="686"/>
      <c r="AF349" s="474"/>
      <c r="AG349" s="692"/>
      <c r="AH349" s="236" t="str">
        <f>IF(Таблица5[[#This Row],[30]]=0,"НД",Таблица5[[#This Row],[20]]-Таблица5[[#This Row],[30]])</f>
        <v>НД</v>
      </c>
      <c r="AI349" s="511" t="str">
        <f>IF(((1-Таблица5[[#This Row],[30]]/Таблица5[[#This Row],[20]])=1),"НД",(1-Таблица5[[#This Row],[30]]/Таблица5[[#This Row],[20]]))</f>
        <v>НД</v>
      </c>
      <c r="AJ349" s="111"/>
      <c r="AK349" s="111"/>
      <c r="AL349" s="512"/>
      <c r="AM349" s="513"/>
      <c r="AN349" s="465"/>
      <c r="AO349" s="468" t="str">
        <f>РПЗ!AD349</f>
        <v>Нет</v>
      </c>
      <c r="AP349" s="472">
        <f>РПЗ!V349</f>
        <v>0</v>
      </c>
      <c r="AQ349" s="470">
        <f>IF(Таблица5[[#This Row],[11]]=0,,MONTH(Таблица5[[#This Row],[11]]))</f>
        <v>1</v>
      </c>
    </row>
    <row r="350" spans="1:43" ht="39" thickBot="1" x14ac:dyDescent="0.3">
      <c r="A350" s="233" t="str">
        <f t="shared" si="5"/>
        <v>1004-2017-00335</v>
      </c>
      <c r="B350" s="233" t="str">
        <f>РПЗ!$D350</f>
        <v>1004-2017-00335Поставка Комплект упаковки изделия ЛЦД-25</v>
      </c>
      <c r="C350" s="233" t="str">
        <f>РПЗ!$AA350</f>
        <v>АО "НИИ "Полюс" им. М.Ф. Стельмаха" тел. отдела закупок 8-495-333-05-02</v>
      </c>
      <c r="D350" s="633" t="str">
        <f>РПЗ!$AB350</f>
        <v>Заказчик</v>
      </c>
      <c r="E350" s="96" t="s">
        <v>46</v>
      </c>
      <c r="F350" s="233" t="str">
        <f>РПЗ!Q350</f>
        <v>ОЗК</v>
      </c>
      <c r="G350" s="237"/>
      <c r="H350" s="237" t="str">
        <f>РПЗ!R350</f>
        <v>да</v>
      </c>
      <c r="I350" s="15">
        <f>РПЗ!W350</f>
        <v>0</v>
      </c>
      <c r="J350" s="233">
        <f>РПЗ!X350</f>
        <v>0</v>
      </c>
      <c r="K350" s="283">
        <f>РПЗ!Z350</f>
        <v>0</v>
      </c>
      <c r="L350" s="17"/>
      <c r="M350" s="18">
        <f>РПЗ!O350</f>
        <v>42736</v>
      </c>
      <c r="N350" s="238">
        <f>Таблица5[[#This Row],[10]]</f>
        <v>42736</v>
      </c>
      <c r="O350" s="17"/>
      <c r="P350" s="17"/>
      <c r="Q350" s="17"/>
      <c r="R350" s="17"/>
      <c r="S350" s="17"/>
      <c r="T350" s="686"/>
      <c r="U350" s="18">
        <f>РПЗ!P350</f>
        <v>42795</v>
      </c>
      <c r="V350" s="686"/>
      <c r="W350" s="236">
        <f>РПЗ!L350</f>
        <v>850000</v>
      </c>
      <c r="X350" s="689"/>
      <c r="Y350" s="689"/>
      <c r="Z350" s="690"/>
      <c r="AA350" s="691"/>
      <c r="AB350" s="111"/>
      <c r="AC350" s="17"/>
      <c r="AD350" s="690"/>
      <c r="AE350" s="686"/>
      <c r="AF350" s="474"/>
      <c r="AG350" s="692"/>
      <c r="AH350" s="236" t="str">
        <f>IF(Таблица5[[#This Row],[30]]=0,"НД",Таблица5[[#This Row],[20]]-Таблица5[[#This Row],[30]])</f>
        <v>НД</v>
      </c>
      <c r="AI350" s="511" t="str">
        <f>IF(((1-Таблица5[[#This Row],[30]]/Таблица5[[#This Row],[20]])=1),"НД",(1-Таблица5[[#This Row],[30]]/Таблица5[[#This Row],[20]]))</f>
        <v>НД</v>
      </c>
      <c r="AJ350" s="111"/>
      <c r="AK350" s="111"/>
      <c r="AL350" s="512"/>
      <c r="AM350" s="513"/>
      <c r="AN350" s="465"/>
      <c r="AO350" s="468" t="str">
        <f>РПЗ!AD350</f>
        <v>Нет</v>
      </c>
      <c r="AP350" s="472">
        <f>РПЗ!V350</f>
        <v>0</v>
      </c>
      <c r="AQ350" s="470">
        <f>IF(Таблица5[[#This Row],[11]]=0,,MONTH(Таблица5[[#This Row],[11]]))</f>
        <v>1</v>
      </c>
    </row>
    <row r="351" spans="1:43" ht="39" thickBot="1" x14ac:dyDescent="0.3">
      <c r="A351" s="233" t="str">
        <f t="shared" si="5"/>
        <v>1004-2017-00336</v>
      </c>
      <c r="B351" s="233" t="str">
        <f>РПЗ!$D351</f>
        <v>1004-2017-00336Поставка Комплект Аккумуляторная батарея с устройством зарядным для ЛЦД-6</v>
      </c>
      <c r="C351" s="233" t="str">
        <f>РПЗ!$AA351</f>
        <v>АО "НИИ "Полюс" им. М.Ф. Стельмаха" тел. отдела закупок 8-495-333-05-02</v>
      </c>
      <c r="D351" s="633" t="str">
        <f>РПЗ!$AB351</f>
        <v>Заказчик</v>
      </c>
      <c r="E351" s="96" t="s">
        <v>46</v>
      </c>
      <c r="F351" s="233" t="str">
        <f>РПЗ!Q351</f>
        <v>ОЗК</v>
      </c>
      <c r="G351" s="237"/>
      <c r="H351" s="237" t="str">
        <f>РПЗ!R351</f>
        <v>да</v>
      </c>
      <c r="I351" s="15">
        <f>РПЗ!W351</f>
        <v>0</v>
      </c>
      <c r="J351" s="233">
        <f>РПЗ!X351</f>
        <v>0</v>
      </c>
      <c r="K351" s="283">
        <f>РПЗ!Z351</f>
        <v>0</v>
      </c>
      <c r="L351" s="17"/>
      <c r="M351" s="18">
        <f>РПЗ!O351</f>
        <v>42887</v>
      </c>
      <c r="N351" s="238">
        <f>Таблица5[[#This Row],[10]]</f>
        <v>42887</v>
      </c>
      <c r="O351" s="17"/>
      <c r="P351" s="17"/>
      <c r="Q351" s="17"/>
      <c r="R351" s="17"/>
      <c r="S351" s="17"/>
      <c r="T351" s="686"/>
      <c r="U351" s="18">
        <f>РПЗ!P351</f>
        <v>42979</v>
      </c>
      <c r="V351" s="686"/>
      <c r="W351" s="236">
        <f>РПЗ!L351</f>
        <v>3000000</v>
      </c>
      <c r="X351" s="689"/>
      <c r="Y351" s="689"/>
      <c r="Z351" s="690"/>
      <c r="AA351" s="691"/>
      <c r="AB351" s="111"/>
      <c r="AC351" s="17"/>
      <c r="AD351" s="690"/>
      <c r="AE351" s="686"/>
      <c r="AF351" s="474"/>
      <c r="AG351" s="692"/>
      <c r="AH351" s="236" t="str">
        <f>IF(Таблица5[[#This Row],[30]]=0,"НД",Таблица5[[#This Row],[20]]-Таблица5[[#This Row],[30]])</f>
        <v>НД</v>
      </c>
      <c r="AI351" s="511" t="str">
        <f>IF(((1-Таблица5[[#This Row],[30]]/Таблица5[[#This Row],[20]])=1),"НД",(1-Таблица5[[#This Row],[30]]/Таблица5[[#This Row],[20]]))</f>
        <v>НД</v>
      </c>
      <c r="AJ351" s="111"/>
      <c r="AK351" s="111"/>
      <c r="AL351" s="512"/>
      <c r="AM351" s="513"/>
      <c r="AN351" s="465"/>
      <c r="AO351" s="468" t="str">
        <f>РПЗ!AD351</f>
        <v>Нет</v>
      </c>
      <c r="AP351" s="472">
        <f>РПЗ!V351</f>
        <v>0</v>
      </c>
      <c r="AQ351" s="470">
        <f>IF(Таблица5[[#This Row],[11]]=0,,MONTH(Таблица5[[#This Row],[11]]))</f>
        <v>6</v>
      </c>
    </row>
    <row r="352" spans="1:43" ht="39" thickBot="1" x14ac:dyDescent="0.3">
      <c r="A352" s="233" t="str">
        <f t="shared" si="5"/>
        <v>1004-2017-00337</v>
      </c>
      <c r="B352" s="233" t="str">
        <f>РПЗ!$D352</f>
        <v>1004-2017-00337Поставка Молоко для работающих во вредных  условиях труда</v>
      </c>
      <c r="C352" s="233" t="str">
        <f>РПЗ!$AA352</f>
        <v>АО "НИИ "Полюс" им. М.Ф. Стельмаха" тел. отдела закупок 8-495-333-05-02</v>
      </c>
      <c r="D352" s="633" t="str">
        <f>РПЗ!$AB352</f>
        <v>Заказчик</v>
      </c>
      <c r="E352" s="96" t="s">
        <v>46</v>
      </c>
      <c r="F352" s="233" t="str">
        <f>РПЗ!Q352</f>
        <v>ОК</v>
      </c>
      <c r="G352" s="237"/>
      <c r="H352" s="237" t="str">
        <f>РПЗ!R352</f>
        <v>да</v>
      </c>
      <c r="I352" s="15">
        <f>РПЗ!W352</f>
        <v>0</v>
      </c>
      <c r="J352" s="233">
        <f>РПЗ!X352</f>
        <v>0</v>
      </c>
      <c r="K352" s="283">
        <f>РПЗ!Z352</f>
        <v>0</v>
      </c>
      <c r="L352" s="17"/>
      <c r="M352" s="18">
        <f>РПЗ!O352</f>
        <v>42736</v>
      </c>
      <c r="N352" s="238">
        <f>Таблица5[[#This Row],[10]]</f>
        <v>42736</v>
      </c>
      <c r="O352" s="17"/>
      <c r="P352" s="17"/>
      <c r="Q352" s="17"/>
      <c r="R352" s="17"/>
      <c r="S352" s="17"/>
      <c r="T352" s="686"/>
      <c r="U352" s="18">
        <f>РПЗ!P352</f>
        <v>43100</v>
      </c>
      <c r="V352" s="686"/>
      <c r="W352" s="236">
        <f>РПЗ!L352</f>
        <v>205000</v>
      </c>
      <c r="X352" s="689"/>
      <c r="Y352" s="689"/>
      <c r="Z352" s="690"/>
      <c r="AA352" s="691"/>
      <c r="AB352" s="111"/>
      <c r="AC352" s="17"/>
      <c r="AD352" s="690"/>
      <c r="AE352" s="686"/>
      <c r="AF352" s="474"/>
      <c r="AG352" s="692"/>
      <c r="AH352" s="236" t="str">
        <f>IF(Таблица5[[#This Row],[30]]=0,"НД",Таблица5[[#This Row],[20]]-Таблица5[[#This Row],[30]])</f>
        <v>НД</v>
      </c>
      <c r="AI352" s="511" t="str">
        <f>IF(((1-Таблица5[[#This Row],[30]]/Таблица5[[#This Row],[20]])=1),"НД",(1-Таблица5[[#This Row],[30]]/Таблица5[[#This Row],[20]]))</f>
        <v>НД</v>
      </c>
      <c r="AJ352" s="111"/>
      <c r="AK352" s="111"/>
      <c r="AL352" s="512"/>
      <c r="AM352" s="513"/>
      <c r="AN352" s="465"/>
      <c r="AO352" s="468" t="str">
        <f>РПЗ!AD352</f>
        <v>Нет</v>
      </c>
      <c r="AP352" s="472">
        <f>РПЗ!V352</f>
        <v>0</v>
      </c>
      <c r="AQ352" s="470">
        <f>IF(Таблица5[[#This Row],[11]]=0,,MONTH(Таблица5[[#This Row],[11]]))</f>
        <v>1</v>
      </c>
    </row>
    <row r="353" spans="1:43" ht="39" thickBot="1" x14ac:dyDescent="0.3">
      <c r="A353" s="233" t="str">
        <f t="shared" si="5"/>
        <v>1004-2017-00338</v>
      </c>
      <c r="B353" s="233" t="str">
        <f>РПЗ!$D353</f>
        <v>1004-2017-00338 Оказание услуг по проведению периодических медицинских осмотров</v>
      </c>
      <c r="C353" s="233" t="str">
        <f>РПЗ!$AA353</f>
        <v>АО "НИИ "Полюс" им. М.Ф. Стельмаха" тел. отдела закупок 8-495-333-05-02</v>
      </c>
      <c r="D353" s="633" t="str">
        <f>РПЗ!$AB353</f>
        <v>Заказчик</v>
      </c>
      <c r="E353" s="96" t="s">
        <v>46</v>
      </c>
      <c r="F353" s="233" t="str">
        <f>РПЗ!Q353</f>
        <v>ОЗК</v>
      </c>
      <c r="G353" s="237"/>
      <c r="H353" s="237" t="str">
        <f>РПЗ!R353</f>
        <v>да</v>
      </c>
      <c r="I353" s="15">
        <f>РПЗ!W353</f>
        <v>0</v>
      </c>
      <c r="J353" s="233">
        <f>РПЗ!X353</f>
        <v>0</v>
      </c>
      <c r="K353" s="283">
        <f>РПЗ!Z353</f>
        <v>0</v>
      </c>
      <c r="L353" s="17"/>
      <c r="M353" s="18">
        <f>РПЗ!O353</f>
        <v>42795</v>
      </c>
      <c r="N353" s="238">
        <f>Таблица5[[#This Row],[10]]</f>
        <v>42795</v>
      </c>
      <c r="O353" s="17"/>
      <c r="P353" s="17"/>
      <c r="Q353" s="17"/>
      <c r="R353" s="17"/>
      <c r="S353" s="17"/>
      <c r="T353" s="686"/>
      <c r="U353" s="18">
        <f>РПЗ!P353</f>
        <v>42979</v>
      </c>
      <c r="V353" s="686"/>
      <c r="W353" s="236">
        <f>РПЗ!L353</f>
        <v>1000000</v>
      </c>
      <c r="X353" s="689"/>
      <c r="Y353" s="689"/>
      <c r="Z353" s="690"/>
      <c r="AA353" s="691"/>
      <c r="AB353" s="111"/>
      <c r="AC353" s="17"/>
      <c r="AD353" s="690"/>
      <c r="AE353" s="686"/>
      <c r="AF353" s="474"/>
      <c r="AG353" s="692"/>
      <c r="AH353" s="236" t="str">
        <f>IF(Таблица5[[#This Row],[30]]=0,"НД",Таблица5[[#This Row],[20]]-Таблица5[[#This Row],[30]])</f>
        <v>НД</v>
      </c>
      <c r="AI353" s="511" t="str">
        <f>IF(((1-Таблица5[[#This Row],[30]]/Таблица5[[#This Row],[20]])=1),"НД",(1-Таблица5[[#This Row],[30]]/Таблица5[[#This Row],[20]]))</f>
        <v>НД</v>
      </c>
      <c r="AJ353" s="111"/>
      <c r="AK353" s="111"/>
      <c r="AL353" s="512"/>
      <c r="AM353" s="513"/>
      <c r="AN353" s="465"/>
      <c r="AO353" s="468" t="str">
        <f>РПЗ!AD353</f>
        <v>Нет</v>
      </c>
      <c r="AP353" s="472">
        <f>РПЗ!V353</f>
        <v>0</v>
      </c>
      <c r="AQ353" s="470">
        <f>IF(Таблица5[[#This Row],[11]]=0,,MONTH(Таблица5[[#This Row],[11]]))</f>
        <v>3</v>
      </c>
    </row>
    <row r="354" spans="1:43" ht="39" thickBot="1" x14ac:dyDescent="0.3">
      <c r="A354" s="233" t="str">
        <f t="shared" si="5"/>
        <v>1004-2017-00339</v>
      </c>
      <c r="B354" s="233" t="str">
        <f>РПЗ!$D354</f>
        <v>1004-2017-00339 Оказание услуг по Проведению специальной оценки условий труда (СОУТ)</v>
      </c>
      <c r="C354" s="233" t="str">
        <f>РПЗ!$AA354</f>
        <v>АО "НИИ "Полюс" им. М.Ф. Стельмаха" тел. отдела закупок 8-495-333-05-02</v>
      </c>
      <c r="D354" s="633" t="str">
        <f>РПЗ!$AB354</f>
        <v>Заказчик</v>
      </c>
      <c r="E354" s="96" t="s">
        <v>46</v>
      </c>
      <c r="F354" s="233" t="str">
        <f>РПЗ!Q354</f>
        <v>ОЗК</v>
      </c>
      <c r="G354" s="237"/>
      <c r="H354" s="237" t="str">
        <f>РПЗ!R354</f>
        <v>да</v>
      </c>
      <c r="I354" s="15">
        <f>РПЗ!W354</f>
        <v>0</v>
      </c>
      <c r="J354" s="233">
        <f>РПЗ!X354</f>
        <v>0</v>
      </c>
      <c r="K354" s="283">
        <f>РПЗ!Z354</f>
        <v>0</v>
      </c>
      <c r="L354" s="17"/>
      <c r="M354" s="18">
        <f>РПЗ!O354</f>
        <v>42826</v>
      </c>
      <c r="N354" s="238">
        <f>Таблица5[[#This Row],[10]]</f>
        <v>42826</v>
      </c>
      <c r="O354" s="17"/>
      <c r="P354" s="17"/>
      <c r="Q354" s="17"/>
      <c r="R354" s="17"/>
      <c r="S354" s="17"/>
      <c r="T354" s="686"/>
      <c r="U354" s="18">
        <f>РПЗ!P354</f>
        <v>42855</v>
      </c>
      <c r="V354" s="686"/>
      <c r="W354" s="236">
        <f>РПЗ!L354</f>
        <v>110000</v>
      </c>
      <c r="X354" s="689"/>
      <c r="Y354" s="689"/>
      <c r="Z354" s="690"/>
      <c r="AA354" s="691"/>
      <c r="AB354" s="111"/>
      <c r="AC354" s="17"/>
      <c r="AD354" s="690"/>
      <c r="AE354" s="686"/>
      <c r="AF354" s="474"/>
      <c r="AG354" s="692"/>
      <c r="AH354" s="236" t="str">
        <f>IF(Таблица5[[#This Row],[30]]=0,"НД",Таблица5[[#This Row],[20]]-Таблица5[[#This Row],[30]])</f>
        <v>НД</v>
      </c>
      <c r="AI354" s="511" t="str">
        <f>IF(((1-Таблица5[[#This Row],[30]]/Таблица5[[#This Row],[20]])=1),"НД",(1-Таблица5[[#This Row],[30]]/Таблица5[[#This Row],[20]]))</f>
        <v>НД</v>
      </c>
      <c r="AJ354" s="111"/>
      <c r="AK354" s="111"/>
      <c r="AL354" s="512"/>
      <c r="AM354" s="513"/>
      <c r="AN354" s="465"/>
      <c r="AO354" s="468" t="str">
        <f>РПЗ!AD354</f>
        <v>Нет</v>
      </c>
      <c r="AP354" s="472">
        <f>РПЗ!V354</f>
        <v>0</v>
      </c>
      <c r="AQ354" s="470">
        <f>IF(Таблица5[[#This Row],[11]]=0,,MONTH(Таблица5[[#This Row],[11]]))</f>
        <v>4</v>
      </c>
    </row>
    <row r="355" spans="1:43" ht="39" thickBot="1" x14ac:dyDescent="0.3">
      <c r="A355" s="233" t="str">
        <f t="shared" si="5"/>
        <v>1004-2017-00340</v>
      </c>
      <c r="B355" s="233" t="str">
        <f>РПЗ!$D355</f>
        <v>1004-2017-00340Услуга по Проведению специальной оценки условий труда (СОУТ)</v>
      </c>
      <c r="C355" s="233" t="str">
        <f>РПЗ!$AA355</f>
        <v>АО "НИИ "Полюс" им. М.Ф. Стельмаха" тел. отдела закупок 8-495-333-05-02</v>
      </c>
      <c r="D355" s="633" t="str">
        <f>РПЗ!$AB355</f>
        <v>Заказчик</v>
      </c>
      <c r="E355" s="96" t="s">
        <v>46</v>
      </c>
      <c r="F355" s="233" t="str">
        <f>РПЗ!Q355</f>
        <v>ОЗК</v>
      </c>
      <c r="G355" s="237"/>
      <c r="H355" s="237" t="str">
        <f>РПЗ!R355</f>
        <v>да</v>
      </c>
      <c r="I355" s="15">
        <f>РПЗ!W355</f>
        <v>0</v>
      </c>
      <c r="J355" s="233">
        <f>РПЗ!X355</f>
        <v>0</v>
      </c>
      <c r="K355" s="283">
        <f>РПЗ!Z355</f>
        <v>0</v>
      </c>
      <c r="L355" s="17"/>
      <c r="M355" s="18">
        <f>РПЗ!O355</f>
        <v>43009</v>
      </c>
      <c r="N355" s="238">
        <f>Таблица5[[#This Row],[10]]</f>
        <v>43009</v>
      </c>
      <c r="O355" s="17"/>
      <c r="P355" s="17"/>
      <c r="Q355" s="17"/>
      <c r="R355" s="17"/>
      <c r="S355" s="17"/>
      <c r="T355" s="686"/>
      <c r="U355" s="18">
        <f>РПЗ!P355</f>
        <v>43039</v>
      </c>
      <c r="V355" s="686"/>
      <c r="W355" s="236">
        <f>РПЗ!L355</f>
        <v>110000</v>
      </c>
      <c r="X355" s="689"/>
      <c r="Y355" s="689"/>
      <c r="Z355" s="690"/>
      <c r="AA355" s="691"/>
      <c r="AB355" s="111"/>
      <c r="AC355" s="17"/>
      <c r="AD355" s="690"/>
      <c r="AE355" s="686"/>
      <c r="AF355" s="474"/>
      <c r="AG355" s="692"/>
      <c r="AH355" s="236" t="str">
        <f>IF(Таблица5[[#This Row],[30]]=0,"НД",Таблица5[[#This Row],[20]]-Таблица5[[#This Row],[30]])</f>
        <v>НД</v>
      </c>
      <c r="AI355" s="511" t="str">
        <f>IF(((1-Таблица5[[#This Row],[30]]/Таблица5[[#This Row],[20]])=1),"НД",(1-Таблица5[[#This Row],[30]]/Таблица5[[#This Row],[20]]))</f>
        <v>НД</v>
      </c>
      <c r="AJ355" s="111"/>
      <c r="AK355" s="111"/>
      <c r="AL355" s="512"/>
      <c r="AM355" s="513"/>
      <c r="AN355" s="465"/>
      <c r="AO355" s="468" t="str">
        <f>РПЗ!AD355</f>
        <v>Нет</v>
      </c>
      <c r="AP355" s="472">
        <f>РПЗ!V355</f>
        <v>0</v>
      </c>
      <c r="AQ355" s="470">
        <f>IF(Таблица5[[#This Row],[11]]=0,,MONTH(Таблица5[[#This Row],[11]]))</f>
        <v>10</v>
      </c>
    </row>
    <row r="356" spans="1:43" ht="39" thickBot="1" x14ac:dyDescent="0.3">
      <c r="A356" s="233" t="str">
        <f t="shared" si="5"/>
        <v>1004-2017-00341</v>
      </c>
      <c r="B356" s="233" t="str">
        <f>РПЗ!$D356</f>
        <v>1004-2017-00341Приобретение аналитических весов для хим. лаборатории отдела охраны труда</v>
      </c>
      <c r="C356" s="233" t="str">
        <f>РПЗ!$AA356</f>
        <v>АО "НИИ "Полюс" им. М.Ф. Стельмаха" тел. отдела закупок 8-495-333-05-02</v>
      </c>
      <c r="D356" s="633" t="str">
        <f>РПЗ!$AB356</f>
        <v>Заказчик</v>
      </c>
      <c r="E356" s="96" t="s">
        <v>46</v>
      </c>
      <c r="F356" s="233" t="str">
        <f>РПЗ!Q356</f>
        <v>ОЗК</v>
      </c>
      <c r="G356" s="237"/>
      <c r="H356" s="237" t="str">
        <f>РПЗ!R356</f>
        <v>да</v>
      </c>
      <c r="I356" s="15">
        <f>РПЗ!W356</f>
        <v>0</v>
      </c>
      <c r="J356" s="233">
        <f>РПЗ!X356</f>
        <v>0</v>
      </c>
      <c r="K356" s="283">
        <f>РПЗ!Z356</f>
        <v>0</v>
      </c>
      <c r="L356" s="17"/>
      <c r="M356" s="18">
        <f>РПЗ!O356</f>
        <v>42826</v>
      </c>
      <c r="N356" s="238">
        <f>Таблица5[[#This Row],[10]]</f>
        <v>42826</v>
      </c>
      <c r="O356" s="17"/>
      <c r="P356" s="17"/>
      <c r="Q356" s="17"/>
      <c r="R356" s="17"/>
      <c r="S356" s="17"/>
      <c r="T356" s="686"/>
      <c r="U356" s="18">
        <f>РПЗ!P356</f>
        <v>42887</v>
      </c>
      <c r="V356" s="686"/>
      <c r="W356" s="236">
        <f>РПЗ!L356</f>
        <v>122000</v>
      </c>
      <c r="X356" s="689"/>
      <c r="Y356" s="689"/>
      <c r="Z356" s="690"/>
      <c r="AA356" s="691"/>
      <c r="AB356" s="111"/>
      <c r="AC356" s="17"/>
      <c r="AD356" s="690"/>
      <c r="AE356" s="686"/>
      <c r="AF356" s="474"/>
      <c r="AG356" s="692"/>
      <c r="AH356" s="236" t="str">
        <f>IF(Таблица5[[#This Row],[30]]=0,"НД",Таблица5[[#This Row],[20]]-Таблица5[[#This Row],[30]])</f>
        <v>НД</v>
      </c>
      <c r="AI356" s="511" t="str">
        <f>IF(((1-Таблица5[[#This Row],[30]]/Таблица5[[#This Row],[20]])=1),"НД",(1-Таблица5[[#This Row],[30]]/Таблица5[[#This Row],[20]]))</f>
        <v>НД</v>
      </c>
      <c r="AJ356" s="111"/>
      <c r="AK356" s="111"/>
      <c r="AL356" s="512"/>
      <c r="AM356" s="513"/>
      <c r="AN356" s="465"/>
      <c r="AO356" s="468" t="str">
        <f>РПЗ!AD356</f>
        <v>Нет</v>
      </c>
      <c r="AP356" s="472">
        <f>РПЗ!V356</f>
        <v>0</v>
      </c>
      <c r="AQ356" s="470">
        <f>IF(Таблица5[[#This Row],[11]]=0,,MONTH(Таблица5[[#This Row],[11]]))</f>
        <v>4</v>
      </c>
    </row>
    <row r="357" spans="1:43" ht="39" thickBot="1" x14ac:dyDescent="0.3">
      <c r="A357" s="233" t="str">
        <f t="shared" si="5"/>
        <v>1004-2017-00342</v>
      </c>
      <c r="B357" s="233" t="str">
        <f>РПЗ!$D357</f>
        <v>1004-2017-00342Выполнение работ по дезинсекции  и дератизации</v>
      </c>
      <c r="C357" s="233" t="str">
        <f>РПЗ!$AA357</f>
        <v>АО "НИИ "Полюс" им. М.Ф. Стельмаха" тел. отдела закупок 8-495-333-05-02</v>
      </c>
      <c r="D357" s="633" t="str">
        <f>РПЗ!$AB357</f>
        <v>Заказчик</v>
      </c>
      <c r="E357" s="96" t="s">
        <v>46</v>
      </c>
      <c r="F357" s="233" t="str">
        <f>РПЗ!Q357</f>
        <v>ОЗК</v>
      </c>
      <c r="G357" s="237"/>
      <c r="H357" s="237" t="str">
        <f>РПЗ!R357</f>
        <v>да</v>
      </c>
      <c r="I357" s="15">
        <f>РПЗ!W357</f>
        <v>0</v>
      </c>
      <c r="J357" s="233">
        <f>РПЗ!X357</f>
        <v>0</v>
      </c>
      <c r="K357" s="283">
        <f>РПЗ!Z357</f>
        <v>0</v>
      </c>
      <c r="L357" s="17"/>
      <c r="M357" s="18">
        <f>РПЗ!O357</f>
        <v>42736</v>
      </c>
      <c r="N357" s="238">
        <f>Таблица5[[#This Row],[10]]</f>
        <v>42736</v>
      </c>
      <c r="O357" s="17"/>
      <c r="P357" s="17"/>
      <c r="Q357" s="17"/>
      <c r="R357" s="17"/>
      <c r="S357" s="17"/>
      <c r="T357" s="686"/>
      <c r="U357" s="18">
        <f>РПЗ!P357</f>
        <v>43100</v>
      </c>
      <c r="V357" s="686"/>
      <c r="W357" s="236">
        <f>РПЗ!L357</f>
        <v>120000</v>
      </c>
      <c r="X357" s="689"/>
      <c r="Y357" s="689"/>
      <c r="Z357" s="690"/>
      <c r="AA357" s="691"/>
      <c r="AB357" s="111"/>
      <c r="AC357" s="17"/>
      <c r="AD357" s="690"/>
      <c r="AE357" s="686"/>
      <c r="AF357" s="474"/>
      <c r="AG357" s="692"/>
      <c r="AH357" s="236" t="str">
        <f>IF(Таблица5[[#This Row],[30]]=0,"НД",Таблица5[[#This Row],[20]]-Таблица5[[#This Row],[30]])</f>
        <v>НД</v>
      </c>
      <c r="AI357" s="511" t="str">
        <f>IF(((1-Таблица5[[#This Row],[30]]/Таблица5[[#This Row],[20]])=1),"НД",(1-Таблица5[[#This Row],[30]]/Таблица5[[#This Row],[20]]))</f>
        <v>НД</v>
      </c>
      <c r="AJ357" s="111"/>
      <c r="AK357" s="111"/>
      <c r="AL357" s="512"/>
      <c r="AM357" s="513"/>
      <c r="AN357" s="465"/>
      <c r="AO357" s="468" t="str">
        <f>РПЗ!AD357</f>
        <v>Нет</v>
      </c>
      <c r="AP357" s="472">
        <f>РПЗ!V357</f>
        <v>0</v>
      </c>
      <c r="AQ357" s="470">
        <f>IF(Таблица5[[#This Row],[11]]=0,,MONTH(Таблица5[[#This Row],[11]]))</f>
        <v>1</v>
      </c>
    </row>
    <row r="358" spans="1:43" ht="39" thickBot="1" x14ac:dyDescent="0.3">
      <c r="A358" s="233" t="str">
        <f t="shared" si="5"/>
        <v>1004-2017-00343</v>
      </c>
      <c r="B358" s="233" t="str">
        <f>РПЗ!$D358</f>
        <v>1004-2017-00343 Поставка Калибратора переменного напряжения Н5-5</v>
      </c>
      <c r="C358" s="233" t="str">
        <f>РПЗ!$AA358</f>
        <v>АО "НИИ "Полюс" им. М.Ф. Стельмаха" тел. отдела закупок 8-495-333-05-02</v>
      </c>
      <c r="D358" s="633" t="str">
        <f>РПЗ!$AB358</f>
        <v>Заказчик</v>
      </c>
      <c r="E358" s="96" t="s">
        <v>46</v>
      </c>
      <c r="F358" s="233" t="str">
        <f>РПЗ!Q358</f>
        <v>ОЗК</v>
      </c>
      <c r="G358" s="237"/>
      <c r="H358" s="237" t="str">
        <f>РПЗ!R358</f>
        <v>да</v>
      </c>
      <c r="I358" s="15">
        <f>РПЗ!W358</f>
        <v>0</v>
      </c>
      <c r="J358" s="233">
        <f>РПЗ!X358</f>
        <v>0</v>
      </c>
      <c r="K358" s="283">
        <f>РПЗ!Z358</f>
        <v>0</v>
      </c>
      <c r="L358" s="17"/>
      <c r="M358" s="18">
        <f>РПЗ!O358</f>
        <v>42856</v>
      </c>
      <c r="N358" s="238">
        <f>Таблица5[[#This Row],[10]]</f>
        <v>42856</v>
      </c>
      <c r="O358" s="17"/>
      <c r="P358" s="17"/>
      <c r="Q358" s="17"/>
      <c r="R358" s="17"/>
      <c r="S358" s="17"/>
      <c r="T358" s="686"/>
      <c r="U358" s="18">
        <f>РПЗ!P358</f>
        <v>43040</v>
      </c>
      <c r="V358" s="686"/>
      <c r="W358" s="236">
        <f>РПЗ!L358</f>
        <v>350000</v>
      </c>
      <c r="X358" s="689"/>
      <c r="Y358" s="689"/>
      <c r="Z358" s="690"/>
      <c r="AA358" s="691"/>
      <c r="AB358" s="111"/>
      <c r="AC358" s="17"/>
      <c r="AD358" s="690"/>
      <c r="AE358" s="686"/>
      <c r="AF358" s="474"/>
      <c r="AG358" s="692"/>
      <c r="AH358" s="236" t="str">
        <f>IF(Таблица5[[#This Row],[30]]=0,"НД",Таблица5[[#This Row],[20]]-Таблица5[[#This Row],[30]])</f>
        <v>НД</v>
      </c>
      <c r="AI358" s="511" t="str">
        <f>IF(((1-Таблица5[[#This Row],[30]]/Таблица5[[#This Row],[20]])=1),"НД",(1-Таблица5[[#This Row],[30]]/Таблица5[[#This Row],[20]]))</f>
        <v>НД</v>
      </c>
      <c r="AJ358" s="111"/>
      <c r="AK358" s="111"/>
      <c r="AL358" s="512"/>
      <c r="AM358" s="513"/>
      <c r="AN358" s="465"/>
      <c r="AO358" s="468" t="str">
        <f>РПЗ!AD358</f>
        <v>Нет</v>
      </c>
      <c r="AP358" s="472">
        <f>РПЗ!V358</f>
        <v>0</v>
      </c>
      <c r="AQ358" s="470">
        <f>IF(Таблица5[[#This Row],[11]]=0,,MONTH(Таблица5[[#This Row],[11]]))</f>
        <v>5</v>
      </c>
    </row>
    <row r="359" spans="1:43" ht="255.75" thickBot="1" x14ac:dyDescent="0.3">
      <c r="A359" s="233" t="str">
        <f t="shared" si="5"/>
        <v>1004-2017-00344</v>
      </c>
      <c r="B359" s="233" t="str">
        <f>РПЗ!$D359</f>
        <v>1004-2017-00344 Заключение годового договора на проведение работ по профилактическим (эксплуатационным) приёмо-сдаточным испытаниям и измерениям электрооборудования/ аппаратов/ проводов/ кабелей, входящих в состав электроустановок, расположенных в корпусах: №1 – Лабораторно – производственный корпус; №3 – Лабораторный корпус; №4 Производственный корпус; №5 – Энергокорпус; №2 – Бытовой корпус; №7 – вспомогательный цех; №1 стр.1 – стилобат; № 9 - Кислородно-водородная станция; №10 – Канализационно-насосная станция; № 11 – Водо-насосная станция; №12,13 - склады.</v>
      </c>
      <c r="C359" s="233" t="str">
        <f>РПЗ!$AA359</f>
        <v>АО "НИИ "Полюс" им. М.Ф. Стельмаха" тел. отдела закупок 8-495-333-05-02</v>
      </c>
      <c r="D359" s="633" t="str">
        <f>РПЗ!$AB359</f>
        <v>Заказчик</v>
      </c>
      <c r="E359" s="96" t="s">
        <v>46</v>
      </c>
      <c r="F359" s="233" t="str">
        <f>РПЗ!Q359</f>
        <v>ОЗК</v>
      </c>
      <c r="G359" s="237"/>
      <c r="H359" s="237" t="str">
        <f>РПЗ!R359</f>
        <v>да</v>
      </c>
      <c r="I359" s="15">
        <f>РПЗ!W359</f>
        <v>0</v>
      </c>
      <c r="J359" s="233">
        <f>РПЗ!X359</f>
        <v>0</v>
      </c>
      <c r="K359" s="283">
        <f>РПЗ!Z359</f>
        <v>0</v>
      </c>
      <c r="L359" s="17"/>
      <c r="M359" s="18">
        <f>РПЗ!O359</f>
        <v>43040</v>
      </c>
      <c r="N359" s="238">
        <f>Таблица5[[#This Row],[10]]</f>
        <v>43040</v>
      </c>
      <c r="O359" s="17"/>
      <c r="P359" s="17"/>
      <c r="Q359" s="17"/>
      <c r="R359" s="17"/>
      <c r="S359" s="17"/>
      <c r="T359" s="686"/>
      <c r="U359" s="18">
        <f>РПЗ!P359</f>
        <v>43405</v>
      </c>
      <c r="V359" s="686"/>
      <c r="W359" s="236">
        <f>РПЗ!L359</f>
        <v>2000000</v>
      </c>
      <c r="X359" s="689"/>
      <c r="Y359" s="689"/>
      <c r="Z359" s="690"/>
      <c r="AA359" s="691"/>
      <c r="AB359" s="111"/>
      <c r="AC359" s="17"/>
      <c r="AD359" s="690"/>
      <c r="AE359" s="686"/>
      <c r="AF359" s="474"/>
      <c r="AG359" s="692"/>
      <c r="AH359" s="236" t="str">
        <f>IF(Таблица5[[#This Row],[30]]=0,"НД",Таблица5[[#This Row],[20]]-Таблица5[[#This Row],[30]])</f>
        <v>НД</v>
      </c>
      <c r="AI359" s="511" t="str">
        <f>IF(((1-Таблица5[[#This Row],[30]]/Таблица5[[#This Row],[20]])=1),"НД",(1-Таблица5[[#This Row],[30]]/Таблица5[[#This Row],[20]]))</f>
        <v>НД</v>
      </c>
      <c r="AJ359" s="111"/>
      <c r="AK359" s="111"/>
      <c r="AL359" s="512"/>
      <c r="AM359" s="513"/>
      <c r="AN359" s="465"/>
      <c r="AO359" s="468" t="str">
        <f>РПЗ!AD359</f>
        <v>Нет</v>
      </c>
      <c r="AP359" s="472">
        <f>РПЗ!V359</f>
        <v>0</v>
      </c>
      <c r="AQ359" s="470">
        <f>IF(Таблица5[[#This Row],[11]]=0,,MONTH(Таблица5[[#This Row],[11]]))</f>
        <v>11</v>
      </c>
    </row>
    <row r="360" spans="1:43" ht="77.25" thickBot="1" x14ac:dyDescent="0.3">
      <c r="A360" s="233" t="str">
        <f t="shared" si="5"/>
        <v>1004-2017-00345</v>
      </c>
      <c r="B360" s="233" t="str">
        <f>РПЗ!$D360</f>
        <v>1004-2017-00345 Выполнение ремонтных работ по замене автоматов защиты в колличестве 5 штук на втором техническом этаже лабораторного корпуса (закупка материалов)</v>
      </c>
      <c r="C360" s="233" t="str">
        <f>РПЗ!$AA360</f>
        <v>АО "НИИ "Полюс" им. М.Ф. Стельмаха" тел. отдела закупок 8-495-333-05-02</v>
      </c>
      <c r="D360" s="633" t="str">
        <f>РПЗ!$AB360</f>
        <v>Заказчик</v>
      </c>
      <c r="E360" s="96" t="s">
        <v>46</v>
      </c>
      <c r="F360" s="233" t="str">
        <f>РПЗ!Q360</f>
        <v>ОК</v>
      </c>
      <c r="G360" s="237"/>
      <c r="H360" s="237" t="str">
        <f>РПЗ!R360</f>
        <v>да</v>
      </c>
      <c r="I360" s="15">
        <f>РПЗ!W360</f>
        <v>0</v>
      </c>
      <c r="J360" s="233">
        <f>РПЗ!X360</f>
        <v>0</v>
      </c>
      <c r="K360" s="283">
        <f>РПЗ!Z360</f>
        <v>0</v>
      </c>
      <c r="L360" s="17"/>
      <c r="M360" s="18">
        <f>РПЗ!O360</f>
        <v>42767</v>
      </c>
      <c r="N360" s="238">
        <f>Таблица5[[#This Row],[10]]</f>
        <v>42767</v>
      </c>
      <c r="O360" s="17"/>
      <c r="P360" s="17"/>
      <c r="Q360" s="17"/>
      <c r="R360" s="17"/>
      <c r="S360" s="17"/>
      <c r="T360" s="686"/>
      <c r="U360" s="18">
        <f>РПЗ!P360</f>
        <v>43070</v>
      </c>
      <c r="V360" s="686"/>
      <c r="W360" s="236">
        <f>РПЗ!L360</f>
        <v>5000000</v>
      </c>
      <c r="X360" s="689"/>
      <c r="Y360" s="689"/>
      <c r="Z360" s="690"/>
      <c r="AA360" s="691"/>
      <c r="AB360" s="111"/>
      <c r="AC360" s="17"/>
      <c r="AD360" s="690"/>
      <c r="AE360" s="686"/>
      <c r="AF360" s="474"/>
      <c r="AG360" s="692"/>
      <c r="AH360" s="236" t="str">
        <f>IF(Таблица5[[#This Row],[30]]=0,"НД",Таблица5[[#This Row],[20]]-Таблица5[[#This Row],[30]])</f>
        <v>НД</v>
      </c>
      <c r="AI360" s="511" t="str">
        <f>IF(((1-Таблица5[[#This Row],[30]]/Таблица5[[#This Row],[20]])=1),"НД",(1-Таблица5[[#This Row],[30]]/Таблица5[[#This Row],[20]]))</f>
        <v>НД</v>
      </c>
      <c r="AJ360" s="111"/>
      <c r="AK360" s="111"/>
      <c r="AL360" s="512"/>
      <c r="AM360" s="513"/>
      <c r="AN360" s="465"/>
      <c r="AO360" s="468" t="str">
        <f>РПЗ!AD360</f>
        <v>Нет</v>
      </c>
      <c r="AP360" s="472">
        <f>РПЗ!V360</f>
        <v>0</v>
      </c>
      <c r="AQ360" s="470">
        <f>IF(Таблица5[[#This Row],[11]]=0,,MONTH(Таблица5[[#This Row],[11]]))</f>
        <v>2</v>
      </c>
    </row>
    <row r="361" spans="1:43" ht="51.75" thickBot="1" x14ac:dyDescent="0.3">
      <c r="A361" s="233" t="str">
        <f t="shared" si="5"/>
        <v>1004-2017-00346</v>
      </c>
      <c r="B361" s="233" t="str">
        <f>РПЗ!$D361</f>
        <v>1004-2017-00346 Выполнение работ по устройству системы диспетчерезации в лабораторном корпусе</v>
      </c>
      <c r="C361" s="233" t="str">
        <f>РПЗ!$AA361</f>
        <v>АО "НИИ "Полюс" им. М.Ф. Стельмаха" тел. отдела закупок 8-495-333-05-02</v>
      </c>
      <c r="D361" s="633" t="str">
        <f>РПЗ!$AB361</f>
        <v>Заказчик</v>
      </c>
      <c r="E361" s="96" t="s">
        <v>46</v>
      </c>
      <c r="F361" s="233" t="str">
        <f>РПЗ!Q361</f>
        <v>ОЗК</v>
      </c>
      <c r="G361" s="237"/>
      <c r="H361" s="237" t="str">
        <f>РПЗ!R361</f>
        <v>да</v>
      </c>
      <c r="I361" s="15">
        <f>РПЗ!W361</f>
        <v>0</v>
      </c>
      <c r="J361" s="233">
        <f>РПЗ!X361</f>
        <v>0</v>
      </c>
      <c r="K361" s="283">
        <f>РПЗ!Z361</f>
        <v>0</v>
      </c>
      <c r="L361" s="17"/>
      <c r="M361" s="18">
        <f>РПЗ!O361</f>
        <v>42767</v>
      </c>
      <c r="N361" s="238">
        <f>Таблица5[[#This Row],[10]]</f>
        <v>42767</v>
      </c>
      <c r="O361" s="17"/>
      <c r="P361" s="17"/>
      <c r="Q361" s="17"/>
      <c r="R361" s="17"/>
      <c r="S361" s="17"/>
      <c r="T361" s="686"/>
      <c r="U361" s="18">
        <f>РПЗ!P361</f>
        <v>43070</v>
      </c>
      <c r="V361" s="686"/>
      <c r="W361" s="236">
        <f>РПЗ!L361</f>
        <v>2000000</v>
      </c>
      <c r="X361" s="689"/>
      <c r="Y361" s="689"/>
      <c r="Z361" s="690"/>
      <c r="AA361" s="691"/>
      <c r="AB361" s="111"/>
      <c r="AC361" s="17"/>
      <c r="AD361" s="690"/>
      <c r="AE361" s="686"/>
      <c r="AF361" s="474"/>
      <c r="AG361" s="692"/>
      <c r="AH361" s="236" t="str">
        <f>IF(Таблица5[[#This Row],[30]]=0,"НД",Таблица5[[#This Row],[20]]-Таблица5[[#This Row],[30]])</f>
        <v>НД</v>
      </c>
      <c r="AI361" s="511" t="str">
        <f>IF(((1-Таблица5[[#This Row],[30]]/Таблица5[[#This Row],[20]])=1),"НД",(1-Таблица5[[#This Row],[30]]/Таблица5[[#This Row],[20]]))</f>
        <v>НД</v>
      </c>
      <c r="AJ361" s="111"/>
      <c r="AK361" s="111"/>
      <c r="AL361" s="512"/>
      <c r="AM361" s="513"/>
      <c r="AN361" s="465"/>
      <c r="AO361" s="468" t="str">
        <f>РПЗ!AD361</f>
        <v>Нет</v>
      </c>
      <c r="AP361" s="472">
        <f>РПЗ!V361</f>
        <v>0</v>
      </c>
      <c r="AQ361" s="470">
        <f>IF(Таблица5[[#This Row],[11]]=0,,MONTH(Таблица5[[#This Row],[11]]))</f>
        <v>2</v>
      </c>
    </row>
    <row r="362" spans="1:43" ht="39" thickBot="1" x14ac:dyDescent="0.3">
      <c r="A362" s="233" t="str">
        <f t="shared" si="5"/>
        <v>1004-2017-00347</v>
      </c>
      <c r="B362" s="233" t="str">
        <f>РПЗ!$D362</f>
        <v>1004-2017-00347Проведение энергетического обследования</v>
      </c>
      <c r="C362" s="233" t="str">
        <f>РПЗ!$AA362</f>
        <v>АО "НИИ "Полюс" им. М.Ф. Стельмаха" тел. отдела закупок 8-495-333-05-02</v>
      </c>
      <c r="D362" s="633" t="str">
        <f>РПЗ!$AB362</f>
        <v>Заказчик</v>
      </c>
      <c r="E362" s="96" t="s">
        <v>46</v>
      </c>
      <c r="F362" s="233" t="str">
        <f>РПЗ!Q362</f>
        <v>ОЗК</v>
      </c>
      <c r="G362" s="237"/>
      <c r="H362" s="237" t="str">
        <f>РПЗ!R362</f>
        <v>да</v>
      </c>
      <c r="I362" s="15">
        <f>РПЗ!W362</f>
        <v>0</v>
      </c>
      <c r="J362" s="233">
        <f>РПЗ!X362</f>
        <v>0</v>
      </c>
      <c r="K362" s="283">
        <f>РПЗ!Z362</f>
        <v>0</v>
      </c>
      <c r="L362" s="17"/>
      <c r="M362" s="18">
        <f>РПЗ!O362</f>
        <v>42767</v>
      </c>
      <c r="N362" s="238">
        <f>Таблица5[[#This Row],[10]]</f>
        <v>42767</v>
      </c>
      <c r="O362" s="17"/>
      <c r="P362" s="17"/>
      <c r="Q362" s="17"/>
      <c r="R362" s="17"/>
      <c r="S362" s="17"/>
      <c r="T362" s="686"/>
      <c r="U362" s="18">
        <f>РПЗ!P362</f>
        <v>43070</v>
      </c>
      <c r="V362" s="686"/>
      <c r="W362" s="236">
        <f>РПЗ!L362</f>
        <v>1500000</v>
      </c>
      <c r="X362" s="689"/>
      <c r="Y362" s="689"/>
      <c r="Z362" s="690"/>
      <c r="AA362" s="691"/>
      <c r="AB362" s="111"/>
      <c r="AC362" s="17"/>
      <c r="AD362" s="690"/>
      <c r="AE362" s="686"/>
      <c r="AF362" s="474"/>
      <c r="AG362" s="692"/>
      <c r="AH362" s="236" t="str">
        <f>IF(Таблица5[[#This Row],[30]]=0,"НД",Таблица5[[#This Row],[20]]-Таблица5[[#This Row],[30]])</f>
        <v>НД</v>
      </c>
      <c r="AI362" s="511" t="str">
        <f>IF(((1-Таблица5[[#This Row],[30]]/Таблица5[[#This Row],[20]])=1),"НД",(1-Таблица5[[#This Row],[30]]/Таблица5[[#This Row],[20]]))</f>
        <v>НД</v>
      </c>
      <c r="AJ362" s="111"/>
      <c r="AK362" s="111"/>
      <c r="AL362" s="512"/>
      <c r="AM362" s="513"/>
      <c r="AN362" s="465"/>
      <c r="AO362" s="468" t="str">
        <f>РПЗ!AD362</f>
        <v>Нет</v>
      </c>
      <c r="AP362" s="472">
        <f>РПЗ!V362</f>
        <v>0</v>
      </c>
      <c r="AQ362" s="470">
        <f>IF(Таблица5[[#This Row],[11]]=0,,MONTH(Таблица5[[#This Row],[11]]))</f>
        <v>2</v>
      </c>
    </row>
    <row r="363" spans="1:43" ht="39" thickBot="1" x14ac:dyDescent="0.3">
      <c r="A363" s="233" t="str">
        <f t="shared" si="5"/>
        <v>1004-2017-00348</v>
      </c>
      <c r="B363" s="233" t="str">
        <f>РПЗ!$D363</f>
        <v>1004-2017-00348Поставка Комплект канцтоваров</v>
      </c>
      <c r="C363" s="233" t="str">
        <f>РПЗ!$AA363</f>
        <v>АО "НИИ "Полюс" им. М.Ф. Стельмаха" тел. отдела закупок 8-495-333-05-02</v>
      </c>
      <c r="D363" s="633" t="str">
        <f>РПЗ!$AB363</f>
        <v>Заказчик</v>
      </c>
      <c r="E363" s="96" t="s">
        <v>46</v>
      </c>
      <c r="F363" s="233" t="str">
        <f>РПЗ!Q363</f>
        <v>ОЗК</v>
      </c>
      <c r="G363" s="237"/>
      <c r="H363" s="237" t="str">
        <f>РПЗ!R363</f>
        <v>да</v>
      </c>
      <c r="I363" s="15">
        <f>РПЗ!W363</f>
        <v>0</v>
      </c>
      <c r="J363" s="233">
        <f>РПЗ!X363</f>
        <v>0</v>
      </c>
      <c r="K363" s="283">
        <f>РПЗ!Z363</f>
        <v>0</v>
      </c>
      <c r="L363" s="17"/>
      <c r="M363" s="18">
        <f>РПЗ!O363</f>
        <v>42736</v>
      </c>
      <c r="N363" s="238">
        <f>Таблица5[[#This Row],[10]]</f>
        <v>42736</v>
      </c>
      <c r="O363" s="17"/>
      <c r="P363" s="17"/>
      <c r="Q363" s="17"/>
      <c r="R363" s="17"/>
      <c r="S363" s="17"/>
      <c r="T363" s="686"/>
      <c r="U363" s="18">
        <f>РПЗ!P363</f>
        <v>43070</v>
      </c>
      <c r="V363" s="686"/>
      <c r="W363" s="236">
        <f>РПЗ!L363</f>
        <v>1000000</v>
      </c>
      <c r="X363" s="689"/>
      <c r="Y363" s="689"/>
      <c r="Z363" s="690"/>
      <c r="AA363" s="691"/>
      <c r="AB363" s="111"/>
      <c r="AC363" s="17"/>
      <c r="AD363" s="690"/>
      <c r="AE363" s="686"/>
      <c r="AF363" s="474"/>
      <c r="AG363" s="692"/>
      <c r="AH363" s="236" t="str">
        <f>IF(Таблица5[[#This Row],[30]]=0,"НД",Таблица5[[#This Row],[20]]-Таблица5[[#This Row],[30]])</f>
        <v>НД</v>
      </c>
      <c r="AI363" s="511" t="str">
        <f>IF(((1-Таблица5[[#This Row],[30]]/Таблица5[[#This Row],[20]])=1),"НД",(1-Таблица5[[#This Row],[30]]/Таблица5[[#This Row],[20]]))</f>
        <v>НД</v>
      </c>
      <c r="AJ363" s="111"/>
      <c r="AK363" s="111"/>
      <c r="AL363" s="512"/>
      <c r="AM363" s="513"/>
      <c r="AN363" s="465"/>
      <c r="AO363" s="468" t="str">
        <f>РПЗ!AD363</f>
        <v>Нет</v>
      </c>
      <c r="AP363" s="472">
        <f>РПЗ!V363</f>
        <v>0</v>
      </c>
      <c r="AQ363" s="470">
        <f>IF(Таблица5[[#This Row],[11]]=0,,MONTH(Таблица5[[#This Row],[11]]))</f>
        <v>1</v>
      </c>
    </row>
    <row r="364" spans="1:43" ht="39" thickBot="1" x14ac:dyDescent="0.3">
      <c r="A364" s="233" t="str">
        <f t="shared" si="5"/>
        <v>1004-2017-00349</v>
      </c>
      <c r="B364" s="233" t="str">
        <f>РПЗ!$D364</f>
        <v>1004-2017-00349 ПоставкаПечатные платы</v>
      </c>
      <c r="C364" s="233" t="str">
        <f>РПЗ!$AA364</f>
        <v>АО "НИИ "Полюс" им. М.Ф. Стельмаха" тел. отдела закупок 8-495-333-05-02</v>
      </c>
      <c r="D364" s="633" t="str">
        <f>РПЗ!$AB364</f>
        <v>Заказчик</v>
      </c>
      <c r="E364" s="96" t="s">
        <v>46</v>
      </c>
      <c r="F364" s="233" t="str">
        <f>РПЗ!Q364</f>
        <v>ОЗК</v>
      </c>
      <c r="G364" s="237"/>
      <c r="H364" s="237" t="str">
        <f>РПЗ!R364</f>
        <v>да</v>
      </c>
      <c r="I364" s="15">
        <f>РПЗ!W364</f>
        <v>0</v>
      </c>
      <c r="J364" s="233">
        <f>РПЗ!X364</f>
        <v>0</v>
      </c>
      <c r="K364" s="283">
        <f>РПЗ!Z364</f>
        <v>0</v>
      </c>
      <c r="L364" s="17"/>
      <c r="M364" s="18">
        <f>РПЗ!O364</f>
        <v>42736</v>
      </c>
      <c r="N364" s="238">
        <f>Таблица5[[#This Row],[10]]</f>
        <v>42736</v>
      </c>
      <c r="O364" s="17"/>
      <c r="P364" s="17"/>
      <c r="Q364" s="17"/>
      <c r="R364" s="17"/>
      <c r="S364" s="17"/>
      <c r="T364" s="686"/>
      <c r="U364" s="18">
        <f>РПЗ!P364</f>
        <v>43070</v>
      </c>
      <c r="V364" s="686"/>
      <c r="W364" s="236">
        <f>РПЗ!L364</f>
        <v>216428.87</v>
      </c>
      <c r="X364" s="689"/>
      <c r="Y364" s="689"/>
      <c r="Z364" s="690"/>
      <c r="AA364" s="691"/>
      <c r="AB364" s="111"/>
      <c r="AC364" s="17"/>
      <c r="AD364" s="690"/>
      <c r="AE364" s="686"/>
      <c r="AF364" s="474"/>
      <c r="AG364" s="692"/>
      <c r="AH364" s="236" t="str">
        <f>IF(Таблица5[[#This Row],[30]]=0,"НД",Таблица5[[#This Row],[20]]-Таблица5[[#This Row],[30]])</f>
        <v>НД</v>
      </c>
      <c r="AI364" s="511" t="str">
        <f>IF(((1-Таблица5[[#This Row],[30]]/Таблица5[[#This Row],[20]])=1),"НД",(1-Таблица5[[#This Row],[30]]/Таблица5[[#This Row],[20]]))</f>
        <v>НД</v>
      </c>
      <c r="AJ364" s="111"/>
      <c r="AK364" s="111"/>
      <c r="AL364" s="512"/>
      <c r="AM364" s="513"/>
      <c r="AN364" s="465"/>
      <c r="AO364" s="468" t="str">
        <f>РПЗ!AD364</f>
        <v>Нет</v>
      </c>
      <c r="AP364" s="472">
        <f>РПЗ!V364</f>
        <v>0</v>
      </c>
      <c r="AQ364" s="470">
        <f>IF(Таблица5[[#This Row],[11]]=0,,MONTH(Таблица5[[#This Row],[11]]))</f>
        <v>1</v>
      </c>
    </row>
    <row r="365" spans="1:43" ht="39" thickBot="1" x14ac:dyDescent="0.3">
      <c r="A365" s="233" t="str">
        <f t="shared" si="5"/>
        <v>1004-2017-00350</v>
      </c>
      <c r="B365" s="233" t="str">
        <f>РПЗ!$D365</f>
        <v>1004-2017-00350Поставка Светодиодные модули МС-331С</v>
      </c>
      <c r="C365" s="233" t="str">
        <f>РПЗ!$AA365</f>
        <v>АО "НИИ "Полюс" им. М.Ф. Стельмаха" тел. отдела закупок 8-495-333-05-02</v>
      </c>
      <c r="D365" s="633" t="str">
        <f>РПЗ!$AB365</f>
        <v>Заказчик</v>
      </c>
      <c r="E365" s="96" t="s">
        <v>46</v>
      </c>
      <c r="F365" s="233" t="str">
        <f>РПЗ!Q365</f>
        <v>ОЗК</v>
      </c>
      <c r="G365" s="237"/>
      <c r="H365" s="237" t="str">
        <f>РПЗ!R365</f>
        <v>да</v>
      </c>
      <c r="I365" s="15">
        <f>РПЗ!W365</f>
        <v>0</v>
      </c>
      <c r="J365" s="233">
        <f>РПЗ!X365</f>
        <v>0</v>
      </c>
      <c r="K365" s="283">
        <f>РПЗ!Z365</f>
        <v>0</v>
      </c>
      <c r="L365" s="17"/>
      <c r="M365" s="18">
        <f>РПЗ!O365</f>
        <v>42736</v>
      </c>
      <c r="N365" s="238">
        <f>Таблица5[[#This Row],[10]]</f>
        <v>42736</v>
      </c>
      <c r="O365" s="17"/>
      <c r="P365" s="17"/>
      <c r="Q365" s="17"/>
      <c r="R365" s="17"/>
      <c r="S365" s="17"/>
      <c r="T365" s="686"/>
      <c r="U365" s="18">
        <f>РПЗ!P365</f>
        <v>43070</v>
      </c>
      <c r="V365" s="686"/>
      <c r="W365" s="236">
        <f>РПЗ!L365</f>
        <v>483800</v>
      </c>
      <c r="X365" s="689"/>
      <c r="Y365" s="689"/>
      <c r="Z365" s="690"/>
      <c r="AA365" s="691"/>
      <c r="AB365" s="111"/>
      <c r="AC365" s="17"/>
      <c r="AD365" s="690"/>
      <c r="AE365" s="686"/>
      <c r="AF365" s="474"/>
      <c r="AG365" s="692"/>
      <c r="AH365" s="236" t="str">
        <f>IF(Таблица5[[#This Row],[30]]=0,"НД",Таблица5[[#This Row],[20]]-Таблица5[[#This Row],[30]])</f>
        <v>НД</v>
      </c>
      <c r="AI365" s="511" t="str">
        <f>IF(((1-Таблица5[[#This Row],[30]]/Таблица5[[#This Row],[20]])=1),"НД",(1-Таблица5[[#This Row],[30]]/Таблица5[[#This Row],[20]]))</f>
        <v>НД</v>
      </c>
      <c r="AJ365" s="111"/>
      <c r="AK365" s="111"/>
      <c r="AL365" s="512"/>
      <c r="AM365" s="513"/>
      <c r="AN365" s="465"/>
      <c r="AO365" s="468" t="str">
        <f>РПЗ!AD365</f>
        <v>Нет</v>
      </c>
      <c r="AP365" s="472">
        <f>РПЗ!V365</f>
        <v>0</v>
      </c>
      <c r="AQ365" s="470">
        <f>IF(Таблица5[[#This Row],[11]]=0,,MONTH(Таблица5[[#This Row],[11]]))</f>
        <v>1</v>
      </c>
    </row>
    <row r="366" spans="1:43" ht="39" thickBot="1" x14ac:dyDescent="0.3">
      <c r="A366" s="233" t="str">
        <f t="shared" si="5"/>
        <v>1004-2017-00351</v>
      </c>
      <c r="B366" s="233" t="str">
        <f>РПЗ!$D366</f>
        <v>1004-2017-00351ПоставкаМеханические детали и узлы</v>
      </c>
      <c r="C366" s="233" t="str">
        <f>РПЗ!$AA366</f>
        <v>АО "НИИ "Полюс" им. М.Ф. Стельмаха" тел. отдела закупок 8-495-333-05-02</v>
      </c>
      <c r="D366" s="633" t="str">
        <f>РПЗ!$AB366</f>
        <v>Заказчик</v>
      </c>
      <c r="E366" s="96" t="s">
        <v>46</v>
      </c>
      <c r="F366" s="233" t="str">
        <f>РПЗ!Q366</f>
        <v>ОЗК</v>
      </c>
      <c r="G366" s="237"/>
      <c r="H366" s="237" t="str">
        <f>РПЗ!R366</f>
        <v>да</v>
      </c>
      <c r="I366" s="15">
        <f>РПЗ!W366</f>
        <v>0</v>
      </c>
      <c r="J366" s="233">
        <f>РПЗ!X366</f>
        <v>0</v>
      </c>
      <c r="K366" s="283">
        <f>РПЗ!Z366</f>
        <v>0</v>
      </c>
      <c r="L366" s="17"/>
      <c r="M366" s="18">
        <f>РПЗ!O366</f>
        <v>42736</v>
      </c>
      <c r="N366" s="238">
        <f>Таблица5[[#This Row],[10]]</f>
        <v>42736</v>
      </c>
      <c r="O366" s="17"/>
      <c r="P366" s="17"/>
      <c r="Q366" s="17"/>
      <c r="R366" s="17"/>
      <c r="S366" s="17"/>
      <c r="T366" s="686"/>
      <c r="U366" s="18">
        <f>РПЗ!P366</f>
        <v>43070</v>
      </c>
      <c r="V366" s="686"/>
      <c r="W366" s="236">
        <f>РПЗ!L366</f>
        <v>896304</v>
      </c>
      <c r="X366" s="689"/>
      <c r="Y366" s="689"/>
      <c r="Z366" s="690"/>
      <c r="AA366" s="691"/>
      <c r="AB366" s="111"/>
      <c r="AC366" s="17"/>
      <c r="AD366" s="690"/>
      <c r="AE366" s="686"/>
      <c r="AF366" s="474"/>
      <c r="AG366" s="692"/>
      <c r="AH366" s="236" t="str">
        <f>IF(Таблица5[[#This Row],[30]]=0,"НД",Таблица5[[#This Row],[20]]-Таблица5[[#This Row],[30]])</f>
        <v>НД</v>
      </c>
      <c r="AI366" s="511" t="str">
        <f>IF(((1-Таблица5[[#This Row],[30]]/Таблица5[[#This Row],[20]])=1),"НД",(1-Таблица5[[#This Row],[30]]/Таблица5[[#This Row],[20]]))</f>
        <v>НД</v>
      </c>
      <c r="AJ366" s="111"/>
      <c r="AK366" s="111"/>
      <c r="AL366" s="512"/>
      <c r="AM366" s="513"/>
      <c r="AN366" s="465"/>
      <c r="AO366" s="468" t="str">
        <f>РПЗ!AD366</f>
        <v>Нет</v>
      </c>
      <c r="AP366" s="472">
        <f>РПЗ!V366</f>
        <v>0</v>
      </c>
      <c r="AQ366" s="470">
        <f>IF(Таблица5[[#This Row],[11]]=0,,MONTH(Таблица5[[#This Row],[11]]))</f>
        <v>1</v>
      </c>
    </row>
    <row r="367" spans="1:43" ht="39" thickBot="1" x14ac:dyDescent="0.3">
      <c r="A367" s="233" t="str">
        <f t="shared" si="5"/>
        <v>1004-2017-00352</v>
      </c>
      <c r="B367" s="233" t="str">
        <f>РПЗ!$D367</f>
        <v>1004-2017-00352ПоставкаМеханические детали и узлы</v>
      </c>
      <c r="C367" s="233" t="str">
        <f>РПЗ!$AA367</f>
        <v>АО "НИИ "Полюс" им. М.Ф. Стельмаха" тел. отдела закупок 8-495-333-05-02</v>
      </c>
      <c r="D367" s="633" t="str">
        <f>РПЗ!$AB367</f>
        <v>Заказчик</v>
      </c>
      <c r="E367" s="96" t="s">
        <v>46</v>
      </c>
      <c r="F367" s="233" t="str">
        <f>РПЗ!Q367</f>
        <v>ОЗК</v>
      </c>
      <c r="G367" s="237"/>
      <c r="H367" s="237" t="str">
        <f>РПЗ!R367</f>
        <v>да</v>
      </c>
      <c r="I367" s="15">
        <f>РПЗ!W367</f>
        <v>0</v>
      </c>
      <c r="J367" s="233">
        <f>РПЗ!X367</f>
        <v>0</v>
      </c>
      <c r="K367" s="283">
        <f>РПЗ!Z367</f>
        <v>0</v>
      </c>
      <c r="L367" s="17"/>
      <c r="M367" s="18">
        <f>РПЗ!O367</f>
        <v>42736</v>
      </c>
      <c r="N367" s="238">
        <f>Таблица5[[#This Row],[10]]</f>
        <v>42736</v>
      </c>
      <c r="O367" s="17"/>
      <c r="P367" s="17"/>
      <c r="Q367" s="17"/>
      <c r="R367" s="17"/>
      <c r="S367" s="17"/>
      <c r="T367" s="686"/>
      <c r="U367" s="18">
        <f>РПЗ!P367</f>
        <v>43070</v>
      </c>
      <c r="V367" s="686"/>
      <c r="W367" s="236">
        <f>РПЗ!L367</f>
        <v>448152</v>
      </c>
      <c r="X367" s="689"/>
      <c r="Y367" s="689"/>
      <c r="Z367" s="690"/>
      <c r="AA367" s="691"/>
      <c r="AB367" s="111"/>
      <c r="AC367" s="17"/>
      <c r="AD367" s="690"/>
      <c r="AE367" s="686"/>
      <c r="AF367" s="474"/>
      <c r="AG367" s="692"/>
      <c r="AH367" s="236" t="str">
        <f>IF(Таблица5[[#This Row],[30]]=0,"НД",Таблица5[[#This Row],[20]]-Таблица5[[#This Row],[30]])</f>
        <v>НД</v>
      </c>
      <c r="AI367" s="511" t="str">
        <f>IF(((1-Таблица5[[#This Row],[30]]/Таблица5[[#This Row],[20]])=1),"НД",(1-Таблица5[[#This Row],[30]]/Таблица5[[#This Row],[20]]))</f>
        <v>НД</v>
      </c>
      <c r="AJ367" s="111"/>
      <c r="AK367" s="111"/>
      <c r="AL367" s="512"/>
      <c r="AM367" s="513"/>
      <c r="AN367" s="465"/>
      <c r="AO367" s="468" t="str">
        <f>РПЗ!AD367</f>
        <v>Нет</v>
      </c>
      <c r="AP367" s="472">
        <f>РПЗ!V367</f>
        <v>0</v>
      </c>
      <c r="AQ367" s="470">
        <f>IF(Таблица5[[#This Row],[11]]=0,,MONTH(Таблица5[[#This Row],[11]]))</f>
        <v>1</v>
      </c>
    </row>
    <row r="368" spans="1:43" ht="39" thickBot="1" x14ac:dyDescent="0.3">
      <c r="A368" s="233" t="str">
        <f t="shared" si="5"/>
        <v>1004-2017-00353</v>
      </c>
      <c r="B368" s="233" t="str">
        <f>РПЗ!$D368</f>
        <v>1004-2017-00353ПоставкаБОПИ</v>
      </c>
      <c r="C368" s="233" t="str">
        <f>РПЗ!$AA368</f>
        <v>АО "НИИ "Полюс" им. М.Ф. Стельмаха" тел. отдела закупок 8-495-333-05-02</v>
      </c>
      <c r="D368" s="633" t="str">
        <f>РПЗ!$AB368</f>
        <v>Заказчик</v>
      </c>
      <c r="E368" s="96" t="s">
        <v>46</v>
      </c>
      <c r="F368" s="233" t="str">
        <f>РПЗ!Q368</f>
        <v>ОК</v>
      </c>
      <c r="G368" s="237"/>
      <c r="H368" s="237" t="str">
        <f>РПЗ!R368</f>
        <v>да</v>
      </c>
      <c r="I368" s="15">
        <f>РПЗ!W368</f>
        <v>0</v>
      </c>
      <c r="J368" s="233">
        <f>РПЗ!X368</f>
        <v>0</v>
      </c>
      <c r="K368" s="283">
        <f>РПЗ!Z368</f>
        <v>0</v>
      </c>
      <c r="L368" s="17"/>
      <c r="M368" s="18">
        <f>РПЗ!O368</f>
        <v>42736</v>
      </c>
      <c r="N368" s="238">
        <f>Таблица5[[#This Row],[10]]</f>
        <v>42736</v>
      </c>
      <c r="O368" s="17"/>
      <c r="P368" s="17"/>
      <c r="Q368" s="17"/>
      <c r="R368" s="17"/>
      <c r="S368" s="17"/>
      <c r="T368" s="686"/>
      <c r="U368" s="18">
        <f>РПЗ!P368</f>
        <v>43070</v>
      </c>
      <c r="V368" s="686"/>
      <c r="W368" s="236">
        <f>РПЗ!L368</f>
        <v>8843793.9000000004</v>
      </c>
      <c r="X368" s="689"/>
      <c r="Y368" s="689"/>
      <c r="Z368" s="690"/>
      <c r="AA368" s="691"/>
      <c r="AB368" s="111"/>
      <c r="AC368" s="17"/>
      <c r="AD368" s="690"/>
      <c r="AE368" s="686"/>
      <c r="AF368" s="474"/>
      <c r="AG368" s="692"/>
      <c r="AH368" s="236" t="str">
        <f>IF(Таблица5[[#This Row],[30]]=0,"НД",Таблица5[[#This Row],[20]]-Таблица5[[#This Row],[30]])</f>
        <v>НД</v>
      </c>
      <c r="AI368" s="511" t="str">
        <f>IF(((1-Таблица5[[#This Row],[30]]/Таблица5[[#This Row],[20]])=1),"НД",(1-Таблица5[[#This Row],[30]]/Таблица5[[#This Row],[20]]))</f>
        <v>НД</v>
      </c>
      <c r="AJ368" s="111"/>
      <c r="AK368" s="111"/>
      <c r="AL368" s="512"/>
      <c r="AM368" s="513"/>
      <c r="AN368" s="465"/>
      <c r="AO368" s="468" t="str">
        <f>РПЗ!AD368</f>
        <v>Нет</v>
      </c>
      <c r="AP368" s="472">
        <f>РПЗ!V368</f>
        <v>0</v>
      </c>
      <c r="AQ368" s="470">
        <f>IF(Таблица5[[#This Row],[11]]=0,,MONTH(Таблица5[[#This Row],[11]]))</f>
        <v>1</v>
      </c>
    </row>
    <row r="369" spans="1:43" ht="39" thickBot="1" x14ac:dyDescent="0.3">
      <c r="A369" s="233" t="str">
        <f t="shared" si="5"/>
        <v>1004-2017-00354</v>
      </c>
      <c r="B369" s="233" t="str">
        <f>РПЗ!$D369</f>
        <v>1004-2017-00354ПоставкаБОПИ</v>
      </c>
      <c r="C369" s="233" t="str">
        <f>РПЗ!$AA369</f>
        <v>АО "НИИ "Полюс" им. М.Ф. Стельмаха" тел. отдела закупок 8-495-333-05-02</v>
      </c>
      <c r="D369" s="633" t="str">
        <f>РПЗ!$AB369</f>
        <v>Заказчик</v>
      </c>
      <c r="E369" s="96" t="s">
        <v>46</v>
      </c>
      <c r="F369" s="233" t="str">
        <f>РПЗ!Q369</f>
        <v>ОК</v>
      </c>
      <c r="G369" s="237"/>
      <c r="H369" s="237" t="str">
        <f>РПЗ!R369</f>
        <v>да</v>
      </c>
      <c r="I369" s="15">
        <f>РПЗ!W369</f>
        <v>0</v>
      </c>
      <c r="J369" s="233">
        <f>РПЗ!X369</f>
        <v>0</v>
      </c>
      <c r="K369" s="283">
        <f>РПЗ!Z369</f>
        <v>0</v>
      </c>
      <c r="L369" s="17"/>
      <c r="M369" s="18">
        <f>РПЗ!O369</f>
        <v>42736</v>
      </c>
      <c r="N369" s="238">
        <f>Таблица5[[#This Row],[10]]</f>
        <v>42736</v>
      </c>
      <c r="O369" s="17"/>
      <c r="P369" s="17"/>
      <c r="Q369" s="17"/>
      <c r="R369" s="17"/>
      <c r="S369" s="17"/>
      <c r="T369" s="686"/>
      <c r="U369" s="18">
        <f>РПЗ!P369</f>
        <v>43070</v>
      </c>
      <c r="V369" s="686"/>
      <c r="W369" s="236">
        <f>РПЗ!L369</f>
        <v>14150070.24</v>
      </c>
      <c r="X369" s="689"/>
      <c r="Y369" s="689"/>
      <c r="Z369" s="690"/>
      <c r="AA369" s="691"/>
      <c r="AB369" s="111"/>
      <c r="AC369" s="17"/>
      <c r="AD369" s="690"/>
      <c r="AE369" s="686"/>
      <c r="AF369" s="474"/>
      <c r="AG369" s="692"/>
      <c r="AH369" s="236" t="str">
        <f>IF(Таблица5[[#This Row],[30]]=0,"НД",Таблица5[[#This Row],[20]]-Таблица5[[#This Row],[30]])</f>
        <v>НД</v>
      </c>
      <c r="AI369" s="511" t="str">
        <f>IF(((1-Таблица5[[#This Row],[30]]/Таблица5[[#This Row],[20]])=1),"НД",(1-Таблица5[[#This Row],[30]]/Таблица5[[#This Row],[20]]))</f>
        <v>НД</v>
      </c>
      <c r="AJ369" s="111"/>
      <c r="AK369" s="111"/>
      <c r="AL369" s="512"/>
      <c r="AM369" s="513"/>
      <c r="AN369" s="465"/>
      <c r="AO369" s="468" t="str">
        <f>РПЗ!AD369</f>
        <v>Нет</v>
      </c>
      <c r="AP369" s="472">
        <f>РПЗ!V369</f>
        <v>0</v>
      </c>
      <c r="AQ369" s="470">
        <f>IF(Таблица5[[#This Row],[11]]=0,,MONTH(Таблица5[[#This Row],[11]]))</f>
        <v>1</v>
      </c>
    </row>
    <row r="370" spans="1:43" ht="39" thickBot="1" x14ac:dyDescent="0.3">
      <c r="A370" s="233" t="str">
        <f t="shared" si="5"/>
        <v>1004-2017-00355</v>
      </c>
      <c r="B370" s="233" t="str">
        <f>РПЗ!$D370</f>
        <v>1004-2017-00355Поставка Акселерометра А-18</v>
      </c>
      <c r="C370" s="233" t="str">
        <f>РПЗ!$AA370</f>
        <v>АО "НИИ "Полюс" им. М.Ф. Стельмаха" тел. отдела закупок 8-495-333-05-02</v>
      </c>
      <c r="D370" s="633" t="str">
        <f>РПЗ!$AB370</f>
        <v>Заказчик</v>
      </c>
      <c r="E370" s="96" t="s">
        <v>46</v>
      </c>
      <c r="F370" s="233" t="str">
        <f>РПЗ!Q370</f>
        <v>ОК</v>
      </c>
      <c r="G370" s="237"/>
      <c r="H370" s="237" t="str">
        <f>РПЗ!R370</f>
        <v>да</v>
      </c>
      <c r="I370" s="15">
        <f>РПЗ!W370</f>
        <v>0</v>
      </c>
      <c r="J370" s="233">
        <f>РПЗ!X370</f>
        <v>0</v>
      </c>
      <c r="K370" s="283">
        <f>РПЗ!Z370</f>
        <v>0</v>
      </c>
      <c r="L370" s="17"/>
      <c r="M370" s="18">
        <f>РПЗ!O370</f>
        <v>42736</v>
      </c>
      <c r="N370" s="238">
        <f>Таблица5[[#This Row],[10]]</f>
        <v>42736</v>
      </c>
      <c r="O370" s="17"/>
      <c r="P370" s="17"/>
      <c r="Q370" s="17"/>
      <c r="R370" s="17"/>
      <c r="S370" s="17"/>
      <c r="T370" s="686"/>
      <c r="U370" s="18">
        <f>РПЗ!P370</f>
        <v>43070</v>
      </c>
      <c r="V370" s="686"/>
      <c r="W370" s="236">
        <f>РПЗ!L370</f>
        <v>17726279.5</v>
      </c>
      <c r="X370" s="689"/>
      <c r="Y370" s="689"/>
      <c r="Z370" s="690"/>
      <c r="AA370" s="691"/>
      <c r="AB370" s="111"/>
      <c r="AC370" s="17"/>
      <c r="AD370" s="690"/>
      <c r="AE370" s="686"/>
      <c r="AF370" s="474"/>
      <c r="AG370" s="692"/>
      <c r="AH370" s="236" t="str">
        <f>IF(Таблица5[[#This Row],[30]]=0,"НД",Таблица5[[#This Row],[20]]-Таблица5[[#This Row],[30]])</f>
        <v>НД</v>
      </c>
      <c r="AI370" s="511" t="str">
        <f>IF(((1-Таблица5[[#This Row],[30]]/Таблица5[[#This Row],[20]])=1),"НД",(1-Таблица5[[#This Row],[30]]/Таблица5[[#This Row],[20]]))</f>
        <v>НД</v>
      </c>
      <c r="AJ370" s="111"/>
      <c r="AK370" s="111"/>
      <c r="AL370" s="512"/>
      <c r="AM370" s="513"/>
      <c r="AN370" s="465"/>
      <c r="AO370" s="468" t="str">
        <f>РПЗ!AD370</f>
        <v>Нет</v>
      </c>
      <c r="AP370" s="472">
        <f>РПЗ!V370</f>
        <v>0</v>
      </c>
      <c r="AQ370" s="470">
        <f>IF(Таблица5[[#This Row],[11]]=0,,MONTH(Таблица5[[#This Row],[11]]))</f>
        <v>1</v>
      </c>
    </row>
    <row r="371" spans="1:43" ht="38.25" x14ac:dyDescent="0.25">
      <c r="A371" s="233" t="str">
        <f t="shared" ref="A371:A434" si="6">INDEX(Диапазон1,ROW(), COLUMN())</f>
        <v>1004-2017-00356</v>
      </c>
      <c r="B371" s="233" t="str">
        <f>РПЗ!$D371</f>
        <v>1004-2017-00356ПоставкаМеханические детали и узлы</v>
      </c>
      <c r="C371" s="233" t="str">
        <f>РПЗ!$AA371</f>
        <v>АО "НИИ "Полюс" им. М.Ф. Стельмаха" тел. отдела закупок 8-495-333-05-02</v>
      </c>
      <c r="D371" s="633" t="str">
        <f>РПЗ!$AB371</f>
        <v>Заказчик</v>
      </c>
      <c r="E371" s="96" t="s">
        <v>46</v>
      </c>
      <c r="F371" s="233" t="str">
        <f>РПЗ!Q371</f>
        <v>ОК</v>
      </c>
      <c r="G371" s="237"/>
      <c r="H371" s="237" t="str">
        <f>РПЗ!R371</f>
        <v>да</v>
      </c>
      <c r="I371" s="15">
        <f>РПЗ!W371</f>
        <v>0</v>
      </c>
      <c r="J371" s="233">
        <f>РПЗ!X371</f>
        <v>0</v>
      </c>
      <c r="K371" s="283">
        <f>РПЗ!Z371</f>
        <v>0</v>
      </c>
      <c r="L371" s="17"/>
      <c r="M371" s="18">
        <f>РПЗ!O371</f>
        <v>42736</v>
      </c>
      <c r="N371" s="238">
        <f>Таблица5[[#This Row],[10]]</f>
        <v>42736</v>
      </c>
      <c r="O371" s="17"/>
      <c r="P371" s="17"/>
      <c r="Q371" s="17"/>
      <c r="R371" s="17"/>
      <c r="S371" s="17"/>
      <c r="T371" s="686"/>
      <c r="U371" s="18">
        <f>РПЗ!P371</f>
        <v>43070</v>
      </c>
      <c r="V371" s="686"/>
      <c r="W371" s="236">
        <f>РПЗ!L371</f>
        <v>12140080</v>
      </c>
      <c r="X371" s="689"/>
      <c r="Y371" s="689"/>
      <c r="Z371" s="690"/>
      <c r="AA371" s="691"/>
      <c r="AB371" s="111"/>
      <c r="AC371" s="17"/>
      <c r="AD371" s="690"/>
      <c r="AE371" s="686"/>
      <c r="AF371" s="474"/>
      <c r="AG371" s="692"/>
      <c r="AH371" s="236" t="str">
        <f>IF(Таблица5[[#This Row],[30]]=0,"НД",Таблица5[[#This Row],[20]]-Таблица5[[#This Row],[30]])</f>
        <v>НД</v>
      </c>
      <c r="AI371" s="511" t="str">
        <f>IF(((1-Таблица5[[#This Row],[30]]/Таблица5[[#This Row],[20]])=1),"НД",(1-Таблица5[[#This Row],[30]]/Таблица5[[#This Row],[20]]))</f>
        <v>НД</v>
      </c>
      <c r="AJ371" s="111"/>
      <c r="AK371" s="111"/>
      <c r="AL371" s="512"/>
      <c r="AM371" s="513"/>
      <c r="AN371" s="465"/>
      <c r="AO371" s="468" t="str">
        <f>РПЗ!AD371</f>
        <v>Нет</v>
      </c>
      <c r="AP371" s="472">
        <f>РПЗ!V371</f>
        <v>0</v>
      </c>
      <c r="AQ371" s="470">
        <f>IF(Таблица5[[#This Row],[11]]=0,,MONTH(Таблица5[[#This Row],[11]]))</f>
        <v>1</v>
      </c>
    </row>
    <row r="372" spans="1:43" ht="39" thickBot="1" x14ac:dyDescent="0.3">
      <c r="A372" s="233" t="str">
        <f t="shared" si="6"/>
        <v>1004-2017-00357</v>
      </c>
      <c r="B372" s="233" t="str">
        <f>РПЗ!$D372</f>
        <v>1004-2017-00357ПоставкаОЭ САО</v>
      </c>
      <c r="C372" s="233" t="str">
        <f>РПЗ!$AA372</f>
        <v>АО "НИИ "Полюс" им. М.Ф. Стельмаха" тел. отдела закупок 8-495-333-05-02</v>
      </c>
      <c r="D372" s="633" t="str">
        <f>РПЗ!$AB372</f>
        <v>Заказчик</v>
      </c>
      <c r="E372" s="510" t="s">
        <v>62</v>
      </c>
      <c r="F372" s="233" t="str">
        <f>РПЗ!Q372</f>
        <v>ЕП</v>
      </c>
      <c r="G372" s="237" t="str">
        <f>Таблица5[[#This Row],[6]]</f>
        <v>ЕП</v>
      </c>
      <c r="H372" s="237" t="str">
        <f>РПЗ!R372</f>
        <v>нет</v>
      </c>
      <c r="I372" s="15" t="str">
        <f>РПЗ!W372</f>
        <v>6.6.2 (11)</v>
      </c>
      <c r="J372" s="233">
        <f>РПЗ!X372</f>
        <v>5024022965</v>
      </c>
      <c r="K372" s="283">
        <f>РПЗ!Z372</f>
        <v>9452800.5</v>
      </c>
      <c r="L372" s="661" t="s">
        <v>2187</v>
      </c>
      <c r="M372" s="18">
        <f>РПЗ!O372</f>
        <v>42736</v>
      </c>
      <c r="N372" s="238">
        <f>Таблица5[[#This Row],[10]]</f>
        <v>42736</v>
      </c>
      <c r="O372" s="17"/>
      <c r="P372" s="17"/>
      <c r="Q372" s="17"/>
      <c r="R372" s="17"/>
      <c r="S372" s="17"/>
      <c r="T372" s="695" t="s">
        <v>2379</v>
      </c>
      <c r="U372" s="18">
        <f>РПЗ!P372</f>
        <v>43070</v>
      </c>
      <c r="V372" s="760">
        <v>42887</v>
      </c>
      <c r="W372" s="236">
        <f>РПЗ!L372</f>
        <v>9569611.1999999993</v>
      </c>
      <c r="X372" s="689">
        <v>1</v>
      </c>
      <c r="Y372" s="689">
        <v>0</v>
      </c>
      <c r="Z372" s="765">
        <v>5024022965</v>
      </c>
      <c r="AA372" s="810" t="s">
        <v>2397</v>
      </c>
      <c r="AB372" s="766">
        <v>9569611.1999999993</v>
      </c>
      <c r="AC372" s="818">
        <v>42887</v>
      </c>
      <c r="AD372" s="810" t="s">
        <v>2398</v>
      </c>
      <c r="AE372" s="703" t="s">
        <v>2379</v>
      </c>
      <c r="AF372" s="474"/>
      <c r="AG372" s="827">
        <v>9569611.1999999993</v>
      </c>
      <c r="AH372" s="236">
        <f>IF(Таблица5[[#This Row],[30]]=0,"НД",Таблица5[[#This Row],[20]]-Таблица5[[#This Row],[30]])</f>
        <v>0</v>
      </c>
      <c r="AI372" s="511">
        <f>IF(((1-Таблица5[[#This Row],[30]]/Таблица5[[#This Row],[20]])=1),"НД",(1-Таблица5[[#This Row],[30]]/Таблица5[[#This Row],[20]]))</f>
        <v>0</v>
      </c>
      <c r="AJ372" s="111"/>
      <c r="AK372" s="111"/>
      <c r="AL372" s="512"/>
      <c r="AM372" s="513" t="s">
        <v>113</v>
      </c>
      <c r="AN372" s="801">
        <v>31704667628</v>
      </c>
      <c r="AO372" s="468" t="str">
        <f>РПЗ!AD372</f>
        <v>Нет</v>
      </c>
      <c r="AP372" s="472">
        <f>РПЗ!V372</f>
        <v>0</v>
      </c>
      <c r="AQ372" s="470">
        <f>IF(Таблица5[[#This Row],[11]]=0,,MONTH(Таблица5[[#This Row],[11]]))</f>
        <v>1</v>
      </c>
    </row>
    <row r="373" spans="1:43" ht="39" thickBot="1" x14ac:dyDescent="0.3">
      <c r="A373" s="233" t="str">
        <f t="shared" si="6"/>
        <v>1004-2017-00358</v>
      </c>
      <c r="B373" s="233" t="str">
        <f>РПЗ!$D373</f>
        <v>1004-2017-00358ПоставкаУпаковка</v>
      </c>
      <c r="C373" s="233" t="str">
        <f>РПЗ!$AA373</f>
        <v>АО "НИИ "Полюс" им. М.Ф. Стельмаха" тел. отдела закупок 8-495-333-05-02</v>
      </c>
      <c r="D373" s="633" t="str">
        <f>РПЗ!$AB373</f>
        <v>Заказчик</v>
      </c>
      <c r="E373" s="96" t="s">
        <v>46</v>
      </c>
      <c r="F373" s="233" t="str">
        <f>РПЗ!Q373</f>
        <v>ОЗК</v>
      </c>
      <c r="G373" s="237"/>
      <c r="H373" s="237" t="str">
        <f>РПЗ!R373</f>
        <v>да</v>
      </c>
      <c r="I373" s="15">
        <f>РПЗ!W373</f>
        <v>0</v>
      </c>
      <c r="J373" s="233">
        <f>РПЗ!X373</f>
        <v>0</v>
      </c>
      <c r="K373" s="283">
        <f>РПЗ!Z373</f>
        <v>0</v>
      </c>
      <c r="L373" s="17"/>
      <c r="M373" s="18">
        <f>РПЗ!O373</f>
        <v>42736</v>
      </c>
      <c r="N373" s="238">
        <f>Таблица5[[#This Row],[10]]</f>
        <v>42736</v>
      </c>
      <c r="O373" s="17"/>
      <c r="P373" s="17"/>
      <c r="Q373" s="17"/>
      <c r="R373" s="17"/>
      <c r="S373" s="17"/>
      <c r="T373" s="686"/>
      <c r="U373" s="18">
        <f>РПЗ!P373</f>
        <v>43070</v>
      </c>
      <c r="V373" s="686"/>
      <c r="W373" s="236">
        <f>РПЗ!L373</f>
        <v>685766.4</v>
      </c>
      <c r="X373" s="689"/>
      <c r="Y373" s="689"/>
      <c r="Z373" s="690"/>
      <c r="AA373" s="691"/>
      <c r="AB373" s="111"/>
      <c r="AC373" s="17"/>
      <c r="AD373" s="690"/>
      <c r="AE373" s="686"/>
      <c r="AF373" s="474"/>
      <c r="AG373" s="692"/>
      <c r="AH373" s="236" t="str">
        <f>IF(Таблица5[[#This Row],[30]]=0,"НД",Таблица5[[#This Row],[20]]-Таблица5[[#This Row],[30]])</f>
        <v>НД</v>
      </c>
      <c r="AI373" s="511" t="str">
        <f>IF(((1-Таблица5[[#This Row],[30]]/Таблица5[[#This Row],[20]])=1),"НД",(1-Таблица5[[#This Row],[30]]/Таблица5[[#This Row],[20]]))</f>
        <v>НД</v>
      </c>
      <c r="AJ373" s="111"/>
      <c r="AK373" s="111"/>
      <c r="AL373" s="512"/>
      <c r="AM373" s="513"/>
      <c r="AN373" s="465"/>
      <c r="AO373" s="468" t="str">
        <f>РПЗ!AD373</f>
        <v>Нет</v>
      </c>
      <c r="AP373" s="472">
        <f>РПЗ!V373</f>
        <v>0</v>
      </c>
      <c r="AQ373" s="470">
        <f>IF(Таблица5[[#This Row],[11]]=0,,MONTH(Таблица5[[#This Row],[11]]))</f>
        <v>1</v>
      </c>
    </row>
    <row r="374" spans="1:43" ht="39" thickBot="1" x14ac:dyDescent="0.3">
      <c r="A374" s="233" t="str">
        <f t="shared" si="6"/>
        <v>1004-2017-00359</v>
      </c>
      <c r="B374" s="233" t="str">
        <f>РПЗ!$D374</f>
        <v>1004-2017-00359ПоставкаУпаковка</v>
      </c>
      <c r="C374" s="233" t="str">
        <f>РПЗ!$AA374</f>
        <v>АО "НИИ "Полюс" им. М.Ф. Стельмаха" тел. отдела закупок 8-495-333-05-02</v>
      </c>
      <c r="D374" s="633" t="str">
        <f>РПЗ!$AB374</f>
        <v>Заказчик</v>
      </c>
      <c r="E374" s="96" t="s">
        <v>46</v>
      </c>
      <c r="F374" s="233" t="str">
        <f>РПЗ!Q374</f>
        <v>ОЗК</v>
      </c>
      <c r="G374" s="237"/>
      <c r="H374" s="237" t="str">
        <f>РПЗ!R374</f>
        <v>да</v>
      </c>
      <c r="I374" s="15">
        <f>РПЗ!W374</f>
        <v>0</v>
      </c>
      <c r="J374" s="233">
        <f>РПЗ!X374</f>
        <v>0</v>
      </c>
      <c r="K374" s="283">
        <f>РПЗ!Z374</f>
        <v>0</v>
      </c>
      <c r="L374" s="17"/>
      <c r="M374" s="18">
        <f>РПЗ!O374</f>
        <v>42736</v>
      </c>
      <c r="N374" s="238">
        <f>Таблица5[[#This Row],[10]]</f>
        <v>42736</v>
      </c>
      <c r="O374" s="17"/>
      <c r="P374" s="17"/>
      <c r="Q374" s="17"/>
      <c r="R374" s="17"/>
      <c r="S374" s="17"/>
      <c r="T374" s="686"/>
      <c r="U374" s="18">
        <f>РПЗ!P374</f>
        <v>43070</v>
      </c>
      <c r="V374" s="686"/>
      <c r="W374" s="236">
        <f>РПЗ!L374</f>
        <v>1005790.72</v>
      </c>
      <c r="X374" s="689"/>
      <c r="Y374" s="689"/>
      <c r="Z374" s="690"/>
      <c r="AA374" s="691"/>
      <c r="AB374" s="111"/>
      <c r="AC374" s="17"/>
      <c r="AD374" s="690"/>
      <c r="AE374" s="686"/>
      <c r="AF374" s="474"/>
      <c r="AG374" s="692"/>
      <c r="AH374" s="236" t="str">
        <f>IF(Таблица5[[#This Row],[30]]=0,"НД",Таблица5[[#This Row],[20]]-Таблица5[[#This Row],[30]])</f>
        <v>НД</v>
      </c>
      <c r="AI374" s="511" t="str">
        <f>IF(((1-Таблица5[[#This Row],[30]]/Таблица5[[#This Row],[20]])=1),"НД",(1-Таблица5[[#This Row],[30]]/Таблица5[[#This Row],[20]]))</f>
        <v>НД</v>
      </c>
      <c r="AJ374" s="111"/>
      <c r="AK374" s="111"/>
      <c r="AL374" s="512"/>
      <c r="AM374" s="513"/>
      <c r="AN374" s="465"/>
      <c r="AO374" s="468" t="str">
        <f>РПЗ!AD374</f>
        <v>Нет</v>
      </c>
      <c r="AP374" s="472">
        <f>РПЗ!V374</f>
        <v>0</v>
      </c>
      <c r="AQ374" s="470">
        <f>IF(Таблица5[[#This Row],[11]]=0,,MONTH(Таблица5[[#This Row],[11]]))</f>
        <v>1</v>
      </c>
    </row>
    <row r="375" spans="1:43" ht="39" thickBot="1" x14ac:dyDescent="0.3">
      <c r="A375" s="233" t="str">
        <f t="shared" si="6"/>
        <v>1004-2017-00360</v>
      </c>
      <c r="B375" s="233" t="str">
        <f>РПЗ!$D375</f>
        <v>1004-2017-00360ПоставкаОпытные заготовки из ситалла марки СО 33М</v>
      </c>
      <c r="C375" s="233" t="str">
        <f>РПЗ!$AA375</f>
        <v>АО "НИИ "Полюс" им. М.Ф. Стельмаха" тел. отдела закупок 8-495-333-05-02</v>
      </c>
      <c r="D375" s="633" t="str">
        <f>РПЗ!$AB375</f>
        <v>Заказчик</v>
      </c>
      <c r="E375" s="96" t="s">
        <v>46</v>
      </c>
      <c r="F375" s="233" t="str">
        <f>РПЗ!Q375</f>
        <v>ОЗК</v>
      </c>
      <c r="G375" s="237"/>
      <c r="H375" s="237" t="str">
        <f>РПЗ!R375</f>
        <v>да</v>
      </c>
      <c r="I375" s="15">
        <f>РПЗ!W375</f>
        <v>0</v>
      </c>
      <c r="J375" s="233">
        <f>РПЗ!X375</f>
        <v>0</v>
      </c>
      <c r="K375" s="283">
        <f>РПЗ!Z375</f>
        <v>0</v>
      </c>
      <c r="L375" s="17"/>
      <c r="M375" s="18">
        <f>РПЗ!O375</f>
        <v>42736</v>
      </c>
      <c r="N375" s="238">
        <f>Таблица5[[#This Row],[10]]</f>
        <v>42736</v>
      </c>
      <c r="O375" s="17"/>
      <c r="P375" s="17"/>
      <c r="Q375" s="17"/>
      <c r="R375" s="17"/>
      <c r="S375" s="17"/>
      <c r="T375" s="686"/>
      <c r="U375" s="18">
        <f>РПЗ!P375</f>
        <v>43070</v>
      </c>
      <c r="V375" s="686"/>
      <c r="W375" s="236">
        <f>РПЗ!L375</f>
        <v>3226166.96</v>
      </c>
      <c r="X375" s="689"/>
      <c r="Y375" s="689"/>
      <c r="Z375" s="690"/>
      <c r="AA375" s="691"/>
      <c r="AB375" s="111"/>
      <c r="AC375" s="17"/>
      <c r="AD375" s="690"/>
      <c r="AE375" s="686"/>
      <c r="AF375" s="474"/>
      <c r="AG375" s="692"/>
      <c r="AH375" s="236" t="str">
        <f>IF(Таблица5[[#This Row],[30]]=0,"НД",Таблица5[[#This Row],[20]]-Таблица5[[#This Row],[30]])</f>
        <v>НД</v>
      </c>
      <c r="AI375" s="511" t="str">
        <f>IF(((1-Таблица5[[#This Row],[30]]/Таблица5[[#This Row],[20]])=1),"НД",(1-Таблица5[[#This Row],[30]]/Таблица5[[#This Row],[20]]))</f>
        <v>НД</v>
      </c>
      <c r="AJ375" s="111"/>
      <c r="AK375" s="111"/>
      <c r="AL375" s="512"/>
      <c r="AM375" s="513"/>
      <c r="AN375" s="465"/>
      <c r="AO375" s="468" t="str">
        <f>РПЗ!AD375</f>
        <v>Нет</v>
      </c>
      <c r="AP375" s="472">
        <f>РПЗ!V375</f>
        <v>0</v>
      </c>
      <c r="AQ375" s="470">
        <f>IF(Таблица5[[#This Row],[11]]=0,,MONTH(Таблица5[[#This Row],[11]]))</f>
        <v>1</v>
      </c>
    </row>
    <row r="376" spans="1:43" ht="39" thickBot="1" x14ac:dyDescent="0.3">
      <c r="A376" s="233" t="str">
        <f t="shared" si="6"/>
        <v>1004-2017-00361</v>
      </c>
      <c r="B376" s="233" t="str">
        <f>РПЗ!$D376</f>
        <v>1004-2017-00361ПоставкаКомплекты экранов МТ-401</v>
      </c>
      <c r="C376" s="233" t="str">
        <f>РПЗ!$AA376</f>
        <v>АО "НИИ "Полюс" им. М.Ф. Стельмаха" тел. отдела закупок 8-495-333-05-02</v>
      </c>
      <c r="D376" s="633" t="str">
        <f>РПЗ!$AB376</f>
        <v>Заказчик</v>
      </c>
      <c r="E376" s="96" t="s">
        <v>46</v>
      </c>
      <c r="F376" s="233" t="str">
        <f>РПЗ!Q376</f>
        <v>ОЗК</v>
      </c>
      <c r="G376" s="237"/>
      <c r="H376" s="237" t="str">
        <f>РПЗ!R376</f>
        <v>да</v>
      </c>
      <c r="I376" s="15">
        <f>РПЗ!W376</f>
        <v>0</v>
      </c>
      <c r="J376" s="233">
        <f>РПЗ!X376</f>
        <v>0</v>
      </c>
      <c r="K376" s="283">
        <f>РПЗ!Z376</f>
        <v>0</v>
      </c>
      <c r="L376" s="17"/>
      <c r="M376" s="18">
        <f>РПЗ!O376</f>
        <v>42736</v>
      </c>
      <c r="N376" s="238">
        <f>Таблица5[[#This Row],[10]]</f>
        <v>42736</v>
      </c>
      <c r="O376" s="17"/>
      <c r="P376" s="17"/>
      <c r="Q376" s="17"/>
      <c r="R376" s="17"/>
      <c r="S376" s="17"/>
      <c r="T376" s="686"/>
      <c r="U376" s="18">
        <f>РПЗ!P376</f>
        <v>43070</v>
      </c>
      <c r="V376" s="686"/>
      <c r="W376" s="236">
        <f>РПЗ!L376</f>
        <v>544978</v>
      </c>
      <c r="X376" s="689"/>
      <c r="Y376" s="689"/>
      <c r="Z376" s="690"/>
      <c r="AA376" s="691"/>
      <c r="AB376" s="111"/>
      <c r="AC376" s="17"/>
      <c r="AD376" s="690"/>
      <c r="AE376" s="686"/>
      <c r="AF376" s="474"/>
      <c r="AG376" s="692"/>
      <c r="AH376" s="236" t="str">
        <f>IF(Таблица5[[#This Row],[30]]=0,"НД",Таблица5[[#This Row],[20]]-Таблица5[[#This Row],[30]])</f>
        <v>НД</v>
      </c>
      <c r="AI376" s="511" t="str">
        <f>IF(((1-Таблица5[[#This Row],[30]]/Таблица5[[#This Row],[20]])=1),"НД",(1-Таблица5[[#This Row],[30]]/Таблица5[[#This Row],[20]]))</f>
        <v>НД</v>
      </c>
      <c r="AJ376" s="111"/>
      <c r="AK376" s="111"/>
      <c r="AL376" s="512"/>
      <c r="AM376" s="513"/>
      <c r="AN376" s="465"/>
      <c r="AO376" s="468" t="str">
        <f>РПЗ!AD376</f>
        <v>Нет</v>
      </c>
      <c r="AP376" s="472">
        <f>РПЗ!V376</f>
        <v>0</v>
      </c>
      <c r="AQ376" s="470">
        <f>IF(Таблица5[[#This Row],[11]]=0,,MONTH(Таблица5[[#This Row],[11]]))</f>
        <v>1</v>
      </c>
    </row>
    <row r="377" spans="1:43" ht="39" thickBot="1" x14ac:dyDescent="0.3">
      <c r="A377" s="233" t="str">
        <f t="shared" si="6"/>
        <v>1004-2017-00362</v>
      </c>
      <c r="B377" s="233" t="str">
        <f>РПЗ!$D377</f>
        <v>1004-2017-00362Предоставление услугиоценка соответствия лифтов в форме  технического обследования</v>
      </c>
      <c r="C377" s="233" t="str">
        <f>РПЗ!$AA377</f>
        <v>АО "НИИ "Полюс" им. М.Ф. Стельмаха" тел. отдела закупок 8-495-333-05-02</v>
      </c>
      <c r="D377" s="633" t="str">
        <f>РПЗ!$AB377</f>
        <v>Заказчик</v>
      </c>
      <c r="E377" s="96" t="s">
        <v>46</v>
      </c>
      <c r="F377" s="233" t="str">
        <f>РПЗ!Q377</f>
        <v>ОЗК</v>
      </c>
      <c r="G377" s="237"/>
      <c r="H377" s="237" t="str">
        <f>РПЗ!R377</f>
        <v>да</v>
      </c>
      <c r="I377" s="15">
        <f>РПЗ!W377</f>
        <v>0</v>
      </c>
      <c r="J377" s="233">
        <f>РПЗ!X377</f>
        <v>0</v>
      </c>
      <c r="K377" s="283">
        <f>РПЗ!Z377</f>
        <v>0</v>
      </c>
      <c r="L377" s="17"/>
      <c r="M377" s="18">
        <f>РПЗ!O377</f>
        <v>42795</v>
      </c>
      <c r="N377" s="238">
        <f>Таблица5[[#This Row],[10]]</f>
        <v>42795</v>
      </c>
      <c r="O377" s="17"/>
      <c r="P377" s="17"/>
      <c r="Q377" s="17"/>
      <c r="R377" s="17"/>
      <c r="S377" s="17"/>
      <c r="T377" s="686"/>
      <c r="U377" s="18">
        <f>РПЗ!P377</f>
        <v>43100</v>
      </c>
      <c r="V377" s="686"/>
      <c r="W377" s="236">
        <f>РПЗ!L377</f>
        <v>100000</v>
      </c>
      <c r="X377" s="689"/>
      <c r="Y377" s="689"/>
      <c r="Z377" s="690"/>
      <c r="AA377" s="691"/>
      <c r="AB377" s="111"/>
      <c r="AC377" s="17"/>
      <c r="AD377" s="690"/>
      <c r="AE377" s="686"/>
      <c r="AF377" s="474"/>
      <c r="AG377" s="692"/>
      <c r="AH377" s="236" t="str">
        <f>IF(Таблица5[[#This Row],[30]]=0,"НД",Таблица5[[#This Row],[20]]-Таблица5[[#This Row],[30]])</f>
        <v>НД</v>
      </c>
      <c r="AI377" s="511" t="str">
        <f>IF(((1-Таблица5[[#This Row],[30]]/Таблица5[[#This Row],[20]])=1),"НД",(1-Таблица5[[#This Row],[30]]/Таблица5[[#This Row],[20]]))</f>
        <v>НД</v>
      </c>
      <c r="AJ377" s="111"/>
      <c r="AK377" s="111"/>
      <c r="AL377" s="512"/>
      <c r="AM377" s="513"/>
      <c r="AN377" s="465"/>
      <c r="AO377" s="468" t="str">
        <f>РПЗ!AD377</f>
        <v>Нет</v>
      </c>
      <c r="AP377" s="472">
        <f>РПЗ!V377</f>
        <v>0</v>
      </c>
      <c r="AQ377" s="470">
        <f>IF(Таблица5[[#This Row],[11]]=0,,MONTH(Таблица5[[#This Row],[11]]))</f>
        <v>3</v>
      </c>
    </row>
    <row r="378" spans="1:43" ht="39" thickBot="1" x14ac:dyDescent="0.3">
      <c r="A378" s="233" t="str">
        <f t="shared" si="6"/>
        <v>1004-2017-00363</v>
      </c>
      <c r="B378" s="233" t="str">
        <f>РПЗ!$D378</f>
        <v>1004-2017-00363Поставка вентиляционного оборудования и материалов</v>
      </c>
      <c r="C378" s="233" t="str">
        <f>РПЗ!$AA378</f>
        <v>АО "НИИ "Полюс" им. М.Ф. Стельмаха" тел. отдела закупок 8-495-333-05-02</v>
      </c>
      <c r="D378" s="633" t="str">
        <f>РПЗ!$AB378</f>
        <v>Заказчик</v>
      </c>
      <c r="E378" s="96" t="s">
        <v>46</v>
      </c>
      <c r="F378" s="233" t="str">
        <f>РПЗ!Q378</f>
        <v>ОЗК</v>
      </c>
      <c r="G378" s="237"/>
      <c r="H378" s="237" t="str">
        <f>РПЗ!R378</f>
        <v>да</v>
      </c>
      <c r="I378" s="15">
        <f>РПЗ!W378</f>
        <v>0</v>
      </c>
      <c r="J378" s="233">
        <f>РПЗ!X378</f>
        <v>0</v>
      </c>
      <c r="K378" s="283">
        <f>РПЗ!Z378</f>
        <v>0</v>
      </c>
      <c r="L378" s="17"/>
      <c r="M378" s="18">
        <f>РПЗ!O378</f>
        <v>42767</v>
      </c>
      <c r="N378" s="238">
        <f>Таблица5[[#This Row],[10]]</f>
        <v>42767</v>
      </c>
      <c r="O378" s="17"/>
      <c r="P378" s="17"/>
      <c r="Q378" s="17"/>
      <c r="R378" s="17"/>
      <c r="S378" s="17"/>
      <c r="T378" s="686"/>
      <c r="U378" s="18">
        <f>РПЗ!P378</f>
        <v>43070</v>
      </c>
      <c r="V378" s="686"/>
      <c r="W378" s="236">
        <f>РПЗ!L378</f>
        <v>1600000</v>
      </c>
      <c r="X378" s="689"/>
      <c r="Y378" s="689"/>
      <c r="Z378" s="690"/>
      <c r="AA378" s="691"/>
      <c r="AB378" s="111"/>
      <c r="AC378" s="17"/>
      <c r="AD378" s="690"/>
      <c r="AE378" s="686"/>
      <c r="AF378" s="474"/>
      <c r="AG378" s="692"/>
      <c r="AH378" s="236" t="str">
        <f>IF(Таблица5[[#This Row],[30]]=0,"НД",Таблица5[[#This Row],[20]]-Таблица5[[#This Row],[30]])</f>
        <v>НД</v>
      </c>
      <c r="AI378" s="511" t="str">
        <f>IF(((1-Таблица5[[#This Row],[30]]/Таблица5[[#This Row],[20]])=1),"НД",(1-Таблица5[[#This Row],[30]]/Таблица5[[#This Row],[20]]))</f>
        <v>НД</v>
      </c>
      <c r="AJ378" s="111"/>
      <c r="AK378" s="111"/>
      <c r="AL378" s="512"/>
      <c r="AM378" s="513"/>
      <c r="AN378" s="465"/>
      <c r="AO378" s="468" t="str">
        <f>РПЗ!AD378</f>
        <v>Нет</v>
      </c>
      <c r="AP378" s="472">
        <f>РПЗ!V378</f>
        <v>0</v>
      </c>
      <c r="AQ378" s="470">
        <f>IF(Таблица5[[#This Row],[11]]=0,,MONTH(Таблица5[[#This Row],[11]]))</f>
        <v>2</v>
      </c>
    </row>
    <row r="379" spans="1:43" ht="39" thickBot="1" x14ac:dyDescent="0.3">
      <c r="A379" s="233" t="str">
        <f t="shared" si="6"/>
        <v>1004-2017-00364</v>
      </c>
      <c r="B379" s="233" t="str">
        <f>РПЗ!$D379</f>
        <v>1004-2017-00364Поставка кондиционеров  и комплектующих к ним</v>
      </c>
      <c r="C379" s="233" t="str">
        <f>РПЗ!$AA379</f>
        <v>АО "НИИ "Полюс" им. М.Ф. Стельмаха" тел. отдела закупок 8-495-333-05-02</v>
      </c>
      <c r="D379" s="633" t="str">
        <f>РПЗ!$AB379</f>
        <v>Заказчик</v>
      </c>
      <c r="E379" s="96" t="s">
        <v>46</v>
      </c>
      <c r="F379" s="233" t="str">
        <f>РПЗ!Q379</f>
        <v>ОЗК</v>
      </c>
      <c r="G379" s="237"/>
      <c r="H379" s="237" t="str">
        <f>РПЗ!R379</f>
        <v>да</v>
      </c>
      <c r="I379" s="15">
        <f>РПЗ!W379</f>
        <v>0</v>
      </c>
      <c r="J379" s="233">
        <f>РПЗ!X379</f>
        <v>0</v>
      </c>
      <c r="K379" s="283">
        <f>РПЗ!Z379</f>
        <v>0</v>
      </c>
      <c r="L379" s="17"/>
      <c r="M379" s="18">
        <f>РПЗ!O379</f>
        <v>42767</v>
      </c>
      <c r="N379" s="238">
        <f>Таблица5[[#This Row],[10]]</f>
        <v>42767</v>
      </c>
      <c r="O379" s="17"/>
      <c r="P379" s="17"/>
      <c r="Q379" s="17"/>
      <c r="R379" s="17"/>
      <c r="S379" s="17"/>
      <c r="T379" s="686"/>
      <c r="U379" s="18">
        <f>РПЗ!P379</f>
        <v>43070</v>
      </c>
      <c r="V379" s="686"/>
      <c r="W379" s="236">
        <f>РПЗ!L379</f>
        <v>1500000</v>
      </c>
      <c r="X379" s="689"/>
      <c r="Y379" s="689"/>
      <c r="Z379" s="690"/>
      <c r="AA379" s="691"/>
      <c r="AB379" s="111"/>
      <c r="AC379" s="17"/>
      <c r="AD379" s="690"/>
      <c r="AE379" s="686"/>
      <c r="AF379" s="474"/>
      <c r="AG379" s="692"/>
      <c r="AH379" s="236" t="str">
        <f>IF(Таблица5[[#This Row],[30]]=0,"НД",Таблица5[[#This Row],[20]]-Таблица5[[#This Row],[30]])</f>
        <v>НД</v>
      </c>
      <c r="AI379" s="511" t="str">
        <f>IF(((1-Таблица5[[#This Row],[30]]/Таблица5[[#This Row],[20]])=1),"НД",(1-Таблица5[[#This Row],[30]]/Таблица5[[#This Row],[20]]))</f>
        <v>НД</v>
      </c>
      <c r="AJ379" s="111"/>
      <c r="AK379" s="111"/>
      <c r="AL379" s="512"/>
      <c r="AM379" s="513"/>
      <c r="AN379" s="465"/>
      <c r="AO379" s="468" t="str">
        <f>РПЗ!AD379</f>
        <v>Нет</v>
      </c>
      <c r="AP379" s="472">
        <f>РПЗ!V379</f>
        <v>0</v>
      </c>
      <c r="AQ379" s="470">
        <f>IF(Таблица5[[#This Row],[11]]=0,,MONTH(Таблица5[[#This Row],[11]]))</f>
        <v>2</v>
      </c>
    </row>
    <row r="380" spans="1:43" ht="51.75" thickBot="1" x14ac:dyDescent="0.3">
      <c r="A380" s="233" t="str">
        <f t="shared" si="6"/>
        <v>1004-2017-00365</v>
      </c>
      <c r="B380" s="233" t="str">
        <f>РПЗ!$D380</f>
        <v>1004-2017-00365Выполнение работтехническое обслуживание средств автоматики ЦТП 1102/011; 1102/013</v>
      </c>
      <c r="C380" s="233" t="str">
        <f>РПЗ!$AA380</f>
        <v>АО "НИИ "Полюс" им. М.Ф. Стельмаха" тел. отдела закупок 8-495-333-05-02</v>
      </c>
      <c r="D380" s="633" t="str">
        <f>РПЗ!$AB380</f>
        <v>Заказчик</v>
      </c>
      <c r="E380" s="96" t="s">
        <v>46</v>
      </c>
      <c r="F380" s="233" t="str">
        <f>РПЗ!Q380</f>
        <v>ОЗК</v>
      </c>
      <c r="G380" s="237"/>
      <c r="H380" s="237" t="str">
        <f>РПЗ!R380</f>
        <v>да</v>
      </c>
      <c r="I380" s="15">
        <f>РПЗ!W380</f>
        <v>0</v>
      </c>
      <c r="J380" s="233">
        <f>РПЗ!X380</f>
        <v>0</v>
      </c>
      <c r="K380" s="283">
        <f>РПЗ!Z380</f>
        <v>0</v>
      </c>
      <c r="L380" s="17"/>
      <c r="M380" s="18">
        <f>РПЗ!O380</f>
        <v>42767</v>
      </c>
      <c r="N380" s="238">
        <f>Таблица5[[#This Row],[10]]</f>
        <v>42767</v>
      </c>
      <c r="O380" s="17"/>
      <c r="P380" s="17"/>
      <c r="Q380" s="17"/>
      <c r="R380" s="17"/>
      <c r="S380" s="17"/>
      <c r="T380" s="686"/>
      <c r="U380" s="18">
        <f>РПЗ!P380</f>
        <v>43070</v>
      </c>
      <c r="V380" s="686"/>
      <c r="W380" s="236">
        <f>РПЗ!L380</f>
        <v>440000</v>
      </c>
      <c r="X380" s="689"/>
      <c r="Y380" s="689"/>
      <c r="Z380" s="690"/>
      <c r="AA380" s="691"/>
      <c r="AB380" s="111"/>
      <c r="AC380" s="17"/>
      <c r="AD380" s="690"/>
      <c r="AE380" s="686"/>
      <c r="AF380" s="474"/>
      <c r="AG380" s="692"/>
      <c r="AH380" s="236" t="str">
        <f>IF(Таблица5[[#This Row],[30]]=0,"НД",Таблица5[[#This Row],[20]]-Таблица5[[#This Row],[30]])</f>
        <v>НД</v>
      </c>
      <c r="AI380" s="511" t="str">
        <f>IF(((1-Таблица5[[#This Row],[30]]/Таблица5[[#This Row],[20]])=1),"НД",(1-Таблица5[[#This Row],[30]]/Таблица5[[#This Row],[20]]))</f>
        <v>НД</v>
      </c>
      <c r="AJ380" s="111"/>
      <c r="AK380" s="111"/>
      <c r="AL380" s="512"/>
      <c r="AM380" s="513"/>
      <c r="AN380" s="465"/>
      <c r="AO380" s="468" t="str">
        <f>РПЗ!AD380</f>
        <v>Нет</v>
      </c>
      <c r="AP380" s="472">
        <f>РПЗ!V380</f>
        <v>0</v>
      </c>
      <c r="AQ380" s="470">
        <f>IF(Таблица5[[#This Row],[11]]=0,,MONTH(Таблица5[[#This Row],[11]]))</f>
        <v>2</v>
      </c>
    </row>
    <row r="381" spans="1:43" ht="39" thickBot="1" x14ac:dyDescent="0.3">
      <c r="A381" s="233" t="str">
        <f t="shared" si="6"/>
        <v>1004-2017-00366</v>
      </c>
      <c r="B381" s="233" t="str">
        <f>РПЗ!$D381</f>
        <v>1004-2017-00366Выполнение работтехническое обслуживание узлов учета расходов тепла</v>
      </c>
      <c r="C381" s="233" t="str">
        <f>РПЗ!$AA381</f>
        <v>АО "НИИ "Полюс" им. М.Ф. Стельмаха" тел. отдела закупок 8-495-333-05-02</v>
      </c>
      <c r="D381" s="633" t="str">
        <f>РПЗ!$AB381</f>
        <v>Заказчик</v>
      </c>
      <c r="E381" s="96" t="s">
        <v>46</v>
      </c>
      <c r="F381" s="233" t="str">
        <f>РПЗ!Q381</f>
        <v>ОЗК</v>
      </c>
      <c r="G381" s="237"/>
      <c r="H381" s="237" t="str">
        <f>РПЗ!R381</f>
        <v>да</v>
      </c>
      <c r="I381" s="15">
        <f>РПЗ!W381</f>
        <v>0</v>
      </c>
      <c r="J381" s="233">
        <f>РПЗ!X381</f>
        <v>0</v>
      </c>
      <c r="K381" s="283">
        <f>РПЗ!Z381</f>
        <v>0</v>
      </c>
      <c r="L381" s="17"/>
      <c r="M381" s="18">
        <f>РПЗ!O381</f>
        <v>42767</v>
      </c>
      <c r="N381" s="238">
        <f>Таблица5[[#This Row],[10]]</f>
        <v>42767</v>
      </c>
      <c r="O381" s="17"/>
      <c r="P381" s="17"/>
      <c r="Q381" s="17"/>
      <c r="R381" s="17"/>
      <c r="S381" s="17"/>
      <c r="T381" s="686"/>
      <c r="U381" s="18">
        <f>РПЗ!P381</f>
        <v>43070</v>
      </c>
      <c r="V381" s="686"/>
      <c r="W381" s="236">
        <f>РПЗ!L381</f>
        <v>240000</v>
      </c>
      <c r="X381" s="689"/>
      <c r="Y381" s="689"/>
      <c r="Z381" s="690"/>
      <c r="AA381" s="691"/>
      <c r="AB381" s="111"/>
      <c r="AC381" s="17"/>
      <c r="AD381" s="690"/>
      <c r="AE381" s="686"/>
      <c r="AF381" s="474"/>
      <c r="AG381" s="692"/>
      <c r="AH381" s="236" t="str">
        <f>IF(Таблица5[[#This Row],[30]]=0,"НД",Таблица5[[#This Row],[20]]-Таблица5[[#This Row],[30]])</f>
        <v>НД</v>
      </c>
      <c r="AI381" s="511" t="str">
        <f>IF(((1-Таблица5[[#This Row],[30]]/Таблица5[[#This Row],[20]])=1),"НД",(1-Таблица5[[#This Row],[30]]/Таблица5[[#This Row],[20]]))</f>
        <v>НД</v>
      </c>
      <c r="AJ381" s="111"/>
      <c r="AK381" s="111"/>
      <c r="AL381" s="512"/>
      <c r="AM381" s="513"/>
      <c r="AN381" s="465"/>
      <c r="AO381" s="468" t="str">
        <f>РПЗ!AD381</f>
        <v>Нет</v>
      </c>
      <c r="AP381" s="472">
        <f>РПЗ!V381</f>
        <v>0</v>
      </c>
      <c r="AQ381" s="470">
        <f>IF(Таблица5[[#This Row],[11]]=0,,MONTH(Таблица5[[#This Row],[11]]))</f>
        <v>2</v>
      </c>
    </row>
    <row r="382" spans="1:43" ht="39" thickBot="1" x14ac:dyDescent="0.3">
      <c r="A382" s="233" t="str">
        <f t="shared" si="6"/>
        <v>1004-2017-00367</v>
      </c>
      <c r="B382" s="233" t="str">
        <f>РПЗ!$D382</f>
        <v>1004-2017-00367Поставка сантехнического оборудования</v>
      </c>
      <c r="C382" s="233" t="str">
        <f>РПЗ!$AA382</f>
        <v>АО "НИИ "Полюс" им. М.Ф. Стельмаха" тел. отдела закупок 8-495-333-05-02</v>
      </c>
      <c r="D382" s="633" t="str">
        <f>РПЗ!$AB382</f>
        <v>Заказчик</v>
      </c>
      <c r="E382" s="96" t="s">
        <v>46</v>
      </c>
      <c r="F382" s="233" t="str">
        <f>РПЗ!Q382</f>
        <v>ОЗК</v>
      </c>
      <c r="G382" s="237"/>
      <c r="H382" s="237" t="str">
        <f>РПЗ!R382</f>
        <v>да</v>
      </c>
      <c r="I382" s="15">
        <f>РПЗ!W382</f>
        <v>0</v>
      </c>
      <c r="J382" s="233">
        <f>РПЗ!X382</f>
        <v>0</v>
      </c>
      <c r="K382" s="283">
        <f>РПЗ!Z382</f>
        <v>0</v>
      </c>
      <c r="L382" s="17"/>
      <c r="M382" s="18">
        <f>РПЗ!O382</f>
        <v>42767</v>
      </c>
      <c r="N382" s="238">
        <f>Таблица5[[#This Row],[10]]</f>
        <v>42767</v>
      </c>
      <c r="O382" s="17"/>
      <c r="P382" s="17"/>
      <c r="Q382" s="17"/>
      <c r="R382" s="17"/>
      <c r="S382" s="17"/>
      <c r="T382" s="686"/>
      <c r="U382" s="18">
        <f>РПЗ!P382</f>
        <v>43070</v>
      </c>
      <c r="V382" s="686"/>
      <c r="W382" s="236">
        <f>РПЗ!L382</f>
        <v>3150000</v>
      </c>
      <c r="X382" s="689"/>
      <c r="Y382" s="689"/>
      <c r="Z382" s="690"/>
      <c r="AA382" s="691"/>
      <c r="AB382" s="111"/>
      <c r="AC382" s="17"/>
      <c r="AD382" s="690"/>
      <c r="AE382" s="686"/>
      <c r="AF382" s="474"/>
      <c r="AG382" s="692"/>
      <c r="AH382" s="236" t="str">
        <f>IF(Таблица5[[#This Row],[30]]=0,"НД",Таблица5[[#This Row],[20]]-Таблица5[[#This Row],[30]])</f>
        <v>НД</v>
      </c>
      <c r="AI382" s="511" t="str">
        <f>IF(((1-Таблица5[[#This Row],[30]]/Таблица5[[#This Row],[20]])=1),"НД",(1-Таблица5[[#This Row],[30]]/Таблица5[[#This Row],[20]]))</f>
        <v>НД</v>
      </c>
      <c r="AJ382" s="111"/>
      <c r="AK382" s="111"/>
      <c r="AL382" s="512"/>
      <c r="AM382" s="513"/>
      <c r="AN382" s="465"/>
      <c r="AO382" s="468" t="str">
        <f>РПЗ!AD382</f>
        <v>Нет</v>
      </c>
      <c r="AP382" s="472">
        <f>РПЗ!V382</f>
        <v>0</v>
      </c>
      <c r="AQ382" s="470">
        <f>IF(Таблица5[[#This Row],[11]]=0,,MONTH(Таблица5[[#This Row],[11]]))</f>
        <v>2</v>
      </c>
    </row>
    <row r="383" spans="1:43" ht="39" thickBot="1" x14ac:dyDescent="0.3">
      <c r="A383" s="233" t="str">
        <f t="shared" si="6"/>
        <v>1004-2017-00368</v>
      </c>
      <c r="B383" s="233" t="str">
        <f>РПЗ!$D383</f>
        <v>1004-2017-00368Поставка и замена химических реагентов на очистных сооружений</v>
      </c>
      <c r="C383" s="233" t="str">
        <f>РПЗ!$AA383</f>
        <v>АО "НИИ "Полюс" им. М.Ф. Стельмаха" тел. отдела закупок 8-495-333-05-02</v>
      </c>
      <c r="D383" s="633" t="str">
        <f>РПЗ!$AB383</f>
        <v>Заказчик</v>
      </c>
      <c r="E383" s="96" t="s">
        <v>46</v>
      </c>
      <c r="F383" s="233" t="str">
        <f>РПЗ!Q383</f>
        <v>ОЗК</v>
      </c>
      <c r="G383" s="237"/>
      <c r="H383" s="237" t="str">
        <f>РПЗ!R383</f>
        <v>да</v>
      </c>
      <c r="I383" s="15">
        <f>РПЗ!W383</f>
        <v>0</v>
      </c>
      <c r="J383" s="233">
        <f>РПЗ!X383</f>
        <v>0</v>
      </c>
      <c r="K383" s="283">
        <f>РПЗ!Z383</f>
        <v>0</v>
      </c>
      <c r="L383" s="17"/>
      <c r="M383" s="18">
        <f>РПЗ!O383</f>
        <v>42767</v>
      </c>
      <c r="N383" s="238">
        <f>Таблица5[[#This Row],[10]]</f>
        <v>42767</v>
      </c>
      <c r="O383" s="17"/>
      <c r="P383" s="17"/>
      <c r="Q383" s="17"/>
      <c r="R383" s="17"/>
      <c r="S383" s="17"/>
      <c r="T383" s="686"/>
      <c r="U383" s="18">
        <f>РПЗ!P383</f>
        <v>43070</v>
      </c>
      <c r="V383" s="686"/>
      <c r="W383" s="236">
        <f>РПЗ!L383</f>
        <v>210000</v>
      </c>
      <c r="X383" s="689"/>
      <c r="Y383" s="689"/>
      <c r="Z383" s="690"/>
      <c r="AA383" s="691"/>
      <c r="AB383" s="111"/>
      <c r="AC383" s="17"/>
      <c r="AD383" s="690"/>
      <c r="AE383" s="686"/>
      <c r="AF383" s="474"/>
      <c r="AG383" s="692"/>
      <c r="AH383" s="236" t="str">
        <f>IF(Таблица5[[#This Row],[30]]=0,"НД",Таблица5[[#This Row],[20]]-Таблица5[[#This Row],[30]])</f>
        <v>НД</v>
      </c>
      <c r="AI383" s="511" t="str">
        <f>IF(((1-Таблица5[[#This Row],[30]]/Таблица5[[#This Row],[20]])=1),"НД",(1-Таблица5[[#This Row],[30]]/Таблица5[[#This Row],[20]]))</f>
        <v>НД</v>
      </c>
      <c r="AJ383" s="111"/>
      <c r="AK383" s="111"/>
      <c r="AL383" s="512"/>
      <c r="AM383" s="513"/>
      <c r="AN383" s="465"/>
      <c r="AO383" s="468" t="str">
        <f>РПЗ!AD383</f>
        <v>Нет</v>
      </c>
      <c r="AP383" s="472">
        <f>РПЗ!V383</f>
        <v>0</v>
      </c>
      <c r="AQ383" s="470">
        <f>IF(Таблица5[[#This Row],[11]]=0,,MONTH(Таблица5[[#This Row],[11]]))</f>
        <v>2</v>
      </c>
    </row>
    <row r="384" spans="1:43" ht="39" thickBot="1" x14ac:dyDescent="0.3">
      <c r="A384" s="233" t="str">
        <f t="shared" si="6"/>
        <v>1004-2017-00369</v>
      </c>
      <c r="B384" s="233" t="str">
        <f>РПЗ!$D384</f>
        <v>1004-2017-00369Выполнение Работы по прочиске ливневой канализации 550 м</v>
      </c>
      <c r="C384" s="233" t="str">
        <f>РПЗ!$AA384</f>
        <v>АО "НИИ "Полюс" им. М.Ф. Стельмаха" тел. отдела закупок 8-495-333-05-02</v>
      </c>
      <c r="D384" s="633" t="str">
        <f>РПЗ!$AB384</f>
        <v>Заказчик</v>
      </c>
      <c r="E384" s="96" t="s">
        <v>46</v>
      </c>
      <c r="F384" s="233" t="str">
        <f>РПЗ!Q384</f>
        <v>ОЗК</v>
      </c>
      <c r="G384" s="237"/>
      <c r="H384" s="237" t="str">
        <f>РПЗ!R384</f>
        <v>да</v>
      </c>
      <c r="I384" s="15">
        <f>РПЗ!W384</f>
        <v>0</v>
      </c>
      <c r="J384" s="233">
        <f>РПЗ!X384</f>
        <v>0</v>
      </c>
      <c r="K384" s="283">
        <f>РПЗ!Z384</f>
        <v>0</v>
      </c>
      <c r="L384" s="17"/>
      <c r="M384" s="18">
        <f>РПЗ!O384</f>
        <v>42767</v>
      </c>
      <c r="N384" s="238">
        <f>Таблица5[[#This Row],[10]]</f>
        <v>42767</v>
      </c>
      <c r="O384" s="17"/>
      <c r="P384" s="17"/>
      <c r="Q384" s="17"/>
      <c r="R384" s="17"/>
      <c r="S384" s="17"/>
      <c r="T384" s="686"/>
      <c r="U384" s="18">
        <f>РПЗ!P384</f>
        <v>43070</v>
      </c>
      <c r="V384" s="686"/>
      <c r="W384" s="236">
        <f>РПЗ!L384</f>
        <v>600000</v>
      </c>
      <c r="X384" s="689"/>
      <c r="Y384" s="689"/>
      <c r="Z384" s="690"/>
      <c r="AA384" s="691"/>
      <c r="AB384" s="111"/>
      <c r="AC384" s="17"/>
      <c r="AD384" s="690"/>
      <c r="AE384" s="686"/>
      <c r="AF384" s="474"/>
      <c r="AG384" s="692"/>
      <c r="AH384" s="236" t="str">
        <f>IF(Таблица5[[#This Row],[30]]=0,"НД",Таблица5[[#This Row],[20]]-Таблица5[[#This Row],[30]])</f>
        <v>НД</v>
      </c>
      <c r="AI384" s="511" t="str">
        <f>IF(((1-Таблица5[[#This Row],[30]]/Таблица5[[#This Row],[20]])=1),"НД",(1-Таблица5[[#This Row],[30]]/Таблица5[[#This Row],[20]]))</f>
        <v>НД</v>
      </c>
      <c r="AJ384" s="111"/>
      <c r="AK384" s="111"/>
      <c r="AL384" s="512"/>
      <c r="AM384" s="513"/>
      <c r="AN384" s="465"/>
      <c r="AO384" s="468" t="str">
        <f>РПЗ!AD384</f>
        <v>Нет</v>
      </c>
      <c r="AP384" s="472">
        <f>РПЗ!V384</f>
        <v>0</v>
      </c>
      <c r="AQ384" s="470">
        <f>IF(Таблица5[[#This Row],[11]]=0,,MONTH(Таблица5[[#This Row],[11]]))</f>
        <v>2</v>
      </c>
    </row>
    <row r="385" spans="1:43" ht="39" thickBot="1" x14ac:dyDescent="0.3">
      <c r="A385" s="233" t="str">
        <f t="shared" si="6"/>
        <v>1004-2017-00370</v>
      </c>
      <c r="B385" s="233" t="str">
        <f>РПЗ!$D385</f>
        <v xml:space="preserve">1004-2017-00370Выполнениеработ поОчистка систем вентиляции </v>
      </c>
      <c r="C385" s="233" t="str">
        <f>РПЗ!$AA385</f>
        <v>АО "НИИ "Полюс" им. М.Ф. Стельмаха" тел. отдела закупок 8-495-333-05-02</v>
      </c>
      <c r="D385" s="633" t="str">
        <f>РПЗ!$AB385</f>
        <v>Заказчик</v>
      </c>
      <c r="E385" s="96" t="s">
        <v>46</v>
      </c>
      <c r="F385" s="233" t="str">
        <f>РПЗ!Q385</f>
        <v>ОЗК</v>
      </c>
      <c r="G385" s="237"/>
      <c r="H385" s="237" t="str">
        <f>РПЗ!R385</f>
        <v>да</v>
      </c>
      <c r="I385" s="15">
        <f>РПЗ!W385</f>
        <v>0</v>
      </c>
      <c r="J385" s="233">
        <f>РПЗ!X385</f>
        <v>0</v>
      </c>
      <c r="K385" s="283">
        <f>РПЗ!Z385</f>
        <v>0</v>
      </c>
      <c r="L385" s="17"/>
      <c r="M385" s="18">
        <f>РПЗ!O385</f>
        <v>42767</v>
      </c>
      <c r="N385" s="238">
        <f>Таблица5[[#This Row],[10]]</f>
        <v>42767</v>
      </c>
      <c r="O385" s="17"/>
      <c r="P385" s="17"/>
      <c r="Q385" s="17"/>
      <c r="R385" s="17"/>
      <c r="S385" s="17"/>
      <c r="T385" s="686"/>
      <c r="U385" s="18">
        <f>РПЗ!P385</f>
        <v>43070</v>
      </c>
      <c r="V385" s="686"/>
      <c r="W385" s="236">
        <f>РПЗ!L385</f>
        <v>600000</v>
      </c>
      <c r="X385" s="689"/>
      <c r="Y385" s="689"/>
      <c r="Z385" s="690"/>
      <c r="AA385" s="691"/>
      <c r="AB385" s="111"/>
      <c r="AC385" s="17"/>
      <c r="AD385" s="690"/>
      <c r="AE385" s="686"/>
      <c r="AF385" s="474"/>
      <c r="AG385" s="692"/>
      <c r="AH385" s="236" t="str">
        <f>IF(Таблица5[[#This Row],[30]]=0,"НД",Таблица5[[#This Row],[20]]-Таблица5[[#This Row],[30]])</f>
        <v>НД</v>
      </c>
      <c r="AI385" s="511" t="str">
        <f>IF(((1-Таблица5[[#This Row],[30]]/Таблица5[[#This Row],[20]])=1),"НД",(1-Таблица5[[#This Row],[30]]/Таблица5[[#This Row],[20]]))</f>
        <v>НД</v>
      </c>
      <c r="AJ385" s="111"/>
      <c r="AK385" s="111"/>
      <c r="AL385" s="512"/>
      <c r="AM385" s="513"/>
      <c r="AN385" s="465"/>
      <c r="AO385" s="468" t="str">
        <f>РПЗ!AD385</f>
        <v>Нет</v>
      </c>
      <c r="AP385" s="472">
        <f>РПЗ!V385</f>
        <v>0</v>
      </c>
      <c r="AQ385" s="470">
        <f>IF(Таблица5[[#This Row],[11]]=0,,MONTH(Таблица5[[#This Row],[11]]))</f>
        <v>2</v>
      </c>
    </row>
    <row r="386" spans="1:43" ht="77.25" thickBot="1" x14ac:dyDescent="0.3">
      <c r="A386" s="233" t="str">
        <f t="shared" si="6"/>
        <v>1004-2017-00371</v>
      </c>
      <c r="B386" s="233" t="str">
        <f>РПЗ!$D386</f>
        <v>1004-2017-00371Выполнение Работы по монтажу системы вентиляции и кондиционирования воздуха на третий и четвертые этажи лабораторно-производственного корпуса</v>
      </c>
      <c r="C386" s="233" t="str">
        <f>РПЗ!$AA386</f>
        <v>АО "НИИ "Полюс" им. М.Ф. Стельмаха" тел. отдела закупок 8-495-333-05-02</v>
      </c>
      <c r="D386" s="633" t="str">
        <f>РПЗ!$AB386</f>
        <v>Заказчик</v>
      </c>
      <c r="E386" s="96" t="s">
        <v>46</v>
      </c>
      <c r="F386" s="233" t="str">
        <f>РПЗ!Q386</f>
        <v>ОК</v>
      </c>
      <c r="G386" s="237"/>
      <c r="H386" s="237" t="str">
        <f>РПЗ!R386</f>
        <v>да</v>
      </c>
      <c r="I386" s="15">
        <f>РПЗ!W386</f>
        <v>0</v>
      </c>
      <c r="J386" s="233">
        <f>РПЗ!X386</f>
        <v>0</v>
      </c>
      <c r="K386" s="283">
        <f>РПЗ!Z386</f>
        <v>0</v>
      </c>
      <c r="L386" s="17"/>
      <c r="M386" s="18">
        <f>РПЗ!O386</f>
        <v>42767</v>
      </c>
      <c r="N386" s="238">
        <f>Таблица5[[#This Row],[10]]</f>
        <v>42767</v>
      </c>
      <c r="O386" s="17"/>
      <c r="P386" s="17"/>
      <c r="Q386" s="17"/>
      <c r="R386" s="17"/>
      <c r="S386" s="17"/>
      <c r="T386" s="686"/>
      <c r="U386" s="18">
        <f>РПЗ!P386</f>
        <v>43070</v>
      </c>
      <c r="V386" s="686"/>
      <c r="W386" s="236">
        <f>РПЗ!L386</f>
        <v>20000000</v>
      </c>
      <c r="X386" s="689"/>
      <c r="Y386" s="689"/>
      <c r="Z386" s="690"/>
      <c r="AA386" s="691"/>
      <c r="AB386" s="111"/>
      <c r="AC386" s="17"/>
      <c r="AD386" s="690"/>
      <c r="AE386" s="686"/>
      <c r="AF386" s="474"/>
      <c r="AG386" s="692"/>
      <c r="AH386" s="236" t="str">
        <f>IF(Таблица5[[#This Row],[30]]=0,"НД",Таблица5[[#This Row],[20]]-Таблица5[[#This Row],[30]])</f>
        <v>НД</v>
      </c>
      <c r="AI386" s="511" t="str">
        <f>IF(((1-Таблица5[[#This Row],[30]]/Таблица5[[#This Row],[20]])=1),"НД",(1-Таблица5[[#This Row],[30]]/Таблица5[[#This Row],[20]]))</f>
        <v>НД</v>
      </c>
      <c r="AJ386" s="111"/>
      <c r="AK386" s="111"/>
      <c r="AL386" s="512"/>
      <c r="AM386" s="513"/>
      <c r="AN386" s="465"/>
      <c r="AO386" s="468" t="str">
        <f>РПЗ!AD386</f>
        <v>Нет</v>
      </c>
      <c r="AP386" s="472">
        <f>РПЗ!V386</f>
        <v>0</v>
      </c>
      <c r="AQ386" s="470">
        <f>IF(Таблица5[[#This Row],[11]]=0,,MONTH(Таблица5[[#This Row],[11]]))</f>
        <v>2</v>
      </c>
    </row>
    <row r="387" spans="1:43" ht="38.25" x14ac:dyDescent="0.25">
      <c r="A387" s="233" t="str">
        <f t="shared" si="6"/>
        <v>1004-2017-00372</v>
      </c>
      <c r="B387" s="233" t="str">
        <f>РПЗ!$D387</f>
        <v xml:space="preserve">1004-2017-00372Выполнение Ремонтные работы по замене участка трубопровода </v>
      </c>
      <c r="C387" s="233" t="str">
        <f>РПЗ!$AA387</f>
        <v>АО "НИИ "Полюс" им. М.Ф. Стельмаха" тел. отдела закупок 8-495-333-05-02</v>
      </c>
      <c r="D387" s="633" t="str">
        <f>РПЗ!$AB387</f>
        <v>Заказчик</v>
      </c>
      <c r="E387" s="96" t="s">
        <v>46</v>
      </c>
      <c r="F387" s="233" t="str">
        <f>РПЗ!Q387</f>
        <v>ОЗК</v>
      </c>
      <c r="G387" s="237"/>
      <c r="H387" s="237" t="str">
        <f>РПЗ!R387</f>
        <v>да</v>
      </c>
      <c r="I387" s="15">
        <f>РПЗ!W387</f>
        <v>0</v>
      </c>
      <c r="J387" s="233">
        <f>РПЗ!X387</f>
        <v>0</v>
      </c>
      <c r="K387" s="283">
        <f>РПЗ!Z387</f>
        <v>0</v>
      </c>
      <c r="L387" s="17"/>
      <c r="M387" s="18">
        <f>РПЗ!O387</f>
        <v>42767</v>
      </c>
      <c r="N387" s="238">
        <f>Таблица5[[#This Row],[10]]</f>
        <v>42767</v>
      </c>
      <c r="O387" s="17"/>
      <c r="P387" s="17"/>
      <c r="Q387" s="17"/>
      <c r="R387" s="17"/>
      <c r="S387" s="17"/>
      <c r="T387" s="686"/>
      <c r="U387" s="18">
        <f>РПЗ!P387</f>
        <v>43070</v>
      </c>
      <c r="V387" s="686"/>
      <c r="W387" s="236">
        <f>РПЗ!L387</f>
        <v>3000000</v>
      </c>
      <c r="X387" s="689"/>
      <c r="Y387" s="689"/>
      <c r="Z387" s="690"/>
      <c r="AA387" s="691"/>
      <c r="AB387" s="111"/>
      <c r="AC387" s="17"/>
      <c r="AD387" s="690"/>
      <c r="AE387" s="686"/>
      <c r="AF387" s="474"/>
      <c r="AG387" s="692"/>
      <c r="AH387" s="236" t="str">
        <f>IF(Таблица5[[#This Row],[30]]=0,"НД",Таблица5[[#This Row],[20]]-Таблица5[[#This Row],[30]])</f>
        <v>НД</v>
      </c>
      <c r="AI387" s="511" t="str">
        <f>IF(((1-Таблица5[[#This Row],[30]]/Таблица5[[#This Row],[20]])=1),"НД",(1-Таблица5[[#This Row],[30]]/Таблица5[[#This Row],[20]]))</f>
        <v>НД</v>
      </c>
      <c r="AJ387" s="111"/>
      <c r="AK387" s="111"/>
      <c r="AL387" s="512"/>
      <c r="AM387" s="513"/>
      <c r="AN387" s="465"/>
      <c r="AO387" s="468" t="str">
        <f>РПЗ!AD387</f>
        <v>Нет</v>
      </c>
      <c r="AP387" s="472">
        <f>РПЗ!V387</f>
        <v>0</v>
      </c>
      <c r="AQ387" s="470">
        <f>IF(Таблица5[[#This Row],[11]]=0,,MONTH(Таблица5[[#This Row],[11]]))</f>
        <v>2</v>
      </c>
    </row>
    <row r="388" spans="1:43" ht="51.75" thickBot="1" x14ac:dyDescent="0.3">
      <c r="A388" s="233" t="str">
        <f t="shared" si="6"/>
        <v>1004-2017-00373</v>
      </c>
      <c r="B388" s="233" t="str">
        <f>РПЗ!$D388</f>
        <v xml:space="preserve">1004-2017-00373Предоставление услугиИнспекционный контроль СМК НИИ "Полюс" в ОС АНО "Связь-Сертификат" </v>
      </c>
      <c r="C388" s="233" t="str">
        <f>РПЗ!$AA388</f>
        <v>АО "НИИ "Полюс" им. М.Ф. Стельмаха" тел. отдела закупок 8-495-333-05-02</v>
      </c>
      <c r="D388" s="633" t="str">
        <f>РПЗ!$AB388</f>
        <v>Заказчик</v>
      </c>
      <c r="E388" s="510" t="s">
        <v>62</v>
      </c>
      <c r="F388" s="233" t="str">
        <f>РПЗ!Q388</f>
        <v>ЕП</v>
      </c>
      <c r="G388" s="237" t="str">
        <f>Таблица5[[#This Row],[6]]</f>
        <v>ЕП</v>
      </c>
      <c r="H388" s="237" t="str">
        <f>РПЗ!R388</f>
        <v>нет</v>
      </c>
      <c r="I388" s="15" t="str">
        <f>РПЗ!W388</f>
        <v>6.6.2(5)</v>
      </c>
      <c r="J388" s="233">
        <f>РПЗ!X388</f>
        <v>7731186699</v>
      </c>
      <c r="K388" s="283">
        <f>РПЗ!Z388</f>
        <v>200000</v>
      </c>
      <c r="L388" s="17">
        <v>42794</v>
      </c>
      <c r="M388" s="18">
        <f>РПЗ!O388</f>
        <v>42767</v>
      </c>
      <c r="N388" s="238">
        <f>Таблица5[[#This Row],[10]]</f>
        <v>42767</v>
      </c>
      <c r="O388" s="17"/>
      <c r="P388" s="17"/>
      <c r="Q388" s="17"/>
      <c r="R388" s="17"/>
      <c r="S388" s="17"/>
      <c r="T388" s="694" t="s">
        <v>3003</v>
      </c>
      <c r="U388" s="18">
        <f>РПЗ!P388</f>
        <v>42826</v>
      </c>
      <c r="V388" s="760">
        <v>42856</v>
      </c>
      <c r="W388" s="236">
        <f>РПЗ!L388</f>
        <v>200000</v>
      </c>
      <c r="X388" s="689">
        <v>1</v>
      </c>
      <c r="Y388" s="689">
        <v>0</v>
      </c>
      <c r="Z388" s="691">
        <v>7731186699</v>
      </c>
      <c r="AA388" s="691" t="s">
        <v>3002</v>
      </c>
      <c r="AB388" s="111">
        <v>200000</v>
      </c>
      <c r="AC388" s="818">
        <v>42856</v>
      </c>
      <c r="AD388" s="810" t="s">
        <v>3004</v>
      </c>
      <c r="AE388" s="703" t="s">
        <v>3003</v>
      </c>
      <c r="AF388" s="474"/>
      <c r="AG388" s="691">
        <v>200000</v>
      </c>
      <c r="AH388" s="236">
        <f>IF(Таблица5[[#This Row],[30]]=0,"НД",Таблица5[[#This Row],[20]]-Таблица5[[#This Row],[30]])</f>
        <v>0</v>
      </c>
      <c r="AI388" s="511">
        <f>IF(((1-Таблица5[[#This Row],[30]]/Таблица5[[#This Row],[20]])=1),"НД",(1-Таблица5[[#This Row],[30]]/Таблица5[[#This Row],[20]]))</f>
        <v>0</v>
      </c>
      <c r="AJ388" s="111">
        <v>200000</v>
      </c>
      <c r="AK388" s="111"/>
      <c r="AL388" s="512"/>
      <c r="AM388" s="513" t="s">
        <v>113</v>
      </c>
      <c r="AN388" s="801">
        <v>31704862649</v>
      </c>
      <c r="AO388" s="468" t="str">
        <f>РПЗ!AD388</f>
        <v>Нет</v>
      </c>
      <c r="AP388" s="472">
        <f>РПЗ!V388</f>
        <v>0</v>
      </c>
      <c r="AQ388" s="470">
        <f>IF(Таблица5[[#This Row],[11]]=0,,MONTH(Таблица5[[#This Row],[11]]))</f>
        <v>2</v>
      </c>
    </row>
    <row r="389" spans="1:43" ht="39" thickBot="1" x14ac:dyDescent="0.3">
      <c r="A389" s="233" t="str">
        <f t="shared" si="6"/>
        <v>1004-2017-00374</v>
      </c>
      <c r="B389" s="233" t="str">
        <f>РПЗ!$D389</f>
        <v>1004-2017-00374Предоставление услуги Повышение квалификации (обучение, конференции)</v>
      </c>
      <c r="C389" s="233" t="str">
        <f>РПЗ!$AA389</f>
        <v>АО "НИИ "Полюс" им. М.Ф. Стельмаха" тел. отдела закупок 8-495-333-05-02</v>
      </c>
      <c r="D389" s="633" t="str">
        <f>РПЗ!$AB389</f>
        <v>Заказчик</v>
      </c>
      <c r="E389" s="96" t="s">
        <v>46</v>
      </c>
      <c r="F389" s="233" t="str">
        <f>РПЗ!Q389</f>
        <v>ОЗК</v>
      </c>
      <c r="G389" s="237"/>
      <c r="H389" s="237" t="str">
        <f>РПЗ!R389</f>
        <v>да</v>
      </c>
      <c r="I389" s="15">
        <f>РПЗ!W389</f>
        <v>0</v>
      </c>
      <c r="J389" s="233">
        <f>РПЗ!X389</f>
        <v>0</v>
      </c>
      <c r="K389" s="283">
        <f>РПЗ!Z389</f>
        <v>0</v>
      </c>
      <c r="L389" s="17"/>
      <c r="M389" s="18">
        <f>РПЗ!O389</f>
        <v>42736</v>
      </c>
      <c r="N389" s="238">
        <f>Таблица5[[#This Row],[10]]</f>
        <v>42736</v>
      </c>
      <c r="O389" s="17"/>
      <c r="P389" s="17"/>
      <c r="Q389" s="17"/>
      <c r="R389" s="17"/>
      <c r="S389" s="17"/>
      <c r="T389" s="686"/>
      <c r="U389" s="18">
        <f>РПЗ!P389</f>
        <v>43070</v>
      </c>
      <c r="V389" s="686"/>
      <c r="W389" s="236">
        <f>РПЗ!L389</f>
        <v>110000</v>
      </c>
      <c r="X389" s="689"/>
      <c r="Y389" s="689"/>
      <c r="Z389" s="690"/>
      <c r="AA389" s="691"/>
      <c r="AB389" s="111"/>
      <c r="AC389" s="17"/>
      <c r="AD389" s="690"/>
      <c r="AE389" s="686"/>
      <c r="AF389" s="474"/>
      <c r="AG389" s="692"/>
      <c r="AH389" s="236" t="str">
        <f>IF(Таблица5[[#This Row],[30]]=0,"НД",Таблица5[[#This Row],[20]]-Таблица5[[#This Row],[30]])</f>
        <v>НД</v>
      </c>
      <c r="AI389" s="511" t="str">
        <f>IF(((1-Таблица5[[#This Row],[30]]/Таблица5[[#This Row],[20]])=1),"НД",(1-Таблица5[[#This Row],[30]]/Таблица5[[#This Row],[20]]))</f>
        <v>НД</v>
      </c>
      <c r="AJ389" s="111"/>
      <c r="AK389" s="111"/>
      <c r="AL389" s="512"/>
      <c r="AM389" s="513"/>
      <c r="AN389" s="465"/>
      <c r="AO389" s="468" t="str">
        <f>РПЗ!AD389</f>
        <v>Нет</v>
      </c>
      <c r="AP389" s="472">
        <f>РПЗ!V389</f>
        <v>0</v>
      </c>
      <c r="AQ389" s="470">
        <f>IF(Таблица5[[#This Row],[11]]=0,,MONTH(Таблица5[[#This Row],[11]]))</f>
        <v>1</v>
      </c>
    </row>
    <row r="390" spans="1:43" ht="39" thickBot="1" x14ac:dyDescent="0.3">
      <c r="A390" s="233" t="str">
        <f t="shared" si="6"/>
        <v>1004-2017-00375</v>
      </c>
      <c r="B390" s="233" t="str">
        <f>РПЗ!$D390</f>
        <v>1004-2017-00375Предоставление услуги Нормативные документы (НД)</v>
      </c>
      <c r="C390" s="233" t="str">
        <f>РПЗ!$AA390</f>
        <v>АО "НИИ "Полюс" им. М.Ф. Стельмаха" тел. отдела закупок 8-495-333-05-02</v>
      </c>
      <c r="D390" s="633" t="str">
        <f>РПЗ!$AB390</f>
        <v>Заказчик</v>
      </c>
      <c r="E390" s="96" t="s">
        <v>46</v>
      </c>
      <c r="F390" s="233" t="str">
        <f>РПЗ!Q390</f>
        <v>ОЗК</v>
      </c>
      <c r="G390" s="237"/>
      <c r="H390" s="237" t="str">
        <f>РПЗ!R390</f>
        <v>да</v>
      </c>
      <c r="I390" s="15">
        <f>РПЗ!W390</f>
        <v>0</v>
      </c>
      <c r="J390" s="233">
        <f>РПЗ!X390</f>
        <v>0</v>
      </c>
      <c r="K390" s="283">
        <f>РПЗ!Z390</f>
        <v>0</v>
      </c>
      <c r="L390" s="17"/>
      <c r="M390" s="18">
        <f>РПЗ!O390</f>
        <v>42736</v>
      </c>
      <c r="N390" s="238">
        <f>Таблица5[[#This Row],[10]]</f>
        <v>42736</v>
      </c>
      <c r="O390" s="17"/>
      <c r="P390" s="17"/>
      <c r="Q390" s="17"/>
      <c r="R390" s="17"/>
      <c r="S390" s="17"/>
      <c r="T390" s="686"/>
      <c r="U390" s="18">
        <f>РПЗ!P390</f>
        <v>43070</v>
      </c>
      <c r="V390" s="686"/>
      <c r="W390" s="236">
        <f>РПЗ!L390</f>
        <v>760000</v>
      </c>
      <c r="X390" s="689"/>
      <c r="Y390" s="689"/>
      <c r="Z390" s="690"/>
      <c r="AA390" s="691"/>
      <c r="AB390" s="111"/>
      <c r="AC390" s="17"/>
      <c r="AD390" s="690"/>
      <c r="AE390" s="686"/>
      <c r="AF390" s="474"/>
      <c r="AG390" s="692"/>
      <c r="AH390" s="236" t="str">
        <f>IF(Таблица5[[#This Row],[30]]=0,"НД",Таблица5[[#This Row],[20]]-Таблица5[[#This Row],[30]])</f>
        <v>НД</v>
      </c>
      <c r="AI390" s="511" t="str">
        <f>IF(((1-Таблица5[[#This Row],[30]]/Таблица5[[#This Row],[20]])=1),"НД",(1-Таблица5[[#This Row],[30]]/Таблица5[[#This Row],[20]]))</f>
        <v>НД</v>
      </c>
      <c r="AJ390" s="111"/>
      <c r="AK390" s="111"/>
      <c r="AL390" s="512"/>
      <c r="AM390" s="513"/>
      <c r="AN390" s="465"/>
      <c r="AO390" s="468" t="str">
        <f>РПЗ!AD390</f>
        <v>Нет</v>
      </c>
      <c r="AP390" s="472">
        <f>РПЗ!V390</f>
        <v>0</v>
      </c>
      <c r="AQ390" s="470">
        <f>IF(Таблица5[[#This Row],[11]]=0,,MONTH(Таблица5[[#This Row],[11]]))</f>
        <v>1</v>
      </c>
    </row>
    <row r="391" spans="1:43" ht="39" thickBot="1" x14ac:dyDescent="0.3">
      <c r="A391" s="233" t="str">
        <f t="shared" si="6"/>
        <v>1004-2017-00376</v>
      </c>
      <c r="B391" s="233" t="str">
        <f>РПЗ!$D391</f>
        <v>1004-2017-00376Предоставление услугиНормативные документы (НД)</v>
      </c>
      <c r="C391" s="233" t="str">
        <f>РПЗ!$AA391</f>
        <v>АО "НИИ "Полюс" им. М.Ф. Стельмаха" тел. отдела закупок 8-495-333-05-02</v>
      </c>
      <c r="D391" s="633" t="str">
        <f>РПЗ!$AB391</f>
        <v>Заказчик</v>
      </c>
      <c r="E391" s="96" t="s">
        <v>46</v>
      </c>
      <c r="F391" s="233" t="str">
        <f>РПЗ!Q391</f>
        <v>ОЗК</v>
      </c>
      <c r="G391" s="237"/>
      <c r="H391" s="237" t="str">
        <f>РПЗ!R391</f>
        <v>да</v>
      </c>
      <c r="I391" s="15">
        <f>РПЗ!W391</f>
        <v>0</v>
      </c>
      <c r="J391" s="233">
        <f>РПЗ!X391</f>
        <v>0</v>
      </c>
      <c r="K391" s="283">
        <f>РПЗ!Z391</f>
        <v>0</v>
      </c>
      <c r="L391" s="17"/>
      <c r="M391" s="18">
        <f>РПЗ!O391</f>
        <v>42736</v>
      </c>
      <c r="N391" s="238">
        <f>Таблица5[[#This Row],[10]]</f>
        <v>42736</v>
      </c>
      <c r="O391" s="17"/>
      <c r="P391" s="17"/>
      <c r="Q391" s="17"/>
      <c r="R391" s="17"/>
      <c r="S391" s="17"/>
      <c r="T391" s="686"/>
      <c r="U391" s="18">
        <f>РПЗ!P391</f>
        <v>43070</v>
      </c>
      <c r="V391" s="686"/>
      <c r="W391" s="236">
        <f>РПЗ!L391</f>
        <v>115000</v>
      </c>
      <c r="X391" s="689"/>
      <c r="Y391" s="689"/>
      <c r="Z391" s="690"/>
      <c r="AA391" s="691"/>
      <c r="AB391" s="111"/>
      <c r="AC391" s="17"/>
      <c r="AD391" s="690"/>
      <c r="AE391" s="686"/>
      <c r="AF391" s="474"/>
      <c r="AG391" s="692"/>
      <c r="AH391" s="236" t="str">
        <f>IF(Таблица5[[#This Row],[30]]=0,"НД",Таблица5[[#This Row],[20]]-Таблица5[[#This Row],[30]])</f>
        <v>НД</v>
      </c>
      <c r="AI391" s="511" t="str">
        <f>IF(((1-Таблица5[[#This Row],[30]]/Таблица5[[#This Row],[20]])=1),"НД",(1-Таблица5[[#This Row],[30]]/Таблица5[[#This Row],[20]]))</f>
        <v>НД</v>
      </c>
      <c r="AJ391" s="111"/>
      <c r="AK391" s="111"/>
      <c r="AL391" s="512"/>
      <c r="AM391" s="513"/>
      <c r="AN391" s="465"/>
      <c r="AO391" s="468" t="str">
        <f>РПЗ!AD391</f>
        <v>Нет</v>
      </c>
      <c r="AP391" s="472">
        <f>РПЗ!V391</f>
        <v>0</v>
      </c>
      <c r="AQ391" s="470">
        <f>IF(Таблица5[[#This Row],[11]]=0,,MONTH(Таблица5[[#This Row],[11]]))</f>
        <v>1</v>
      </c>
    </row>
    <row r="392" spans="1:43" ht="39" thickBot="1" x14ac:dyDescent="0.3">
      <c r="A392" s="233" t="str">
        <f t="shared" si="6"/>
        <v>1004-2017-00377</v>
      </c>
      <c r="B392" s="233" t="str">
        <f>РПЗ!$D392</f>
        <v>1004-2017-00377Предостваление услугиНормативные документы (НД)</v>
      </c>
      <c r="C392" s="233" t="str">
        <f>РПЗ!$AA392</f>
        <v>АО "НИИ "Полюс" им. М.Ф. Стельмаха" тел. отдела закупок 8-495-333-05-02</v>
      </c>
      <c r="D392" s="633" t="str">
        <f>РПЗ!$AB392</f>
        <v>Заказчик</v>
      </c>
      <c r="E392" s="96" t="s">
        <v>46</v>
      </c>
      <c r="F392" s="233" t="str">
        <f>РПЗ!Q392</f>
        <v>ОЗК</v>
      </c>
      <c r="G392" s="237"/>
      <c r="H392" s="237" t="str">
        <f>РПЗ!R392</f>
        <v>да</v>
      </c>
      <c r="I392" s="15">
        <f>РПЗ!W392</f>
        <v>0</v>
      </c>
      <c r="J392" s="233">
        <f>РПЗ!X392</f>
        <v>0</v>
      </c>
      <c r="K392" s="283">
        <f>РПЗ!Z392</f>
        <v>0</v>
      </c>
      <c r="L392" s="17"/>
      <c r="M392" s="18">
        <f>РПЗ!O392</f>
        <v>42736</v>
      </c>
      <c r="N392" s="238">
        <f>Таблица5[[#This Row],[10]]</f>
        <v>42736</v>
      </c>
      <c r="O392" s="17"/>
      <c r="P392" s="17"/>
      <c r="Q392" s="17"/>
      <c r="R392" s="17"/>
      <c r="S392" s="17"/>
      <c r="T392" s="686"/>
      <c r="U392" s="18">
        <f>РПЗ!P392</f>
        <v>43070</v>
      </c>
      <c r="V392" s="686"/>
      <c r="W392" s="236">
        <f>РПЗ!L392</f>
        <v>115000</v>
      </c>
      <c r="X392" s="689"/>
      <c r="Y392" s="689"/>
      <c r="Z392" s="690"/>
      <c r="AA392" s="691"/>
      <c r="AB392" s="111"/>
      <c r="AC392" s="17"/>
      <c r="AD392" s="690"/>
      <c r="AE392" s="686"/>
      <c r="AF392" s="474"/>
      <c r="AG392" s="692"/>
      <c r="AH392" s="236" t="str">
        <f>IF(Таблица5[[#This Row],[30]]=0,"НД",Таблица5[[#This Row],[20]]-Таблица5[[#This Row],[30]])</f>
        <v>НД</v>
      </c>
      <c r="AI392" s="511" t="str">
        <f>IF(((1-Таблица5[[#This Row],[30]]/Таблица5[[#This Row],[20]])=1),"НД",(1-Таблица5[[#This Row],[30]]/Таблица5[[#This Row],[20]]))</f>
        <v>НД</v>
      </c>
      <c r="AJ392" s="111"/>
      <c r="AK392" s="111"/>
      <c r="AL392" s="512"/>
      <c r="AM392" s="513"/>
      <c r="AN392" s="465"/>
      <c r="AO392" s="468" t="str">
        <f>РПЗ!AD392</f>
        <v>Нет</v>
      </c>
      <c r="AP392" s="472">
        <f>РПЗ!V392</f>
        <v>0</v>
      </c>
      <c r="AQ392" s="470">
        <f>IF(Таблица5[[#This Row],[11]]=0,,MONTH(Таблица5[[#This Row],[11]]))</f>
        <v>1</v>
      </c>
    </row>
    <row r="393" spans="1:43" ht="39" thickBot="1" x14ac:dyDescent="0.3">
      <c r="A393" s="233" t="str">
        <f t="shared" si="6"/>
        <v>1004-2017-00378</v>
      </c>
      <c r="B393" s="233" t="str">
        <f>РПЗ!$D393</f>
        <v>1004-2017-00378Предоставление услуги Нормативные документы (НД)</v>
      </c>
      <c r="C393" s="233" t="str">
        <f>РПЗ!$AA393</f>
        <v>АО "НИИ "Полюс" им. М.Ф. Стельмаха" тел. отдела закупок 8-495-333-05-02</v>
      </c>
      <c r="D393" s="633" t="str">
        <f>РПЗ!$AB393</f>
        <v>Заказчик</v>
      </c>
      <c r="E393" s="96" t="s">
        <v>46</v>
      </c>
      <c r="F393" s="233" t="str">
        <f>РПЗ!Q393</f>
        <v>ОЗК</v>
      </c>
      <c r="G393" s="237"/>
      <c r="H393" s="237" t="str">
        <f>РПЗ!R393</f>
        <v>да</v>
      </c>
      <c r="I393" s="15">
        <f>РПЗ!W393</f>
        <v>0</v>
      </c>
      <c r="J393" s="233">
        <f>РПЗ!X393</f>
        <v>0</v>
      </c>
      <c r="K393" s="283">
        <f>РПЗ!Z393</f>
        <v>0</v>
      </c>
      <c r="L393" s="17"/>
      <c r="M393" s="18">
        <f>РПЗ!O393</f>
        <v>42736</v>
      </c>
      <c r="N393" s="238">
        <f>Таблица5[[#This Row],[10]]</f>
        <v>42736</v>
      </c>
      <c r="O393" s="17"/>
      <c r="P393" s="17"/>
      <c r="Q393" s="17"/>
      <c r="R393" s="17"/>
      <c r="S393" s="17"/>
      <c r="T393" s="686"/>
      <c r="U393" s="18">
        <f>РПЗ!P393</f>
        <v>43070</v>
      </c>
      <c r="V393" s="686"/>
      <c r="W393" s="236">
        <f>РПЗ!L393</f>
        <v>115000</v>
      </c>
      <c r="X393" s="689"/>
      <c r="Y393" s="689"/>
      <c r="Z393" s="690"/>
      <c r="AA393" s="691"/>
      <c r="AB393" s="111"/>
      <c r="AC393" s="17"/>
      <c r="AD393" s="690"/>
      <c r="AE393" s="686"/>
      <c r="AF393" s="474"/>
      <c r="AG393" s="692"/>
      <c r="AH393" s="236" t="str">
        <f>IF(Таблица5[[#This Row],[30]]=0,"НД",Таблица5[[#This Row],[20]]-Таблица5[[#This Row],[30]])</f>
        <v>НД</v>
      </c>
      <c r="AI393" s="511" t="str">
        <f>IF(((1-Таблица5[[#This Row],[30]]/Таблица5[[#This Row],[20]])=1),"НД",(1-Таблица5[[#This Row],[30]]/Таблица5[[#This Row],[20]]))</f>
        <v>НД</v>
      </c>
      <c r="AJ393" s="111"/>
      <c r="AK393" s="111"/>
      <c r="AL393" s="512"/>
      <c r="AM393" s="513"/>
      <c r="AN393" s="465"/>
      <c r="AO393" s="468" t="str">
        <f>РПЗ!AD393</f>
        <v>Нет</v>
      </c>
      <c r="AP393" s="472">
        <f>РПЗ!V393</f>
        <v>0</v>
      </c>
      <c r="AQ393" s="470">
        <f>IF(Таблица5[[#This Row],[11]]=0,,MONTH(Таблица5[[#This Row],[11]]))</f>
        <v>1</v>
      </c>
    </row>
    <row r="394" spans="1:43" ht="39" thickBot="1" x14ac:dyDescent="0.3">
      <c r="A394" s="233" t="str">
        <f t="shared" si="6"/>
        <v>1004-2017-00379</v>
      </c>
      <c r="B394" s="233" t="str">
        <f>РПЗ!$D394</f>
        <v>1004-2017-00379Предоставление услуги Нормативные документы (НД)</v>
      </c>
      <c r="C394" s="233" t="str">
        <f>РПЗ!$AA394</f>
        <v>АО "НИИ "Полюс" им. М.Ф. Стельмаха" тел. отдела закупок 8-495-333-05-02</v>
      </c>
      <c r="D394" s="633" t="str">
        <f>РПЗ!$AB394</f>
        <v>Заказчик</v>
      </c>
      <c r="E394" s="96" t="s">
        <v>46</v>
      </c>
      <c r="F394" s="233" t="str">
        <f>РПЗ!Q394</f>
        <v>ОЗК</v>
      </c>
      <c r="G394" s="237"/>
      <c r="H394" s="237" t="str">
        <f>РПЗ!R394</f>
        <v>да</v>
      </c>
      <c r="I394" s="15">
        <f>РПЗ!W394</f>
        <v>0</v>
      </c>
      <c r="J394" s="233">
        <f>РПЗ!X394</f>
        <v>0</v>
      </c>
      <c r="K394" s="283">
        <f>РПЗ!Z394</f>
        <v>0</v>
      </c>
      <c r="L394" s="17"/>
      <c r="M394" s="18">
        <f>РПЗ!O394</f>
        <v>42736</v>
      </c>
      <c r="N394" s="238">
        <f>Таблица5[[#This Row],[10]]</f>
        <v>42736</v>
      </c>
      <c r="O394" s="17"/>
      <c r="P394" s="17"/>
      <c r="Q394" s="17"/>
      <c r="R394" s="17"/>
      <c r="S394" s="17"/>
      <c r="T394" s="686"/>
      <c r="U394" s="18">
        <f>РПЗ!P394</f>
        <v>43070</v>
      </c>
      <c r="V394" s="686"/>
      <c r="W394" s="236">
        <f>РПЗ!L394</f>
        <v>115000</v>
      </c>
      <c r="X394" s="689"/>
      <c r="Y394" s="689"/>
      <c r="Z394" s="690"/>
      <c r="AA394" s="691"/>
      <c r="AB394" s="111"/>
      <c r="AC394" s="17"/>
      <c r="AD394" s="690"/>
      <c r="AE394" s="686"/>
      <c r="AF394" s="474"/>
      <c r="AG394" s="692"/>
      <c r="AH394" s="236" t="str">
        <f>IF(Таблица5[[#This Row],[30]]=0,"НД",Таблица5[[#This Row],[20]]-Таблица5[[#This Row],[30]])</f>
        <v>НД</v>
      </c>
      <c r="AI394" s="511" t="str">
        <f>IF(((1-Таблица5[[#This Row],[30]]/Таблица5[[#This Row],[20]])=1),"НД",(1-Таблица5[[#This Row],[30]]/Таблица5[[#This Row],[20]]))</f>
        <v>НД</v>
      </c>
      <c r="AJ394" s="111"/>
      <c r="AK394" s="111"/>
      <c r="AL394" s="512"/>
      <c r="AM394" s="513"/>
      <c r="AN394" s="465"/>
      <c r="AO394" s="468" t="str">
        <f>РПЗ!AD394</f>
        <v>Нет</v>
      </c>
      <c r="AP394" s="472">
        <f>РПЗ!V394</f>
        <v>0</v>
      </c>
      <c r="AQ394" s="470">
        <f>IF(Таблица5[[#This Row],[11]]=0,,MONTH(Таблица5[[#This Row],[11]]))</f>
        <v>1</v>
      </c>
    </row>
    <row r="395" spans="1:43" ht="90" thickBot="1" x14ac:dyDescent="0.3">
      <c r="A395" s="233" t="str">
        <f t="shared" si="6"/>
        <v>1004-2017-00380</v>
      </c>
      <c r="B395" s="233" t="str">
        <f>РПЗ!$D395</f>
        <v>1004-2017-00380услуги по организации рекламно-выставочной деятельности, а также услуги по информационному и PR-сопровождению деятельности АО "НИИ "Полюс" им. М. Ф. Стельмаха".</v>
      </c>
      <c r="C395" s="233" t="str">
        <f>РПЗ!$AA395</f>
        <v>АО "НИИ "Полюс" им. М.Ф. Стельмаха" тел. отдела закупок 8-495-333-05-02</v>
      </c>
      <c r="D395" s="633" t="str">
        <f>РПЗ!$AB395</f>
        <v>АО "Швабе"</v>
      </c>
      <c r="E395" s="96" t="s">
        <v>46</v>
      </c>
      <c r="F395" s="233" t="str">
        <f>РПЗ!Q395</f>
        <v>ОЗК</v>
      </c>
      <c r="G395" s="237"/>
      <c r="H395" s="237" t="str">
        <f>РПЗ!R395</f>
        <v>да</v>
      </c>
      <c r="I395" s="15">
        <f>РПЗ!W395</f>
        <v>0</v>
      </c>
      <c r="J395" s="233">
        <f>РПЗ!X395</f>
        <v>0</v>
      </c>
      <c r="K395" s="283">
        <f>РПЗ!Z395</f>
        <v>0</v>
      </c>
      <c r="L395" s="17"/>
      <c r="M395" s="18">
        <f>РПЗ!O395</f>
        <v>42736.5</v>
      </c>
      <c r="N395" s="238">
        <f>Таблица5[[#This Row],[10]]</f>
        <v>42736.5</v>
      </c>
      <c r="O395" s="17"/>
      <c r="P395" s="17"/>
      <c r="Q395" s="17"/>
      <c r="R395" s="17"/>
      <c r="S395" s="17"/>
      <c r="T395" s="686"/>
      <c r="U395" s="18">
        <f>РПЗ!P395</f>
        <v>43070.5</v>
      </c>
      <c r="V395" s="686"/>
      <c r="W395" s="236">
        <f>РПЗ!L395</f>
        <v>8353696</v>
      </c>
      <c r="X395" s="689"/>
      <c r="Y395" s="689"/>
      <c r="Z395" s="690"/>
      <c r="AA395" s="691"/>
      <c r="AB395" s="111"/>
      <c r="AC395" s="17"/>
      <c r="AD395" s="690"/>
      <c r="AE395" s="686"/>
      <c r="AF395" s="474"/>
      <c r="AG395" s="692"/>
      <c r="AH395" s="236" t="str">
        <f>IF(Таблица5[[#This Row],[30]]=0,"НД",Таблица5[[#This Row],[20]]-Таблица5[[#This Row],[30]])</f>
        <v>НД</v>
      </c>
      <c r="AI395" s="511" t="str">
        <f>IF(((1-Таблица5[[#This Row],[30]]/Таблица5[[#This Row],[20]])=1),"НД",(1-Таблица5[[#This Row],[30]]/Таблица5[[#This Row],[20]]))</f>
        <v>НД</v>
      </c>
      <c r="AJ395" s="111"/>
      <c r="AK395" s="111"/>
      <c r="AL395" s="512"/>
      <c r="AM395" s="513"/>
      <c r="AN395" s="465"/>
      <c r="AO395" s="468" t="str">
        <f>РПЗ!AD395</f>
        <v>Да</v>
      </c>
      <c r="AP395" s="472">
        <f>РПЗ!V395</f>
        <v>0</v>
      </c>
      <c r="AQ395" s="470">
        <f>IF(Таблица5[[#This Row],[11]]=0,,MONTH(Таблица5[[#This Row],[11]]))</f>
        <v>1</v>
      </c>
    </row>
    <row r="396" spans="1:43" ht="39" thickBot="1" x14ac:dyDescent="0.3">
      <c r="A396" s="233" t="str">
        <f t="shared" si="6"/>
        <v>1004-2017-00381</v>
      </c>
      <c r="B396" s="233" t="str">
        <f>РПЗ!$D396</f>
        <v>1004-2017-00381Обслуживание постоянной экспозиции</v>
      </c>
      <c r="C396" s="233" t="str">
        <f>РПЗ!$AA396</f>
        <v>АО "НИИ "Полюс" им. М.Ф. Стельмаха" тел. отдела закупок 8-495-333-05-02</v>
      </c>
      <c r="D396" s="633" t="str">
        <f>РПЗ!$AB396</f>
        <v>АО "Швабе"</v>
      </c>
      <c r="E396" s="96" t="s">
        <v>46</v>
      </c>
      <c r="F396" s="233" t="str">
        <f>РПЗ!Q396</f>
        <v>ОЗК</v>
      </c>
      <c r="G396" s="237"/>
      <c r="H396" s="237" t="str">
        <f>РПЗ!R396</f>
        <v>да</v>
      </c>
      <c r="I396" s="15">
        <f>РПЗ!W396</f>
        <v>0</v>
      </c>
      <c r="J396" s="233">
        <f>РПЗ!X396</f>
        <v>0</v>
      </c>
      <c r="K396" s="283">
        <f>РПЗ!Z396</f>
        <v>0</v>
      </c>
      <c r="L396" s="17"/>
      <c r="M396" s="18">
        <f>РПЗ!O396</f>
        <v>42795.5</v>
      </c>
      <c r="N396" s="238">
        <f>Таблица5[[#This Row],[10]]</f>
        <v>42795.5</v>
      </c>
      <c r="O396" s="17"/>
      <c r="P396" s="17"/>
      <c r="Q396" s="17"/>
      <c r="R396" s="17"/>
      <c r="S396" s="17"/>
      <c r="T396" s="686"/>
      <c r="U396" s="18">
        <f>РПЗ!P396</f>
        <v>43100.5</v>
      </c>
      <c r="V396" s="686"/>
      <c r="W396" s="236">
        <f>РПЗ!L396</f>
        <v>451296.9</v>
      </c>
      <c r="X396" s="689"/>
      <c r="Y396" s="689"/>
      <c r="Z396" s="690"/>
      <c r="AA396" s="691"/>
      <c r="AB396" s="111"/>
      <c r="AC396" s="17"/>
      <c r="AD396" s="690"/>
      <c r="AE396" s="686"/>
      <c r="AF396" s="474"/>
      <c r="AG396" s="692"/>
      <c r="AH396" s="236" t="str">
        <f>IF(Таблица5[[#This Row],[30]]=0,"НД",Таблица5[[#This Row],[20]]-Таблица5[[#This Row],[30]])</f>
        <v>НД</v>
      </c>
      <c r="AI396" s="511" t="str">
        <f>IF(((1-Таблица5[[#This Row],[30]]/Таблица5[[#This Row],[20]])=1),"НД",(1-Таблица5[[#This Row],[30]]/Таблица5[[#This Row],[20]]))</f>
        <v>НД</v>
      </c>
      <c r="AJ396" s="111"/>
      <c r="AK396" s="111"/>
      <c r="AL396" s="512"/>
      <c r="AM396" s="513"/>
      <c r="AN396" s="465"/>
      <c r="AO396" s="468" t="str">
        <f>РПЗ!AD396</f>
        <v>Да</v>
      </c>
      <c r="AP396" s="472">
        <f>РПЗ!V396</f>
        <v>0</v>
      </c>
      <c r="AQ396" s="470">
        <f>IF(Таблица5[[#This Row],[11]]=0,,MONTH(Таблица5[[#This Row],[11]]))</f>
        <v>3</v>
      </c>
    </row>
    <row r="397" spans="1:43" ht="39" thickBot="1" x14ac:dyDescent="0.3">
      <c r="A397" s="233" t="str">
        <f t="shared" si="6"/>
        <v>1004-2017-00382</v>
      </c>
      <c r="B397" s="233" t="str">
        <f>РПЗ!$D397</f>
        <v>1004-2017-00382Командировочные расходы</v>
      </c>
      <c r="C397" s="233" t="str">
        <f>РПЗ!$AA397</f>
        <v>АО "НИИ "Полюс" им. М.Ф. Стельмаха" тел. отдела закупок 8-495-333-05-02</v>
      </c>
      <c r="D397" s="633" t="str">
        <f>РПЗ!$AB397</f>
        <v>АО "Швабе"</v>
      </c>
      <c r="E397" s="96" t="s">
        <v>46</v>
      </c>
      <c r="F397" s="233" t="str">
        <f>РПЗ!Q397</f>
        <v>ОЗК</v>
      </c>
      <c r="G397" s="237"/>
      <c r="H397" s="237" t="str">
        <f>РПЗ!R397</f>
        <v>да</v>
      </c>
      <c r="I397" s="15">
        <f>РПЗ!W397</f>
        <v>0</v>
      </c>
      <c r="J397" s="233">
        <f>РПЗ!X397</f>
        <v>0</v>
      </c>
      <c r="K397" s="283">
        <f>РПЗ!Z397</f>
        <v>0</v>
      </c>
      <c r="L397" s="17"/>
      <c r="M397" s="18">
        <f>РПЗ!O397</f>
        <v>42736.5</v>
      </c>
      <c r="N397" s="238">
        <f>Таблица5[[#This Row],[10]]</f>
        <v>42736.5</v>
      </c>
      <c r="O397" s="17"/>
      <c r="P397" s="17"/>
      <c r="Q397" s="17"/>
      <c r="R397" s="17"/>
      <c r="S397" s="17"/>
      <c r="T397" s="686"/>
      <c r="U397" s="18">
        <f>РПЗ!P397</f>
        <v>43070.5</v>
      </c>
      <c r="V397" s="686"/>
      <c r="W397" s="236">
        <f>РПЗ!L397</f>
        <v>1500000</v>
      </c>
      <c r="X397" s="689"/>
      <c r="Y397" s="689"/>
      <c r="Z397" s="690"/>
      <c r="AA397" s="691"/>
      <c r="AB397" s="111"/>
      <c r="AC397" s="17"/>
      <c r="AD397" s="690"/>
      <c r="AE397" s="686"/>
      <c r="AF397" s="474"/>
      <c r="AG397" s="692"/>
      <c r="AH397" s="236" t="str">
        <f>IF(Таблица5[[#This Row],[30]]=0,"НД",Таблица5[[#This Row],[20]]-Таблица5[[#This Row],[30]])</f>
        <v>НД</v>
      </c>
      <c r="AI397" s="511" t="str">
        <f>IF(((1-Таблица5[[#This Row],[30]]/Таблица5[[#This Row],[20]])=1),"НД",(1-Таблица5[[#This Row],[30]]/Таблица5[[#This Row],[20]]))</f>
        <v>НД</v>
      </c>
      <c r="AJ397" s="111"/>
      <c r="AK397" s="111"/>
      <c r="AL397" s="512"/>
      <c r="AM397" s="513"/>
      <c r="AN397" s="465"/>
      <c r="AO397" s="468" t="str">
        <f>РПЗ!AD397</f>
        <v>Да</v>
      </c>
      <c r="AP397" s="472">
        <f>РПЗ!V397</f>
        <v>0</v>
      </c>
      <c r="AQ397" s="470">
        <f>IF(Таблица5[[#This Row],[11]]=0,,MONTH(Таблица5[[#This Row],[11]]))</f>
        <v>1</v>
      </c>
    </row>
    <row r="398" spans="1:43" ht="39" thickBot="1" x14ac:dyDescent="0.3">
      <c r="A398" s="233" t="str">
        <f t="shared" si="6"/>
        <v>1004-2017-00383</v>
      </c>
      <c r="B398" s="233" t="str">
        <f>РПЗ!$D398</f>
        <v>1004-2017-00383Услуги местной и внутризоновой телефонной связи (за декабрь 2016)</v>
      </c>
      <c r="C398" s="233" t="str">
        <f>РПЗ!$AA398</f>
        <v>АО "НИИ "Полюс" им. М.Ф. Стельмаха" тел. отдела закупок 8-495-333-05-02</v>
      </c>
      <c r="D398" s="633" t="str">
        <f>РПЗ!$AB398</f>
        <v>АО "Швабе"</v>
      </c>
      <c r="E398" s="96" t="s">
        <v>46</v>
      </c>
      <c r="F398" s="233" t="str">
        <f>РПЗ!Q398</f>
        <v>ОЗК</v>
      </c>
      <c r="G398" s="237"/>
      <c r="H398" s="237" t="str">
        <f>РПЗ!R398</f>
        <v>да</v>
      </c>
      <c r="I398" s="15">
        <f>РПЗ!W398</f>
        <v>0</v>
      </c>
      <c r="J398" s="233">
        <f>РПЗ!X398</f>
        <v>0</v>
      </c>
      <c r="K398" s="283">
        <f>РПЗ!Z398</f>
        <v>0</v>
      </c>
      <c r="L398" s="17"/>
      <c r="M398" s="18">
        <f>РПЗ!O398</f>
        <v>42736.5</v>
      </c>
      <c r="N398" s="238">
        <f>Таблица5[[#This Row],[10]]</f>
        <v>42736.5</v>
      </c>
      <c r="O398" s="17"/>
      <c r="P398" s="17"/>
      <c r="Q398" s="17"/>
      <c r="R398" s="17"/>
      <c r="S398" s="17"/>
      <c r="T398" s="686"/>
      <c r="U398" s="18">
        <f>РПЗ!P398</f>
        <v>42766.5</v>
      </c>
      <c r="V398" s="686"/>
      <c r="W398" s="236">
        <f>РПЗ!L398</f>
        <v>158000</v>
      </c>
      <c r="X398" s="689"/>
      <c r="Y398" s="689"/>
      <c r="Z398" s="690"/>
      <c r="AA398" s="691"/>
      <c r="AB398" s="111"/>
      <c r="AC398" s="17"/>
      <c r="AD398" s="690"/>
      <c r="AE398" s="686"/>
      <c r="AF398" s="474"/>
      <c r="AG398" s="692"/>
      <c r="AH398" s="236" t="str">
        <f>IF(Таблица5[[#This Row],[30]]=0,"НД",Таблица5[[#This Row],[20]]-Таблица5[[#This Row],[30]])</f>
        <v>НД</v>
      </c>
      <c r="AI398" s="511" t="str">
        <f>IF(((1-Таблица5[[#This Row],[30]]/Таблица5[[#This Row],[20]])=1),"НД",(1-Таблица5[[#This Row],[30]]/Таблица5[[#This Row],[20]]))</f>
        <v>НД</v>
      </c>
      <c r="AJ398" s="111"/>
      <c r="AK398" s="111"/>
      <c r="AL398" s="512"/>
      <c r="AM398" s="513"/>
      <c r="AN398" s="465"/>
      <c r="AO398" s="468" t="str">
        <f>РПЗ!AD398</f>
        <v>Да</v>
      </c>
      <c r="AP398" s="472">
        <f>РПЗ!V398</f>
        <v>0</v>
      </c>
      <c r="AQ398" s="470">
        <f>IF(Таблица5[[#This Row],[11]]=0,,MONTH(Таблица5[[#This Row],[11]]))</f>
        <v>1</v>
      </c>
    </row>
    <row r="399" spans="1:43" ht="38.25" x14ac:dyDescent="0.25">
      <c r="A399" s="233" t="str">
        <f t="shared" si="6"/>
        <v>1004-2017-00384</v>
      </c>
      <c r="B399" s="233" t="str">
        <f>РПЗ!$D399</f>
        <v>1004-2017-00384Услуги местной и внутризоновой телефонной связи (за январь 2017)</v>
      </c>
      <c r="C399" s="233" t="str">
        <f>РПЗ!$AA399</f>
        <v>АО "НИИ "Полюс" им. М.Ф. Стельмаха" тел. отдела закупок 8-495-333-05-02</v>
      </c>
      <c r="D399" s="633" t="str">
        <f>РПЗ!$AB399</f>
        <v>АО "Швабе"</v>
      </c>
      <c r="E399" s="96" t="s">
        <v>46</v>
      </c>
      <c r="F399" s="233" t="str">
        <f>РПЗ!Q399</f>
        <v>ОЗК</v>
      </c>
      <c r="G399" s="237"/>
      <c r="H399" s="237" t="str">
        <f>РПЗ!R399</f>
        <v>да</v>
      </c>
      <c r="I399" s="15">
        <f>РПЗ!W399</f>
        <v>0</v>
      </c>
      <c r="J399" s="233">
        <f>РПЗ!X399</f>
        <v>0</v>
      </c>
      <c r="K399" s="283">
        <f>РПЗ!Z399</f>
        <v>0</v>
      </c>
      <c r="L399" s="17"/>
      <c r="M399" s="18">
        <f>РПЗ!O399</f>
        <v>42767.5</v>
      </c>
      <c r="N399" s="238">
        <f>Таблица5[[#This Row],[10]]</f>
        <v>42767.5</v>
      </c>
      <c r="O399" s="17"/>
      <c r="P399" s="17"/>
      <c r="Q399" s="17"/>
      <c r="R399" s="17"/>
      <c r="S399" s="17"/>
      <c r="T399" s="686"/>
      <c r="U399" s="18">
        <f>РПЗ!P399</f>
        <v>42794.5</v>
      </c>
      <c r="V399" s="686"/>
      <c r="W399" s="236">
        <f>РПЗ!L399</f>
        <v>158000</v>
      </c>
      <c r="X399" s="689"/>
      <c r="Y399" s="689"/>
      <c r="Z399" s="690"/>
      <c r="AA399" s="691"/>
      <c r="AB399" s="111"/>
      <c r="AC399" s="17"/>
      <c r="AD399" s="690"/>
      <c r="AE399" s="686"/>
      <c r="AF399" s="474"/>
      <c r="AG399" s="692"/>
      <c r="AH399" s="236" t="str">
        <f>IF(Таблица5[[#This Row],[30]]=0,"НД",Таблица5[[#This Row],[20]]-Таблица5[[#This Row],[30]])</f>
        <v>НД</v>
      </c>
      <c r="AI399" s="511" t="str">
        <f>IF(((1-Таблица5[[#This Row],[30]]/Таблица5[[#This Row],[20]])=1),"НД",(1-Таблица5[[#This Row],[30]]/Таблица5[[#This Row],[20]]))</f>
        <v>НД</v>
      </c>
      <c r="AJ399" s="111"/>
      <c r="AK399" s="111"/>
      <c r="AL399" s="512"/>
      <c r="AM399" s="513"/>
      <c r="AN399" s="465"/>
      <c r="AO399" s="468" t="str">
        <f>РПЗ!AD399</f>
        <v>Да</v>
      </c>
      <c r="AP399" s="472">
        <f>РПЗ!V399</f>
        <v>0</v>
      </c>
      <c r="AQ399" s="470">
        <f>IF(Таблица5[[#This Row],[11]]=0,,MONTH(Таблица5[[#This Row],[11]]))</f>
        <v>2</v>
      </c>
    </row>
    <row r="400" spans="1:43" ht="38.25" x14ac:dyDescent="0.25">
      <c r="A400" s="233" t="str">
        <f t="shared" si="6"/>
        <v>1004-2017-00385</v>
      </c>
      <c r="B400" s="233" t="str">
        <f>РПЗ!$D400</f>
        <v>1004-2017-00385Услуги местной и внутризоновой телефонной связи (за февраль 2017)</v>
      </c>
      <c r="C400" s="233" t="str">
        <f>РПЗ!$AA400</f>
        <v>АО "НИИ "Полюс" им. М.Ф. Стельмаха" тел. отдела закупок 8-495-333-05-02</v>
      </c>
      <c r="D400" s="633" t="str">
        <f>РПЗ!$AB400</f>
        <v>АО "Швабе"</v>
      </c>
      <c r="E400" s="510" t="s">
        <v>62</v>
      </c>
      <c r="F400" s="233" t="str">
        <f>РПЗ!Q400</f>
        <v>ЕП</v>
      </c>
      <c r="G400" s="237" t="str">
        <f>Таблица5[[#This Row],[6]]</f>
        <v>ЕП</v>
      </c>
      <c r="H400" s="237" t="str">
        <f>РПЗ!R400</f>
        <v>Нет</v>
      </c>
      <c r="I400" s="15" t="str">
        <f>РПЗ!W400</f>
        <v>6.6.2(1)</v>
      </c>
      <c r="J400" s="233">
        <f>РПЗ!X400</f>
        <v>7710016640</v>
      </c>
      <c r="K400" s="283">
        <f>РПЗ!Z400</f>
        <v>151915</v>
      </c>
      <c r="L400" s="17">
        <v>42807</v>
      </c>
      <c r="M400" s="18">
        <f>РПЗ!O400</f>
        <v>42795.5</v>
      </c>
      <c r="N400" s="238">
        <f>Таблица5[[#This Row],[10]]</f>
        <v>42795.5</v>
      </c>
      <c r="O400" s="17"/>
      <c r="P400" s="17"/>
      <c r="Q400" s="17"/>
      <c r="R400" s="17"/>
      <c r="S400" s="17"/>
      <c r="T400" s="686">
        <v>42817</v>
      </c>
      <c r="U400" s="18">
        <f>РПЗ!P400</f>
        <v>42825.5</v>
      </c>
      <c r="V400" s="686">
        <v>42826</v>
      </c>
      <c r="W400" s="236">
        <f>РПЗ!L400</f>
        <v>151915</v>
      </c>
      <c r="X400" s="689">
        <v>1</v>
      </c>
      <c r="Y400" s="689">
        <v>0</v>
      </c>
      <c r="Z400" s="691">
        <v>7710016640</v>
      </c>
      <c r="AA400" s="691" t="s">
        <v>2084</v>
      </c>
      <c r="AB400" s="111">
        <v>151915</v>
      </c>
      <c r="AC400" s="17">
        <v>42826</v>
      </c>
      <c r="AD400" s="690" t="s">
        <v>6061</v>
      </c>
      <c r="AE400" s="686">
        <v>42817</v>
      </c>
      <c r="AF400" s="474"/>
      <c r="AG400" s="692">
        <v>151915</v>
      </c>
      <c r="AH400" s="236">
        <f>IF(Таблица5[[#This Row],[30]]=0,"НД",Таблица5[[#This Row],[20]]-Таблица5[[#This Row],[30]])</f>
        <v>0</v>
      </c>
      <c r="AI400" s="511">
        <f>IF(((1-Таблица5[[#This Row],[30]]/Таблица5[[#This Row],[20]])=1),"НД",(1-Таблица5[[#This Row],[30]]/Таблица5[[#This Row],[20]]))</f>
        <v>0</v>
      </c>
      <c r="AJ400" s="111"/>
      <c r="AK400" s="111"/>
      <c r="AL400" s="512"/>
      <c r="AM400" s="513" t="s">
        <v>113</v>
      </c>
      <c r="AN400" s="801">
        <v>31704921881</v>
      </c>
      <c r="AO400" s="468" t="str">
        <f>РПЗ!AD400</f>
        <v>Да</v>
      </c>
      <c r="AP400" s="472">
        <f>РПЗ!V400</f>
        <v>0</v>
      </c>
      <c r="AQ400" s="470">
        <f>IF(Таблица5[[#This Row],[11]]=0,,MONTH(Таблица5[[#This Row],[11]]))</f>
        <v>3</v>
      </c>
    </row>
    <row r="401" spans="1:43" ht="39" thickBot="1" x14ac:dyDescent="0.3">
      <c r="A401" s="233" t="str">
        <f t="shared" si="6"/>
        <v>1004-2017-00386</v>
      </c>
      <c r="B401" s="233" t="str">
        <f>РПЗ!$D401</f>
        <v>1004-2017-00386Услуги местной и внутризоновой телефонной связи (за март 2017)</v>
      </c>
      <c r="C401" s="233" t="str">
        <f>РПЗ!$AA401</f>
        <v>АО "НИИ "Полюс" им. М.Ф. Стельмаха" тел. отдела закупок 8-495-333-05-02</v>
      </c>
      <c r="D401" s="633" t="str">
        <f>РПЗ!$AB401</f>
        <v>АО "Швабе"</v>
      </c>
      <c r="E401" s="510" t="s">
        <v>62</v>
      </c>
      <c r="F401" s="233" t="str">
        <f>РПЗ!Q401</f>
        <v>ЕП</v>
      </c>
      <c r="G401" s="237" t="str">
        <f>Таблица5[[#This Row],[6]]</f>
        <v>ЕП</v>
      </c>
      <c r="H401" s="237" t="str">
        <f>РПЗ!R401</f>
        <v>Нет</v>
      </c>
      <c r="I401" s="15" t="str">
        <f>РПЗ!W401</f>
        <v>6.6.2(1)</v>
      </c>
      <c r="J401" s="233">
        <f>РПЗ!X401</f>
        <v>7710016640</v>
      </c>
      <c r="K401" s="283">
        <f>РПЗ!Z401</f>
        <v>153796.4</v>
      </c>
      <c r="L401" s="17">
        <v>42851</v>
      </c>
      <c r="M401" s="18">
        <f>РПЗ!O401</f>
        <v>42826.5</v>
      </c>
      <c r="N401" s="238">
        <f>Таблица5[[#This Row],[10]]</f>
        <v>42826.5</v>
      </c>
      <c r="O401" s="17"/>
      <c r="P401" s="17"/>
      <c r="Q401" s="17"/>
      <c r="R401" s="17"/>
      <c r="S401" s="17"/>
      <c r="T401" s="686">
        <v>42852</v>
      </c>
      <c r="U401" s="18">
        <f>РПЗ!P401</f>
        <v>42855.5</v>
      </c>
      <c r="V401" s="686">
        <v>42826</v>
      </c>
      <c r="W401" s="236">
        <f>РПЗ!L401</f>
        <v>153796.4</v>
      </c>
      <c r="X401" s="689">
        <v>1</v>
      </c>
      <c r="Y401" s="689">
        <v>0</v>
      </c>
      <c r="Z401" s="691">
        <v>7710016640</v>
      </c>
      <c r="AA401" s="691" t="s">
        <v>2084</v>
      </c>
      <c r="AB401" s="111">
        <v>153796.4</v>
      </c>
      <c r="AC401" s="17">
        <v>42826</v>
      </c>
      <c r="AD401" s="690" t="s">
        <v>6049</v>
      </c>
      <c r="AE401" s="686">
        <v>42852</v>
      </c>
      <c r="AF401" s="474"/>
      <c r="AG401" s="692">
        <v>153796.4</v>
      </c>
      <c r="AH401" s="236">
        <f>IF(Таблица5[[#This Row],[30]]=0,"НД",Таблица5[[#This Row],[20]]-Таблица5[[#This Row],[30]])</f>
        <v>0</v>
      </c>
      <c r="AI401" s="511">
        <f>IF(((1-Таблица5[[#This Row],[30]]/Таблица5[[#This Row],[20]])=1),"НД",(1-Таблица5[[#This Row],[30]]/Таблица5[[#This Row],[20]]))</f>
        <v>0</v>
      </c>
      <c r="AJ401" s="111"/>
      <c r="AK401" s="111"/>
      <c r="AL401" s="512"/>
      <c r="AM401" s="513" t="s">
        <v>113</v>
      </c>
      <c r="AN401" s="465" t="s">
        <v>6051</v>
      </c>
      <c r="AO401" s="468" t="str">
        <f>РПЗ!AD401</f>
        <v>Да</v>
      </c>
      <c r="AP401" s="472">
        <f>РПЗ!V401</f>
        <v>0</v>
      </c>
      <c r="AQ401" s="470">
        <f>IF(Таблица5[[#This Row],[11]]=0,,MONTH(Таблица5[[#This Row],[11]]))</f>
        <v>4</v>
      </c>
    </row>
    <row r="402" spans="1:43" ht="38.25" x14ac:dyDescent="0.25">
      <c r="A402" s="233" t="str">
        <f t="shared" si="6"/>
        <v>1004-2017-00387</v>
      </c>
      <c r="B402" s="233" t="str">
        <f>РПЗ!$D402</f>
        <v>1004-2017-00387Услуги местной и внутризоновой телефонной связи (за апрель 2017)</v>
      </c>
      <c r="C402" s="233" t="str">
        <f>РПЗ!$AA402</f>
        <v>АО "НИИ "Полюс" им. М.Ф. Стельмаха" тел. отдела закупок 8-495-333-05-02</v>
      </c>
      <c r="D402" s="633" t="str">
        <f>РПЗ!$AB402</f>
        <v>Заказчик</v>
      </c>
      <c r="E402" s="96" t="s">
        <v>46</v>
      </c>
      <c r="F402" s="233" t="str">
        <f>РПЗ!Q402</f>
        <v>ОЗК</v>
      </c>
      <c r="G402" s="237"/>
      <c r="H402" s="237" t="str">
        <f>РПЗ!R402</f>
        <v>да</v>
      </c>
      <c r="I402" s="15">
        <f>РПЗ!W402</f>
        <v>0</v>
      </c>
      <c r="J402" s="233">
        <f>РПЗ!X402</f>
        <v>0</v>
      </c>
      <c r="K402" s="283">
        <f>РПЗ!Z402</f>
        <v>0</v>
      </c>
      <c r="L402" s="17"/>
      <c r="M402" s="18">
        <f>РПЗ!O402</f>
        <v>42856.5</v>
      </c>
      <c r="N402" s="238">
        <f>Таблица5[[#This Row],[10]]</f>
        <v>42856.5</v>
      </c>
      <c r="O402" s="17"/>
      <c r="P402" s="17"/>
      <c r="Q402" s="17"/>
      <c r="R402" s="17"/>
      <c r="S402" s="17"/>
      <c r="T402" s="686"/>
      <c r="U402" s="18">
        <f>РПЗ!P402</f>
        <v>42886.5</v>
      </c>
      <c r="V402" s="686"/>
      <c r="W402" s="236">
        <f>РПЗ!L402</f>
        <v>158000</v>
      </c>
      <c r="X402" s="689"/>
      <c r="Y402" s="689"/>
      <c r="Z402" s="690"/>
      <c r="AA402" s="691"/>
      <c r="AB402" s="111"/>
      <c r="AC402" s="17"/>
      <c r="AD402" s="690"/>
      <c r="AE402" s="686"/>
      <c r="AF402" s="474"/>
      <c r="AG402" s="692"/>
      <c r="AH402" s="236" t="str">
        <f>IF(Таблица5[[#This Row],[30]]=0,"НД",Таблица5[[#This Row],[20]]-Таблица5[[#This Row],[30]])</f>
        <v>НД</v>
      </c>
      <c r="AI402" s="511" t="str">
        <f>IF(((1-Таблица5[[#This Row],[30]]/Таблица5[[#This Row],[20]])=1),"НД",(1-Таблица5[[#This Row],[30]]/Таблица5[[#This Row],[20]]))</f>
        <v>НД</v>
      </c>
      <c r="AJ402" s="111"/>
      <c r="AK402" s="111"/>
      <c r="AL402" s="512"/>
      <c r="AM402" s="513"/>
      <c r="AN402" s="465"/>
      <c r="AO402" s="468" t="str">
        <f>РПЗ!AD402</f>
        <v>Нет</v>
      </c>
      <c r="AP402" s="472">
        <f>РПЗ!V402</f>
        <v>0</v>
      </c>
      <c r="AQ402" s="470">
        <f>IF(Таблица5[[#This Row],[11]]=0,,MONTH(Таблица5[[#This Row],[11]]))</f>
        <v>5</v>
      </c>
    </row>
    <row r="403" spans="1:43" ht="38.25" x14ac:dyDescent="0.25">
      <c r="A403" s="233" t="str">
        <f t="shared" si="6"/>
        <v>1004-2017-00388</v>
      </c>
      <c r="B403" s="233" t="str">
        <f>РПЗ!$D403</f>
        <v>1004-2017-00388Услуги местной и внутризоновой телефонной связи (за май 2017)</v>
      </c>
      <c r="C403" s="233" t="str">
        <f>РПЗ!$AA403</f>
        <v>АО "НИИ "Полюс" им. М.Ф. Стельмаха" тел. отдела закупок 8-495-333-05-02</v>
      </c>
      <c r="D403" s="633" t="str">
        <f>РПЗ!$AB403</f>
        <v>Заказчик</v>
      </c>
      <c r="E403" s="510" t="s">
        <v>62</v>
      </c>
      <c r="F403" s="233" t="str">
        <f>РПЗ!Q403</f>
        <v>ЕП</v>
      </c>
      <c r="G403" s="237" t="str">
        <f>Таблица5[[#This Row],[6]]</f>
        <v>ЕП</v>
      </c>
      <c r="H403" s="237" t="str">
        <f>РПЗ!R403</f>
        <v>Нет</v>
      </c>
      <c r="I403" s="15" t="str">
        <f>РПЗ!W403</f>
        <v>6.6.2(1)</v>
      </c>
      <c r="J403" s="233">
        <f>РПЗ!X403</f>
        <v>7710016640</v>
      </c>
      <c r="K403" s="283">
        <f>РПЗ!Z403</f>
        <v>155007.23000000001</v>
      </c>
      <c r="L403" s="17">
        <v>42907</v>
      </c>
      <c r="M403" s="18">
        <f>РПЗ!O403</f>
        <v>42887.5</v>
      </c>
      <c r="N403" s="238">
        <f>Таблица5[[#This Row],[10]]</f>
        <v>42887.5</v>
      </c>
      <c r="O403" s="17"/>
      <c r="P403" s="17"/>
      <c r="Q403" s="17"/>
      <c r="R403" s="17"/>
      <c r="S403" s="17"/>
      <c r="T403" s="686">
        <v>42912</v>
      </c>
      <c r="U403" s="18">
        <f>РПЗ!P403</f>
        <v>42916.5</v>
      </c>
      <c r="V403" s="686">
        <v>42917</v>
      </c>
      <c r="W403" s="236">
        <f>РПЗ!L403</f>
        <v>155007.23000000001</v>
      </c>
      <c r="X403" s="689">
        <v>1</v>
      </c>
      <c r="Y403" s="689">
        <v>0</v>
      </c>
      <c r="Z403" s="691">
        <v>7710016640</v>
      </c>
      <c r="AA403" s="691" t="s">
        <v>2084</v>
      </c>
      <c r="AB403" s="111">
        <v>155007.23000000001</v>
      </c>
      <c r="AC403" s="17">
        <v>42917</v>
      </c>
      <c r="AD403" s="690" t="s">
        <v>5956</v>
      </c>
      <c r="AE403" s="686">
        <v>42912</v>
      </c>
      <c r="AF403" s="474"/>
      <c r="AG403" s="692">
        <v>155007.23000000001</v>
      </c>
      <c r="AH403" s="236">
        <f>IF(Таблица5[[#This Row],[30]]=0,"НД",Таблица5[[#This Row],[20]]-Таблица5[[#This Row],[30]])</f>
        <v>0</v>
      </c>
      <c r="AI403" s="511">
        <f>IF(((1-Таблица5[[#This Row],[30]]/Таблица5[[#This Row],[20]])=1),"НД",(1-Таблица5[[#This Row],[30]]/Таблица5[[#This Row],[20]]))</f>
        <v>0</v>
      </c>
      <c r="AJ403" s="111"/>
      <c r="AK403" s="111"/>
      <c r="AL403" s="512"/>
      <c r="AM403" s="513" t="s">
        <v>113</v>
      </c>
      <c r="AN403" s="801">
        <v>31705251231</v>
      </c>
      <c r="AO403" s="468" t="str">
        <f>РПЗ!AD403</f>
        <v>Нет</v>
      </c>
      <c r="AP403" s="472">
        <f>РПЗ!V403</f>
        <v>0</v>
      </c>
      <c r="AQ403" s="470">
        <f>IF(Таблица5[[#This Row],[11]]=0,,MONTH(Таблица5[[#This Row],[11]]))</f>
        <v>6</v>
      </c>
    </row>
    <row r="404" spans="1:43" ht="38.25" x14ac:dyDescent="0.25">
      <c r="A404" s="233" t="str">
        <f t="shared" si="6"/>
        <v>1004-2017-00389</v>
      </c>
      <c r="B404" s="233" t="str">
        <f>РПЗ!$D404</f>
        <v>1004-2017-00389Услуги местной и внутризоновой телефонной связи (за июнь 2017)</v>
      </c>
      <c r="C404" s="233" t="str">
        <f>РПЗ!$AA404</f>
        <v>АО "НИИ "Полюс" им. М.Ф. Стельмаха" тел. отдела закупок 8-495-333-05-02</v>
      </c>
      <c r="D404" s="633" t="str">
        <f>РПЗ!$AB404</f>
        <v>Заказчик</v>
      </c>
      <c r="E404" s="510" t="s">
        <v>62</v>
      </c>
      <c r="F404" s="233" t="str">
        <f>РПЗ!Q404</f>
        <v>ЕП</v>
      </c>
      <c r="G404" s="237" t="str">
        <f>Таблица5[[#This Row],[6]]</f>
        <v>ЕП</v>
      </c>
      <c r="H404" s="237" t="str">
        <f>РПЗ!R404</f>
        <v>Нет</v>
      </c>
      <c r="I404" s="15" t="str">
        <f>РПЗ!W404</f>
        <v>6.6.2(1)</v>
      </c>
      <c r="J404" s="233">
        <f>РПЗ!X404</f>
        <v>7710016640</v>
      </c>
      <c r="K404" s="283">
        <f>РПЗ!Z404</f>
        <v>153973.82999999999</v>
      </c>
      <c r="L404" s="17">
        <v>42914</v>
      </c>
      <c r="M404" s="18">
        <f>РПЗ!O404</f>
        <v>42917.5</v>
      </c>
      <c r="N404" s="238">
        <f>Таблица5[[#This Row],[10]]</f>
        <v>42917.5</v>
      </c>
      <c r="O404" s="17"/>
      <c r="P404" s="17"/>
      <c r="Q404" s="17"/>
      <c r="R404" s="17"/>
      <c r="S404" s="17"/>
      <c r="T404" s="686">
        <v>42928</v>
      </c>
      <c r="U404" s="18">
        <f>РПЗ!P404</f>
        <v>42947.5</v>
      </c>
      <c r="V404" s="686">
        <v>42948</v>
      </c>
      <c r="W404" s="236">
        <f>РПЗ!L404</f>
        <v>153973.82999999999</v>
      </c>
      <c r="X404" s="689">
        <v>1</v>
      </c>
      <c r="Y404" s="689">
        <v>0</v>
      </c>
      <c r="Z404" s="691">
        <v>5074051432</v>
      </c>
      <c r="AA404" s="691" t="s">
        <v>5094</v>
      </c>
      <c r="AB404" s="111">
        <v>153973.82999999999</v>
      </c>
      <c r="AC404" s="17">
        <v>42948</v>
      </c>
      <c r="AD404" s="690" t="s">
        <v>6446</v>
      </c>
      <c r="AE404" s="686">
        <v>42928</v>
      </c>
      <c r="AF404" s="474"/>
      <c r="AG404" s="692">
        <v>153973.82999999999</v>
      </c>
      <c r="AH404" s="236">
        <f>IF(Таблица5[[#This Row],[30]]=0,"НД",Таблица5[[#This Row],[20]]-Таблица5[[#This Row],[30]])</f>
        <v>0</v>
      </c>
      <c r="AI404" s="511">
        <f>IF(((1-Таблица5[[#This Row],[30]]/Таблица5[[#This Row],[20]])=1),"НД",(1-Таблица5[[#This Row],[30]]/Таблица5[[#This Row],[20]]))</f>
        <v>0</v>
      </c>
      <c r="AJ404" s="111"/>
      <c r="AK404" s="111"/>
      <c r="AL404" s="512"/>
      <c r="AM404" s="513" t="s">
        <v>113</v>
      </c>
      <c r="AN404" s="801">
        <v>31705274321</v>
      </c>
      <c r="AO404" s="468" t="str">
        <f>РПЗ!AD404</f>
        <v>Нет</v>
      </c>
      <c r="AP404" s="472">
        <f>РПЗ!V404</f>
        <v>0</v>
      </c>
      <c r="AQ404" s="470">
        <f>IF(Таблица5[[#This Row],[11]]=0,,MONTH(Таблица5[[#This Row],[11]]))</f>
        <v>7</v>
      </c>
    </row>
    <row r="405" spans="1:43" ht="38.25" x14ac:dyDescent="0.25">
      <c r="A405" s="233" t="str">
        <f t="shared" si="6"/>
        <v>1004-2017-00390</v>
      </c>
      <c r="B405" s="233" t="str">
        <f>РПЗ!$D405</f>
        <v>1004-2017-00390Услуги местной и внутризоновой телефонной связи (за июль 2017)</v>
      </c>
      <c r="C405" s="233" t="str">
        <f>РПЗ!$AA405</f>
        <v>АО "НИИ "Полюс" им. М.Ф. Стельмаха" тел. отдела закупок 8-495-333-05-02</v>
      </c>
      <c r="D405" s="633" t="str">
        <f>РПЗ!$AB405</f>
        <v>Заказчик</v>
      </c>
      <c r="E405" s="510" t="s">
        <v>62</v>
      </c>
      <c r="F405" s="233" t="str">
        <f>РПЗ!Q405</f>
        <v>ЕП</v>
      </c>
      <c r="G405" s="237" t="str">
        <f>Таблица5[[#This Row],[6]]</f>
        <v>ЕП</v>
      </c>
      <c r="H405" s="237" t="str">
        <f>РПЗ!R405</f>
        <v>Нет</v>
      </c>
      <c r="I405" s="15" t="str">
        <f>РПЗ!W405</f>
        <v>6.6.2(1)</v>
      </c>
      <c r="J405" s="233">
        <f>РПЗ!X405</f>
        <v>7710016640</v>
      </c>
      <c r="K405" s="283">
        <f>РПЗ!Z405</f>
        <v>151593.07999999999</v>
      </c>
      <c r="L405" s="17">
        <v>42957</v>
      </c>
      <c r="M405" s="18">
        <f>РПЗ!O405</f>
        <v>42948.5</v>
      </c>
      <c r="N405" s="238">
        <f>Таблица5[[#This Row],[10]]</f>
        <v>42948.5</v>
      </c>
      <c r="O405" s="17"/>
      <c r="P405" s="17"/>
      <c r="Q405" s="17"/>
      <c r="R405" s="17"/>
      <c r="S405" s="17"/>
      <c r="T405" s="686">
        <v>42963</v>
      </c>
      <c r="U405" s="18">
        <f>РПЗ!P405</f>
        <v>42978.5</v>
      </c>
      <c r="V405" s="686">
        <v>42978</v>
      </c>
      <c r="W405" s="236">
        <f>РПЗ!L405</f>
        <v>151593.07999999999</v>
      </c>
      <c r="X405" s="689">
        <v>1</v>
      </c>
      <c r="Y405" s="689">
        <v>0</v>
      </c>
      <c r="Z405" s="691">
        <v>7710016640</v>
      </c>
      <c r="AA405" s="691" t="s">
        <v>2084</v>
      </c>
      <c r="AB405" s="111">
        <v>151593.07999999999</v>
      </c>
      <c r="AC405" s="17">
        <v>42978</v>
      </c>
      <c r="AD405" s="690" t="s">
        <v>6847</v>
      </c>
      <c r="AE405" s="686">
        <v>42963</v>
      </c>
      <c r="AF405" s="474"/>
      <c r="AG405" s="692">
        <v>151593.07999999999</v>
      </c>
      <c r="AH405" s="236">
        <f>IF(Таблица5[[#This Row],[30]]=0,"НД",Таблица5[[#This Row],[20]]-Таблица5[[#This Row],[30]])</f>
        <v>0</v>
      </c>
      <c r="AI405" s="511">
        <f>IF(((1-Таблица5[[#This Row],[30]]/Таблица5[[#This Row],[20]])=1),"НД",(1-Таблица5[[#This Row],[30]]/Таблица5[[#This Row],[20]]))</f>
        <v>0</v>
      </c>
      <c r="AJ405" s="111"/>
      <c r="AK405" s="111"/>
      <c r="AL405" s="512"/>
      <c r="AM405" s="513" t="s">
        <v>113</v>
      </c>
      <c r="AN405" s="801">
        <v>31705424955</v>
      </c>
      <c r="AO405" s="468" t="str">
        <f>РПЗ!AD405</f>
        <v>Нет</v>
      </c>
      <c r="AP405" s="472">
        <f>РПЗ!V405</f>
        <v>0</v>
      </c>
      <c r="AQ405" s="470">
        <f>IF(Таблица5[[#This Row],[11]]=0,,MONTH(Таблица5[[#This Row],[11]]))</f>
        <v>8</v>
      </c>
    </row>
    <row r="406" spans="1:43" ht="38.25" x14ac:dyDescent="0.25">
      <c r="A406" s="233" t="str">
        <f t="shared" si="6"/>
        <v>1004-2017-00391</v>
      </c>
      <c r="B406" s="233" t="str">
        <f>РПЗ!$D406</f>
        <v>1004-2017-00391Услуги местной и внутризоновой телефонной связи (за август 2017)</v>
      </c>
      <c r="C406" s="233" t="str">
        <f>РПЗ!$AA406</f>
        <v>АО "НИИ "Полюс" им. М.Ф. Стельмаха" тел. отдела закупок 8-495-333-05-02</v>
      </c>
      <c r="D406" s="633" t="str">
        <f>РПЗ!$AB406</f>
        <v>Заказчик</v>
      </c>
      <c r="E406" s="510" t="s">
        <v>62</v>
      </c>
      <c r="F406" s="233" t="str">
        <f>РПЗ!Q406</f>
        <v>ЕП</v>
      </c>
      <c r="G406" s="237" t="str">
        <f>Таблица5[[#This Row],[6]]</f>
        <v>ЕП</v>
      </c>
      <c r="H406" s="237" t="str">
        <f>РПЗ!R406</f>
        <v>Нет</v>
      </c>
      <c r="I406" s="15" t="str">
        <f>РПЗ!W406</f>
        <v>6.6.2(1)</v>
      </c>
      <c r="J406" s="233">
        <f>РПЗ!X406</f>
        <v>7710016640</v>
      </c>
      <c r="K406" s="283">
        <f>РПЗ!Z406</f>
        <v>153744.35</v>
      </c>
      <c r="L406" s="17">
        <v>42984</v>
      </c>
      <c r="M406" s="18">
        <f>РПЗ!O406</f>
        <v>42979.5</v>
      </c>
      <c r="N406" s="238">
        <f>Таблица5[[#This Row],[10]]</f>
        <v>42979.5</v>
      </c>
      <c r="O406" s="17"/>
      <c r="P406" s="17"/>
      <c r="Q406" s="17"/>
      <c r="R406" s="17"/>
      <c r="S406" s="17"/>
      <c r="T406" s="686">
        <v>42986</v>
      </c>
      <c r="U406" s="18">
        <f>РПЗ!P406</f>
        <v>43008.5</v>
      </c>
      <c r="V406" s="686">
        <v>42979</v>
      </c>
      <c r="W406" s="236">
        <f>РПЗ!L406</f>
        <v>153744.35</v>
      </c>
      <c r="X406" s="689">
        <v>1</v>
      </c>
      <c r="Y406" s="689">
        <v>0</v>
      </c>
      <c r="Z406" s="691">
        <v>7710016640</v>
      </c>
      <c r="AA406" s="691" t="s">
        <v>6828</v>
      </c>
      <c r="AB406" s="111">
        <v>153744.35</v>
      </c>
      <c r="AC406" s="17">
        <v>42979</v>
      </c>
      <c r="AD406" s="690" t="s">
        <v>6829</v>
      </c>
      <c r="AE406" s="686">
        <v>42986</v>
      </c>
      <c r="AF406" s="474"/>
      <c r="AG406" s="692">
        <v>153744.35</v>
      </c>
      <c r="AH406" s="236">
        <f>IF(Таблица5[[#This Row],[30]]=0,"НД",Таблица5[[#This Row],[20]]-Таблица5[[#This Row],[30]])</f>
        <v>0</v>
      </c>
      <c r="AI406" s="511">
        <f>IF(((1-Таблица5[[#This Row],[30]]/Таблица5[[#This Row],[20]])=1),"НД",(1-Таблица5[[#This Row],[30]]/Таблица5[[#This Row],[20]]))</f>
        <v>0</v>
      </c>
      <c r="AJ406" s="111"/>
      <c r="AK406" s="111"/>
      <c r="AL406" s="512"/>
      <c r="AM406" s="513" t="s">
        <v>113</v>
      </c>
      <c r="AN406" s="801">
        <v>31705503968</v>
      </c>
      <c r="AO406" s="468" t="str">
        <f>РПЗ!AD406</f>
        <v>Нет</v>
      </c>
      <c r="AP406" s="472">
        <f>РПЗ!V406</f>
        <v>0</v>
      </c>
      <c r="AQ406" s="470">
        <f>IF(Таблица5[[#This Row],[11]]=0,,MONTH(Таблица5[[#This Row],[11]]))</f>
        <v>9</v>
      </c>
    </row>
    <row r="407" spans="1:43" ht="38.25" x14ac:dyDescent="0.25">
      <c r="A407" s="233" t="str">
        <f t="shared" si="6"/>
        <v>1004-2017-00392</v>
      </c>
      <c r="B407" s="233" t="str">
        <f>РПЗ!$D407</f>
        <v>1004-2017-00392Услуги местной и внутризоновой телефонной связи (за сентябрь 2017)</v>
      </c>
      <c r="C407" s="233" t="str">
        <f>РПЗ!$AA407</f>
        <v>АО "НИИ "Полюс" им. М.Ф. Стельмаха" тел. отдела закупок 8-495-333-05-02</v>
      </c>
      <c r="D407" s="633" t="str">
        <f>РПЗ!$AB407</f>
        <v>Заказчик</v>
      </c>
      <c r="E407" s="510" t="s">
        <v>62</v>
      </c>
      <c r="F407" s="233" t="str">
        <f>РПЗ!Q407</f>
        <v>ЕП</v>
      </c>
      <c r="G407" s="237" t="str">
        <f>Таблица5[[#This Row],[6]]</f>
        <v>ЕП</v>
      </c>
      <c r="H407" s="237" t="str">
        <f>РПЗ!R407</f>
        <v>Нет</v>
      </c>
      <c r="I407" s="15" t="str">
        <f>РПЗ!W407</f>
        <v>6.6.2(1)</v>
      </c>
      <c r="J407" s="233">
        <f>РПЗ!X407</f>
        <v>7710016640</v>
      </c>
      <c r="K407" s="283">
        <f>РПЗ!Z407</f>
        <v>152517.94</v>
      </c>
      <c r="L407" s="17">
        <v>43018</v>
      </c>
      <c r="M407" s="18">
        <f>РПЗ!O407</f>
        <v>43009.5</v>
      </c>
      <c r="N407" s="238">
        <f>Таблица5[[#This Row],[10]]</f>
        <v>43009.5</v>
      </c>
      <c r="O407" s="17"/>
      <c r="P407" s="17"/>
      <c r="Q407" s="17"/>
      <c r="R407" s="17"/>
      <c r="S407" s="17"/>
      <c r="T407" s="686">
        <v>43020</v>
      </c>
      <c r="U407" s="18">
        <f>РПЗ!P407</f>
        <v>43039.5</v>
      </c>
      <c r="V407" s="686">
        <v>43039</v>
      </c>
      <c r="W407" s="236">
        <f>РПЗ!L407</f>
        <v>152517.94</v>
      </c>
      <c r="X407" s="689">
        <v>1</v>
      </c>
      <c r="Y407" s="689">
        <v>0</v>
      </c>
      <c r="Z407" s="691">
        <v>7710016640</v>
      </c>
      <c r="AA407" s="691" t="s">
        <v>2084</v>
      </c>
      <c r="AB407" s="111">
        <v>152517.94</v>
      </c>
      <c r="AC407" s="17">
        <v>43039</v>
      </c>
      <c r="AD407" s="690" t="s">
        <v>7251</v>
      </c>
      <c r="AE407" s="686">
        <v>43020</v>
      </c>
      <c r="AF407" s="474"/>
      <c r="AG407" s="692">
        <v>152517.94</v>
      </c>
      <c r="AH407" s="236">
        <f>IF(Таблица5[[#This Row],[30]]=0,"НД",Таблица5[[#This Row],[20]]-Таблица5[[#This Row],[30]])</f>
        <v>0</v>
      </c>
      <c r="AI407" s="511">
        <f>IF(((1-Таблица5[[#This Row],[30]]/Таблица5[[#This Row],[20]])=1),"НД",(1-Таблица5[[#This Row],[30]]/Таблица5[[#This Row],[20]]))</f>
        <v>0</v>
      </c>
      <c r="AJ407" s="111"/>
      <c r="AK407" s="111"/>
      <c r="AL407" s="512"/>
      <c r="AM407" s="513" t="s">
        <v>113</v>
      </c>
      <c r="AN407" s="801">
        <v>31705617574</v>
      </c>
      <c r="AO407" s="468" t="str">
        <f>РПЗ!AD407</f>
        <v>Нет</v>
      </c>
      <c r="AP407" s="472">
        <f>РПЗ!V407</f>
        <v>0</v>
      </c>
      <c r="AQ407" s="470">
        <f>IF(Таблица5[[#This Row],[11]]=0,,MONTH(Таблица5[[#This Row],[11]]))</f>
        <v>10</v>
      </c>
    </row>
    <row r="408" spans="1:43" ht="39" thickBot="1" x14ac:dyDescent="0.3">
      <c r="A408" s="233" t="str">
        <f t="shared" si="6"/>
        <v>1004-2017-00393</v>
      </c>
      <c r="B408" s="233" t="str">
        <f>РПЗ!$D408</f>
        <v>1004-2017-00393Услуги местной и внутризоновой телефонной связи (за октябрь 2017)</v>
      </c>
      <c r="C408" s="233" t="str">
        <f>РПЗ!$AA408</f>
        <v>АО "НИИ "Полюс" им. М.Ф. Стельмаха" тел. отдела закупок 8-495-333-05-02</v>
      </c>
      <c r="D408" s="633" t="str">
        <f>РПЗ!$AB408</f>
        <v>Заказчик</v>
      </c>
      <c r="E408" s="510" t="s">
        <v>62</v>
      </c>
      <c r="F408" s="233" t="str">
        <f>РПЗ!Q408</f>
        <v>ЕП</v>
      </c>
      <c r="G408" s="237" t="str">
        <f>Таблица5[[#This Row],[6]]</f>
        <v>ЕП</v>
      </c>
      <c r="H408" s="237" t="str">
        <f>РПЗ!R408</f>
        <v>Нет</v>
      </c>
      <c r="I408" s="15" t="str">
        <f>РПЗ!W408</f>
        <v>6.6.2(1)</v>
      </c>
      <c r="J408" s="233">
        <f>РПЗ!X408</f>
        <v>7710016640</v>
      </c>
      <c r="K408" s="283">
        <f>РПЗ!Z408</f>
        <v>154590.13</v>
      </c>
      <c r="L408" s="17">
        <v>43053</v>
      </c>
      <c r="M408" s="18">
        <f>РПЗ!O408</f>
        <v>43040.5</v>
      </c>
      <c r="N408" s="238">
        <f>Таблица5[[#This Row],[10]]</f>
        <v>43040.5</v>
      </c>
      <c r="O408" s="17"/>
      <c r="P408" s="17"/>
      <c r="Q408" s="17"/>
      <c r="R408" s="17"/>
      <c r="S408" s="17"/>
      <c r="T408" s="686">
        <v>43055</v>
      </c>
      <c r="U408" s="18">
        <f>РПЗ!P408</f>
        <v>43069.5</v>
      </c>
      <c r="V408" s="686">
        <v>43069</v>
      </c>
      <c r="W408" s="236">
        <f>РПЗ!L408</f>
        <v>154590.13</v>
      </c>
      <c r="X408" s="689">
        <v>1</v>
      </c>
      <c r="Y408" s="689">
        <v>0</v>
      </c>
      <c r="Z408" s="691">
        <v>7710016640</v>
      </c>
      <c r="AA408" s="691" t="s">
        <v>2084</v>
      </c>
      <c r="AB408" s="111">
        <v>154590.13</v>
      </c>
      <c r="AC408" s="17">
        <v>43069</v>
      </c>
      <c r="AD408" s="690" t="s">
        <v>5956</v>
      </c>
      <c r="AE408" s="686">
        <v>43055</v>
      </c>
      <c r="AF408" s="474"/>
      <c r="AG408" s="692">
        <v>154590.13</v>
      </c>
      <c r="AH408" s="236">
        <f>IF(Таблица5[[#This Row],[30]]=0,"НД",Таблица5[[#This Row],[20]]-Таблица5[[#This Row],[30]])</f>
        <v>0</v>
      </c>
      <c r="AI408" s="511">
        <f>IF(((1-Таблица5[[#This Row],[30]]/Таблица5[[#This Row],[20]])=1),"НД",(1-Таблица5[[#This Row],[30]]/Таблица5[[#This Row],[20]]))</f>
        <v>0</v>
      </c>
      <c r="AJ408" s="111"/>
      <c r="AK408" s="111"/>
      <c r="AL408" s="512"/>
      <c r="AM408" s="513" t="s">
        <v>113</v>
      </c>
      <c r="AN408" s="801">
        <v>31705744295</v>
      </c>
      <c r="AO408" s="468" t="str">
        <f>РПЗ!AD408</f>
        <v>Нет</v>
      </c>
      <c r="AP408" s="472">
        <f>РПЗ!V408</f>
        <v>0</v>
      </c>
      <c r="AQ408" s="470">
        <f>IF(Таблица5[[#This Row],[11]]=0,,MONTH(Таблица5[[#This Row],[11]]))</f>
        <v>11</v>
      </c>
    </row>
    <row r="409" spans="1:43" ht="38.25" x14ac:dyDescent="0.25">
      <c r="A409" s="233" t="str">
        <f t="shared" si="6"/>
        <v>1004-2017-00394</v>
      </c>
      <c r="B409" s="233" t="str">
        <f>РПЗ!$D409</f>
        <v>1004-2017-00394Услуги местной и внутризоновой телефонной связи (за ноябрь 2017)</v>
      </c>
      <c r="C409" s="233" t="str">
        <f>РПЗ!$AA409</f>
        <v>АО "НИИ "Полюс" им. М.Ф. Стельмаха" тел. отдела закупок 8-495-333-05-02</v>
      </c>
      <c r="D409" s="633" t="str">
        <f>РПЗ!$AB409</f>
        <v>Заказчик</v>
      </c>
      <c r="E409" s="96" t="s">
        <v>46</v>
      </c>
      <c r="F409" s="233" t="str">
        <f>РПЗ!Q409</f>
        <v>ЕП</v>
      </c>
      <c r="G409" s="237"/>
      <c r="H409" s="237" t="str">
        <f>РПЗ!R409</f>
        <v>Нет</v>
      </c>
      <c r="I409" s="15" t="str">
        <f>РПЗ!W409</f>
        <v>6.6.2(1)</v>
      </c>
      <c r="J409" s="233">
        <f>РПЗ!X409</f>
        <v>7710016640</v>
      </c>
      <c r="K409" s="283">
        <f>РПЗ!Z409</f>
        <v>158000</v>
      </c>
      <c r="L409" s="17"/>
      <c r="M409" s="18">
        <f>РПЗ!O409</f>
        <v>43070.5</v>
      </c>
      <c r="N409" s="238">
        <f>Таблица5[[#This Row],[10]]</f>
        <v>43070.5</v>
      </c>
      <c r="O409" s="17"/>
      <c r="P409" s="17"/>
      <c r="Q409" s="17"/>
      <c r="R409" s="17"/>
      <c r="S409" s="17"/>
      <c r="T409" s="686"/>
      <c r="U409" s="18">
        <f>РПЗ!P409</f>
        <v>43100.5</v>
      </c>
      <c r="V409" s="686"/>
      <c r="W409" s="236">
        <f>РПЗ!L409</f>
        <v>158000</v>
      </c>
      <c r="X409" s="689"/>
      <c r="Y409" s="689"/>
      <c r="Z409" s="690"/>
      <c r="AA409" s="691"/>
      <c r="AB409" s="111"/>
      <c r="AC409" s="17"/>
      <c r="AD409" s="690"/>
      <c r="AE409" s="686"/>
      <c r="AF409" s="474"/>
      <c r="AG409" s="692"/>
      <c r="AH409" s="236" t="str">
        <f>IF(Таблица5[[#This Row],[30]]=0,"НД",Таблица5[[#This Row],[20]]-Таблица5[[#This Row],[30]])</f>
        <v>НД</v>
      </c>
      <c r="AI409" s="511" t="str">
        <f>IF(((1-Таблица5[[#This Row],[30]]/Таблица5[[#This Row],[20]])=1),"НД",(1-Таблица5[[#This Row],[30]]/Таблица5[[#This Row],[20]]))</f>
        <v>НД</v>
      </c>
      <c r="AJ409" s="111"/>
      <c r="AK409" s="111"/>
      <c r="AL409" s="512"/>
      <c r="AM409" s="513"/>
      <c r="AN409" s="465"/>
      <c r="AO409" s="468" t="str">
        <f>РПЗ!AD409</f>
        <v>Нет</v>
      </c>
      <c r="AP409" s="472">
        <f>РПЗ!V409</f>
        <v>0</v>
      </c>
      <c r="AQ409" s="470">
        <f>IF(Таблица5[[#This Row],[11]]=0,,MONTH(Таблица5[[#This Row],[11]]))</f>
        <v>12</v>
      </c>
    </row>
    <row r="410" spans="1:43" ht="114.75" x14ac:dyDescent="0.25">
      <c r="A410" s="233" t="str">
        <f t="shared" si="6"/>
        <v>1004-2017-00395</v>
      </c>
      <c r="B410" s="233" t="str">
        <f>РПЗ!$D410</f>
        <v>1004-2017-00395Поставка вычислительной техники, сетевого и серверного оборудования, оргтехники, расходных материалов, экземпляров программного обеспечения и предоставление прав на использование программного обеспечения на условиях простой (неисключительной) лицензии</v>
      </c>
      <c r="C410" s="233" t="str">
        <f>РПЗ!$AA410</f>
        <v>АО "НИИ "Полюс" им. М.Ф. Стельмаха" тел. отдела закупок 8-495-333-05-02</v>
      </c>
      <c r="D410" s="633" t="str">
        <f>РПЗ!$AB410</f>
        <v>ООО "РТ-ИНОФРМ"</v>
      </c>
      <c r="E410" s="510" t="s">
        <v>62</v>
      </c>
      <c r="F410" s="233" t="str">
        <f>РПЗ!Q410</f>
        <v>ОЗК</v>
      </c>
      <c r="G410" s="237" t="str">
        <f>Таблица5[[#This Row],[6]]</f>
        <v>ОЗК</v>
      </c>
      <c r="H410" s="237" t="str">
        <f>РПЗ!R410</f>
        <v>да</v>
      </c>
      <c r="I410" s="15">
        <f>РПЗ!W410</f>
        <v>0</v>
      </c>
      <c r="J410" s="233">
        <f>РПЗ!X410</f>
        <v>0</v>
      </c>
      <c r="K410" s="283">
        <f>РПЗ!Z410</f>
        <v>0</v>
      </c>
      <c r="L410" s="17">
        <v>42849</v>
      </c>
      <c r="M410" s="18">
        <f>РПЗ!O410</f>
        <v>42826</v>
      </c>
      <c r="N410" s="238">
        <f>Таблица5[[#This Row],[10]]</f>
        <v>42826</v>
      </c>
      <c r="O410" s="17">
        <v>42860</v>
      </c>
      <c r="P410" s="17">
        <v>42867</v>
      </c>
      <c r="Q410" s="17">
        <v>42867</v>
      </c>
      <c r="R410" s="17">
        <v>42871</v>
      </c>
      <c r="S410" s="17">
        <v>42871</v>
      </c>
      <c r="T410" s="686">
        <v>42892</v>
      </c>
      <c r="U410" s="18">
        <f>РПЗ!P410</f>
        <v>42887</v>
      </c>
      <c r="V410" s="686">
        <v>42899</v>
      </c>
      <c r="W410" s="236">
        <f>РПЗ!L410</f>
        <v>3598384.15</v>
      </c>
      <c r="X410" s="689">
        <v>3</v>
      </c>
      <c r="Y410" s="689">
        <v>2</v>
      </c>
      <c r="Z410" s="691">
        <v>7715445748</v>
      </c>
      <c r="AA410" s="691" t="s">
        <v>7181</v>
      </c>
      <c r="AB410" s="111">
        <v>3550242</v>
      </c>
      <c r="AC410" s="17">
        <v>42899</v>
      </c>
      <c r="AD410" s="690" t="s">
        <v>7182</v>
      </c>
      <c r="AE410" s="686">
        <v>42892</v>
      </c>
      <c r="AF410" s="474"/>
      <c r="AG410" s="692">
        <v>3550242</v>
      </c>
      <c r="AH410" s="236">
        <f>IF(Таблица5[[#This Row],[30]]=0,"НД",Таблица5[[#This Row],[20]]-Таблица5[[#This Row],[30]])</f>
        <v>48142.149999999907</v>
      </c>
      <c r="AI410" s="511">
        <f>IF(((1-Таблица5[[#This Row],[30]]/Таблица5[[#This Row],[20]])=1),"НД",(1-Таблица5[[#This Row],[30]]/Таблица5[[#This Row],[20]]))</f>
        <v>1.3378824492654595E-2</v>
      </c>
      <c r="AJ410" s="111"/>
      <c r="AK410" s="111"/>
      <c r="AL410" s="512"/>
      <c r="AM410" s="513" t="s">
        <v>113</v>
      </c>
      <c r="AN410" s="801">
        <v>31705047530</v>
      </c>
      <c r="AO410" s="468" t="str">
        <f>РПЗ!AD410</f>
        <v>Нет</v>
      </c>
      <c r="AP410" s="472" t="str">
        <f>РПЗ!V410</f>
        <v>ИВД</v>
      </c>
      <c r="AQ410" s="470">
        <f>IF(Таблица5[[#This Row],[11]]=0,,MONTH(Таблица5[[#This Row],[11]]))</f>
        <v>4</v>
      </c>
    </row>
    <row r="411" spans="1:43" ht="115.5" thickBot="1" x14ac:dyDescent="0.3">
      <c r="A411" s="233" t="str">
        <f t="shared" si="6"/>
        <v>1004-2017-00396</v>
      </c>
      <c r="B411" s="233" t="str">
        <f>РПЗ!$D411</f>
        <v>1004-2017-00396Поставка вычислительной техники, сетевого оборудования, оргтехники, расходных материалов, экземпляров программного обеспечения и предоставление прав на использование программного обеспечения на условиях простой (неисключительной) лицензии</v>
      </c>
      <c r="C411" s="233" t="str">
        <f>РПЗ!$AA411</f>
        <v>АО "НИИ "Полюс" им. М.Ф. Стельмаха" тел. отдела закупок 8-495-333-05-02</v>
      </c>
      <c r="D411" s="633" t="str">
        <f>РПЗ!$AB411</f>
        <v>ООО "РТ-ИНОФРМ"</v>
      </c>
      <c r="E411" s="510" t="s">
        <v>62</v>
      </c>
      <c r="F411" s="233" t="str">
        <f>РПЗ!Q411</f>
        <v>ОЗК</v>
      </c>
      <c r="G411" s="237" t="str">
        <f>Таблица5[[#This Row],[6]]</f>
        <v>ОЗК</v>
      </c>
      <c r="H411" s="237" t="str">
        <f>РПЗ!R411</f>
        <v>да</v>
      </c>
      <c r="I411" s="15">
        <f>РПЗ!W411</f>
        <v>0</v>
      </c>
      <c r="J411" s="233">
        <f>РПЗ!X411</f>
        <v>0</v>
      </c>
      <c r="K411" s="283">
        <f>РПЗ!Z411</f>
        <v>0</v>
      </c>
      <c r="L411" s="17">
        <v>42936</v>
      </c>
      <c r="M411" s="18">
        <f>РПЗ!O411</f>
        <v>42917.5</v>
      </c>
      <c r="N411" s="238">
        <f>Таблица5[[#This Row],[10]]</f>
        <v>42917.5</v>
      </c>
      <c r="O411" s="17">
        <v>42943</v>
      </c>
      <c r="P411" s="17">
        <v>42947</v>
      </c>
      <c r="Q411" s="17">
        <v>42947</v>
      </c>
      <c r="R411" s="17">
        <v>42948</v>
      </c>
      <c r="S411" s="17">
        <v>42948</v>
      </c>
      <c r="T411" s="686">
        <v>42961</v>
      </c>
      <c r="U411" s="18">
        <f>РПЗ!P411</f>
        <v>43008</v>
      </c>
      <c r="V411" s="686">
        <v>42977</v>
      </c>
      <c r="W411" s="236">
        <f>РПЗ!L411</f>
        <v>4233934</v>
      </c>
      <c r="X411" s="689">
        <v>7</v>
      </c>
      <c r="Y411" s="689">
        <v>4</v>
      </c>
      <c r="Z411" s="691">
        <v>7722781081</v>
      </c>
      <c r="AA411" s="691" t="s">
        <v>6791</v>
      </c>
      <c r="AB411" s="111">
        <v>3428321.26</v>
      </c>
      <c r="AC411" s="17">
        <v>42977</v>
      </c>
      <c r="AD411" s="690" t="s">
        <v>7186</v>
      </c>
      <c r="AE411" s="686">
        <v>42961</v>
      </c>
      <c r="AF411" s="474"/>
      <c r="AG411" s="692">
        <v>3428321.26</v>
      </c>
      <c r="AH411" s="236">
        <f>IF(Таблица5[[#This Row],[30]]=0,"НД",Таблица5[[#This Row],[20]]-Таблица5[[#This Row],[30]])</f>
        <v>805612.74000000022</v>
      </c>
      <c r="AI411" s="511">
        <f>IF(((1-Таблица5[[#This Row],[30]]/Таблица5[[#This Row],[20]])=1),"НД",(1-Таблица5[[#This Row],[30]]/Таблица5[[#This Row],[20]]))</f>
        <v>0.19027522394066609</v>
      </c>
      <c r="AJ411" s="111"/>
      <c r="AK411" s="111"/>
      <c r="AL411" s="512"/>
      <c r="AM411" s="513" t="s">
        <v>113</v>
      </c>
      <c r="AN411" s="801">
        <v>31705342697</v>
      </c>
      <c r="AO411" s="468" t="str">
        <f>РПЗ!AD411</f>
        <v>Нет</v>
      </c>
      <c r="AP411" s="472" t="str">
        <f>РПЗ!V411</f>
        <v>ИВД</v>
      </c>
      <c r="AQ411" s="470">
        <f>IF(Таблица5[[#This Row],[11]]=0,,MONTH(Таблица5[[#This Row],[11]]))</f>
        <v>7</v>
      </c>
    </row>
    <row r="412" spans="1:43" ht="76.5" x14ac:dyDescent="0.25">
      <c r="A412" s="233" t="str">
        <f t="shared" si="6"/>
        <v>1004-2017-00397</v>
      </c>
      <c r="B412" s="233" t="str">
        <f>РПЗ!$D412</f>
        <v>1004-2017-00397Поставка вычислительной техники, оргтехники, экземпляров программного обеспечения, сетевого оборудования и расходных материалов</v>
      </c>
      <c r="C412" s="233" t="str">
        <f>РПЗ!$AA412</f>
        <v>АО "НИИ "Полюс" им. М.Ф. Стельмаха" тел. отдела закупок 8-495-333-05-02</v>
      </c>
      <c r="D412" s="633" t="str">
        <f>РПЗ!$AB412</f>
        <v>ООО "РТ-ИНОФРМ"</v>
      </c>
      <c r="E412" s="96" t="s">
        <v>60</v>
      </c>
      <c r="F412" s="233" t="str">
        <f>РПЗ!Q412</f>
        <v>ОЗК</v>
      </c>
      <c r="G412" s="237"/>
      <c r="H412" s="237" t="str">
        <f>РПЗ!R412</f>
        <v>да</v>
      </c>
      <c r="I412" s="15">
        <f>РПЗ!W412</f>
        <v>0</v>
      </c>
      <c r="J412" s="233">
        <f>РПЗ!X412</f>
        <v>0</v>
      </c>
      <c r="K412" s="283">
        <f>РПЗ!Z412</f>
        <v>0</v>
      </c>
      <c r="L412" s="17"/>
      <c r="M412" s="18">
        <f>РПЗ!O412</f>
        <v>42979</v>
      </c>
      <c r="N412" s="238">
        <f>Таблица5[[#This Row],[10]]</f>
        <v>42979</v>
      </c>
      <c r="O412" s="17"/>
      <c r="P412" s="17"/>
      <c r="Q412" s="17"/>
      <c r="R412" s="17"/>
      <c r="S412" s="17"/>
      <c r="T412" s="686"/>
      <c r="U412" s="18">
        <f>РПЗ!P412</f>
        <v>43040</v>
      </c>
      <c r="V412" s="686"/>
      <c r="W412" s="236">
        <f>РПЗ!L412</f>
        <v>3299350.8</v>
      </c>
      <c r="X412" s="689"/>
      <c r="Y412" s="689"/>
      <c r="Z412" s="690"/>
      <c r="AA412" s="691"/>
      <c r="AB412" s="111"/>
      <c r="AC412" s="17"/>
      <c r="AD412" s="690"/>
      <c r="AE412" s="686"/>
      <c r="AF412" s="474"/>
      <c r="AG412" s="692"/>
      <c r="AH412" s="236" t="str">
        <f>IF(Таблица5[[#This Row],[30]]=0,"НД",Таблица5[[#This Row],[20]]-Таблица5[[#This Row],[30]])</f>
        <v>НД</v>
      </c>
      <c r="AI412" s="511" t="str">
        <f>IF(((1-Таблица5[[#This Row],[30]]/Таблица5[[#This Row],[20]])=1),"НД",(1-Таблица5[[#This Row],[30]]/Таблица5[[#This Row],[20]]))</f>
        <v>НД</v>
      </c>
      <c r="AJ412" s="111"/>
      <c r="AK412" s="111"/>
      <c r="AL412" s="512"/>
      <c r="AM412" s="513"/>
      <c r="AN412" s="465"/>
      <c r="AO412" s="468" t="str">
        <f>РПЗ!AD412</f>
        <v>Нет</v>
      </c>
      <c r="AP412" s="472" t="str">
        <f>РПЗ!V412</f>
        <v>ИВД</v>
      </c>
      <c r="AQ412" s="470">
        <f>IF(Таблица5[[#This Row],[11]]=0,,MONTH(Таблица5[[#This Row],[11]]))</f>
        <v>9</v>
      </c>
    </row>
    <row r="413" spans="1:43" ht="76.5" x14ac:dyDescent="0.25">
      <c r="A413" s="233" t="str">
        <f t="shared" si="6"/>
        <v>1004-2017-00398</v>
      </c>
      <c r="B413" s="233" t="str">
        <f>РПЗ!$D413</f>
        <v xml:space="preserve">1004-2017-00398Поставка вычислительной техники, оргтехники, сетевого оборудования, комплектующих, расходных материалов и экземпляров программного обеспечения </v>
      </c>
      <c r="C413" s="233" t="str">
        <f>РПЗ!$AA413</f>
        <v>АО "НИИ "Полюс" им. М.Ф. Стельмаха" тел. отдела закупок 8-495-333-05-02</v>
      </c>
      <c r="D413" s="633" t="str">
        <f>РПЗ!$AB413</f>
        <v>Заказчик</v>
      </c>
      <c r="E413" s="510" t="s">
        <v>62</v>
      </c>
      <c r="F413" s="233" t="str">
        <f>РПЗ!Q413</f>
        <v>ОЗК</v>
      </c>
      <c r="G413" s="237" t="s">
        <v>108</v>
      </c>
      <c r="H413" s="237" t="str">
        <f>РПЗ!R413</f>
        <v>да</v>
      </c>
      <c r="I413" s="15">
        <f>РПЗ!W413</f>
        <v>0</v>
      </c>
      <c r="J413" s="233">
        <f>РПЗ!X413</f>
        <v>0</v>
      </c>
      <c r="K413" s="283">
        <f>РПЗ!Z413</f>
        <v>0</v>
      </c>
      <c r="L413" s="17">
        <v>43082</v>
      </c>
      <c r="M413" s="18">
        <f>РПЗ!O413</f>
        <v>43070</v>
      </c>
      <c r="N413" s="238">
        <f>Таблица5[[#This Row],[10]]</f>
        <v>43070</v>
      </c>
      <c r="O413" s="17">
        <v>43088</v>
      </c>
      <c r="P413" s="17">
        <v>43094</v>
      </c>
      <c r="Q413" s="17">
        <v>43094</v>
      </c>
      <c r="R413" s="17">
        <v>43094</v>
      </c>
      <c r="S413" s="17">
        <v>43094</v>
      </c>
      <c r="T413" s="686">
        <v>43109</v>
      </c>
      <c r="U413" s="18">
        <f>РПЗ!P413</f>
        <v>43101</v>
      </c>
      <c r="V413" s="686">
        <v>43131</v>
      </c>
      <c r="W413" s="236">
        <f>РПЗ!L413</f>
        <v>2613985.5699999998</v>
      </c>
      <c r="X413" s="689">
        <v>4</v>
      </c>
      <c r="Y413" s="689">
        <v>0</v>
      </c>
      <c r="Z413" s="691">
        <v>7722781081</v>
      </c>
      <c r="AA413" s="691" t="s">
        <v>6791</v>
      </c>
      <c r="AB413" s="111">
        <v>2297501.2999999998</v>
      </c>
      <c r="AC413" s="17">
        <v>43131</v>
      </c>
      <c r="AD413" s="690" t="s">
        <v>8275</v>
      </c>
      <c r="AE413" s="686">
        <v>43109</v>
      </c>
      <c r="AF413" s="474"/>
      <c r="AG413" s="692">
        <v>2297501.2999999998</v>
      </c>
      <c r="AH413" s="236">
        <f>IF(Таблица5[[#This Row],[30]]=0,"НД",Таблица5[[#This Row],[20]]-Таблица5[[#This Row],[30]])</f>
        <v>316484.27</v>
      </c>
      <c r="AI413" s="511">
        <f>IF(((1-Таблица5[[#This Row],[30]]/Таблица5[[#This Row],[20]])=1),"НД",(1-Таблица5[[#This Row],[30]]/Таблица5[[#This Row],[20]]))</f>
        <v>0.12107345718821239</v>
      </c>
      <c r="AJ413" s="111"/>
      <c r="AK413" s="111">
        <v>2297501.2999999998</v>
      </c>
      <c r="AL413" s="512"/>
      <c r="AM413" s="513" t="s">
        <v>113</v>
      </c>
      <c r="AN413" s="801">
        <v>31705874081</v>
      </c>
      <c r="AO413" s="468" t="str">
        <f>РПЗ!AD413</f>
        <v>Нет</v>
      </c>
      <c r="AP413" s="472">
        <f>РПЗ!V413</f>
        <v>0</v>
      </c>
      <c r="AQ413" s="470">
        <f>IF(Таблица5[[#This Row],[11]]=0,,MONTH(Таблица5[[#This Row],[11]]))</f>
        <v>12</v>
      </c>
    </row>
    <row r="414" spans="1:43" ht="76.5" x14ac:dyDescent="0.25">
      <c r="A414" s="233" t="str">
        <f t="shared" si="6"/>
        <v>1004-2017-00399</v>
      </c>
      <c r="B414" s="233" t="str">
        <f>РПЗ!$D414</f>
        <v>1004-2017-00399Оказание информационных услуг с использованием экземпляров Систем Консультант Плюс, ОП Консультант Плюс: Конструктор договоров</v>
      </c>
      <c r="C414" s="233" t="str">
        <f>РПЗ!$AA414</f>
        <v>АО "НИИ "Полюс" им. М.Ф. Стельмаха" тел. отдела закупок 8-495-333-05-02</v>
      </c>
      <c r="D414" s="633" t="str">
        <f>РПЗ!$AB414</f>
        <v>ООО "РТ-ИНОФРМ"</v>
      </c>
      <c r="E414" s="510" t="s">
        <v>62</v>
      </c>
      <c r="F414" s="233" t="str">
        <f>РПЗ!Q414</f>
        <v>ОЗК</v>
      </c>
      <c r="G414" s="237" t="str">
        <f>Таблица5[[#This Row],[6]]</f>
        <v>ОЗК</v>
      </c>
      <c r="H414" s="237" t="str">
        <f>РПЗ!R414</f>
        <v>да</v>
      </c>
      <c r="I414" s="15">
        <f>РПЗ!W414</f>
        <v>0</v>
      </c>
      <c r="J414" s="233">
        <f>РПЗ!X414</f>
        <v>0</v>
      </c>
      <c r="K414" s="283">
        <f>РПЗ!Z414</f>
        <v>0</v>
      </c>
      <c r="L414" s="17">
        <v>42961</v>
      </c>
      <c r="M414" s="18">
        <f>РПЗ!O414</f>
        <v>42948</v>
      </c>
      <c r="N414" s="238">
        <f>Таблица5[[#This Row],[10]]</f>
        <v>42948</v>
      </c>
      <c r="O414" s="17">
        <v>42970</v>
      </c>
      <c r="P414" s="17">
        <v>42972</v>
      </c>
      <c r="Q414" s="17">
        <v>42972</v>
      </c>
      <c r="R414" s="17">
        <v>42975</v>
      </c>
      <c r="S414" s="17">
        <v>42975</v>
      </c>
      <c r="T414" s="686">
        <v>42989</v>
      </c>
      <c r="U414" s="18">
        <f>РПЗ!P414</f>
        <v>43008</v>
      </c>
      <c r="V414" s="686">
        <v>42978</v>
      </c>
      <c r="W414" s="236">
        <f>РПЗ!L414</f>
        <v>902652.03</v>
      </c>
      <c r="X414" s="689">
        <v>1</v>
      </c>
      <c r="Y414" s="689">
        <v>0</v>
      </c>
      <c r="Z414" s="691">
        <v>7734555626</v>
      </c>
      <c r="AA414" s="691" t="s">
        <v>7185</v>
      </c>
      <c r="AB414" s="111">
        <v>890142</v>
      </c>
      <c r="AC414" s="17">
        <v>42978</v>
      </c>
      <c r="AD414" s="690" t="s">
        <v>7184</v>
      </c>
      <c r="AE414" s="686">
        <v>42989</v>
      </c>
      <c r="AF414" s="474"/>
      <c r="AG414" s="692">
        <v>890142</v>
      </c>
      <c r="AH414" s="236">
        <f>IF(Таблица5[[#This Row],[30]]=0,"НД",Таблица5[[#This Row],[20]]-Таблица5[[#This Row],[30]])</f>
        <v>12510.030000000028</v>
      </c>
      <c r="AI414" s="511">
        <f>IF(((1-Таблица5[[#This Row],[30]]/Таблица5[[#This Row],[20]])=1),"НД",(1-Таблица5[[#This Row],[30]]/Таблица5[[#This Row],[20]]))</f>
        <v>1.3859194445062117E-2</v>
      </c>
      <c r="AJ414" s="111"/>
      <c r="AK414" s="111"/>
      <c r="AL414" s="512"/>
      <c r="AM414" s="513" t="s">
        <v>113</v>
      </c>
      <c r="AN414" s="801">
        <v>31705422653</v>
      </c>
      <c r="AO414" s="468" t="str">
        <f>РПЗ!AD414</f>
        <v>Нет</v>
      </c>
      <c r="AP414" s="472" t="str">
        <f>РПЗ!V414</f>
        <v>ИВД</v>
      </c>
      <c r="AQ414" s="470">
        <f>IF(Таблица5[[#This Row],[11]]=0,,MONTH(Таблица5[[#This Row],[11]]))</f>
        <v>8</v>
      </c>
    </row>
    <row r="415" spans="1:43" ht="39" thickBot="1" x14ac:dyDescent="0.3">
      <c r="A415" s="233" t="str">
        <f t="shared" si="6"/>
        <v>1004-2017-00400</v>
      </c>
      <c r="B415" s="233" t="str">
        <f>РПЗ!$D415</f>
        <v>1004-2017-00400Поставка расходных материалов для печатающей оргтехники</v>
      </c>
      <c r="C415" s="233" t="str">
        <f>РПЗ!$AA415</f>
        <v>АО "НИИ "Полюс" им. М.Ф. Стельмаха" тел. отдела закупок 8-495-333-05-02</v>
      </c>
      <c r="D415" s="633" t="str">
        <f>РПЗ!$AB415</f>
        <v>Заказчик</v>
      </c>
      <c r="E415" s="510" t="s">
        <v>62</v>
      </c>
      <c r="F415" s="233" t="str">
        <f>РПЗ!Q415</f>
        <v>ОЗК</v>
      </c>
      <c r="G415" s="237" t="str">
        <f>Таблица5[[#This Row],[6]]</f>
        <v>ОЗК</v>
      </c>
      <c r="H415" s="237" t="str">
        <f>РПЗ!R415</f>
        <v>да</v>
      </c>
      <c r="I415" s="15">
        <f>РПЗ!W415</f>
        <v>0</v>
      </c>
      <c r="J415" s="233">
        <f>РПЗ!X415</f>
        <v>0</v>
      </c>
      <c r="K415" s="283">
        <f>РПЗ!Z415</f>
        <v>0</v>
      </c>
      <c r="L415" s="17"/>
      <c r="M415" s="18">
        <f>РПЗ!O415</f>
        <v>42787.5</v>
      </c>
      <c r="N415" s="238">
        <f>Таблица5[[#This Row],[10]]</f>
        <v>42787.5</v>
      </c>
      <c r="O415" s="819" t="s">
        <v>3265</v>
      </c>
      <c r="P415" s="819" t="s">
        <v>3266</v>
      </c>
      <c r="Q415" s="819" t="s">
        <v>3266</v>
      </c>
      <c r="R415" s="819" t="s">
        <v>3266</v>
      </c>
      <c r="S415" s="819" t="s">
        <v>3266</v>
      </c>
      <c r="T415" s="808" t="s">
        <v>3267</v>
      </c>
      <c r="U415" s="18">
        <f>РПЗ!P415</f>
        <v>43190.5</v>
      </c>
      <c r="V415" s="760">
        <v>43070</v>
      </c>
      <c r="W415" s="236">
        <f>РПЗ!L415</f>
        <v>877684.6</v>
      </c>
      <c r="X415" s="689">
        <v>7</v>
      </c>
      <c r="Y415" s="689">
        <v>4</v>
      </c>
      <c r="Z415" s="1055">
        <v>7806513385</v>
      </c>
      <c r="AA415" s="810" t="s">
        <v>3268</v>
      </c>
      <c r="AB415" s="701">
        <v>479000</v>
      </c>
      <c r="AC415" s="809">
        <v>43070</v>
      </c>
      <c r="AD415" s="810" t="s">
        <v>3269</v>
      </c>
      <c r="AE415" s="694" t="s">
        <v>3267</v>
      </c>
      <c r="AF415" s="474"/>
      <c r="AG415" s="827">
        <v>479000</v>
      </c>
      <c r="AH415" s="236">
        <f>IF(Таблица5[[#This Row],[30]]=0,"НД",Таблица5[[#This Row],[20]]-Таблица5[[#This Row],[30]])</f>
        <v>398684.6</v>
      </c>
      <c r="AI415" s="511">
        <f>IF(((1-Таблица5[[#This Row],[30]]/Таблица5[[#This Row],[20]])=1),"НД",(1-Таблица5[[#This Row],[30]]/Таблица5[[#This Row],[20]]))</f>
        <v>0.45424586463064298</v>
      </c>
      <c r="AJ415" s="111">
        <v>479000</v>
      </c>
      <c r="AK415" s="111"/>
      <c r="AL415" s="512"/>
      <c r="AM415" s="788" t="s">
        <v>113</v>
      </c>
      <c r="AN415" s="801">
        <v>31704829532</v>
      </c>
      <c r="AO415" s="468" t="str">
        <f>РПЗ!AD415</f>
        <v>Нет</v>
      </c>
      <c r="AP415" s="472">
        <f>РПЗ!V415</f>
        <v>0</v>
      </c>
      <c r="AQ415" s="470">
        <f>IF(Таблица5[[#This Row],[11]]=0,,MONTH(Таблица5[[#This Row],[11]]))</f>
        <v>2</v>
      </c>
    </row>
    <row r="416" spans="1:43" ht="77.25" thickBot="1" x14ac:dyDescent="0.3">
      <c r="A416" s="233" t="str">
        <f t="shared" si="6"/>
        <v>1004-2017-00401</v>
      </c>
      <c r="B416" s="233" t="str">
        <f>РПЗ!$D416</f>
        <v>1004-2017-00401Предоставление (передача) на  условиях простой (неисключительной) лицензии Права на использование Стандартной версии программного обеспечения Falcongaze SecureTore</v>
      </c>
      <c r="C416" s="233" t="str">
        <f>РПЗ!$AA416</f>
        <v>АО "НИИ "Полюс" им. М.Ф. Стельмаха" тел. отдела закупок 8-495-333-05-02</v>
      </c>
      <c r="D416" s="633" t="str">
        <f>РПЗ!$AB416</f>
        <v>ЗаказчикООО "РТ-ИНОФРМ"</v>
      </c>
      <c r="E416" s="96" t="s">
        <v>60</v>
      </c>
      <c r="F416" s="233" t="str">
        <f>РПЗ!Q416</f>
        <v>ОЗК</v>
      </c>
      <c r="G416" s="237" t="str">
        <f>Таблица5[[#This Row],[6]]</f>
        <v>ОЗК</v>
      </c>
      <c r="H416" s="237" t="str">
        <f>РПЗ!R416</f>
        <v>да</v>
      </c>
      <c r="I416" s="15">
        <f>РПЗ!W416</f>
        <v>0</v>
      </c>
      <c r="J416" s="233">
        <f>РПЗ!X416</f>
        <v>0</v>
      </c>
      <c r="K416" s="283">
        <f>РПЗ!Z416</f>
        <v>0</v>
      </c>
      <c r="L416" s="17"/>
      <c r="M416" s="18">
        <f>РПЗ!O416</f>
        <v>42795.5</v>
      </c>
      <c r="N416" s="238">
        <f>Таблица5[[#This Row],[10]]</f>
        <v>42795.5</v>
      </c>
      <c r="O416" s="17"/>
      <c r="P416" s="17"/>
      <c r="Q416" s="17"/>
      <c r="R416" s="17"/>
      <c r="S416" s="17"/>
      <c r="T416" s="686"/>
      <c r="U416" s="18">
        <f>РПЗ!P416</f>
        <v>42886.5</v>
      </c>
      <c r="V416" s="686"/>
      <c r="W416" s="236">
        <f>РПЗ!L416</f>
        <v>110000</v>
      </c>
      <c r="X416" s="689"/>
      <c r="Y416" s="689"/>
      <c r="Z416" s="690"/>
      <c r="AA416" s="691"/>
      <c r="AB416" s="111"/>
      <c r="AC416" s="17"/>
      <c r="AD416" s="690"/>
      <c r="AE416" s="686"/>
      <c r="AF416" s="474"/>
      <c r="AG416" s="692"/>
      <c r="AH416" s="236" t="str">
        <f>IF(Таблица5[[#This Row],[30]]=0,"НД",Таблица5[[#This Row],[20]]-Таблица5[[#This Row],[30]])</f>
        <v>НД</v>
      </c>
      <c r="AI416" s="511" t="str">
        <f>IF(((1-Таблица5[[#This Row],[30]]/Таблица5[[#This Row],[20]])=1),"НД",(1-Таблица5[[#This Row],[30]]/Таблица5[[#This Row],[20]]))</f>
        <v>НД</v>
      </c>
      <c r="AJ416" s="111"/>
      <c r="AK416" s="111"/>
      <c r="AL416" s="512"/>
      <c r="AM416" s="513"/>
      <c r="AN416" s="465"/>
      <c r="AO416" s="468" t="str">
        <f>РПЗ!AD416</f>
        <v>Нет</v>
      </c>
      <c r="AP416" s="472" t="str">
        <f>РПЗ!V416</f>
        <v>ИВД</v>
      </c>
      <c r="AQ416" s="470">
        <f>IF(Таблица5[[#This Row],[11]]=0,,MONTH(Таблица5[[#This Row],[11]]))</f>
        <v>3</v>
      </c>
    </row>
    <row r="417" spans="1:43" ht="102.75" thickBot="1" x14ac:dyDescent="0.3">
      <c r="A417" s="233" t="str">
        <f t="shared" si="6"/>
        <v>1004-2017-00402</v>
      </c>
      <c r="B417" s="233" t="str">
        <f>РПЗ!$D417</f>
        <v>1004-2017-00402Доработка функциональности и техническое обслуживание программно-информационного комплекса системы автоматизированного учета на базе продукта "1С: Управление производственным предприятием 8, ред.1.3."</v>
      </c>
      <c r="C417" s="233" t="str">
        <f>РПЗ!$AA417</f>
        <v>АО "НИИ "Полюс" им. М.Ф. Стельмаха" тел. отдела закупок 8-495-333-05-02</v>
      </c>
      <c r="D417" s="633" t="str">
        <f>РПЗ!$AB417</f>
        <v>Заказчик</v>
      </c>
      <c r="E417" s="96" t="s">
        <v>60</v>
      </c>
      <c r="F417" s="233" t="str">
        <f>РПЗ!Q417</f>
        <v>ОЗК</v>
      </c>
      <c r="G417" s="237" t="str">
        <f>Таблица5[[#This Row],[6]]</f>
        <v>ОЗК</v>
      </c>
      <c r="H417" s="237" t="str">
        <f>РПЗ!R417</f>
        <v>да</v>
      </c>
      <c r="I417" s="15">
        <f>РПЗ!W417</f>
        <v>0</v>
      </c>
      <c r="J417" s="233">
        <f>РПЗ!X417</f>
        <v>0</v>
      </c>
      <c r="K417" s="283">
        <f>РПЗ!Z417</f>
        <v>0</v>
      </c>
      <c r="L417" s="17">
        <v>42914</v>
      </c>
      <c r="M417" s="18">
        <f>РПЗ!O417</f>
        <v>42887.5</v>
      </c>
      <c r="N417" s="238">
        <f>Таблица5[[#This Row],[10]]</f>
        <v>42887.5</v>
      </c>
      <c r="O417" s="17">
        <v>42921</v>
      </c>
      <c r="P417" s="17">
        <v>42926</v>
      </c>
      <c r="Q417" s="17">
        <v>42926</v>
      </c>
      <c r="R417" s="17">
        <v>42922</v>
      </c>
      <c r="S417" s="17">
        <v>42922</v>
      </c>
      <c r="T417" s="686"/>
      <c r="U417" s="18">
        <f>РПЗ!P417</f>
        <v>43159.5</v>
      </c>
      <c r="V417" s="686"/>
      <c r="W417" s="236">
        <f>РПЗ!L417</f>
        <v>3300000</v>
      </c>
      <c r="X417" s="689">
        <v>2</v>
      </c>
      <c r="Y417" s="689">
        <v>0</v>
      </c>
      <c r="Z417" s="690"/>
      <c r="AA417" s="691"/>
      <c r="AB417" s="111"/>
      <c r="AC417" s="17"/>
      <c r="AD417" s="690"/>
      <c r="AE417" s="686"/>
      <c r="AF417" s="474"/>
      <c r="AG417" s="692"/>
      <c r="AH417" s="236" t="str">
        <f>IF(Таблица5[[#This Row],[30]]=0,"НД",Таблица5[[#This Row],[20]]-Таблица5[[#This Row],[30]])</f>
        <v>НД</v>
      </c>
      <c r="AI417" s="511" t="str">
        <f>IF(((1-Таблица5[[#This Row],[30]]/Таблица5[[#This Row],[20]])=1),"НД",(1-Таблица5[[#This Row],[30]]/Таблица5[[#This Row],[20]]))</f>
        <v>НД</v>
      </c>
      <c r="AJ417" s="111"/>
      <c r="AK417" s="111"/>
      <c r="AL417" s="512"/>
      <c r="AM417" s="513" t="s">
        <v>113</v>
      </c>
      <c r="AN417" s="801">
        <v>31705266552</v>
      </c>
      <c r="AO417" s="468" t="str">
        <f>РПЗ!AD417</f>
        <v>Нет</v>
      </c>
      <c r="AP417" s="472">
        <f>РПЗ!V417</f>
        <v>0</v>
      </c>
      <c r="AQ417" s="470">
        <f>IF(Таблица5[[#This Row],[11]]=0,,MONTH(Таблица5[[#This Row],[11]]))</f>
        <v>6</v>
      </c>
    </row>
    <row r="418" spans="1:43" ht="51.75" thickBot="1" x14ac:dyDescent="0.3">
      <c r="A418" s="233" t="str">
        <f t="shared" si="6"/>
        <v>1004-2017-00403</v>
      </c>
      <c r="B418" s="233" t="str">
        <f>РПЗ!$D418</f>
        <v>1004-2017-00403Поставка программных продуктов систем автоматизированного проектирования (САПР)</v>
      </c>
      <c r="C418" s="233" t="str">
        <f>РПЗ!$AA418</f>
        <v>АО "НИИ "Полюс" им. М.Ф. Стельмаха" тел. отдела закупок 8-495-333-05-02</v>
      </c>
      <c r="D418" s="633" t="str">
        <f>РПЗ!$AB418</f>
        <v>Заказчик</v>
      </c>
      <c r="E418" s="96" t="s">
        <v>46</v>
      </c>
      <c r="F418" s="233" t="str">
        <f>РПЗ!Q418</f>
        <v>ОЗК</v>
      </c>
      <c r="G418" s="237"/>
      <c r="H418" s="237" t="str">
        <f>РПЗ!R418</f>
        <v>да</v>
      </c>
      <c r="I418" s="15">
        <f>РПЗ!W418</f>
        <v>0</v>
      </c>
      <c r="J418" s="233">
        <f>РПЗ!X418</f>
        <v>0</v>
      </c>
      <c r="K418" s="283">
        <f>РПЗ!Z418</f>
        <v>0</v>
      </c>
      <c r="L418" s="17"/>
      <c r="M418" s="18">
        <f>РПЗ!O418</f>
        <v>42795.5</v>
      </c>
      <c r="N418" s="238">
        <f>Таблица5[[#This Row],[10]]</f>
        <v>42795.5</v>
      </c>
      <c r="O418" s="17"/>
      <c r="P418" s="17"/>
      <c r="Q418" s="17"/>
      <c r="R418" s="17"/>
      <c r="S418" s="17"/>
      <c r="T418" s="686"/>
      <c r="U418" s="18">
        <f>РПЗ!P418</f>
        <v>42886.5</v>
      </c>
      <c r="V418" s="686"/>
      <c r="W418" s="236">
        <f>РПЗ!L418</f>
        <v>590000</v>
      </c>
      <c r="X418" s="689"/>
      <c r="Y418" s="689"/>
      <c r="Z418" s="690"/>
      <c r="AA418" s="691"/>
      <c r="AB418" s="111"/>
      <c r="AC418" s="17"/>
      <c r="AD418" s="690"/>
      <c r="AE418" s="686"/>
      <c r="AF418" s="474"/>
      <c r="AG418" s="692"/>
      <c r="AH418" s="236" t="str">
        <f>IF(Таблица5[[#This Row],[30]]=0,"НД",Таблица5[[#This Row],[20]]-Таблица5[[#This Row],[30]])</f>
        <v>НД</v>
      </c>
      <c r="AI418" s="511" t="str">
        <f>IF(((1-Таблица5[[#This Row],[30]]/Таблица5[[#This Row],[20]])=1),"НД",(1-Таблица5[[#This Row],[30]]/Таблица5[[#This Row],[20]]))</f>
        <v>НД</v>
      </c>
      <c r="AJ418" s="111"/>
      <c r="AK418" s="111"/>
      <c r="AL418" s="512"/>
      <c r="AM418" s="513"/>
      <c r="AN418" s="465"/>
      <c r="AO418" s="468" t="str">
        <f>РПЗ!AD418</f>
        <v>Нет</v>
      </c>
      <c r="AP418" s="472">
        <f>РПЗ!V418</f>
        <v>0</v>
      </c>
      <c r="AQ418" s="470">
        <f>IF(Таблица5[[#This Row],[11]]=0,,MONTH(Таблица5[[#This Row],[11]]))</f>
        <v>3</v>
      </c>
    </row>
    <row r="419" spans="1:43" ht="51.75" thickBot="1" x14ac:dyDescent="0.3">
      <c r="A419" s="233" t="str">
        <f t="shared" si="6"/>
        <v>1004-2017-00404</v>
      </c>
      <c r="B419" s="233" t="str">
        <f>РПЗ!$D419</f>
        <v>1004-2017-00404Поставка программных продуктов систем автоматизированного проектирования (САПР)</v>
      </c>
      <c r="C419" s="233" t="str">
        <f>РПЗ!$AA419</f>
        <v>АО "НИИ "Полюс" им. М.Ф. Стельмаха" тел. отдела закупок 8-495-333-05-02</v>
      </c>
      <c r="D419" s="633" t="str">
        <f>РПЗ!$AB419</f>
        <v>Заказчик</v>
      </c>
      <c r="E419" s="96" t="s">
        <v>46</v>
      </c>
      <c r="F419" s="233" t="str">
        <f>РПЗ!Q419</f>
        <v>ОЗК</v>
      </c>
      <c r="G419" s="237"/>
      <c r="H419" s="237" t="str">
        <f>РПЗ!R419</f>
        <v>да</v>
      </c>
      <c r="I419" s="15">
        <f>РПЗ!W419</f>
        <v>0</v>
      </c>
      <c r="J419" s="233">
        <f>РПЗ!X419</f>
        <v>0</v>
      </c>
      <c r="K419" s="283">
        <f>РПЗ!Z419</f>
        <v>0</v>
      </c>
      <c r="L419" s="17"/>
      <c r="M419" s="18">
        <f>РПЗ!O419</f>
        <v>42856.5</v>
      </c>
      <c r="N419" s="238">
        <f>Таблица5[[#This Row],[10]]</f>
        <v>42856.5</v>
      </c>
      <c r="O419" s="17"/>
      <c r="P419" s="17"/>
      <c r="Q419" s="17"/>
      <c r="R419" s="17"/>
      <c r="S419" s="17"/>
      <c r="T419" s="686"/>
      <c r="U419" s="18">
        <f>РПЗ!P419</f>
        <v>42947.5</v>
      </c>
      <c r="V419" s="686"/>
      <c r="W419" s="236">
        <f>РПЗ!L419</f>
        <v>590000</v>
      </c>
      <c r="X419" s="689"/>
      <c r="Y419" s="689"/>
      <c r="Z419" s="690"/>
      <c r="AA419" s="691"/>
      <c r="AB419" s="111"/>
      <c r="AC419" s="17"/>
      <c r="AD419" s="690"/>
      <c r="AE419" s="686"/>
      <c r="AF419" s="474"/>
      <c r="AG419" s="692"/>
      <c r="AH419" s="236" t="str">
        <f>IF(Таблица5[[#This Row],[30]]=0,"НД",Таблица5[[#This Row],[20]]-Таблица5[[#This Row],[30]])</f>
        <v>НД</v>
      </c>
      <c r="AI419" s="511" t="str">
        <f>IF(((1-Таблица5[[#This Row],[30]]/Таблица5[[#This Row],[20]])=1),"НД",(1-Таблица5[[#This Row],[30]]/Таблица5[[#This Row],[20]]))</f>
        <v>НД</v>
      </c>
      <c r="AJ419" s="111"/>
      <c r="AK419" s="111"/>
      <c r="AL419" s="512"/>
      <c r="AM419" s="513"/>
      <c r="AN419" s="465"/>
      <c r="AO419" s="468" t="str">
        <f>РПЗ!AD419</f>
        <v>Нет</v>
      </c>
      <c r="AP419" s="472">
        <f>РПЗ!V419</f>
        <v>0</v>
      </c>
      <c r="AQ419" s="470">
        <f>IF(Таблица5[[#This Row],[11]]=0,,MONTH(Таблица5[[#This Row],[11]]))</f>
        <v>5</v>
      </c>
    </row>
    <row r="420" spans="1:43" ht="51" x14ac:dyDescent="0.25">
      <c r="A420" s="233" t="str">
        <f t="shared" si="6"/>
        <v>1004-2017-00405</v>
      </c>
      <c r="B420" s="233" t="str">
        <f>РПЗ!$D420</f>
        <v>1004-2017-00405Поставка программных продуктов систем автоматизированного проектирования (САПР)</v>
      </c>
      <c r="C420" s="233" t="str">
        <f>РПЗ!$AA420</f>
        <v>АО "НИИ "Полюс" им. М.Ф. Стельмаха" тел. отдела закупок 8-495-333-05-02</v>
      </c>
      <c r="D420" s="633" t="str">
        <f>РПЗ!$AB420</f>
        <v>ООО "РТ-ИНОФРМ"</v>
      </c>
      <c r="E420" s="96" t="s">
        <v>60</v>
      </c>
      <c r="F420" s="233" t="str">
        <f>РПЗ!Q420</f>
        <v>ОЗК</v>
      </c>
      <c r="G420" s="237"/>
      <c r="H420" s="237" t="str">
        <f>РПЗ!R420</f>
        <v>да</v>
      </c>
      <c r="I420" s="15">
        <f>РПЗ!W420</f>
        <v>0</v>
      </c>
      <c r="J420" s="233">
        <f>РПЗ!X420</f>
        <v>0</v>
      </c>
      <c r="K420" s="283">
        <f>РПЗ!Z420</f>
        <v>0</v>
      </c>
      <c r="L420" s="17"/>
      <c r="M420" s="18">
        <f>РПЗ!O420</f>
        <v>42948.5</v>
      </c>
      <c r="N420" s="238">
        <f>Таблица5[[#This Row],[10]]</f>
        <v>42948.5</v>
      </c>
      <c r="O420" s="17"/>
      <c r="P420" s="17"/>
      <c r="Q420" s="17"/>
      <c r="R420" s="17"/>
      <c r="S420" s="17"/>
      <c r="T420" s="686"/>
      <c r="U420" s="18">
        <f>РПЗ!P420</f>
        <v>43039.5</v>
      </c>
      <c r="V420" s="686"/>
      <c r="W420" s="236">
        <f>РПЗ!L420</f>
        <v>590000</v>
      </c>
      <c r="X420" s="689"/>
      <c r="Y420" s="689"/>
      <c r="Z420" s="690"/>
      <c r="AA420" s="691"/>
      <c r="AB420" s="111"/>
      <c r="AC420" s="17"/>
      <c r="AD420" s="690"/>
      <c r="AE420" s="686"/>
      <c r="AF420" s="474"/>
      <c r="AG420" s="692"/>
      <c r="AH420" s="236" t="str">
        <f>IF(Таблица5[[#This Row],[30]]=0,"НД",Таблица5[[#This Row],[20]]-Таблица5[[#This Row],[30]])</f>
        <v>НД</v>
      </c>
      <c r="AI420" s="511" t="str">
        <f>IF(((1-Таблица5[[#This Row],[30]]/Таблица5[[#This Row],[20]])=1),"НД",(1-Таблица5[[#This Row],[30]]/Таблица5[[#This Row],[20]]))</f>
        <v>НД</v>
      </c>
      <c r="AJ420" s="111"/>
      <c r="AK420" s="111"/>
      <c r="AL420" s="512"/>
      <c r="AM420" s="513"/>
      <c r="AN420" s="465"/>
      <c r="AO420" s="468" t="str">
        <f>РПЗ!AD420</f>
        <v>Нет</v>
      </c>
      <c r="AP420" s="472" t="str">
        <f>РПЗ!V420</f>
        <v>ИВД</v>
      </c>
      <c r="AQ420" s="470">
        <f>IF(Таблица5[[#This Row],[11]]=0,,MONTH(Таблица5[[#This Row],[11]]))</f>
        <v>8</v>
      </c>
    </row>
    <row r="421" spans="1:43" ht="39" thickBot="1" x14ac:dyDescent="0.3">
      <c r="A421" s="233" t="str">
        <f t="shared" si="6"/>
        <v>1004-2017-00406</v>
      </c>
      <c r="B421" s="233" t="str">
        <f>РПЗ!$D421</f>
        <v>1004-2017-00406Поставка серверного оборудования</v>
      </c>
      <c r="C421" s="233" t="str">
        <f>РПЗ!$AA421</f>
        <v>АО "НИИ "Полюс" им. М.Ф. Стельмаха" тел. отдела закупок 8-495-333-05-02</v>
      </c>
      <c r="D421" s="633" t="str">
        <f>РПЗ!$AB421</f>
        <v>Заказчик</v>
      </c>
      <c r="E421" s="510" t="s">
        <v>52</v>
      </c>
      <c r="F421" s="233" t="str">
        <f>РПЗ!Q421</f>
        <v>ОЗК</v>
      </c>
      <c r="G421" s="237" t="s">
        <v>108</v>
      </c>
      <c r="H421" s="237" t="str">
        <f>РПЗ!R421</f>
        <v>да</v>
      </c>
      <c r="I421" s="15">
        <f>РПЗ!W421</f>
        <v>0</v>
      </c>
      <c r="J421" s="233">
        <f>РПЗ!X421</f>
        <v>0</v>
      </c>
      <c r="K421" s="283">
        <f>РПЗ!Z421</f>
        <v>0</v>
      </c>
      <c r="L421" s="17">
        <v>43082</v>
      </c>
      <c r="M421" s="18">
        <f>РПЗ!O421</f>
        <v>43070</v>
      </c>
      <c r="N421" s="238">
        <f>Таблица5[[#This Row],[10]]</f>
        <v>43070</v>
      </c>
      <c r="O421" s="17">
        <v>43088</v>
      </c>
      <c r="P421" s="17">
        <v>43094</v>
      </c>
      <c r="Q421" s="17">
        <v>43094</v>
      </c>
      <c r="R421" s="17">
        <v>43094</v>
      </c>
      <c r="S421" s="17">
        <v>43094</v>
      </c>
      <c r="T421" s="686"/>
      <c r="U421" s="18">
        <f>РПЗ!P421</f>
        <v>43160</v>
      </c>
      <c r="V421" s="686"/>
      <c r="W421" s="236">
        <f>РПЗ!L421</f>
        <v>1109165.8600000001</v>
      </c>
      <c r="X421" s="689">
        <v>9</v>
      </c>
      <c r="Y421" s="689">
        <v>0</v>
      </c>
      <c r="Z421" s="691">
        <v>1658001781</v>
      </c>
      <c r="AA421" s="691" t="s">
        <v>8276</v>
      </c>
      <c r="AB421" s="111">
        <v>822726.68</v>
      </c>
      <c r="AC421" s="17"/>
      <c r="AD421" s="690"/>
      <c r="AE421" s="686"/>
      <c r="AF421" s="474"/>
      <c r="AG421" s="692">
        <v>822726.68</v>
      </c>
      <c r="AH421" s="236">
        <f>IF(Таблица5[[#This Row],[30]]=0,"НД",Таблица5[[#This Row],[20]]-Таблица5[[#This Row],[30]])</f>
        <v>286439.18000000005</v>
      </c>
      <c r="AI421" s="511">
        <f>IF(((1-Таблица5[[#This Row],[30]]/Таблица5[[#This Row],[20]])=1),"НД",(1-Таблица5[[#This Row],[30]]/Таблица5[[#This Row],[20]]))</f>
        <v>0.25824738240681155</v>
      </c>
      <c r="AJ421" s="111">
        <v>822726.68</v>
      </c>
      <c r="AK421" s="111"/>
      <c r="AL421" s="512"/>
      <c r="AM421" s="513"/>
      <c r="AN421" s="801">
        <v>31705874056</v>
      </c>
      <c r="AO421" s="468" t="str">
        <f>РПЗ!AD421</f>
        <v>Нет</v>
      </c>
      <c r="AP421" s="472">
        <f>РПЗ!V421</f>
        <v>0</v>
      </c>
      <c r="AQ421" s="470">
        <f>IF(Таблица5[[#This Row],[11]]=0,,MONTH(Таблица5[[#This Row],[11]]))</f>
        <v>12</v>
      </c>
    </row>
    <row r="422" spans="1:43" ht="51" x14ac:dyDescent="0.25">
      <c r="A422" s="233" t="str">
        <f t="shared" si="6"/>
        <v>1004-2017-00407</v>
      </c>
      <c r="B422" s="233" t="str">
        <f>РПЗ!$D422</f>
        <v>1004-2017-00407Поставка программного обечспечения справочно-нормативной системы "NormaCS"</v>
      </c>
      <c r="C422" s="233" t="str">
        <f>РПЗ!$AA422</f>
        <v>АО "НИИ "Полюс" им. М.Ф. Стельмаха" тел. отдела закупок 8-495-333-05-02</v>
      </c>
      <c r="D422" s="633" t="str">
        <f>РПЗ!$AB422</f>
        <v>Заказчик</v>
      </c>
      <c r="E422" s="96" t="s">
        <v>46</v>
      </c>
      <c r="F422" s="233" t="str">
        <f>РПЗ!Q422</f>
        <v>ОЗК</v>
      </c>
      <c r="G422" s="237"/>
      <c r="H422" s="237" t="str">
        <f>РПЗ!R422</f>
        <v>да</v>
      </c>
      <c r="I422" s="15">
        <f>РПЗ!W422</f>
        <v>0</v>
      </c>
      <c r="J422" s="233">
        <f>РПЗ!X422</f>
        <v>0</v>
      </c>
      <c r="K422" s="283">
        <f>РПЗ!Z422</f>
        <v>0</v>
      </c>
      <c r="L422" s="17"/>
      <c r="M422" s="18">
        <f>РПЗ!O422</f>
        <v>42887.5</v>
      </c>
      <c r="N422" s="238">
        <f>Таблица5[[#This Row],[10]]</f>
        <v>42887.5</v>
      </c>
      <c r="O422" s="17"/>
      <c r="P422" s="17"/>
      <c r="Q422" s="17"/>
      <c r="R422" s="17"/>
      <c r="S422" s="17"/>
      <c r="T422" s="686"/>
      <c r="U422" s="18">
        <f>РПЗ!P422</f>
        <v>42978.5</v>
      </c>
      <c r="V422" s="686"/>
      <c r="W422" s="236">
        <f>РПЗ!L422</f>
        <v>686000</v>
      </c>
      <c r="X422" s="689"/>
      <c r="Y422" s="689"/>
      <c r="Z422" s="690"/>
      <c r="AA422" s="691"/>
      <c r="AB422" s="111"/>
      <c r="AC422" s="17"/>
      <c r="AD422" s="690"/>
      <c r="AE422" s="686"/>
      <c r="AF422" s="474"/>
      <c r="AG422" s="692"/>
      <c r="AH422" s="236" t="str">
        <f>IF(Таблица5[[#This Row],[30]]=0,"НД",Таблица5[[#This Row],[20]]-Таблица5[[#This Row],[30]])</f>
        <v>НД</v>
      </c>
      <c r="AI422" s="511" t="str">
        <f>IF(((1-Таблица5[[#This Row],[30]]/Таблица5[[#This Row],[20]])=1),"НД",(1-Таблица5[[#This Row],[30]]/Таблица5[[#This Row],[20]]))</f>
        <v>НД</v>
      </c>
      <c r="AJ422" s="111"/>
      <c r="AK422" s="111"/>
      <c r="AL422" s="512"/>
      <c r="AM422" s="513"/>
      <c r="AN422" s="465"/>
      <c r="AO422" s="468" t="str">
        <f>РПЗ!AD422</f>
        <v>Нет</v>
      </c>
      <c r="AP422" s="472">
        <f>РПЗ!V422</f>
        <v>0</v>
      </c>
      <c r="AQ422" s="470">
        <f>IF(Таблица5[[#This Row],[11]]=0,,MONTH(Таблица5[[#This Row],[11]]))</f>
        <v>6</v>
      </c>
    </row>
    <row r="423" spans="1:43" ht="90" thickBot="1" x14ac:dyDescent="0.3">
      <c r="A423" s="233" t="str">
        <f t="shared" si="6"/>
        <v>1004-2017-00408</v>
      </c>
      <c r="B423" s="233" t="str">
        <f>РПЗ!$D423</f>
        <v>1004-2017-00408Поставка оборудования для сканирования и передачи прав на использование программного обеспечения для управления информационным ресурсом на условиях простой (неисключительной) лицензии</v>
      </c>
      <c r="C423" s="233" t="str">
        <f>РПЗ!$AA423</f>
        <v>АО "НИИ "Полюс" им. М.Ф. Стельмаха" тел. отдела закупок 8-495-333-05-02</v>
      </c>
      <c r="D423" s="633" t="str">
        <f>РПЗ!$AB423</f>
        <v>Заказчик</v>
      </c>
      <c r="E423" s="510" t="s">
        <v>62</v>
      </c>
      <c r="F423" s="233" t="str">
        <f>РПЗ!Q423</f>
        <v>ОЗК</v>
      </c>
      <c r="G423" s="237" t="s">
        <v>108</v>
      </c>
      <c r="H423" s="237" t="str">
        <f>РПЗ!R423</f>
        <v>да</v>
      </c>
      <c r="I423" s="15">
        <f>РПЗ!W423</f>
        <v>0</v>
      </c>
      <c r="J423" s="233">
        <f>РПЗ!X423</f>
        <v>0</v>
      </c>
      <c r="K423" s="283">
        <f>РПЗ!Z423</f>
        <v>0</v>
      </c>
      <c r="L423" s="17">
        <v>43082</v>
      </c>
      <c r="M423" s="18">
        <f>РПЗ!O423</f>
        <v>43070</v>
      </c>
      <c r="N423" s="238">
        <f>Таблица5[[#This Row],[10]]</f>
        <v>43070</v>
      </c>
      <c r="O423" s="17">
        <v>43088</v>
      </c>
      <c r="P423" s="17">
        <v>43094</v>
      </c>
      <c r="Q423" s="17">
        <v>43094</v>
      </c>
      <c r="R423" s="17">
        <v>43094</v>
      </c>
      <c r="S423" s="17">
        <v>43094</v>
      </c>
      <c r="T423" s="686">
        <v>43109</v>
      </c>
      <c r="U423" s="18">
        <f>РПЗ!P423</f>
        <v>43132</v>
      </c>
      <c r="V423" s="686">
        <v>43136</v>
      </c>
      <c r="W423" s="236">
        <f>РПЗ!L423</f>
        <v>1164874.5</v>
      </c>
      <c r="X423" s="689">
        <v>1</v>
      </c>
      <c r="Y423" s="689">
        <v>0</v>
      </c>
      <c r="Z423" s="691">
        <v>7735545525</v>
      </c>
      <c r="AA423" s="691" t="s">
        <v>8278</v>
      </c>
      <c r="AB423" s="111">
        <v>1164874.5</v>
      </c>
      <c r="AC423" s="17">
        <v>43136</v>
      </c>
      <c r="AD423" s="690" t="s">
        <v>8277</v>
      </c>
      <c r="AE423" s="686">
        <v>43109</v>
      </c>
      <c r="AF423" s="474"/>
      <c r="AG423" s="692">
        <v>1164874.5</v>
      </c>
      <c r="AH423" s="236">
        <f>IF(Таблица5[[#This Row],[30]]=0,"НД",Таблица5[[#This Row],[20]]-Таблица5[[#This Row],[30]])</f>
        <v>0</v>
      </c>
      <c r="AI423" s="511">
        <f>IF(((1-Таблица5[[#This Row],[30]]/Таблица5[[#This Row],[20]])=1),"НД",(1-Таблица5[[#This Row],[30]]/Таблица5[[#This Row],[20]]))</f>
        <v>0</v>
      </c>
      <c r="AJ423" s="111">
        <v>1164874.5</v>
      </c>
      <c r="AK423" s="111"/>
      <c r="AL423" s="512"/>
      <c r="AM423" s="513" t="s">
        <v>113</v>
      </c>
      <c r="AN423" s="801">
        <v>31705874192</v>
      </c>
      <c r="AO423" s="468" t="str">
        <f>РПЗ!AD423</f>
        <v>Нет</v>
      </c>
      <c r="AP423" s="472">
        <f>РПЗ!V423</f>
        <v>0</v>
      </c>
      <c r="AQ423" s="470">
        <f>IF(Таблица5[[#This Row],[11]]=0,,MONTH(Таблица5[[#This Row],[11]]))</f>
        <v>12</v>
      </c>
    </row>
    <row r="424" spans="1:43" ht="39" thickBot="1" x14ac:dyDescent="0.3">
      <c r="A424" s="233" t="str">
        <f t="shared" si="6"/>
        <v>1004-2017-00409</v>
      </c>
      <c r="B424" s="233" t="str">
        <f>РПЗ!$D424</f>
        <v>1004-2017-00409PR обслуживание в рамках работы единого пресс-центра</v>
      </c>
      <c r="C424" s="233" t="str">
        <f>РПЗ!$AA424</f>
        <v>АО "НИИ "Полюс" им. М.Ф. Стельмаха" тел. отдела закупок 8-495-333-05-02</v>
      </c>
      <c r="D424" s="633" t="str">
        <f>РПЗ!$AB424</f>
        <v>Заказчик</v>
      </c>
      <c r="E424" s="96" t="s">
        <v>46</v>
      </c>
      <c r="F424" s="233" t="str">
        <f>РПЗ!Q424</f>
        <v>ОЗК</v>
      </c>
      <c r="G424" s="237"/>
      <c r="H424" s="237" t="str">
        <f>РПЗ!R424</f>
        <v>да</v>
      </c>
      <c r="I424" s="15">
        <f>РПЗ!W424</f>
        <v>0</v>
      </c>
      <c r="J424" s="233">
        <f>РПЗ!X424</f>
        <v>0</v>
      </c>
      <c r="K424" s="283">
        <f>РПЗ!Z424</f>
        <v>0</v>
      </c>
      <c r="L424" s="17"/>
      <c r="M424" s="18">
        <f>РПЗ!O424</f>
        <v>42736.5</v>
      </c>
      <c r="N424" s="238">
        <f>Таблица5[[#This Row],[10]]</f>
        <v>42736.5</v>
      </c>
      <c r="O424" s="17"/>
      <c r="P424" s="17"/>
      <c r="Q424" s="17"/>
      <c r="R424" s="17"/>
      <c r="S424" s="17"/>
      <c r="T424" s="686"/>
      <c r="U424" s="18">
        <f>РПЗ!P424</f>
        <v>43100.5</v>
      </c>
      <c r="V424" s="686"/>
      <c r="W424" s="236">
        <f>РПЗ!L424</f>
        <v>718478</v>
      </c>
      <c r="X424" s="689"/>
      <c r="Y424" s="689"/>
      <c r="Z424" s="690"/>
      <c r="AA424" s="691"/>
      <c r="AB424" s="111"/>
      <c r="AC424" s="17"/>
      <c r="AD424" s="690"/>
      <c r="AE424" s="686"/>
      <c r="AF424" s="474"/>
      <c r="AG424" s="692"/>
      <c r="AH424" s="236" t="str">
        <f>IF(Таблица5[[#This Row],[30]]=0,"НД",Таблица5[[#This Row],[20]]-Таблица5[[#This Row],[30]])</f>
        <v>НД</v>
      </c>
      <c r="AI424" s="511" t="str">
        <f>IF(((1-Таблица5[[#This Row],[30]]/Таблица5[[#This Row],[20]])=1),"НД",(1-Таблица5[[#This Row],[30]]/Таблица5[[#This Row],[20]]))</f>
        <v>НД</v>
      </c>
      <c r="AJ424" s="111"/>
      <c r="AK424" s="111"/>
      <c r="AL424" s="512"/>
      <c r="AM424" s="513"/>
      <c r="AN424" s="465"/>
      <c r="AO424" s="468" t="str">
        <f>РПЗ!AD424</f>
        <v>Нет</v>
      </c>
      <c r="AP424" s="472">
        <f>РПЗ!V424</f>
        <v>0</v>
      </c>
      <c r="AQ424" s="470">
        <f>IF(Таблица5[[#This Row],[11]]=0,,MONTH(Таблица5[[#This Row],[11]]))</f>
        <v>1</v>
      </c>
    </row>
    <row r="425" spans="1:43" ht="51.75" thickBot="1" x14ac:dyDescent="0.3">
      <c r="A425" s="233" t="str">
        <f t="shared" si="6"/>
        <v>1004-2017-00410</v>
      </c>
      <c r="B425" s="233" t="str">
        <f>РПЗ!$D425</f>
        <v>1004-2017-00410Поставка Установка магнетронного RF напыления оптических покрытий. На базе установки ASPIRA</v>
      </c>
      <c r="C425" s="233" t="str">
        <f>РПЗ!$AA425</f>
        <v>АО "НИИ "Полюс" им. М.Ф. Стельмаха" тел. отдела закупок 8-495-333-05-02</v>
      </c>
      <c r="D425" s="633" t="str">
        <f>РПЗ!$AB425</f>
        <v>Заказчик</v>
      </c>
      <c r="E425" s="96" t="s">
        <v>46</v>
      </c>
      <c r="F425" s="233" t="str">
        <f>РПЗ!Q425</f>
        <v>ОЗК</v>
      </c>
      <c r="G425" s="237"/>
      <c r="H425" s="237" t="str">
        <f>РПЗ!R425</f>
        <v>да</v>
      </c>
      <c r="I425" s="15">
        <f>РПЗ!W425</f>
        <v>0</v>
      </c>
      <c r="J425" s="233">
        <f>РПЗ!X425</f>
        <v>0</v>
      </c>
      <c r="K425" s="283">
        <f>РПЗ!Z425</f>
        <v>0</v>
      </c>
      <c r="L425" s="17"/>
      <c r="M425" s="18">
        <f>РПЗ!O425</f>
        <v>42736.5</v>
      </c>
      <c r="N425" s="238">
        <f>Таблица5[[#This Row],[10]]</f>
        <v>42736.5</v>
      </c>
      <c r="O425" s="17"/>
      <c r="P425" s="17"/>
      <c r="Q425" s="17"/>
      <c r="R425" s="17"/>
      <c r="S425" s="17"/>
      <c r="T425" s="686"/>
      <c r="U425" s="18">
        <f>РПЗ!P425</f>
        <v>43100.5</v>
      </c>
      <c r="V425" s="686"/>
      <c r="W425" s="236">
        <f>РПЗ!L425</f>
        <v>36000000</v>
      </c>
      <c r="X425" s="689"/>
      <c r="Y425" s="689"/>
      <c r="Z425" s="690"/>
      <c r="AA425" s="691"/>
      <c r="AB425" s="111"/>
      <c r="AC425" s="17"/>
      <c r="AD425" s="690"/>
      <c r="AE425" s="686"/>
      <c r="AF425" s="474"/>
      <c r="AG425" s="692"/>
      <c r="AH425" s="236" t="str">
        <f>IF(Таблица5[[#This Row],[30]]=0,"НД",Таблица5[[#This Row],[20]]-Таблица5[[#This Row],[30]])</f>
        <v>НД</v>
      </c>
      <c r="AI425" s="511" t="str">
        <f>IF(((1-Таблица5[[#This Row],[30]]/Таблица5[[#This Row],[20]])=1),"НД",(1-Таблица5[[#This Row],[30]]/Таблица5[[#This Row],[20]]))</f>
        <v>НД</v>
      </c>
      <c r="AJ425" s="111"/>
      <c r="AK425" s="111"/>
      <c r="AL425" s="512"/>
      <c r="AM425" s="513"/>
      <c r="AN425" s="465"/>
      <c r="AO425" s="468" t="str">
        <f>РПЗ!AD425</f>
        <v>Нет</v>
      </c>
      <c r="AP425" s="472">
        <f>РПЗ!V425</f>
        <v>0</v>
      </c>
      <c r="AQ425" s="470">
        <f>IF(Таблица5[[#This Row],[11]]=0,,MONTH(Таблица5[[#This Row],[11]]))</f>
        <v>1</v>
      </c>
    </row>
    <row r="426" spans="1:43" ht="39" thickBot="1" x14ac:dyDescent="0.3">
      <c r="A426" s="233" t="str">
        <f t="shared" si="6"/>
        <v>1004-2017-00411</v>
      </c>
      <c r="B426" s="233" t="str">
        <f>РПЗ!$D426</f>
        <v>1004-2017-00411Поставка Установка магнетронного напыления омических контактов. На базе установки ATIS</v>
      </c>
      <c r="C426" s="233" t="str">
        <f>РПЗ!$AA426</f>
        <v>АО "НИИ "Полюс" им. М.Ф. Стельмаха" тел. отдела закупок 8-495-333-05-02</v>
      </c>
      <c r="D426" s="633" t="str">
        <f>РПЗ!$AB426</f>
        <v>Заказчик</v>
      </c>
      <c r="E426" s="96" t="s">
        <v>46</v>
      </c>
      <c r="F426" s="233" t="str">
        <f>РПЗ!Q426</f>
        <v>ОЗК</v>
      </c>
      <c r="G426" s="237"/>
      <c r="H426" s="237" t="str">
        <f>РПЗ!R426</f>
        <v>да</v>
      </c>
      <c r="I426" s="15">
        <f>РПЗ!W426</f>
        <v>0</v>
      </c>
      <c r="J426" s="233">
        <f>РПЗ!X426</f>
        <v>0</v>
      </c>
      <c r="K426" s="283">
        <f>РПЗ!Z426</f>
        <v>0</v>
      </c>
      <c r="L426" s="17"/>
      <c r="M426" s="18">
        <f>РПЗ!O426</f>
        <v>42736.5</v>
      </c>
      <c r="N426" s="238">
        <f>Таблица5[[#This Row],[10]]</f>
        <v>42736.5</v>
      </c>
      <c r="O426" s="17"/>
      <c r="P426" s="17"/>
      <c r="Q426" s="17"/>
      <c r="R426" s="17"/>
      <c r="S426" s="17"/>
      <c r="T426" s="686"/>
      <c r="U426" s="18">
        <f>РПЗ!P426</f>
        <v>43100.5</v>
      </c>
      <c r="V426" s="686"/>
      <c r="W426" s="236">
        <f>РПЗ!L426</f>
        <v>35000000</v>
      </c>
      <c r="X426" s="689"/>
      <c r="Y426" s="689"/>
      <c r="Z426" s="690"/>
      <c r="AA426" s="691"/>
      <c r="AB426" s="111"/>
      <c r="AC426" s="17"/>
      <c r="AD426" s="690"/>
      <c r="AE426" s="686"/>
      <c r="AF426" s="474"/>
      <c r="AG426" s="692"/>
      <c r="AH426" s="236" t="str">
        <f>IF(Таблица5[[#This Row],[30]]=0,"НД",Таблица5[[#This Row],[20]]-Таблица5[[#This Row],[30]])</f>
        <v>НД</v>
      </c>
      <c r="AI426" s="511" t="str">
        <f>IF(((1-Таблица5[[#This Row],[30]]/Таблица5[[#This Row],[20]])=1),"НД",(1-Таблица5[[#This Row],[30]]/Таблица5[[#This Row],[20]]))</f>
        <v>НД</v>
      </c>
      <c r="AJ426" s="111"/>
      <c r="AK426" s="111"/>
      <c r="AL426" s="512"/>
      <c r="AM426" s="513"/>
      <c r="AN426" s="465"/>
      <c r="AO426" s="468" t="str">
        <f>РПЗ!AD426</f>
        <v>Нет</v>
      </c>
      <c r="AP426" s="472">
        <f>РПЗ!V426</f>
        <v>0</v>
      </c>
      <c r="AQ426" s="470">
        <f>IF(Таблица5[[#This Row],[11]]=0,,MONTH(Таблица5[[#This Row],[11]]))</f>
        <v>1</v>
      </c>
    </row>
    <row r="427" spans="1:43" ht="39" thickBot="1" x14ac:dyDescent="0.3">
      <c r="A427" s="233" t="str">
        <f t="shared" si="6"/>
        <v>1004-2017-00412</v>
      </c>
      <c r="B427" s="233" t="str">
        <f>РПЗ!$D427</f>
        <v>1004-2017-00412Поставка Микроскоп стереоскопический Альтами СМК 1865-Т</v>
      </c>
      <c r="C427" s="233" t="str">
        <f>РПЗ!$AA427</f>
        <v>АО "НИИ "Полюс" им. М.Ф. Стельмаха" тел. отдела закупок 8-495-333-05-02</v>
      </c>
      <c r="D427" s="633" t="str">
        <f>РПЗ!$AB427</f>
        <v>Заказчик</v>
      </c>
      <c r="E427" s="96" t="s">
        <v>46</v>
      </c>
      <c r="F427" s="233" t="str">
        <f>РПЗ!Q427</f>
        <v>ОЗК</v>
      </c>
      <c r="G427" s="237"/>
      <c r="H427" s="237" t="str">
        <f>РПЗ!R427</f>
        <v>да</v>
      </c>
      <c r="I427" s="15">
        <f>РПЗ!W427</f>
        <v>0</v>
      </c>
      <c r="J427" s="233">
        <f>РПЗ!X427</f>
        <v>0</v>
      </c>
      <c r="K427" s="283">
        <f>РПЗ!Z427</f>
        <v>0</v>
      </c>
      <c r="L427" s="17"/>
      <c r="M427" s="18">
        <f>РПЗ!O427</f>
        <v>42736.5</v>
      </c>
      <c r="N427" s="238">
        <f>Таблица5[[#This Row],[10]]</f>
        <v>42736.5</v>
      </c>
      <c r="O427" s="17"/>
      <c r="P427" s="17"/>
      <c r="Q427" s="17"/>
      <c r="R427" s="17"/>
      <c r="S427" s="17"/>
      <c r="T427" s="686"/>
      <c r="U427" s="18">
        <f>РПЗ!P427</f>
        <v>43100.5</v>
      </c>
      <c r="V427" s="686"/>
      <c r="W427" s="236">
        <f>РПЗ!L427</f>
        <v>600000</v>
      </c>
      <c r="X427" s="689"/>
      <c r="Y427" s="689"/>
      <c r="Z427" s="690"/>
      <c r="AA427" s="691"/>
      <c r="AB427" s="111"/>
      <c r="AC427" s="17"/>
      <c r="AD427" s="690"/>
      <c r="AE427" s="686"/>
      <c r="AF427" s="474"/>
      <c r="AG427" s="692"/>
      <c r="AH427" s="236" t="str">
        <f>IF(Таблица5[[#This Row],[30]]=0,"НД",Таблица5[[#This Row],[20]]-Таблица5[[#This Row],[30]])</f>
        <v>НД</v>
      </c>
      <c r="AI427" s="511" t="str">
        <f>IF(((1-Таблица5[[#This Row],[30]]/Таблица5[[#This Row],[20]])=1),"НД",(1-Таблица5[[#This Row],[30]]/Таблица5[[#This Row],[20]]))</f>
        <v>НД</v>
      </c>
      <c r="AJ427" s="111"/>
      <c r="AK427" s="111"/>
      <c r="AL427" s="512"/>
      <c r="AM427" s="513"/>
      <c r="AN427" s="465"/>
      <c r="AO427" s="468" t="str">
        <f>РПЗ!AD427</f>
        <v>Нет</v>
      </c>
      <c r="AP427" s="472">
        <f>РПЗ!V427</f>
        <v>0</v>
      </c>
      <c r="AQ427" s="470">
        <f>IF(Таблица5[[#This Row],[11]]=0,,MONTH(Таблица5[[#This Row],[11]]))</f>
        <v>1</v>
      </c>
    </row>
    <row r="428" spans="1:43" ht="39" thickBot="1" x14ac:dyDescent="0.3">
      <c r="A428" s="233" t="str">
        <f t="shared" si="6"/>
        <v>1004-2017-00413</v>
      </c>
      <c r="B428" s="233" t="str">
        <f>РПЗ!$D428</f>
        <v>1004-2017-00413Поставка Видеосистема высокого разрешения Hirox KH-7700</v>
      </c>
      <c r="C428" s="233" t="str">
        <f>РПЗ!$AA428</f>
        <v>АО "НИИ "Полюс" им. М.Ф. Стельмаха" тел. отдела закупок 8-495-333-05-02</v>
      </c>
      <c r="D428" s="633" t="str">
        <f>РПЗ!$AB428</f>
        <v>Заказчик</v>
      </c>
      <c r="E428" s="96" t="s">
        <v>46</v>
      </c>
      <c r="F428" s="233" t="str">
        <f>РПЗ!Q428</f>
        <v>ОЗК</v>
      </c>
      <c r="G428" s="237"/>
      <c r="H428" s="237" t="str">
        <f>РПЗ!R428</f>
        <v>да</v>
      </c>
      <c r="I428" s="15">
        <f>РПЗ!W428</f>
        <v>0</v>
      </c>
      <c r="J428" s="233">
        <f>РПЗ!X428</f>
        <v>0</v>
      </c>
      <c r="K428" s="283">
        <f>РПЗ!Z428</f>
        <v>0</v>
      </c>
      <c r="L428" s="17"/>
      <c r="M428" s="18">
        <f>РПЗ!O428</f>
        <v>42795</v>
      </c>
      <c r="N428" s="238">
        <f>Таблица5[[#This Row],[10]]</f>
        <v>42795</v>
      </c>
      <c r="O428" s="17"/>
      <c r="P428" s="17"/>
      <c r="Q428" s="17"/>
      <c r="R428" s="17"/>
      <c r="S428" s="17"/>
      <c r="T428" s="686"/>
      <c r="U428" s="18">
        <f>РПЗ!P428</f>
        <v>43100.5</v>
      </c>
      <c r="V428" s="686"/>
      <c r="W428" s="236">
        <f>РПЗ!L428</f>
        <v>13021400</v>
      </c>
      <c r="X428" s="689"/>
      <c r="Y428" s="689"/>
      <c r="Z428" s="690"/>
      <c r="AA428" s="691"/>
      <c r="AB428" s="111"/>
      <c r="AC428" s="17"/>
      <c r="AD428" s="690"/>
      <c r="AE428" s="686"/>
      <c r="AF428" s="474"/>
      <c r="AG428" s="692"/>
      <c r="AH428" s="236" t="str">
        <f>IF(Таблица5[[#This Row],[30]]=0,"НД",Таблица5[[#This Row],[20]]-Таблица5[[#This Row],[30]])</f>
        <v>НД</v>
      </c>
      <c r="AI428" s="511" t="str">
        <f>IF(((1-Таблица5[[#This Row],[30]]/Таблица5[[#This Row],[20]])=1),"НД",(1-Таблица5[[#This Row],[30]]/Таблица5[[#This Row],[20]]))</f>
        <v>НД</v>
      </c>
      <c r="AJ428" s="111"/>
      <c r="AK428" s="111"/>
      <c r="AL428" s="512"/>
      <c r="AM428" s="513"/>
      <c r="AN428" s="465"/>
      <c r="AO428" s="468" t="str">
        <f>РПЗ!AD428</f>
        <v>Нет</v>
      </c>
      <c r="AP428" s="472">
        <f>РПЗ!V428</f>
        <v>0</v>
      </c>
      <c r="AQ428" s="470">
        <f>IF(Таблица5[[#This Row],[11]]=0,,MONTH(Таблица5[[#This Row],[11]]))</f>
        <v>3</v>
      </c>
    </row>
    <row r="429" spans="1:43" ht="39" thickBot="1" x14ac:dyDescent="0.3">
      <c r="A429" s="233" t="str">
        <f t="shared" si="6"/>
        <v>1004-2017-00414</v>
      </c>
      <c r="B429" s="233" t="str">
        <f>РПЗ!$D429</f>
        <v>1004-2017-00414Поставка Станок намоточный универсальный СУН-0,6</v>
      </c>
      <c r="C429" s="233" t="str">
        <f>РПЗ!$AA429</f>
        <v>АО "НИИ "Полюс" им. М.Ф. Стельмаха" тел. отдела закупок 8-495-333-05-02</v>
      </c>
      <c r="D429" s="633" t="str">
        <f>РПЗ!$AB429</f>
        <v>Заказчик</v>
      </c>
      <c r="E429" s="96" t="s">
        <v>46</v>
      </c>
      <c r="F429" s="233" t="str">
        <f>РПЗ!Q429</f>
        <v>ОЗК</v>
      </c>
      <c r="G429" s="237"/>
      <c r="H429" s="237" t="str">
        <f>РПЗ!R429</f>
        <v>да</v>
      </c>
      <c r="I429" s="15">
        <f>РПЗ!W429</f>
        <v>0</v>
      </c>
      <c r="J429" s="233">
        <f>РПЗ!X429</f>
        <v>0</v>
      </c>
      <c r="K429" s="283">
        <f>РПЗ!Z429</f>
        <v>0</v>
      </c>
      <c r="L429" s="17"/>
      <c r="M429" s="18">
        <f>РПЗ!O429</f>
        <v>42795</v>
      </c>
      <c r="N429" s="238">
        <f>Таблица5[[#This Row],[10]]</f>
        <v>42795</v>
      </c>
      <c r="O429" s="17"/>
      <c r="P429" s="17"/>
      <c r="Q429" s="17"/>
      <c r="R429" s="17"/>
      <c r="S429" s="17"/>
      <c r="T429" s="686"/>
      <c r="U429" s="18">
        <f>РПЗ!P429</f>
        <v>43100.5</v>
      </c>
      <c r="V429" s="686"/>
      <c r="W429" s="236">
        <f>РПЗ!L429</f>
        <v>400000</v>
      </c>
      <c r="X429" s="689"/>
      <c r="Y429" s="689"/>
      <c r="Z429" s="690"/>
      <c r="AA429" s="691"/>
      <c r="AB429" s="111"/>
      <c r="AC429" s="17"/>
      <c r="AD429" s="690"/>
      <c r="AE429" s="686"/>
      <c r="AF429" s="474"/>
      <c r="AG429" s="692"/>
      <c r="AH429" s="236" t="str">
        <f>IF(Таблица5[[#This Row],[30]]=0,"НД",Таблица5[[#This Row],[20]]-Таблица5[[#This Row],[30]])</f>
        <v>НД</v>
      </c>
      <c r="AI429" s="511" t="str">
        <f>IF(((1-Таблица5[[#This Row],[30]]/Таблица5[[#This Row],[20]])=1),"НД",(1-Таблица5[[#This Row],[30]]/Таблица5[[#This Row],[20]]))</f>
        <v>НД</v>
      </c>
      <c r="AJ429" s="111"/>
      <c r="AK429" s="111"/>
      <c r="AL429" s="512"/>
      <c r="AM429" s="513"/>
      <c r="AN429" s="465"/>
      <c r="AO429" s="468" t="str">
        <f>РПЗ!AD429</f>
        <v>Нет</v>
      </c>
      <c r="AP429" s="472">
        <f>РПЗ!V429</f>
        <v>0</v>
      </c>
      <c r="AQ429" s="470">
        <f>IF(Таблица5[[#This Row],[11]]=0,,MONTH(Таблица5[[#This Row],[11]]))</f>
        <v>3</v>
      </c>
    </row>
    <row r="430" spans="1:43" ht="39" thickBot="1" x14ac:dyDescent="0.3">
      <c r="A430" s="233" t="str">
        <f t="shared" si="6"/>
        <v>1004-2017-00415</v>
      </c>
      <c r="B430" s="233" t="str">
        <f>РПЗ!$D430</f>
        <v xml:space="preserve">1004-2017-00415Поставка Рабочее место микросборки (тип 1)  </v>
      </c>
      <c r="C430" s="233" t="str">
        <f>РПЗ!$AA430</f>
        <v>АО "НИИ "Полюс" им. М.Ф. Стельмаха" тел. отдела закупок 8-495-333-05-02</v>
      </c>
      <c r="D430" s="633" t="str">
        <f>РПЗ!$AB430</f>
        <v>Заказчик</v>
      </c>
      <c r="E430" s="96" t="s">
        <v>46</v>
      </c>
      <c r="F430" s="233" t="str">
        <f>РПЗ!Q430</f>
        <v>ОК</v>
      </c>
      <c r="G430" s="237"/>
      <c r="H430" s="237" t="str">
        <f>РПЗ!R430</f>
        <v>да</v>
      </c>
      <c r="I430" s="15">
        <f>РПЗ!W430</f>
        <v>0</v>
      </c>
      <c r="J430" s="233">
        <f>РПЗ!X430</f>
        <v>0</v>
      </c>
      <c r="K430" s="283">
        <f>РПЗ!Z430</f>
        <v>0</v>
      </c>
      <c r="L430" s="17"/>
      <c r="M430" s="18">
        <f>РПЗ!O430</f>
        <v>42795</v>
      </c>
      <c r="N430" s="238">
        <f>Таблица5[[#This Row],[10]]</f>
        <v>42795</v>
      </c>
      <c r="O430" s="17"/>
      <c r="P430" s="17"/>
      <c r="Q430" s="17"/>
      <c r="R430" s="17"/>
      <c r="S430" s="17"/>
      <c r="T430" s="686"/>
      <c r="U430" s="18">
        <f>РПЗ!P430</f>
        <v>43100.5</v>
      </c>
      <c r="V430" s="686"/>
      <c r="W430" s="236">
        <f>РПЗ!L430</f>
        <v>355000</v>
      </c>
      <c r="X430" s="689"/>
      <c r="Y430" s="689"/>
      <c r="Z430" s="690"/>
      <c r="AA430" s="691"/>
      <c r="AB430" s="111"/>
      <c r="AC430" s="17"/>
      <c r="AD430" s="690"/>
      <c r="AE430" s="686"/>
      <c r="AF430" s="474"/>
      <c r="AG430" s="692"/>
      <c r="AH430" s="236" t="str">
        <f>IF(Таблица5[[#This Row],[30]]=0,"НД",Таблица5[[#This Row],[20]]-Таблица5[[#This Row],[30]])</f>
        <v>НД</v>
      </c>
      <c r="AI430" s="511" t="str">
        <f>IF(((1-Таблица5[[#This Row],[30]]/Таблица5[[#This Row],[20]])=1),"НД",(1-Таблица5[[#This Row],[30]]/Таблица5[[#This Row],[20]]))</f>
        <v>НД</v>
      </c>
      <c r="AJ430" s="111"/>
      <c r="AK430" s="111"/>
      <c r="AL430" s="512"/>
      <c r="AM430" s="513"/>
      <c r="AN430" s="465"/>
      <c r="AO430" s="468" t="str">
        <f>РПЗ!AD430</f>
        <v>Нет</v>
      </c>
      <c r="AP430" s="472">
        <f>РПЗ!V430</f>
        <v>0</v>
      </c>
      <c r="AQ430" s="470">
        <f>IF(Таблица5[[#This Row],[11]]=0,,MONTH(Таблица5[[#This Row],[11]]))</f>
        <v>3</v>
      </c>
    </row>
    <row r="431" spans="1:43" ht="38.25" x14ac:dyDescent="0.25">
      <c r="A431" s="233" t="str">
        <f t="shared" si="6"/>
        <v>1004-2017-00416</v>
      </c>
      <c r="B431" s="233" t="str">
        <f>РПЗ!$D431</f>
        <v xml:space="preserve">1004-2017-00416Поставка Рабочее место микросборки (тип 2)   </v>
      </c>
      <c r="C431" s="233" t="str">
        <f>РПЗ!$AA431</f>
        <v>АО "НИИ "Полюс" им. М.Ф. Стельмаха" тел. отдела закупок 8-495-333-05-02</v>
      </c>
      <c r="D431" s="633" t="str">
        <f>РПЗ!$AB431</f>
        <v>Заказчик</v>
      </c>
      <c r="E431" s="96" t="s">
        <v>46</v>
      </c>
      <c r="F431" s="233" t="str">
        <f>РПЗ!Q431</f>
        <v>ОК</v>
      </c>
      <c r="G431" s="237"/>
      <c r="H431" s="237" t="str">
        <f>РПЗ!R431</f>
        <v>да</v>
      </c>
      <c r="I431" s="15">
        <f>РПЗ!W431</f>
        <v>0</v>
      </c>
      <c r="J431" s="233">
        <f>РПЗ!X431</f>
        <v>0</v>
      </c>
      <c r="K431" s="283">
        <f>РПЗ!Z431</f>
        <v>0</v>
      </c>
      <c r="L431" s="17"/>
      <c r="M431" s="18">
        <f>РПЗ!O431</f>
        <v>42795</v>
      </c>
      <c r="N431" s="238">
        <f>Таблица5[[#This Row],[10]]</f>
        <v>42795</v>
      </c>
      <c r="O431" s="17"/>
      <c r="P431" s="17"/>
      <c r="Q431" s="17"/>
      <c r="R431" s="17"/>
      <c r="S431" s="17"/>
      <c r="T431" s="686"/>
      <c r="U431" s="18">
        <f>РПЗ!P431</f>
        <v>43100.5</v>
      </c>
      <c r="V431" s="686"/>
      <c r="W431" s="236">
        <f>РПЗ!L431</f>
        <v>468000</v>
      </c>
      <c r="X431" s="689"/>
      <c r="Y431" s="689"/>
      <c r="Z431" s="690"/>
      <c r="AA431" s="691"/>
      <c r="AB431" s="111"/>
      <c r="AC431" s="17"/>
      <c r="AD431" s="690"/>
      <c r="AE431" s="686"/>
      <c r="AF431" s="474"/>
      <c r="AG431" s="692"/>
      <c r="AH431" s="236" t="str">
        <f>IF(Таблица5[[#This Row],[30]]=0,"НД",Таблица5[[#This Row],[20]]-Таблица5[[#This Row],[30]])</f>
        <v>НД</v>
      </c>
      <c r="AI431" s="511" t="str">
        <f>IF(((1-Таблица5[[#This Row],[30]]/Таблица5[[#This Row],[20]])=1),"НД",(1-Таблица5[[#This Row],[30]]/Таблица5[[#This Row],[20]]))</f>
        <v>НД</v>
      </c>
      <c r="AJ431" s="111"/>
      <c r="AK431" s="111"/>
      <c r="AL431" s="512"/>
      <c r="AM431" s="513"/>
      <c r="AN431" s="465"/>
      <c r="AO431" s="468" t="str">
        <f>РПЗ!AD431</f>
        <v>Нет</v>
      </c>
      <c r="AP431" s="472">
        <f>РПЗ!V431</f>
        <v>0</v>
      </c>
      <c r="AQ431" s="470">
        <f>IF(Таблица5[[#This Row],[11]]=0,,MONTH(Таблица5[[#This Row],[11]]))</f>
        <v>3</v>
      </c>
    </row>
    <row r="432" spans="1:43" ht="39" thickBot="1" x14ac:dyDescent="0.3">
      <c r="A432" s="233" t="str">
        <f t="shared" si="6"/>
        <v>1004-2017-00417</v>
      </c>
      <c r="B432" s="233" t="str">
        <f>РПЗ!$D432</f>
        <v xml:space="preserve">1004-2017-00417Поставка Установка фотолитографии ЭМ-576МЭС-2    </v>
      </c>
      <c r="C432" s="233" t="str">
        <f>РПЗ!$AA432</f>
        <v>АО "НИИ "Полюс" им. М.Ф. Стельмаха" тел. отдела закупок 8-495-333-05-02</v>
      </c>
      <c r="D432" s="633" t="str">
        <f>РПЗ!$AB432</f>
        <v>Заказчик</v>
      </c>
      <c r="E432" s="510" t="s">
        <v>62</v>
      </c>
      <c r="F432" s="233" t="str">
        <f>РПЗ!Q432</f>
        <v>ОЗК</v>
      </c>
      <c r="G432" s="237" t="str">
        <f>Таблица5[[#This Row],[6]]</f>
        <v>ОЗК</v>
      </c>
      <c r="H432" s="237" t="str">
        <f>РПЗ!R432</f>
        <v>да</v>
      </c>
      <c r="I432" s="15">
        <f>РПЗ!W432</f>
        <v>0</v>
      </c>
      <c r="J432" s="233">
        <f>РПЗ!X432</f>
        <v>0</v>
      </c>
      <c r="K432" s="283">
        <f>РПЗ!Z432</f>
        <v>0</v>
      </c>
      <c r="L432" s="17">
        <v>42892</v>
      </c>
      <c r="M432" s="18">
        <f>РПЗ!O432</f>
        <v>42887</v>
      </c>
      <c r="N432" s="238">
        <f>Таблица5[[#This Row],[10]]</f>
        <v>42887</v>
      </c>
      <c r="O432" s="17">
        <v>42900</v>
      </c>
      <c r="P432" s="17">
        <v>42906</v>
      </c>
      <c r="Q432" s="17">
        <v>42906</v>
      </c>
      <c r="R432" s="17">
        <v>42900</v>
      </c>
      <c r="S432" s="17">
        <v>42900</v>
      </c>
      <c r="T432" s="686">
        <v>42916</v>
      </c>
      <c r="U432" s="18">
        <f>РПЗ!P432</f>
        <v>43100.5</v>
      </c>
      <c r="V432" s="686">
        <v>43070</v>
      </c>
      <c r="W432" s="236">
        <f>РПЗ!L432</f>
        <v>3500000</v>
      </c>
      <c r="X432" s="689">
        <v>2</v>
      </c>
      <c r="Y432" s="689">
        <v>0</v>
      </c>
      <c r="Z432" s="691">
        <v>7735115635</v>
      </c>
      <c r="AA432" s="691" t="s">
        <v>5948</v>
      </c>
      <c r="AB432" s="111">
        <v>3363000</v>
      </c>
      <c r="AC432" s="17">
        <v>43070</v>
      </c>
      <c r="AD432" s="690" t="s">
        <v>6466</v>
      </c>
      <c r="AE432" s="686">
        <v>42916</v>
      </c>
      <c r="AF432" s="474"/>
      <c r="AG432" s="692">
        <v>3363000</v>
      </c>
      <c r="AH432" s="236">
        <f>IF(Таблица5[[#This Row],[30]]=0,"НД",Таблица5[[#This Row],[20]]-Таблица5[[#This Row],[30]])</f>
        <v>137000</v>
      </c>
      <c r="AI432" s="511">
        <f>IF(((1-Таблица5[[#This Row],[30]]/Таблица5[[#This Row],[20]])=1),"НД",(1-Таблица5[[#This Row],[30]]/Таблица5[[#This Row],[20]]))</f>
        <v>3.9142857142857146E-2</v>
      </c>
      <c r="AJ432" s="111">
        <v>3363000</v>
      </c>
      <c r="AK432" s="111"/>
      <c r="AL432" s="512"/>
      <c r="AM432" s="513" t="s">
        <v>113</v>
      </c>
      <c r="AN432" s="801">
        <v>31705192100</v>
      </c>
      <c r="AO432" s="468" t="str">
        <f>РПЗ!AD432</f>
        <v>Нет</v>
      </c>
      <c r="AP432" s="472">
        <f>РПЗ!V432</f>
        <v>0</v>
      </c>
      <c r="AQ432" s="470">
        <f>IF(Таблица5[[#This Row],[11]]=0,,MONTH(Таблица5[[#This Row],[11]]))</f>
        <v>6</v>
      </c>
    </row>
    <row r="433" spans="1:43" ht="39" thickBot="1" x14ac:dyDescent="0.3">
      <c r="A433" s="233" t="str">
        <f t="shared" si="6"/>
        <v>1004-2017-00418</v>
      </c>
      <c r="B433" s="233" t="str">
        <f>РПЗ!$D433</f>
        <v>1004-2017-00418Поставка Рабочее место нанесения фоторезиста</v>
      </c>
      <c r="C433" s="233" t="str">
        <f>РПЗ!$AA433</f>
        <v>АО "НИИ "Полюс" им. М.Ф. Стельмаха" тел. отдела закупок 8-495-333-05-02</v>
      </c>
      <c r="D433" s="633" t="str">
        <f>РПЗ!$AB433</f>
        <v>Заказчик</v>
      </c>
      <c r="E433" s="96" t="s">
        <v>46</v>
      </c>
      <c r="F433" s="233" t="str">
        <f>РПЗ!Q433</f>
        <v>ОК</v>
      </c>
      <c r="G433" s="237"/>
      <c r="H433" s="237" t="str">
        <f>РПЗ!R433</f>
        <v>да</v>
      </c>
      <c r="I433" s="15">
        <f>РПЗ!W433</f>
        <v>0</v>
      </c>
      <c r="J433" s="233">
        <f>РПЗ!X433</f>
        <v>0</v>
      </c>
      <c r="K433" s="283">
        <f>РПЗ!Z433</f>
        <v>0</v>
      </c>
      <c r="L433" s="17"/>
      <c r="M433" s="18">
        <f>РПЗ!O433</f>
        <v>42795</v>
      </c>
      <c r="N433" s="238">
        <f>Таблица5[[#This Row],[10]]</f>
        <v>42795</v>
      </c>
      <c r="O433" s="17"/>
      <c r="P433" s="17"/>
      <c r="Q433" s="17"/>
      <c r="R433" s="17"/>
      <c r="S433" s="17"/>
      <c r="T433" s="686"/>
      <c r="U433" s="18">
        <f>РПЗ!P433</f>
        <v>43100.5</v>
      </c>
      <c r="V433" s="686"/>
      <c r="W433" s="236">
        <f>РПЗ!L433</f>
        <v>2148000</v>
      </c>
      <c r="X433" s="689"/>
      <c r="Y433" s="689"/>
      <c r="Z433" s="690"/>
      <c r="AA433" s="691"/>
      <c r="AB433" s="111"/>
      <c r="AC433" s="17"/>
      <c r="AD433" s="690"/>
      <c r="AE433" s="686"/>
      <c r="AF433" s="474"/>
      <c r="AG433" s="692"/>
      <c r="AH433" s="236" t="str">
        <f>IF(Таблица5[[#This Row],[30]]=0,"НД",Таблица5[[#This Row],[20]]-Таблица5[[#This Row],[30]])</f>
        <v>НД</v>
      </c>
      <c r="AI433" s="511" t="str">
        <f>IF(((1-Таблица5[[#This Row],[30]]/Таблица5[[#This Row],[20]])=1),"НД",(1-Таблица5[[#This Row],[30]]/Таблица5[[#This Row],[20]]))</f>
        <v>НД</v>
      </c>
      <c r="AJ433" s="111"/>
      <c r="AK433" s="111"/>
      <c r="AL433" s="512"/>
      <c r="AM433" s="513"/>
      <c r="AN433" s="465"/>
      <c r="AO433" s="468" t="str">
        <f>РПЗ!AD433</f>
        <v>Нет</v>
      </c>
      <c r="AP433" s="472">
        <f>РПЗ!V433</f>
        <v>0</v>
      </c>
      <c r="AQ433" s="470">
        <f>IF(Таблица5[[#This Row],[11]]=0,,MONTH(Таблица5[[#This Row],[11]]))</f>
        <v>3</v>
      </c>
    </row>
    <row r="434" spans="1:43" ht="39" thickBot="1" x14ac:dyDescent="0.3">
      <c r="A434" s="233" t="str">
        <f t="shared" si="6"/>
        <v>1004-2017-00419</v>
      </c>
      <c r="B434" s="233" t="str">
        <f>РПЗ!$D434</f>
        <v>1004-2017-00419Поставка Рабочее место промежуточного контроля (тип 1)</v>
      </c>
      <c r="C434" s="233" t="str">
        <f>РПЗ!$AA434</f>
        <v>АО "НИИ "Полюс" им. М.Ф. Стельмаха" тел. отдела закупок 8-495-333-05-02</v>
      </c>
      <c r="D434" s="633" t="str">
        <f>РПЗ!$AB434</f>
        <v>Заказчик</v>
      </c>
      <c r="E434" s="96" t="s">
        <v>46</v>
      </c>
      <c r="F434" s="233" t="str">
        <f>РПЗ!Q434</f>
        <v>ОЗК</v>
      </c>
      <c r="G434" s="237"/>
      <c r="H434" s="237" t="str">
        <f>РПЗ!R434</f>
        <v>да</v>
      </c>
      <c r="I434" s="15">
        <f>РПЗ!W434</f>
        <v>0</v>
      </c>
      <c r="J434" s="233">
        <f>РПЗ!X434</f>
        <v>0</v>
      </c>
      <c r="K434" s="283">
        <f>РПЗ!Z434</f>
        <v>0</v>
      </c>
      <c r="L434" s="17"/>
      <c r="M434" s="18">
        <f>РПЗ!O434</f>
        <v>42795</v>
      </c>
      <c r="N434" s="238">
        <f>Таблица5[[#This Row],[10]]</f>
        <v>42795</v>
      </c>
      <c r="O434" s="17"/>
      <c r="P434" s="17"/>
      <c r="Q434" s="17"/>
      <c r="R434" s="17"/>
      <c r="S434" s="17"/>
      <c r="T434" s="686"/>
      <c r="U434" s="18">
        <f>РПЗ!P434</f>
        <v>43100.5</v>
      </c>
      <c r="V434" s="686"/>
      <c r="W434" s="236">
        <f>РПЗ!L434</f>
        <v>278200</v>
      </c>
      <c r="X434" s="689"/>
      <c r="Y434" s="689"/>
      <c r="Z434" s="690"/>
      <c r="AA434" s="691"/>
      <c r="AB434" s="111"/>
      <c r="AC434" s="17"/>
      <c r="AD434" s="690"/>
      <c r="AE434" s="686"/>
      <c r="AF434" s="474"/>
      <c r="AG434" s="692"/>
      <c r="AH434" s="236" t="str">
        <f>IF(Таблица5[[#This Row],[30]]=0,"НД",Таблица5[[#This Row],[20]]-Таблица5[[#This Row],[30]])</f>
        <v>НД</v>
      </c>
      <c r="AI434" s="511" t="str">
        <f>IF(((1-Таблица5[[#This Row],[30]]/Таблица5[[#This Row],[20]])=1),"НД",(1-Таблица5[[#This Row],[30]]/Таблица5[[#This Row],[20]]))</f>
        <v>НД</v>
      </c>
      <c r="AJ434" s="111"/>
      <c r="AK434" s="111"/>
      <c r="AL434" s="512"/>
      <c r="AM434" s="513"/>
      <c r="AN434" s="465"/>
      <c r="AO434" s="468" t="str">
        <f>РПЗ!AD434</f>
        <v>Нет</v>
      </c>
      <c r="AP434" s="472">
        <f>РПЗ!V434</f>
        <v>0</v>
      </c>
      <c r="AQ434" s="470">
        <f>IF(Таблица5[[#This Row],[11]]=0,,MONTH(Таблица5[[#This Row],[11]]))</f>
        <v>3</v>
      </c>
    </row>
    <row r="435" spans="1:43" ht="39" thickBot="1" x14ac:dyDescent="0.3">
      <c r="A435" s="233" t="str">
        <f t="shared" ref="A435:A498" si="7">INDEX(Диапазон1,ROW(), COLUMN())</f>
        <v>1004-2017-00420</v>
      </c>
      <c r="B435" s="233" t="str">
        <f>РПЗ!$D435</f>
        <v xml:space="preserve">1004-2017-00420Поставка Рабочее место промежуточного контроля (тип 2) </v>
      </c>
      <c r="C435" s="233" t="str">
        <f>РПЗ!$AA435</f>
        <v>АО "НИИ "Полюс" им. М.Ф. Стельмаха" тел. отдела закупок 8-495-333-05-02</v>
      </c>
      <c r="D435" s="633" t="str">
        <f>РПЗ!$AB435</f>
        <v>Заказчик</v>
      </c>
      <c r="E435" s="96" t="s">
        <v>46</v>
      </c>
      <c r="F435" s="233" t="str">
        <f>РПЗ!Q435</f>
        <v>ОЗК</v>
      </c>
      <c r="G435" s="237"/>
      <c r="H435" s="237" t="str">
        <f>РПЗ!R435</f>
        <v>да</v>
      </c>
      <c r="I435" s="15">
        <f>РПЗ!W435</f>
        <v>0</v>
      </c>
      <c r="J435" s="233">
        <f>РПЗ!X435</f>
        <v>0</v>
      </c>
      <c r="K435" s="283">
        <f>РПЗ!Z435</f>
        <v>0</v>
      </c>
      <c r="L435" s="17"/>
      <c r="M435" s="18">
        <f>РПЗ!O435</f>
        <v>42795</v>
      </c>
      <c r="N435" s="238">
        <f>Таблица5[[#This Row],[10]]</f>
        <v>42795</v>
      </c>
      <c r="O435" s="17"/>
      <c r="P435" s="17"/>
      <c r="Q435" s="17"/>
      <c r="R435" s="17"/>
      <c r="S435" s="17"/>
      <c r="T435" s="686"/>
      <c r="U435" s="18">
        <f>РПЗ!P435</f>
        <v>43100.5</v>
      </c>
      <c r="V435" s="686"/>
      <c r="W435" s="236">
        <f>РПЗ!L435</f>
        <v>237200</v>
      </c>
      <c r="X435" s="689"/>
      <c r="Y435" s="689"/>
      <c r="Z435" s="690"/>
      <c r="AA435" s="691"/>
      <c r="AB435" s="111"/>
      <c r="AC435" s="17"/>
      <c r="AD435" s="690"/>
      <c r="AE435" s="686"/>
      <c r="AF435" s="474"/>
      <c r="AG435" s="692"/>
      <c r="AH435" s="236" t="str">
        <f>IF(Таблица5[[#This Row],[30]]=0,"НД",Таблица5[[#This Row],[20]]-Таблица5[[#This Row],[30]])</f>
        <v>НД</v>
      </c>
      <c r="AI435" s="511" t="str">
        <f>IF(((1-Таблица5[[#This Row],[30]]/Таблица5[[#This Row],[20]])=1),"НД",(1-Таблица5[[#This Row],[30]]/Таблица5[[#This Row],[20]]))</f>
        <v>НД</v>
      </c>
      <c r="AJ435" s="111"/>
      <c r="AK435" s="111"/>
      <c r="AL435" s="512"/>
      <c r="AM435" s="513"/>
      <c r="AN435" s="465"/>
      <c r="AO435" s="468" t="str">
        <f>РПЗ!AD435</f>
        <v>Нет</v>
      </c>
      <c r="AP435" s="472">
        <f>РПЗ!V435</f>
        <v>0</v>
      </c>
      <c r="AQ435" s="470">
        <f>IF(Таблица5[[#This Row],[11]]=0,,MONTH(Таблица5[[#This Row],[11]]))</f>
        <v>3</v>
      </c>
    </row>
    <row r="436" spans="1:43" ht="38.25" x14ac:dyDescent="0.25">
      <c r="A436" s="233" t="str">
        <f t="shared" si="7"/>
        <v>1004-2017-00421</v>
      </c>
      <c r="B436" s="233" t="str">
        <f>РПЗ!$D436</f>
        <v xml:space="preserve">1004-2017-00421Поставка Рабочее место контроля параметров фотодиодов    </v>
      </c>
      <c r="C436" s="233" t="str">
        <f>РПЗ!$AA436</f>
        <v>АО "НИИ "Полюс" им. М.Ф. Стельмаха" тел. отдела закупок 8-495-333-05-02</v>
      </c>
      <c r="D436" s="633" t="str">
        <f>РПЗ!$AB436</f>
        <v>Заказчик</v>
      </c>
      <c r="E436" s="96" t="s">
        <v>46</v>
      </c>
      <c r="F436" s="233" t="str">
        <f>РПЗ!Q436</f>
        <v>ОЗК</v>
      </c>
      <c r="G436" s="237"/>
      <c r="H436" s="237" t="str">
        <f>РПЗ!R436</f>
        <v>да</v>
      </c>
      <c r="I436" s="15">
        <f>РПЗ!W436</f>
        <v>0</v>
      </c>
      <c r="J436" s="233">
        <f>РПЗ!X436</f>
        <v>0</v>
      </c>
      <c r="K436" s="283">
        <f>РПЗ!Z436</f>
        <v>0</v>
      </c>
      <c r="L436" s="17"/>
      <c r="M436" s="18">
        <f>РПЗ!O436</f>
        <v>42795</v>
      </c>
      <c r="N436" s="238">
        <f>Таблица5[[#This Row],[10]]</f>
        <v>42795</v>
      </c>
      <c r="O436" s="17"/>
      <c r="P436" s="17"/>
      <c r="Q436" s="17"/>
      <c r="R436" s="17"/>
      <c r="S436" s="17"/>
      <c r="T436" s="686"/>
      <c r="U436" s="18">
        <f>РПЗ!P436</f>
        <v>43100.5</v>
      </c>
      <c r="V436" s="686"/>
      <c r="W436" s="236">
        <f>РПЗ!L436</f>
        <v>2096400</v>
      </c>
      <c r="X436" s="689"/>
      <c r="Y436" s="689"/>
      <c r="Z436" s="690"/>
      <c r="AA436" s="691"/>
      <c r="AB436" s="111"/>
      <c r="AC436" s="17"/>
      <c r="AD436" s="690"/>
      <c r="AE436" s="686"/>
      <c r="AF436" s="474"/>
      <c r="AG436" s="692"/>
      <c r="AH436" s="236" t="str">
        <f>IF(Таблица5[[#This Row],[30]]=0,"НД",Таблица5[[#This Row],[20]]-Таблица5[[#This Row],[30]])</f>
        <v>НД</v>
      </c>
      <c r="AI436" s="511" t="str">
        <f>IF(((1-Таблица5[[#This Row],[30]]/Таблица5[[#This Row],[20]])=1),"НД",(1-Таблица5[[#This Row],[30]]/Таблица5[[#This Row],[20]]))</f>
        <v>НД</v>
      </c>
      <c r="AJ436" s="111"/>
      <c r="AK436" s="111"/>
      <c r="AL436" s="512"/>
      <c r="AM436" s="513"/>
      <c r="AN436" s="465"/>
      <c r="AO436" s="468" t="str">
        <f>РПЗ!AD436</f>
        <v>Нет</v>
      </c>
      <c r="AP436" s="472">
        <f>РПЗ!V436</f>
        <v>0</v>
      </c>
      <c r="AQ436" s="470">
        <f>IF(Таблица5[[#This Row],[11]]=0,,MONTH(Таблица5[[#This Row],[11]]))</f>
        <v>3</v>
      </c>
    </row>
    <row r="437" spans="1:43" ht="51.75" thickBot="1" x14ac:dyDescent="0.3">
      <c r="A437" s="233" t="str">
        <f t="shared" si="7"/>
        <v>1004-2017-00422</v>
      </c>
      <c r="B437" s="233" t="str">
        <f>РПЗ!$D437</f>
        <v>1004-2017-00422Поставка Специализированная установка финишной обработки герметичных изделий</v>
      </c>
      <c r="C437" s="233" t="str">
        <f>РПЗ!$AA437</f>
        <v>АО "НИИ "Полюс" им. М.Ф. Стельмаха" тел. отдела закупок 8-495-333-05-02</v>
      </c>
      <c r="D437" s="633" t="str">
        <f>РПЗ!$AB437</f>
        <v>Заказчик</v>
      </c>
      <c r="E437" s="510" t="s">
        <v>62</v>
      </c>
      <c r="F437" s="233" t="str">
        <f>РПЗ!Q437</f>
        <v>ОЗК</v>
      </c>
      <c r="G437" s="237" t="s">
        <v>108</v>
      </c>
      <c r="H437" s="237" t="str">
        <f>РПЗ!R437</f>
        <v>да</v>
      </c>
      <c r="I437" s="15">
        <f>РПЗ!W437</f>
        <v>0</v>
      </c>
      <c r="J437" s="233">
        <f>РПЗ!X437</f>
        <v>0</v>
      </c>
      <c r="K437" s="283">
        <f>РПЗ!Z437</f>
        <v>0</v>
      </c>
      <c r="L437" s="17">
        <v>42892</v>
      </c>
      <c r="M437" s="18">
        <f>РПЗ!O437</f>
        <v>42887.5</v>
      </c>
      <c r="N437" s="238">
        <f>Таблица5[[#This Row],[10]]</f>
        <v>42887.5</v>
      </c>
      <c r="O437" s="17">
        <v>42900</v>
      </c>
      <c r="P437" s="17">
        <v>42906</v>
      </c>
      <c r="Q437" s="17">
        <v>42906</v>
      </c>
      <c r="R437" s="17">
        <v>42900</v>
      </c>
      <c r="S437" s="17">
        <v>42900</v>
      </c>
      <c r="T437" s="686">
        <v>42916</v>
      </c>
      <c r="U437" s="18">
        <f>РПЗ!P437</f>
        <v>43100.5</v>
      </c>
      <c r="V437" s="686">
        <v>43070</v>
      </c>
      <c r="W437" s="236">
        <f>РПЗ!L437</f>
        <v>4000000</v>
      </c>
      <c r="X437" s="689">
        <v>1</v>
      </c>
      <c r="Y437" s="689">
        <v>0</v>
      </c>
      <c r="Z437" s="691">
        <v>7728306660</v>
      </c>
      <c r="AA437" s="691" t="s">
        <v>5947</v>
      </c>
      <c r="AB437" s="111">
        <v>3899900</v>
      </c>
      <c r="AC437" s="17">
        <v>43070</v>
      </c>
      <c r="AD437" s="690" t="s">
        <v>6119</v>
      </c>
      <c r="AE437" s="686">
        <v>42916</v>
      </c>
      <c r="AF437" s="474"/>
      <c r="AG437" s="692">
        <v>3899900</v>
      </c>
      <c r="AH437" s="236">
        <f>IF(Таблица5[[#This Row],[30]]=0,"НД",Таблица5[[#This Row],[20]]-Таблица5[[#This Row],[30]])</f>
        <v>100100</v>
      </c>
      <c r="AI437" s="511">
        <f>IF(((1-Таблица5[[#This Row],[30]]/Таблица5[[#This Row],[20]])=1),"НД",(1-Таблица5[[#This Row],[30]]/Таблица5[[#This Row],[20]]))</f>
        <v>2.5024999999999964E-2</v>
      </c>
      <c r="AJ437" s="111">
        <v>3899900</v>
      </c>
      <c r="AK437" s="111"/>
      <c r="AL437" s="512"/>
      <c r="AM437" s="513" t="s">
        <v>113</v>
      </c>
      <c r="AN437" s="801">
        <v>31705192134</v>
      </c>
      <c r="AO437" s="468" t="str">
        <f>РПЗ!AD437</f>
        <v>Нет</v>
      </c>
      <c r="AP437" s="472">
        <f>РПЗ!V437</f>
        <v>0</v>
      </c>
      <c r="AQ437" s="470">
        <f>IF(Таблица5[[#This Row],[11]]=0,,MONTH(Таблица5[[#This Row],[11]]))</f>
        <v>6</v>
      </c>
    </row>
    <row r="438" spans="1:43" ht="39" thickBot="1" x14ac:dyDescent="0.3">
      <c r="A438" s="233" t="str">
        <f t="shared" si="7"/>
        <v>1004-2017-00423</v>
      </c>
      <c r="B438" s="233" t="str">
        <f>РПЗ!$D438</f>
        <v xml:space="preserve">1004-2017-00423Поставка Система лазерной маркировки ТурбоМаркер-В50. </v>
      </c>
      <c r="C438" s="233" t="str">
        <f>РПЗ!$AA438</f>
        <v>АО "НИИ "Полюс" им. М.Ф. Стельмаха" тел. отдела закупок 8-495-333-05-02</v>
      </c>
      <c r="D438" s="633" t="str">
        <f>РПЗ!$AB438</f>
        <v>Заказчик</v>
      </c>
      <c r="E438" s="96" t="s">
        <v>46</v>
      </c>
      <c r="F438" s="233" t="str">
        <f>РПЗ!Q438</f>
        <v>ОЗК</v>
      </c>
      <c r="G438" s="237"/>
      <c r="H438" s="237" t="str">
        <f>РПЗ!R438</f>
        <v>да</v>
      </c>
      <c r="I438" s="15">
        <f>РПЗ!W438</f>
        <v>0</v>
      </c>
      <c r="J438" s="233">
        <f>РПЗ!X438</f>
        <v>0</v>
      </c>
      <c r="K438" s="283">
        <f>РПЗ!Z438</f>
        <v>0</v>
      </c>
      <c r="L438" s="17"/>
      <c r="M438" s="18">
        <f>РПЗ!O438</f>
        <v>42795</v>
      </c>
      <c r="N438" s="238">
        <f>Таблица5[[#This Row],[10]]</f>
        <v>42795</v>
      </c>
      <c r="O438" s="17"/>
      <c r="P438" s="17"/>
      <c r="Q438" s="17"/>
      <c r="R438" s="17"/>
      <c r="S438" s="17"/>
      <c r="T438" s="686"/>
      <c r="U438" s="18">
        <f>РПЗ!P438</f>
        <v>43100.5</v>
      </c>
      <c r="V438" s="686"/>
      <c r="W438" s="236">
        <f>РПЗ!L438</f>
        <v>2510000</v>
      </c>
      <c r="X438" s="689"/>
      <c r="Y438" s="689"/>
      <c r="Z438" s="690"/>
      <c r="AA438" s="691"/>
      <c r="AB438" s="111"/>
      <c r="AC438" s="17"/>
      <c r="AD438" s="690"/>
      <c r="AE438" s="686"/>
      <c r="AF438" s="474"/>
      <c r="AG438" s="692"/>
      <c r="AH438" s="236" t="str">
        <f>IF(Таблица5[[#This Row],[30]]=0,"НД",Таблица5[[#This Row],[20]]-Таблица5[[#This Row],[30]])</f>
        <v>НД</v>
      </c>
      <c r="AI438" s="511" t="str">
        <f>IF(((1-Таблица5[[#This Row],[30]]/Таблица5[[#This Row],[20]])=1),"НД",(1-Таблица5[[#This Row],[30]]/Таблица5[[#This Row],[20]]))</f>
        <v>НД</v>
      </c>
      <c r="AJ438" s="111"/>
      <c r="AK438" s="111"/>
      <c r="AL438" s="512"/>
      <c r="AM438" s="513"/>
      <c r="AN438" s="465"/>
      <c r="AO438" s="468" t="str">
        <f>РПЗ!AD438</f>
        <v>Нет</v>
      </c>
      <c r="AP438" s="472">
        <f>РПЗ!V438</f>
        <v>0</v>
      </c>
      <c r="AQ438" s="470">
        <f>IF(Таблица5[[#This Row],[11]]=0,,MONTH(Таблица5[[#This Row],[11]]))</f>
        <v>3</v>
      </c>
    </row>
    <row r="439" spans="1:43" ht="39" thickBot="1" x14ac:dyDescent="0.3">
      <c r="A439" s="233" t="str">
        <f t="shared" si="7"/>
        <v>1004-2017-00424</v>
      </c>
      <c r="B439" s="233" t="str">
        <f>РПЗ!$D439</f>
        <v>1004-2017-00424Поставка Рабочее место склейки</v>
      </c>
      <c r="C439" s="233" t="str">
        <f>РПЗ!$AA439</f>
        <v>АО "НИИ "Полюс" им. М.Ф. Стельмаха" тел. отдела закупок 8-495-333-05-02</v>
      </c>
      <c r="D439" s="633" t="str">
        <f>РПЗ!$AB439</f>
        <v>Заказчик</v>
      </c>
      <c r="E439" s="96" t="s">
        <v>46</v>
      </c>
      <c r="F439" s="233" t="str">
        <f>РПЗ!Q439</f>
        <v>ОЗК</v>
      </c>
      <c r="G439" s="237"/>
      <c r="H439" s="237" t="str">
        <f>РПЗ!R439</f>
        <v>да</v>
      </c>
      <c r="I439" s="15">
        <f>РПЗ!W439</f>
        <v>0</v>
      </c>
      <c r="J439" s="233">
        <f>РПЗ!X439</f>
        <v>0</v>
      </c>
      <c r="K439" s="283">
        <f>РПЗ!Z439</f>
        <v>0</v>
      </c>
      <c r="L439" s="17"/>
      <c r="M439" s="18">
        <f>РПЗ!O439</f>
        <v>42795</v>
      </c>
      <c r="N439" s="238">
        <f>Таблица5[[#This Row],[10]]</f>
        <v>42795</v>
      </c>
      <c r="O439" s="17"/>
      <c r="P439" s="17"/>
      <c r="Q439" s="17"/>
      <c r="R439" s="17"/>
      <c r="S439" s="17"/>
      <c r="T439" s="686"/>
      <c r="U439" s="18">
        <f>РПЗ!P439</f>
        <v>43100.5</v>
      </c>
      <c r="V439" s="686"/>
      <c r="W439" s="236">
        <f>РПЗ!L439</f>
        <v>110000</v>
      </c>
      <c r="X439" s="689"/>
      <c r="Y439" s="689"/>
      <c r="Z439" s="690"/>
      <c r="AA439" s="691"/>
      <c r="AB439" s="111"/>
      <c r="AC439" s="17"/>
      <c r="AD439" s="690"/>
      <c r="AE439" s="686"/>
      <c r="AF439" s="474"/>
      <c r="AG439" s="692"/>
      <c r="AH439" s="236" t="str">
        <f>IF(Таблица5[[#This Row],[30]]=0,"НД",Таблица5[[#This Row],[20]]-Таблица5[[#This Row],[30]])</f>
        <v>НД</v>
      </c>
      <c r="AI439" s="511" t="str">
        <f>IF(((1-Таблица5[[#This Row],[30]]/Таблица5[[#This Row],[20]])=1),"НД",(1-Таблица5[[#This Row],[30]]/Таблица5[[#This Row],[20]]))</f>
        <v>НД</v>
      </c>
      <c r="AJ439" s="111"/>
      <c r="AK439" s="111"/>
      <c r="AL439" s="512"/>
      <c r="AM439" s="513"/>
      <c r="AN439" s="465"/>
      <c r="AO439" s="468" t="str">
        <f>РПЗ!AD439</f>
        <v>Нет</v>
      </c>
      <c r="AP439" s="472">
        <f>РПЗ!V439</f>
        <v>0</v>
      </c>
      <c r="AQ439" s="470">
        <f>IF(Таблица5[[#This Row],[11]]=0,,MONTH(Таблица5[[#This Row],[11]]))</f>
        <v>3</v>
      </c>
    </row>
    <row r="440" spans="1:43" ht="38.25" x14ac:dyDescent="0.25">
      <c r="A440" s="233" t="str">
        <f t="shared" si="7"/>
        <v>1004-2017-00425</v>
      </c>
      <c r="B440" s="233" t="str">
        <f>РПЗ!$D440</f>
        <v xml:space="preserve">1004-2017-00425Поставка Рабочее место герметизации          </v>
      </c>
      <c r="C440" s="233" t="str">
        <f>РПЗ!$AA440</f>
        <v>АО "НИИ "Полюс" им. М.Ф. Стельмаха" тел. отдела закупок 8-495-333-05-02</v>
      </c>
      <c r="D440" s="633" t="str">
        <f>РПЗ!$AB440</f>
        <v>Заказчик</v>
      </c>
      <c r="E440" s="96" t="s">
        <v>46</v>
      </c>
      <c r="F440" s="233" t="str">
        <f>РПЗ!Q440</f>
        <v>ОЗК</v>
      </c>
      <c r="G440" s="237"/>
      <c r="H440" s="237" t="str">
        <f>РПЗ!R440</f>
        <v>да</v>
      </c>
      <c r="I440" s="15">
        <f>РПЗ!W440</f>
        <v>0</v>
      </c>
      <c r="J440" s="233">
        <f>РПЗ!X440</f>
        <v>0</v>
      </c>
      <c r="K440" s="283">
        <f>РПЗ!Z440</f>
        <v>0</v>
      </c>
      <c r="L440" s="17"/>
      <c r="M440" s="18">
        <f>РПЗ!O440</f>
        <v>42795</v>
      </c>
      <c r="N440" s="238">
        <f>Таблица5[[#This Row],[10]]</f>
        <v>42795</v>
      </c>
      <c r="O440" s="17"/>
      <c r="P440" s="17"/>
      <c r="Q440" s="17"/>
      <c r="R440" s="17"/>
      <c r="S440" s="17"/>
      <c r="T440" s="686"/>
      <c r="U440" s="18">
        <f>РПЗ!P440</f>
        <v>43100.5</v>
      </c>
      <c r="V440" s="686"/>
      <c r="W440" s="236">
        <f>РПЗ!L440</f>
        <v>540600</v>
      </c>
      <c r="X440" s="689"/>
      <c r="Y440" s="689"/>
      <c r="Z440" s="690"/>
      <c r="AA440" s="691"/>
      <c r="AB440" s="111"/>
      <c r="AC440" s="17"/>
      <c r="AD440" s="690"/>
      <c r="AE440" s="686"/>
      <c r="AF440" s="474"/>
      <c r="AG440" s="692"/>
      <c r="AH440" s="236" t="str">
        <f>IF(Таблица5[[#This Row],[30]]=0,"НД",Таблица5[[#This Row],[20]]-Таблица5[[#This Row],[30]])</f>
        <v>НД</v>
      </c>
      <c r="AI440" s="511" t="str">
        <f>IF(((1-Таблица5[[#This Row],[30]]/Таблица5[[#This Row],[20]])=1),"НД",(1-Таблица5[[#This Row],[30]]/Таблица5[[#This Row],[20]]))</f>
        <v>НД</v>
      </c>
      <c r="AJ440" s="111"/>
      <c r="AK440" s="111"/>
      <c r="AL440" s="512"/>
      <c r="AM440" s="513"/>
      <c r="AN440" s="465"/>
      <c r="AO440" s="468" t="str">
        <f>РПЗ!AD440</f>
        <v>Нет</v>
      </c>
      <c r="AP440" s="472">
        <f>РПЗ!V440</f>
        <v>0</v>
      </c>
      <c r="AQ440" s="470">
        <f>IF(Таблица5[[#This Row],[11]]=0,,MONTH(Таблица5[[#This Row],[11]]))</f>
        <v>3</v>
      </c>
    </row>
    <row r="441" spans="1:43" ht="38.25" x14ac:dyDescent="0.25">
      <c r="A441" s="233" t="str">
        <f t="shared" si="7"/>
        <v>1004-2017-00426</v>
      </c>
      <c r="B441" s="233" t="str">
        <f>РПЗ!$D441</f>
        <v>1004-2017-00426Поставка Машина контактной сварки МРК-3501</v>
      </c>
      <c r="C441" s="233" t="str">
        <f>РПЗ!$AA441</f>
        <v>АО "НИИ "Полюс" им. М.Ф. Стельмаха" тел. отдела закупок 8-495-333-05-02</v>
      </c>
      <c r="D441" s="633" t="str">
        <f>РПЗ!$AB441</f>
        <v>Заказчик</v>
      </c>
      <c r="E441" s="510" t="s">
        <v>62</v>
      </c>
      <c r="F441" s="233" t="str">
        <f>РПЗ!Q441</f>
        <v>ОЗК</v>
      </c>
      <c r="G441" s="237" t="str">
        <f>Таблица5[[#This Row],[6]]</f>
        <v>ОЗК</v>
      </c>
      <c r="H441" s="237" t="str">
        <f>РПЗ!R441</f>
        <v>да</v>
      </c>
      <c r="I441" s="15">
        <f>РПЗ!W441</f>
        <v>0</v>
      </c>
      <c r="J441" s="233">
        <f>РПЗ!X441</f>
        <v>0</v>
      </c>
      <c r="K441" s="283">
        <f>РПЗ!Z441</f>
        <v>0</v>
      </c>
      <c r="L441" s="17">
        <v>42900</v>
      </c>
      <c r="M441" s="18">
        <f>РПЗ!O441</f>
        <v>42887</v>
      </c>
      <c r="N441" s="238">
        <f>Таблица5[[#This Row],[10]]</f>
        <v>42887</v>
      </c>
      <c r="O441" s="17">
        <v>42906</v>
      </c>
      <c r="P441" s="17">
        <v>42909</v>
      </c>
      <c r="Q441" s="17">
        <v>42909</v>
      </c>
      <c r="R441" s="17">
        <v>42909</v>
      </c>
      <c r="S441" s="17">
        <v>42909</v>
      </c>
      <c r="T441" s="686">
        <v>42928</v>
      </c>
      <c r="U441" s="18">
        <f>РПЗ!P441</f>
        <v>43100.5</v>
      </c>
      <c r="V441" s="686">
        <v>42948</v>
      </c>
      <c r="W441" s="236">
        <f>РПЗ!L441</f>
        <v>1500000</v>
      </c>
      <c r="X441" s="689">
        <v>1</v>
      </c>
      <c r="Y441" s="689">
        <v>0</v>
      </c>
      <c r="Z441" s="691">
        <v>5043057427</v>
      </c>
      <c r="AA441" s="691" t="s">
        <v>5073</v>
      </c>
      <c r="AB441" s="111">
        <v>1499999</v>
      </c>
      <c r="AC441" s="17">
        <v>42948</v>
      </c>
      <c r="AD441" s="690" t="s">
        <v>6467</v>
      </c>
      <c r="AE441" s="686">
        <v>42928</v>
      </c>
      <c r="AF441" s="474"/>
      <c r="AG441" s="692">
        <v>1499999</v>
      </c>
      <c r="AH441" s="236">
        <f>IF(Таблица5[[#This Row],[30]]=0,"НД",Таблица5[[#This Row],[20]]-Таблица5[[#This Row],[30]])</f>
        <v>1</v>
      </c>
      <c r="AI441" s="511">
        <f>IF(((1-Таблица5[[#This Row],[30]]/Таблица5[[#This Row],[20]])=1),"НД",(1-Таблица5[[#This Row],[30]]/Таблица5[[#This Row],[20]]))</f>
        <v>6.6666666664882968E-7</v>
      </c>
      <c r="AJ441" s="111">
        <v>1499999</v>
      </c>
      <c r="AK441" s="111"/>
      <c r="AL441" s="512"/>
      <c r="AM441" s="513" t="s">
        <v>113</v>
      </c>
      <c r="AN441" s="801">
        <v>31705220749</v>
      </c>
      <c r="AO441" s="468" t="str">
        <f>РПЗ!AD441</f>
        <v>Нет</v>
      </c>
      <c r="AP441" s="472">
        <f>РПЗ!V441</f>
        <v>0</v>
      </c>
      <c r="AQ441" s="470">
        <f>IF(Таблица5[[#This Row],[11]]=0,,MONTH(Таблица5[[#This Row],[11]]))</f>
        <v>6</v>
      </c>
    </row>
    <row r="442" spans="1:43" ht="39" thickBot="1" x14ac:dyDescent="0.3">
      <c r="A442" s="233" t="str">
        <f t="shared" si="7"/>
        <v>1004-2017-00427</v>
      </c>
      <c r="B442" s="233" t="str">
        <f>РПЗ!$D442</f>
        <v xml:space="preserve">1004-2017-00427Поставка Шкаф сушильный вакуумный СНВС-25/3,5В      </v>
      </c>
      <c r="C442" s="233" t="str">
        <f>РПЗ!$AA442</f>
        <v>АО "НИИ "Полюс" им. М.Ф. Стельмаха" тел. отдела закупок 8-495-333-05-02</v>
      </c>
      <c r="D442" s="633" t="str">
        <f>РПЗ!$AB442</f>
        <v>Заказчик</v>
      </c>
      <c r="E442" s="510" t="s">
        <v>62</v>
      </c>
      <c r="F442" s="233" t="str">
        <f>РПЗ!Q442</f>
        <v>ОЗК</v>
      </c>
      <c r="G442" s="237" t="s">
        <v>108</v>
      </c>
      <c r="H442" s="237" t="str">
        <f>РПЗ!R442</f>
        <v>да</v>
      </c>
      <c r="I442" s="15">
        <f>РПЗ!W442</f>
        <v>0</v>
      </c>
      <c r="J442" s="233">
        <f>РПЗ!X442</f>
        <v>0</v>
      </c>
      <c r="K442" s="283">
        <f>РПЗ!Z442</f>
        <v>0</v>
      </c>
      <c r="L442" s="17">
        <v>42892</v>
      </c>
      <c r="M442" s="18">
        <f>РПЗ!O442</f>
        <v>42887</v>
      </c>
      <c r="N442" s="238">
        <f>Таблица5[[#This Row],[10]]</f>
        <v>42887</v>
      </c>
      <c r="O442" s="17">
        <v>42900</v>
      </c>
      <c r="P442" s="17">
        <v>42906</v>
      </c>
      <c r="Q442" s="17">
        <v>42906</v>
      </c>
      <c r="R442" s="17">
        <v>42900</v>
      </c>
      <c r="S442" s="17">
        <v>42900</v>
      </c>
      <c r="T442" s="686">
        <v>42916</v>
      </c>
      <c r="U442" s="18">
        <f>РПЗ!P442</f>
        <v>43100.5</v>
      </c>
      <c r="V442" s="686">
        <v>42948</v>
      </c>
      <c r="W442" s="236">
        <f>РПЗ!L442</f>
        <v>627800</v>
      </c>
      <c r="X442" s="689">
        <v>1</v>
      </c>
      <c r="Y442" s="689">
        <v>0</v>
      </c>
      <c r="Z442" s="691">
        <v>7105513147</v>
      </c>
      <c r="AA442" s="691" t="s">
        <v>5949</v>
      </c>
      <c r="AB442" s="111">
        <v>627800</v>
      </c>
      <c r="AC442" s="17">
        <v>42948</v>
      </c>
      <c r="AD442" s="690" t="s">
        <v>6120</v>
      </c>
      <c r="AE442" s="686">
        <v>42916</v>
      </c>
      <c r="AF442" s="474"/>
      <c r="AG442" s="692">
        <v>627800</v>
      </c>
      <c r="AH442" s="236">
        <f>IF(Таблица5[[#This Row],[30]]=0,"НД",Таблица5[[#This Row],[20]]-Таблица5[[#This Row],[30]])</f>
        <v>0</v>
      </c>
      <c r="AI442" s="511">
        <f>IF(((1-Таблица5[[#This Row],[30]]/Таблица5[[#This Row],[20]])=1),"НД",(1-Таблица5[[#This Row],[30]]/Таблица5[[#This Row],[20]]))</f>
        <v>0</v>
      </c>
      <c r="AJ442" s="111">
        <v>627800</v>
      </c>
      <c r="AK442" s="111"/>
      <c r="AL442" s="512"/>
      <c r="AM442" s="513" t="s">
        <v>113</v>
      </c>
      <c r="AN442" s="801">
        <v>31705192108</v>
      </c>
      <c r="AO442" s="468" t="str">
        <f>РПЗ!AD442</f>
        <v>Нет</v>
      </c>
      <c r="AP442" s="472">
        <f>РПЗ!V442</f>
        <v>0</v>
      </c>
      <c r="AQ442" s="470">
        <f>IF(Таблица5[[#This Row],[11]]=0,,MONTH(Таблица5[[#This Row],[11]]))</f>
        <v>6</v>
      </c>
    </row>
    <row r="443" spans="1:43" ht="51.75" thickBot="1" x14ac:dyDescent="0.3">
      <c r="A443" s="233" t="str">
        <f t="shared" si="7"/>
        <v>1004-2017-00428</v>
      </c>
      <c r="B443" s="233" t="str">
        <f>РПЗ!$D443</f>
        <v>1004-2017-00428Модернизация установок для сварки расщепленным электродом "Контакт-3А". 4 шт</v>
      </c>
      <c r="C443" s="233" t="str">
        <f>РПЗ!$AA443</f>
        <v>АО "НИИ "Полюс" им. М.Ф. Стельмаха" тел. отдела закупок 8-495-333-05-02</v>
      </c>
      <c r="D443" s="633" t="str">
        <f>РПЗ!$AB443</f>
        <v>Заказчик</v>
      </c>
      <c r="E443" s="96" t="s">
        <v>46</v>
      </c>
      <c r="F443" s="233" t="str">
        <f>РПЗ!Q443</f>
        <v>ОЗК</v>
      </c>
      <c r="G443" s="237"/>
      <c r="H443" s="237" t="str">
        <f>РПЗ!R443</f>
        <v>да</v>
      </c>
      <c r="I443" s="15">
        <f>РПЗ!W443</f>
        <v>0</v>
      </c>
      <c r="J443" s="233">
        <f>РПЗ!X443</f>
        <v>0</v>
      </c>
      <c r="K443" s="283">
        <f>РПЗ!Z443</f>
        <v>0</v>
      </c>
      <c r="L443" s="17"/>
      <c r="M443" s="18">
        <f>РПЗ!O443</f>
        <v>42736.5</v>
      </c>
      <c r="N443" s="238">
        <f>Таблица5[[#This Row],[10]]</f>
        <v>42736.5</v>
      </c>
      <c r="O443" s="17"/>
      <c r="P443" s="17"/>
      <c r="Q443" s="17"/>
      <c r="R443" s="17"/>
      <c r="S443" s="17"/>
      <c r="T443" s="686"/>
      <c r="U443" s="18">
        <f>РПЗ!P443</f>
        <v>43100.5</v>
      </c>
      <c r="V443" s="686"/>
      <c r="W443" s="236">
        <f>РПЗ!L443</f>
        <v>1800000</v>
      </c>
      <c r="X443" s="689"/>
      <c r="Y443" s="689"/>
      <c r="Z443" s="690"/>
      <c r="AA443" s="691"/>
      <c r="AB443" s="111"/>
      <c r="AC443" s="17"/>
      <c r="AD443" s="690"/>
      <c r="AE443" s="686"/>
      <c r="AF443" s="474"/>
      <c r="AG443" s="692"/>
      <c r="AH443" s="236" t="str">
        <f>IF(Таблица5[[#This Row],[30]]=0,"НД",Таблица5[[#This Row],[20]]-Таблица5[[#This Row],[30]])</f>
        <v>НД</v>
      </c>
      <c r="AI443" s="511" t="str">
        <f>IF(((1-Таблица5[[#This Row],[30]]/Таблица5[[#This Row],[20]])=1),"НД",(1-Таблица5[[#This Row],[30]]/Таблица5[[#This Row],[20]]))</f>
        <v>НД</v>
      </c>
      <c r="AJ443" s="111"/>
      <c r="AK443" s="111"/>
      <c r="AL443" s="512"/>
      <c r="AM443" s="513"/>
      <c r="AN443" s="465"/>
      <c r="AO443" s="468" t="str">
        <f>РПЗ!AD443</f>
        <v>Нет</v>
      </c>
      <c r="AP443" s="472">
        <f>РПЗ!V443</f>
        <v>0</v>
      </c>
      <c r="AQ443" s="470">
        <f>IF(Таблица5[[#This Row],[11]]=0,,MONTH(Таблица5[[#This Row],[11]]))</f>
        <v>1</v>
      </c>
    </row>
    <row r="444" spans="1:43" ht="51.75" thickBot="1" x14ac:dyDescent="0.3">
      <c r="A444" s="233" t="str">
        <f t="shared" si="7"/>
        <v>1004-2017-00429</v>
      </c>
      <c r="B444" s="233" t="str">
        <f>РПЗ!$D444</f>
        <v xml:space="preserve">1004-2017-00429Поставка Установка вакуумной пайки с большим реактором и смещаемым нагревателем VLO-6   </v>
      </c>
      <c r="C444" s="233" t="str">
        <f>РПЗ!$AA444</f>
        <v>АО "НИИ "Полюс" им. М.Ф. Стельмаха" тел. отдела закупок 8-495-333-05-02</v>
      </c>
      <c r="D444" s="633" t="str">
        <f>РПЗ!$AB444</f>
        <v>Заказчик</v>
      </c>
      <c r="E444" s="96" t="s">
        <v>46</v>
      </c>
      <c r="F444" s="233" t="str">
        <f>РПЗ!Q444</f>
        <v>ОЗК</v>
      </c>
      <c r="G444" s="237"/>
      <c r="H444" s="237" t="str">
        <f>РПЗ!R444</f>
        <v>да</v>
      </c>
      <c r="I444" s="15">
        <f>РПЗ!W444</f>
        <v>0</v>
      </c>
      <c r="J444" s="233">
        <f>РПЗ!X444</f>
        <v>0</v>
      </c>
      <c r="K444" s="283">
        <f>РПЗ!Z444</f>
        <v>0</v>
      </c>
      <c r="L444" s="17"/>
      <c r="M444" s="18">
        <f>РПЗ!O444</f>
        <v>42736.5</v>
      </c>
      <c r="N444" s="238">
        <f>Таблица5[[#This Row],[10]]</f>
        <v>42736.5</v>
      </c>
      <c r="O444" s="17"/>
      <c r="P444" s="17"/>
      <c r="Q444" s="17"/>
      <c r="R444" s="17"/>
      <c r="S444" s="17"/>
      <c r="T444" s="686"/>
      <c r="U444" s="18">
        <f>РПЗ!P444</f>
        <v>43100.5</v>
      </c>
      <c r="V444" s="686"/>
      <c r="W444" s="236">
        <f>РПЗ!L444</f>
        <v>13000000</v>
      </c>
      <c r="X444" s="689"/>
      <c r="Y444" s="689"/>
      <c r="Z444" s="690"/>
      <c r="AA444" s="691"/>
      <c r="AB444" s="111"/>
      <c r="AC444" s="17"/>
      <c r="AD444" s="690"/>
      <c r="AE444" s="686"/>
      <c r="AF444" s="474"/>
      <c r="AG444" s="692"/>
      <c r="AH444" s="236" t="str">
        <f>IF(Таблица5[[#This Row],[30]]=0,"НД",Таблица5[[#This Row],[20]]-Таблица5[[#This Row],[30]])</f>
        <v>НД</v>
      </c>
      <c r="AI444" s="511" t="str">
        <f>IF(((1-Таблица5[[#This Row],[30]]/Таблица5[[#This Row],[20]])=1),"НД",(1-Таблица5[[#This Row],[30]]/Таблица5[[#This Row],[20]]))</f>
        <v>НД</v>
      </c>
      <c r="AJ444" s="111"/>
      <c r="AK444" s="111"/>
      <c r="AL444" s="512"/>
      <c r="AM444" s="513"/>
      <c r="AN444" s="465"/>
      <c r="AO444" s="468" t="str">
        <f>РПЗ!AD444</f>
        <v>Нет</v>
      </c>
      <c r="AP444" s="472">
        <f>РПЗ!V444</f>
        <v>0</v>
      </c>
      <c r="AQ444" s="470">
        <f>IF(Таблица5[[#This Row],[11]]=0,,MONTH(Таблица5[[#This Row],[11]]))</f>
        <v>1</v>
      </c>
    </row>
    <row r="445" spans="1:43" ht="51.75" thickBot="1" x14ac:dyDescent="0.3">
      <c r="A445" s="233" t="str">
        <f t="shared" si="7"/>
        <v>1004-2017-00430</v>
      </c>
      <c r="B445" s="233" t="str">
        <f>РПЗ!$D445</f>
        <v>1004-2017-00430Поставка Шкаф вытяжной модульный универсальный для сборочных операций 14 шт.</v>
      </c>
      <c r="C445" s="233" t="str">
        <f>РПЗ!$AA445</f>
        <v>АО "НИИ "Полюс" им. М.Ф. Стельмаха" тел. отдела закупок 8-495-333-05-02</v>
      </c>
      <c r="D445" s="633" t="str">
        <f>РПЗ!$AB445</f>
        <v>Заказчик</v>
      </c>
      <c r="E445" s="96" t="s">
        <v>46</v>
      </c>
      <c r="F445" s="233" t="str">
        <f>РПЗ!Q445</f>
        <v>ОЗК</v>
      </c>
      <c r="G445" s="237"/>
      <c r="H445" s="237" t="str">
        <f>РПЗ!R445</f>
        <v>да</v>
      </c>
      <c r="I445" s="15">
        <f>РПЗ!W445</f>
        <v>0</v>
      </c>
      <c r="J445" s="233">
        <f>РПЗ!X445</f>
        <v>0</v>
      </c>
      <c r="K445" s="283">
        <f>РПЗ!Z445</f>
        <v>0</v>
      </c>
      <c r="L445" s="17"/>
      <c r="M445" s="18">
        <f>РПЗ!O445</f>
        <v>42736.5</v>
      </c>
      <c r="N445" s="238">
        <f>Таблица5[[#This Row],[10]]</f>
        <v>42736.5</v>
      </c>
      <c r="O445" s="17"/>
      <c r="P445" s="17"/>
      <c r="Q445" s="17"/>
      <c r="R445" s="17"/>
      <c r="S445" s="17"/>
      <c r="T445" s="686"/>
      <c r="U445" s="18">
        <f>РПЗ!P445</f>
        <v>43100.5</v>
      </c>
      <c r="V445" s="686"/>
      <c r="W445" s="236">
        <f>РПЗ!L445</f>
        <v>1250000</v>
      </c>
      <c r="X445" s="689"/>
      <c r="Y445" s="689"/>
      <c r="Z445" s="690"/>
      <c r="AA445" s="691"/>
      <c r="AB445" s="111"/>
      <c r="AC445" s="17"/>
      <c r="AD445" s="690"/>
      <c r="AE445" s="686"/>
      <c r="AF445" s="474"/>
      <c r="AG445" s="692"/>
      <c r="AH445" s="236" t="str">
        <f>IF(Таблица5[[#This Row],[30]]=0,"НД",Таблица5[[#This Row],[20]]-Таблица5[[#This Row],[30]])</f>
        <v>НД</v>
      </c>
      <c r="AI445" s="511" t="str">
        <f>IF(((1-Таблица5[[#This Row],[30]]/Таблица5[[#This Row],[20]])=1),"НД",(1-Таблица5[[#This Row],[30]]/Таблица5[[#This Row],[20]]))</f>
        <v>НД</v>
      </c>
      <c r="AJ445" s="111"/>
      <c r="AK445" s="111"/>
      <c r="AL445" s="512"/>
      <c r="AM445" s="513"/>
      <c r="AN445" s="465"/>
      <c r="AO445" s="468" t="str">
        <f>РПЗ!AD445</f>
        <v>Нет</v>
      </c>
      <c r="AP445" s="472">
        <f>РПЗ!V445</f>
        <v>0</v>
      </c>
      <c r="AQ445" s="470">
        <f>IF(Таблица5[[#This Row],[11]]=0,,MONTH(Таблица5[[#This Row],[11]]))</f>
        <v>1</v>
      </c>
    </row>
    <row r="446" spans="1:43" ht="51.75" thickBot="1" x14ac:dyDescent="0.3">
      <c r="A446" s="233" t="str">
        <f t="shared" si="7"/>
        <v>1004-2017-00431</v>
      </c>
      <c r="B446" s="233" t="str">
        <f>РПЗ!$D446</f>
        <v xml:space="preserve">1004-2017-00431Поставка Установка электронно-лучевого напыления оптических покрытий с ионным ассистированием  Ortus-700         </v>
      </c>
      <c r="C446" s="233" t="str">
        <f>РПЗ!$AA446</f>
        <v>АО "НИИ "Полюс" им. М.Ф. Стельмаха" тел. отдела закупок 8-495-333-05-02</v>
      </c>
      <c r="D446" s="633" t="str">
        <f>РПЗ!$AB446</f>
        <v>Заказчик</v>
      </c>
      <c r="E446" s="96" t="s">
        <v>46</v>
      </c>
      <c r="F446" s="233" t="str">
        <f>РПЗ!Q446</f>
        <v>ОЗК</v>
      </c>
      <c r="G446" s="237"/>
      <c r="H446" s="237" t="str">
        <f>РПЗ!R446</f>
        <v>да</v>
      </c>
      <c r="I446" s="15">
        <f>РПЗ!W446</f>
        <v>0</v>
      </c>
      <c r="J446" s="233">
        <f>РПЗ!X446</f>
        <v>0</v>
      </c>
      <c r="K446" s="283">
        <f>РПЗ!Z446</f>
        <v>0</v>
      </c>
      <c r="L446" s="17"/>
      <c r="M446" s="18">
        <f>РПЗ!O446</f>
        <v>42736.5</v>
      </c>
      <c r="N446" s="238">
        <f>Таблица5[[#This Row],[10]]</f>
        <v>42736.5</v>
      </c>
      <c r="O446" s="17"/>
      <c r="P446" s="17"/>
      <c r="Q446" s="17"/>
      <c r="R446" s="17"/>
      <c r="S446" s="17"/>
      <c r="T446" s="686"/>
      <c r="U446" s="18">
        <f>РПЗ!P446</f>
        <v>43100.5</v>
      </c>
      <c r="V446" s="686"/>
      <c r="W446" s="236">
        <f>РПЗ!L446</f>
        <v>30990000</v>
      </c>
      <c r="X446" s="689"/>
      <c r="Y446" s="689"/>
      <c r="Z446" s="690"/>
      <c r="AA446" s="691"/>
      <c r="AB446" s="111"/>
      <c r="AC446" s="17"/>
      <c r="AD446" s="690"/>
      <c r="AE446" s="686"/>
      <c r="AF446" s="474"/>
      <c r="AG446" s="692"/>
      <c r="AH446" s="236" t="str">
        <f>IF(Таблица5[[#This Row],[30]]=0,"НД",Таблица5[[#This Row],[20]]-Таблица5[[#This Row],[30]])</f>
        <v>НД</v>
      </c>
      <c r="AI446" s="511" t="str">
        <f>IF(((1-Таблица5[[#This Row],[30]]/Таблица5[[#This Row],[20]])=1),"НД",(1-Таблица5[[#This Row],[30]]/Таблица5[[#This Row],[20]]))</f>
        <v>НД</v>
      </c>
      <c r="AJ446" s="111"/>
      <c r="AK446" s="111"/>
      <c r="AL446" s="512"/>
      <c r="AM446" s="513"/>
      <c r="AN446" s="465"/>
      <c r="AO446" s="468" t="str">
        <f>РПЗ!AD446</f>
        <v>Нет</v>
      </c>
      <c r="AP446" s="472">
        <f>РПЗ!V446</f>
        <v>0</v>
      </c>
      <c r="AQ446" s="470">
        <f>IF(Таблица5[[#This Row],[11]]=0,,MONTH(Таблица5[[#This Row],[11]]))</f>
        <v>1</v>
      </c>
    </row>
    <row r="447" spans="1:43" ht="39" thickBot="1" x14ac:dyDescent="0.3">
      <c r="A447" s="233" t="str">
        <f t="shared" si="7"/>
        <v>1004-2017-00432</v>
      </c>
      <c r="B447" s="233" t="str">
        <f>РПЗ!$D447</f>
        <v xml:space="preserve">1004-2017-00432Поставка Установка химико-механической полировки Logittech PM-5            </v>
      </c>
      <c r="C447" s="233" t="str">
        <f>РПЗ!$AA447</f>
        <v>АО "НИИ "Полюс" им. М.Ф. Стельмаха" тел. отдела закупок 8-495-333-05-02</v>
      </c>
      <c r="D447" s="633" t="str">
        <f>РПЗ!$AB447</f>
        <v>Заказчик</v>
      </c>
      <c r="E447" s="96" t="s">
        <v>46</v>
      </c>
      <c r="F447" s="233" t="str">
        <f>РПЗ!Q447</f>
        <v>ОЗК</v>
      </c>
      <c r="G447" s="237"/>
      <c r="H447" s="237" t="str">
        <f>РПЗ!R447</f>
        <v>да</v>
      </c>
      <c r="I447" s="15">
        <f>РПЗ!W447</f>
        <v>0</v>
      </c>
      <c r="J447" s="233">
        <f>РПЗ!X447</f>
        <v>0</v>
      </c>
      <c r="K447" s="283">
        <f>РПЗ!Z447</f>
        <v>0</v>
      </c>
      <c r="L447" s="17"/>
      <c r="M447" s="18">
        <f>РПЗ!O447</f>
        <v>42736.5</v>
      </c>
      <c r="N447" s="238">
        <f>Таблица5[[#This Row],[10]]</f>
        <v>42736.5</v>
      </c>
      <c r="O447" s="17"/>
      <c r="P447" s="17"/>
      <c r="Q447" s="17"/>
      <c r="R447" s="17"/>
      <c r="S447" s="17"/>
      <c r="T447" s="686"/>
      <c r="U447" s="18">
        <f>РПЗ!P447</f>
        <v>43100.5</v>
      </c>
      <c r="V447" s="686"/>
      <c r="W447" s="236">
        <f>РПЗ!L447</f>
        <v>11000000</v>
      </c>
      <c r="X447" s="689"/>
      <c r="Y447" s="689"/>
      <c r="Z447" s="690"/>
      <c r="AA447" s="691"/>
      <c r="AB447" s="111"/>
      <c r="AC447" s="17"/>
      <c r="AD447" s="690"/>
      <c r="AE447" s="686"/>
      <c r="AF447" s="474"/>
      <c r="AG447" s="692"/>
      <c r="AH447" s="236" t="str">
        <f>IF(Таблица5[[#This Row],[30]]=0,"НД",Таблица5[[#This Row],[20]]-Таблица5[[#This Row],[30]])</f>
        <v>НД</v>
      </c>
      <c r="AI447" s="511" t="str">
        <f>IF(((1-Таблица5[[#This Row],[30]]/Таблица5[[#This Row],[20]])=1),"НД",(1-Таблица5[[#This Row],[30]]/Таблица5[[#This Row],[20]]))</f>
        <v>НД</v>
      </c>
      <c r="AJ447" s="111"/>
      <c r="AK447" s="111"/>
      <c r="AL447" s="512"/>
      <c r="AM447" s="513"/>
      <c r="AN447" s="465"/>
      <c r="AO447" s="468" t="str">
        <f>РПЗ!AD447</f>
        <v>Нет</v>
      </c>
      <c r="AP447" s="472">
        <f>РПЗ!V447</f>
        <v>0</v>
      </c>
      <c r="AQ447" s="470">
        <f>IF(Таблица5[[#This Row],[11]]=0,,MONTH(Таблица5[[#This Row],[11]]))</f>
        <v>1</v>
      </c>
    </row>
    <row r="448" spans="1:43" ht="51.75" thickBot="1" x14ac:dyDescent="0.3">
      <c r="A448" s="233" t="str">
        <f t="shared" si="7"/>
        <v>1004-2017-00433</v>
      </c>
      <c r="B448" s="233" t="str">
        <f>РПЗ!$D448</f>
        <v xml:space="preserve">1004-2017-00433Поставка Лабораторный стол с боксом с ламинарным потоком Purifier Clean Bench </v>
      </c>
      <c r="C448" s="233" t="str">
        <f>РПЗ!$AA448</f>
        <v>АО "НИИ "Полюс" им. М.Ф. Стельмаха" тел. отдела закупок 8-495-333-05-02</v>
      </c>
      <c r="D448" s="633" t="str">
        <f>РПЗ!$AB448</f>
        <v>Заказчик</v>
      </c>
      <c r="E448" s="96" t="s">
        <v>46</v>
      </c>
      <c r="F448" s="233" t="str">
        <f>РПЗ!Q448</f>
        <v>ОЗК</v>
      </c>
      <c r="G448" s="237"/>
      <c r="H448" s="237" t="str">
        <f>РПЗ!R448</f>
        <v>да</v>
      </c>
      <c r="I448" s="15">
        <f>РПЗ!W448</f>
        <v>0</v>
      </c>
      <c r="J448" s="233">
        <f>РПЗ!X448</f>
        <v>0</v>
      </c>
      <c r="K448" s="283">
        <f>РПЗ!Z448</f>
        <v>0</v>
      </c>
      <c r="L448" s="17"/>
      <c r="M448" s="18">
        <f>РПЗ!O448</f>
        <v>42736.5</v>
      </c>
      <c r="N448" s="238">
        <f>Таблица5[[#This Row],[10]]</f>
        <v>42736.5</v>
      </c>
      <c r="O448" s="17"/>
      <c r="P448" s="17"/>
      <c r="Q448" s="17"/>
      <c r="R448" s="17"/>
      <c r="S448" s="17"/>
      <c r="T448" s="686"/>
      <c r="U448" s="18">
        <f>РПЗ!P448</f>
        <v>43100.5</v>
      </c>
      <c r="V448" s="686"/>
      <c r="W448" s="236">
        <f>РПЗ!L448</f>
        <v>290000</v>
      </c>
      <c r="X448" s="689"/>
      <c r="Y448" s="689"/>
      <c r="Z448" s="690"/>
      <c r="AA448" s="691"/>
      <c r="AB448" s="111"/>
      <c r="AC448" s="17"/>
      <c r="AD448" s="690"/>
      <c r="AE448" s="686"/>
      <c r="AF448" s="474"/>
      <c r="AG448" s="692"/>
      <c r="AH448" s="236" t="str">
        <f>IF(Таблица5[[#This Row],[30]]=0,"НД",Таблица5[[#This Row],[20]]-Таблица5[[#This Row],[30]])</f>
        <v>НД</v>
      </c>
      <c r="AI448" s="511" t="str">
        <f>IF(((1-Таблица5[[#This Row],[30]]/Таблица5[[#This Row],[20]])=1),"НД",(1-Таблица5[[#This Row],[30]]/Таблица5[[#This Row],[20]]))</f>
        <v>НД</v>
      </c>
      <c r="AJ448" s="111"/>
      <c r="AK448" s="111"/>
      <c r="AL448" s="512"/>
      <c r="AM448" s="513"/>
      <c r="AN448" s="465"/>
      <c r="AO448" s="468" t="str">
        <f>РПЗ!AD448</f>
        <v>Нет</v>
      </c>
      <c r="AP448" s="472">
        <f>РПЗ!V448</f>
        <v>0</v>
      </c>
      <c r="AQ448" s="470">
        <f>IF(Таблица5[[#This Row],[11]]=0,,MONTH(Таблица5[[#This Row],[11]]))</f>
        <v>1</v>
      </c>
    </row>
    <row r="449" spans="1:43" ht="39" thickBot="1" x14ac:dyDescent="0.3">
      <c r="A449" s="233" t="str">
        <f t="shared" si="7"/>
        <v>1004-2017-00434</v>
      </c>
      <c r="B449" s="233" t="str">
        <f>РПЗ!$D449</f>
        <v>1004-2017-00434Поставка Шкафы газобалонные для установки ионно-химического травления</v>
      </c>
      <c r="C449" s="233" t="str">
        <f>РПЗ!$AA449</f>
        <v>АО "НИИ "Полюс" им. М.Ф. Стельмаха" тел. отдела закупок 8-495-333-05-02</v>
      </c>
      <c r="D449" s="633" t="str">
        <f>РПЗ!$AB449</f>
        <v>Заказчик</v>
      </c>
      <c r="E449" s="96" t="s">
        <v>46</v>
      </c>
      <c r="F449" s="233" t="str">
        <f>РПЗ!Q449</f>
        <v>ОК</v>
      </c>
      <c r="G449" s="237"/>
      <c r="H449" s="237" t="str">
        <f>РПЗ!R449</f>
        <v>да</v>
      </c>
      <c r="I449" s="15">
        <f>РПЗ!W449</f>
        <v>0</v>
      </c>
      <c r="J449" s="233">
        <f>РПЗ!X449</f>
        <v>0</v>
      </c>
      <c r="K449" s="283">
        <f>РПЗ!Z449</f>
        <v>0</v>
      </c>
      <c r="L449" s="17"/>
      <c r="M449" s="18">
        <f>РПЗ!O449</f>
        <v>42736.5</v>
      </c>
      <c r="N449" s="238">
        <f>Таблица5[[#This Row],[10]]</f>
        <v>42736.5</v>
      </c>
      <c r="O449" s="17"/>
      <c r="P449" s="17"/>
      <c r="Q449" s="17"/>
      <c r="R449" s="17"/>
      <c r="S449" s="17"/>
      <c r="T449" s="686"/>
      <c r="U449" s="18">
        <f>РПЗ!P449</f>
        <v>43100.5</v>
      </c>
      <c r="V449" s="686"/>
      <c r="W449" s="236">
        <f>РПЗ!L449</f>
        <v>1600000</v>
      </c>
      <c r="X449" s="689"/>
      <c r="Y449" s="689"/>
      <c r="Z449" s="690"/>
      <c r="AA449" s="691"/>
      <c r="AB449" s="111"/>
      <c r="AC449" s="17"/>
      <c r="AD449" s="690"/>
      <c r="AE449" s="686"/>
      <c r="AF449" s="474"/>
      <c r="AG449" s="692"/>
      <c r="AH449" s="236" t="str">
        <f>IF(Таблица5[[#This Row],[30]]=0,"НД",Таблица5[[#This Row],[20]]-Таблица5[[#This Row],[30]])</f>
        <v>НД</v>
      </c>
      <c r="AI449" s="511" t="str">
        <f>IF(((1-Таблица5[[#This Row],[30]]/Таблица5[[#This Row],[20]])=1),"НД",(1-Таблица5[[#This Row],[30]]/Таблица5[[#This Row],[20]]))</f>
        <v>НД</v>
      </c>
      <c r="AJ449" s="111"/>
      <c r="AK449" s="111"/>
      <c r="AL449" s="512"/>
      <c r="AM449" s="513"/>
      <c r="AN449" s="465"/>
      <c r="AO449" s="468" t="str">
        <f>РПЗ!AD449</f>
        <v>Нет</v>
      </c>
      <c r="AP449" s="472">
        <f>РПЗ!V449</f>
        <v>0</v>
      </c>
      <c r="AQ449" s="470">
        <f>IF(Таблица5[[#This Row],[11]]=0,,MONTH(Таблица5[[#This Row],[11]]))</f>
        <v>1</v>
      </c>
    </row>
    <row r="450" spans="1:43" ht="39" thickBot="1" x14ac:dyDescent="0.3">
      <c r="A450" s="233" t="str">
        <f t="shared" si="7"/>
        <v>1004-2017-00435</v>
      </c>
      <c r="B450" s="233" t="str">
        <f>РПЗ!$D450</f>
        <v>1004-2017-00435Поставка Шкафы газобалонные для установки ионно-химического травления</v>
      </c>
      <c r="C450" s="233" t="str">
        <f>РПЗ!$AA450</f>
        <v>АО "НИИ "Полюс" им. М.Ф. Стельмаха" тел. отдела закупок 8-495-333-05-02</v>
      </c>
      <c r="D450" s="633" t="str">
        <f>РПЗ!$AB450</f>
        <v>Заказчик</v>
      </c>
      <c r="E450" s="96" t="s">
        <v>46</v>
      </c>
      <c r="F450" s="233" t="str">
        <f>РПЗ!Q450</f>
        <v>ОЗК</v>
      </c>
      <c r="G450" s="237"/>
      <c r="H450" s="237" t="str">
        <f>РПЗ!R450</f>
        <v>да</v>
      </c>
      <c r="I450" s="15">
        <f>РПЗ!W450</f>
        <v>0</v>
      </c>
      <c r="J450" s="233">
        <f>РПЗ!X450</f>
        <v>0</v>
      </c>
      <c r="K450" s="283">
        <f>РПЗ!Z450</f>
        <v>0</v>
      </c>
      <c r="L450" s="17"/>
      <c r="M450" s="18">
        <f>РПЗ!O450</f>
        <v>42736.5</v>
      </c>
      <c r="N450" s="238">
        <f>Таблица5[[#This Row],[10]]</f>
        <v>42736.5</v>
      </c>
      <c r="O450" s="17"/>
      <c r="P450" s="17"/>
      <c r="Q450" s="17"/>
      <c r="R450" s="17"/>
      <c r="S450" s="17"/>
      <c r="T450" s="686"/>
      <c r="U450" s="18">
        <f>РПЗ!P450</f>
        <v>43100.5</v>
      </c>
      <c r="V450" s="686"/>
      <c r="W450" s="236">
        <f>РПЗ!L450</f>
        <v>1600000</v>
      </c>
      <c r="X450" s="689"/>
      <c r="Y450" s="689"/>
      <c r="Z450" s="690"/>
      <c r="AA450" s="691"/>
      <c r="AB450" s="111"/>
      <c r="AC450" s="17"/>
      <c r="AD450" s="690"/>
      <c r="AE450" s="686"/>
      <c r="AF450" s="474"/>
      <c r="AG450" s="692"/>
      <c r="AH450" s="236" t="str">
        <f>IF(Таблица5[[#This Row],[30]]=0,"НД",Таблица5[[#This Row],[20]]-Таблица5[[#This Row],[30]])</f>
        <v>НД</v>
      </c>
      <c r="AI450" s="511" t="str">
        <f>IF(((1-Таблица5[[#This Row],[30]]/Таблица5[[#This Row],[20]])=1),"НД",(1-Таблица5[[#This Row],[30]]/Таблица5[[#This Row],[20]]))</f>
        <v>НД</v>
      </c>
      <c r="AJ450" s="111"/>
      <c r="AK450" s="111"/>
      <c r="AL450" s="512"/>
      <c r="AM450" s="513"/>
      <c r="AN450" s="465"/>
      <c r="AO450" s="468" t="str">
        <f>РПЗ!AD450</f>
        <v>Нет</v>
      </c>
      <c r="AP450" s="472">
        <f>РПЗ!V450</f>
        <v>0</v>
      </c>
      <c r="AQ450" s="470">
        <f>IF(Таблица5[[#This Row],[11]]=0,,MONTH(Таблица5[[#This Row],[11]]))</f>
        <v>1</v>
      </c>
    </row>
    <row r="451" spans="1:43" ht="51.75" thickBot="1" x14ac:dyDescent="0.3">
      <c r="A451" s="233" t="str">
        <f t="shared" si="7"/>
        <v>1004-2017-00436</v>
      </c>
      <c r="B451" s="233" t="str">
        <f>РПЗ!$D451</f>
        <v xml:space="preserve">1004-2017-00436Поставка Лабораторный стол с боксом с ламинарным потоком Purifier Clean Bench </v>
      </c>
      <c r="C451" s="233" t="str">
        <f>РПЗ!$AA451</f>
        <v>АО "НИИ "Полюс" им. М.Ф. Стельмаха" тел. отдела закупок 8-495-333-05-02</v>
      </c>
      <c r="D451" s="633" t="str">
        <f>РПЗ!$AB451</f>
        <v>Заказчик</v>
      </c>
      <c r="E451" s="96" t="s">
        <v>46</v>
      </c>
      <c r="F451" s="233" t="str">
        <f>РПЗ!Q451</f>
        <v>ОК</v>
      </c>
      <c r="G451" s="237"/>
      <c r="H451" s="237" t="str">
        <f>РПЗ!R451</f>
        <v>да</v>
      </c>
      <c r="I451" s="15">
        <f>РПЗ!W451</f>
        <v>0</v>
      </c>
      <c r="J451" s="233">
        <f>РПЗ!X451</f>
        <v>0</v>
      </c>
      <c r="K451" s="283">
        <f>РПЗ!Z451</f>
        <v>0</v>
      </c>
      <c r="L451" s="17"/>
      <c r="M451" s="18">
        <f>РПЗ!O451</f>
        <v>42736.5</v>
      </c>
      <c r="N451" s="238">
        <f>Таблица5[[#This Row],[10]]</f>
        <v>42736.5</v>
      </c>
      <c r="O451" s="17"/>
      <c r="P451" s="17"/>
      <c r="Q451" s="17"/>
      <c r="R451" s="17"/>
      <c r="S451" s="17"/>
      <c r="T451" s="686"/>
      <c r="U451" s="18">
        <f>РПЗ!P451</f>
        <v>43100.5</v>
      </c>
      <c r="V451" s="686"/>
      <c r="W451" s="236">
        <f>РПЗ!L451</f>
        <v>290000</v>
      </c>
      <c r="X451" s="689"/>
      <c r="Y451" s="689"/>
      <c r="Z451" s="690"/>
      <c r="AA451" s="691"/>
      <c r="AB451" s="111"/>
      <c r="AC451" s="17"/>
      <c r="AD451" s="690"/>
      <c r="AE451" s="686"/>
      <c r="AF451" s="474"/>
      <c r="AG451" s="692"/>
      <c r="AH451" s="236" t="str">
        <f>IF(Таблица5[[#This Row],[30]]=0,"НД",Таблица5[[#This Row],[20]]-Таблица5[[#This Row],[30]])</f>
        <v>НД</v>
      </c>
      <c r="AI451" s="511" t="str">
        <f>IF(((1-Таблица5[[#This Row],[30]]/Таблица5[[#This Row],[20]])=1),"НД",(1-Таблица5[[#This Row],[30]]/Таблица5[[#This Row],[20]]))</f>
        <v>НД</v>
      </c>
      <c r="AJ451" s="111"/>
      <c r="AK451" s="111"/>
      <c r="AL451" s="512"/>
      <c r="AM451" s="513"/>
      <c r="AN451" s="465"/>
      <c r="AO451" s="468" t="str">
        <f>РПЗ!AD451</f>
        <v>Нет</v>
      </c>
      <c r="AP451" s="472">
        <f>РПЗ!V451</f>
        <v>0</v>
      </c>
      <c r="AQ451" s="470">
        <f>IF(Таблица5[[#This Row],[11]]=0,,MONTH(Таблица5[[#This Row],[11]]))</f>
        <v>1</v>
      </c>
    </row>
    <row r="452" spans="1:43" ht="64.5" thickBot="1" x14ac:dyDescent="0.3">
      <c r="A452" s="233" t="str">
        <f t="shared" si="7"/>
        <v>1004-2017-00437</v>
      </c>
      <c r="B452" s="233" t="str">
        <f>РПЗ!$D452</f>
        <v xml:space="preserve">1004-2017-00437Поставка Вакуумно-напылительная установка для термического нанесения припоев (In, AgSn, SnAu) типа Cryofox Discovеry 400              </v>
      </c>
      <c r="C452" s="233" t="str">
        <f>РПЗ!$AA452</f>
        <v>АО "НИИ "Полюс" им. М.Ф. Стельмаха" тел. отдела закупок 8-495-333-05-02</v>
      </c>
      <c r="D452" s="633" t="str">
        <f>РПЗ!$AB452</f>
        <v>Заказчик</v>
      </c>
      <c r="E452" s="96" t="s">
        <v>46</v>
      </c>
      <c r="F452" s="233" t="str">
        <f>РПЗ!Q452</f>
        <v>ОК</v>
      </c>
      <c r="G452" s="237"/>
      <c r="H452" s="237" t="str">
        <f>РПЗ!R452</f>
        <v>да</v>
      </c>
      <c r="I452" s="15">
        <f>РПЗ!W452</f>
        <v>0</v>
      </c>
      <c r="J452" s="233">
        <f>РПЗ!X452</f>
        <v>0</v>
      </c>
      <c r="K452" s="283">
        <f>РПЗ!Z452</f>
        <v>0</v>
      </c>
      <c r="L452" s="17"/>
      <c r="M452" s="18">
        <f>РПЗ!O452</f>
        <v>42736.5</v>
      </c>
      <c r="N452" s="238">
        <f>Таблица5[[#This Row],[10]]</f>
        <v>42736.5</v>
      </c>
      <c r="O452" s="17"/>
      <c r="P452" s="17"/>
      <c r="Q452" s="17"/>
      <c r="R452" s="17"/>
      <c r="S452" s="17"/>
      <c r="T452" s="686"/>
      <c r="U452" s="18">
        <f>РПЗ!P452</f>
        <v>43100.5</v>
      </c>
      <c r="V452" s="686"/>
      <c r="W452" s="236">
        <f>РПЗ!L452</f>
        <v>31000000</v>
      </c>
      <c r="X452" s="689"/>
      <c r="Y452" s="689"/>
      <c r="Z452" s="690"/>
      <c r="AA452" s="691"/>
      <c r="AB452" s="111"/>
      <c r="AC452" s="17"/>
      <c r="AD452" s="690"/>
      <c r="AE452" s="686"/>
      <c r="AF452" s="474"/>
      <c r="AG452" s="692"/>
      <c r="AH452" s="236" t="str">
        <f>IF(Таблица5[[#This Row],[30]]=0,"НД",Таблица5[[#This Row],[20]]-Таблица5[[#This Row],[30]])</f>
        <v>НД</v>
      </c>
      <c r="AI452" s="511" t="str">
        <f>IF(((1-Таблица5[[#This Row],[30]]/Таблица5[[#This Row],[20]])=1),"НД",(1-Таблица5[[#This Row],[30]]/Таблица5[[#This Row],[20]]))</f>
        <v>НД</v>
      </c>
      <c r="AJ452" s="111"/>
      <c r="AK452" s="111"/>
      <c r="AL452" s="512"/>
      <c r="AM452" s="513"/>
      <c r="AN452" s="465"/>
      <c r="AO452" s="468" t="str">
        <f>РПЗ!AD452</f>
        <v>Нет</v>
      </c>
      <c r="AP452" s="472">
        <f>РПЗ!V452</f>
        <v>0</v>
      </c>
      <c r="AQ452" s="470">
        <f>IF(Таблица5[[#This Row],[11]]=0,,MONTH(Таблица5[[#This Row],[11]]))</f>
        <v>1</v>
      </c>
    </row>
    <row r="453" spans="1:43" ht="39" thickBot="1" x14ac:dyDescent="0.3">
      <c r="A453" s="233" t="str">
        <f t="shared" si="7"/>
        <v>1004-2017-00438</v>
      </c>
      <c r="B453" s="233" t="str">
        <f>РПЗ!$D453</f>
        <v>1004-2017-00438Поставка т Установка дисковой резки типа ADT 7100, Израиль</v>
      </c>
      <c r="C453" s="233" t="str">
        <f>РПЗ!$AA453</f>
        <v>АО "НИИ "Полюс" им. М.Ф. Стельмаха" тел. отдела закупок 8-495-333-05-02</v>
      </c>
      <c r="D453" s="633" t="str">
        <f>РПЗ!$AB453</f>
        <v>Заказчик</v>
      </c>
      <c r="E453" s="96" t="s">
        <v>46</v>
      </c>
      <c r="F453" s="233" t="str">
        <f>РПЗ!Q453</f>
        <v>ОЗК</v>
      </c>
      <c r="G453" s="237"/>
      <c r="H453" s="237" t="str">
        <f>РПЗ!R453</f>
        <v>да</v>
      </c>
      <c r="I453" s="15">
        <f>РПЗ!W453</f>
        <v>0</v>
      </c>
      <c r="J453" s="233">
        <f>РПЗ!X453</f>
        <v>0</v>
      </c>
      <c r="K453" s="283">
        <f>РПЗ!Z453</f>
        <v>0</v>
      </c>
      <c r="L453" s="17"/>
      <c r="M453" s="18">
        <f>РПЗ!O453</f>
        <v>42736.5</v>
      </c>
      <c r="N453" s="238">
        <f>Таблица5[[#This Row],[10]]</f>
        <v>42736.5</v>
      </c>
      <c r="O453" s="17"/>
      <c r="P453" s="17"/>
      <c r="Q453" s="17"/>
      <c r="R453" s="17"/>
      <c r="S453" s="17"/>
      <c r="T453" s="686"/>
      <c r="U453" s="18">
        <f>РПЗ!P453</f>
        <v>43100.5</v>
      </c>
      <c r="V453" s="686"/>
      <c r="W453" s="236">
        <f>РПЗ!L453</f>
        <v>17300000</v>
      </c>
      <c r="X453" s="689"/>
      <c r="Y453" s="689"/>
      <c r="Z453" s="690"/>
      <c r="AA453" s="691"/>
      <c r="AB453" s="111"/>
      <c r="AC453" s="17"/>
      <c r="AD453" s="690"/>
      <c r="AE453" s="686"/>
      <c r="AF453" s="474"/>
      <c r="AG453" s="692"/>
      <c r="AH453" s="236" t="str">
        <f>IF(Таблица5[[#This Row],[30]]=0,"НД",Таблица5[[#This Row],[20]]-Таблица5[[#This Row],[30]])</f>
        <v>НД</v>
      </c>
      <c r="AI453" s="511" t="str">
        <f>IF(((1-Таблица5[[#This Row],[30]]/Таблица5[[#This Row],[20]])=1),"НД",(1-Таблица5[[#This Row],[30]]/Таблица5[[#This Row],[20]]))</f>
        <v>НД</v>
      </c>
      <c r="AJ453" s="111"/>
      <c r="AK453" s="111"/>
      <c r="AL453" s="512"/>
      <c r="AM453" s="513"/>
      <c r="AN453" s="465"/>
      <c r="AO453" s="468" t="str">
        <f>РПЗ!AD453</f>
        <v>Нет</v>
      </c>
      <c r="AP453" s="472">
        <f>РПЗ!V453</f>
        <v>0</v>
      </c>
      <c r="AQ453" s="470">
        <f>IF(Таблица5[[#This Row],[11]]=0,,MONTH(Таблица5[[#This Row],[11]]))</f>
        <v>1</v>
      </c>
    </row>
    <row r="454" spans="1:43" ht="39" thickBot="1" x14ac:dyDescent="0.3">
      <c r="A454" s="233" t="str">
        <f t="shared" si="7"/>
        <v>1004-2017-00439</v>
      </c>
      <c r="B454" s="233" t="str">
        <f>РПЗ!$D454</f>
        <v xml:space="preserve">1004-2017-00439Поставка Рабочий шкаф для документации ЛАБ   ПРО-ШМД   </v>
      </c>
      <c r="C454" s="233" t="str">
        <f>РПЗ!$AA454</f>
        <v>АО "НИИ "Полюс" им. М.Ф. Стельмаха" тел. отдела закупок 8-495-333-05-02</v>
      </c>
      <c r="D454" s="633" t="str">
        <f>РПЗ!$AB454</f>
        <v>Заказчик</v>
      </c>
      <c r="E454" s="96" t="s">
        <v>46</v>
      </c>
      <c r="F454" s="233" t="str">
        <f>РПЗ!Q454</f>
        <v>ОЗК</v>
      </c>
      <c r="G454" s="237"/>
      <c r="H454" s="237" t="str">
        <f>РПЗ!R454</f>
        <v>да</v>
      </c>
      <c r="I454" s="15">
        <f>РПЗ!W454</f>
        <v>0</v>
      </c>
      <c r="J454" s="233">
        <f>РПЗ!X454</f>
        <v>0</v>
      </c>
      <c r="K454" s="283">
        <f>РПЗ!Z454</f>
        <v>0</v>
      </c>
      <c r="L454" s="17"/>
      <c r="M454" s="18">
        <f>РПЗ!O454</f>
        <v>42736.5</v>
      </c>
      <c r="N454" s="238">
        <f>Таблица5[[#This Row],[10]]</f>
        <v>42736.5</v>
      </c>
      <c r="O454" s="17"/>
      <c r="P454" s="17"/>
      <c r="Q454" s="17"/>
      <c r="R454" s="17"/>
      <c r="S454" s="17"/>
      <c r="T454" s="686"/>
      <c r="U454" s="18">
        <f>РПЗ!P454</f>
        <v>43100.5</v>
      </c>
      <c r="V454" s="686"/>
      <c r="W454" s="236">
        <f>РПЗ!L454</f>
        <v>105000</v>
      </c>
      <c r="X454" s="689"/>
      <c r="Y454" s="689"/>
      <c r="Z454" s="690"/>
      <c r="AA454" s="691"/>
      <c r="AB454" s="111"/>
      <c r="AC454" s="17"/>
      <c r="AD454" s="690"/>
      <c r="AE454" s="686"/>
      <c r="AF454" s="474"/>
      <c r="AG454" s="692"/>
      <c r="AH454" s="236" t="str">
        <f>IF(Таблица5[[#This Row],[30]]=0,"НД",Таблица5[[#This Row],[20]]-Таблица5[[#This Row],[30]])</f>
        <v>НД</v>
      </c>
      <c r="AI454" s="511" t="str">
        <f>IF(((1-Таблица5[[#This Row],[30]]/Таблица5[[#This Row],[20]])=1),"НД",(1-Таблица5[[#This Row],[30]]/Таблица5[[#This Row],[20]]))</f>
        <v>НД</v>
      </c>
      <c r="AJ454" s="111"/>
      <c r="AK454" s="111"/>
      <c r="AL454" s="512"/>
      <c r="AM454" s="513"/>
      <c r="AN454" s="465"/>
      <c r="AO454" s="468" t="str">
        <f>РПЗ!AD454</f>
        <v>Нет</v>
      </c>
      <c r="AP454" s="472">
        <f>РПЗ!V454</f>
        <v>0</v>
      </c>
      <c r="AQ454" s="470">
        <f>IF(Таблица5[[#This Row],[11]]=0,,MONTH(Таблица5[[#This Row],[11]]))</f>
        <v>1</v>
      </c>
    </row>
    <row r="455" spans="1:43" ht="39" thickBot="1" x14ac:dyDescent="0.3">
      <c r="A455" s="233" t="str">
        <f t="shared" si="7"/>
        <v>1004-2017-00440</v>
      </c>
      <c r="B455" s="233" t="str">
        <f>РПЗ!$D455</f>
        <v>1004-2017-00440Поставка Источник питания Б5-77 КИП</v>
      </c>
      <c r="C455" s="233" t="str">
        <f>РПЗ!$AA455</f>
        <v>АО "НИИ "Полюс" им. М.Ф. Стельмаха" тел. отдела закупок 8-495-333-05-02</v>
      </c>
      <c r="D455" s="633" t="str">
        <f>РПЗ!$AB455</f>
        <v>Заказчик</v>
      </c>
      <c r="E455" s="96" t="s">
        <v>46</v>
      </c>
      <c r="F455" s="233" t="str">
        <f>РПЗ!Q455</f>
        <v>ОЗК</v>
      </c>
      <c r="G455" s="237"/>
      <c r="H455" s="237" t="str">
        <f>РПЗ!R455</f>
        <v>да</v>
      </c>
      <c r="I455" s="15">
        <f>РПЗ!W455</f>
        <v>0</v>
      </c>
      <c r="J455" s="233">
        <f>РПЗ!X455</f>
        <v>0</v>
      </c>
      <c r="K455" s="283">
        <f>РПЗ!Z455</f>
        <v>0</v>
      </c>
      <c r="L455" s="17"/>
      <c r="M455" s="18">
        <f>РПЗ!O455</f>
        <v>42736.5</v>
      </c>
      <c r="N455" s="238">
        <f>Таблица5[[#This Row],[10]]</f>
        <v>42736.5</v>
      </c>
      <c r="O455" s="17"/>
      <c r="P455" s="17"/>
      <c r="Q455" s="17"/>
      <c r="R455" s="17"/>
      <c r="S455" s="17"/>
      <c r="T455" s="686"/>
      <c r="U455" s="18">
        <f>РПЗ!P455</f>
        <v>43100.5</v>
      </c>
      <c r="V455" s="686"/>
      <c r="W455" s="236">
        <f>РПЗ!L455</f>
        <v>157530</v>
      </c>
      <c r="X455" s="689"/>
      <c r="Y455" s="689"/>
      <c r="Z455" s="690"/>
      <c r="AA455" s="691"/>
      <c r="AB455" s="111"/>
      <c r="AC455" s="17"/>
      <c r="AD455" s="690"/>
      <c r="AE455" s="686"/>
      <c r="AF455" s="474"/>
      <c r="AG455" s="692"/>
      <c r="AH455" s="236" t="str">
        <f>IF(Таблица5[[#This Row],[30]]=0,"НД",Таблица5[[#This Row],[20]]-Таблица5[[#This Row],[30]])</f>
        <v>НД</v>
      </c>
      <c r="AI455" s="511" t="str">
        <f>IF(((1-Таблица5[[#This Row],[30]]/Таблица5[[#This Row],[20]])=1),"НД",(1-Таблица5[[#This Row],[30]]/Таблица5[[#This Row],[20]]))</f>
        <v>НД</v>
      </c>
      <c r="AJ455" s="111"/>
      <c r="AK455" s="111"/>
      <c r="AL455" s="512"/>
      <c r="AM455" s="513"/>
      <c r="AN455" s="465"/>
      <c r="AO455" s="468" t="str">
        <f>РПЗ!AD455</f>
        <v>Нет</v>
      </c>
      <c r="AP455" s="472">
        <f>РПЗ!V455</f>
        <v>0</v>
      </c>
      <c r="AQ455" s="470">
        <f>IF(Таблица5[[#This Row],[11]]=0,,MONTH(Таблица5[[#This Row],[11]]))</f>
        <v>1</v>
      </c>
    </row>
    <row r="456" spans="1:43" ht="51.75" thickBot="1" x14ac:dyDescent="0.3">
      <c r="A456" s="233" t="str">
        <f t="shared" si="7"/>
        <v>1004-2017-00441</v>
      </c>
      <c r="B456" s="233" t="str">
        <f>РПЗ!$D456</f>
        <v>1004-2017-00441Поставка Монитор черно-белый, аналоговый 12-15 дюймовый, разрешение не менее 9000 точек по строке</v>
      </c>
      <c r="C456" s="233" t="str">
        <f>РПЗ!$AA456</f>
        <v>АО "НИИ "Полюс" им. М.Ф. Стельмаха" тел. отдела закупок 8-495-333-05-02</v>
      </c>
      <c r="D456" s="633" t="str">
        <f>РПЗ!$AB456</f>
        <v>Заказчик</v>
      </c>
      <c r="E456" s="96" t="s">
        <v>46</v>
      </c>
      <c r="F456" s="233" t="str">
        <f>РПЗ!Q456</f>
        <v>ОЗК</v>
      </c>
      <c r="G456" s="237"/>
      <c r="H456" s="237" t="str">
        <f>РПЗ!R456</f>
        <v>да</v>
      </c>
      <c r="I456" s="15">
        <f>РПЗ!W456</f>
        <v>0</v>
      </c>
      <c r="J456" s="233">
        <f>РПЗ!X456</f>
        <v>0</v>
      </c>
      <c r="K456" s="283">
        <f>РПЗ!Z456</f>
        <v>0</v>
      </c>
      <c r="L456" s="17"/>
      <c r="M456" s="18">
        <f>РПЗ!O456</f>
        <v>42736.5</v>
      </c>
      <c r="N456" s="238">
        <f>Таблица5[[#This Row],[10]]</f>
        <v>42736.5</v>
      </c>
      <c r="O456" s="17"/>
      <c r="P456" s="17"/>
      <c r="Q456" s="17"/>
      <c r="R456" s="17"/>
      <c r="S456" s="17"/>
      <c r="T456" s="686"/>
      <c r="U456" s="18">
        <f>РПЗ!P456</f>
        <v>43100.5</v>
      </c>
      <c r="V456" s="686"/>
      <c r="W456" s="236">
        <f>РПЗ!L456</f>
        <v>212000</v>
      </c>
      <c r="X456" s="689"/>
      <c r="Y456" s="689"/>
      <c r="Z456" s="690"/>
      <c r="AA456" s="691"/>
      <c r="AB456" s="111"/>
      <c r="AC456" s="17"/>
      <c r="AD456" s="690"/>
      <c r="AE456" s="686"/>
      <c r="AF456" s="474"/>
      <c r="AG456" s="692"/>
      <c r="AH456" s="236" t="str">
        <f>IF(Таблица5[[#This Row],[30]]=0,"НД",Таблица5[[#This Row],[20]]-Таблица5[[#This Row],[30]])</f>
        <v>НД</v>
      </c>
      <c r="AI456" s="511" t="str">
        <f>IF(((1-Таблица5[[#This Row],[30]]/Таблица5[[#This Row],[20]])=1),"НД",(1-Таблица5[[#This Row],[30]]/Таблица5[[#This Row],[20]]))</f>
        <v>НД</v>
      </c>
      <c r="AJ456" s="111"/>
      <c r="AK456" s="111"/>
      <c r="AL456" s="512"/>
      <c r="AM456" s="513"/>
      <c r="AN456" s="465"/>
      <c r="AO456" s="468" t="str">
        <f>РПЗ!AD456</f>
        <v>Нет</v>
      </c>
      <c r="AP456" s="472">
        <f>РПЗ!V456</f>
        <v>0</v>
      </c>
      <c r="AQ456" s="470">
        <f>IF(Таблица5[[#This Row],[11]]=0,,MONTH(Таблица5[[#This Row],[11]]))</f>
        <v>1</v>
      </c>
    </row>
    <row r="457" spans="1:43" ht="39" thickBot="1" x14ac:dyDescent="0.3">
      <c r="A457" s="233" t="str">
        <f t="shared" si="7"/>
        <v>1004-2017-00442</v>
      </c>
      <c r="B457" s="233" t="str">
        <f>РПЗ!$D457</f>
        <v>1004-2017-00442Поставка Ламинарный бокс БАВнп-01-"Ламинар-с"1.2.МЭ</v>
      </c>
      <c r="C457" s="233" t="str">
        <f>РПЗ!$AA457</f>
        <v>АО "НИИ "Полюс" им. М.Ф. Стельмаха" тел. отдела закупок 8-495-333-05-02</v>
      </c>
      <c r="D457" s="633" t="str">
        <f>РПЗ!$AB457</f>
        <v>Заказчик</v>
      </c>
      <c r="E457" s="96" t="s">
        <v>46</v>
      </c>
      <c r="F457" s="233" t="str">
        <f>РПЗ!Q457</f>
        <v>ОК</v>
      </c>
      <c r="G457" s="237"/>
      <c r="H457" s="237" t="str">
        <f>РПЗ!R457</f>
        <v>да</v>
      </c>
      <c r="I457" s="15">
        <f>РПЗ!W457</f>
        <v>0</v>
      </c>
      <c r="J457" s="233">
        <f>РПЗ!X457</f>
        <v>0</v>
      </c>
      <c r="K457" s="283">
        <f>РПЗ!Z457</f>
        <v>0</v>
      </c>
      <c r="L457" s="17"/>
      <c r="M457" s="18">
        <f>РПЗ!O457</f>
        <v>42736.5</v>
      </c>
      <c r="N457" s="238">
        <f>Таблица5[[#This Row],[10]]</f>
        <v>42736.5</v>
      </c>
      <c r="O457" s="17"/>
      <c r="P457" s="17"/>
      <c r="Q457" s="17"/>
      <c r="R457" s="17"/>
      <c r="S457" s="17"/>
      <c r="T457" s="686"/>
      <c r="U457" s="18">
        <f>РПЗ!P457</f>
        <v>43100.5</v>
      </c>
      <c r="V457" s="686"/>
      <c r="W457" s="236">
        <f>РПЗ!L457</f>
        <v>350000</v>
      </c>
      <c r="X457" s="689"/>
      <c r="Y457" s="689"/>
      <c r="Z457" s="690"/>
      <c r="AA457" s="691"/>
      <c r="AB457" s="111"/>
      <c r="AC457" s="17"/>
      <c r="AD457" s="690"/>
      <c r="AE457" s="686"/>
      <c r="AF457" s="474"/>
      <c r="AG457" s="692"/>
      <c r="AH457" s="236" t="str">
        <f>IF(Таблица5[[#This Row],[30]]=0,"НД",Таблица5[[#This Row],[20]]-Таблица5[[#This Row],[30]])</f>
        <v>НД</v>
      </c>
      <c r="AI457" s="511" t="str">
        <f>IF(((1-Таблица5[[#This Row],[30]]/Таблица5[[#This Row],[20]])=1),"НД",(1-Таблица5[[#This Row],[30]]/Таблица5[[#This Row],[20]]))</f>
        <v>НД</v>
      </c>
      <c r="AJ457" s="111"/>
      <c r="AK457" s="111"/>
      <c r="AL457" s="512"/>
      <c r="AM457" s="513"/>
      <c r="AN457" s="465"/>
      <c r="AO457" s="468" t="str">
        <f>РПЗ!AD457</f>
        <v>Нет</v>
      </c>
      <c r="AP457" s="472">
        <f>РПЗ!V457</f>
        <v>0</v>
      </c>
      <c r="AQ457" s="470">
        <f>IF(Таблица5[[#This Row],[11]]=0,,MONTH(Таблица5[[#This Row],[11]]))</f>
        <v>1</v>
      </c>
    </row>
    <row r="458" spans="1:43" ht="39" thickBot="1" x14ac:dyDescent="0.3">
      <c r="A458" s="233" t="str">
        <f t="shared" si="7"/>
        <v>1004-2017-00443</v>
      </c>
      <c r="B458" s="233" t="str">
        <f>РПЗ!$D458</f>
        <v>1004-2017-00443Поставка Вибростенд VSH-100-1</v>
      </c>
      <c r="C458" s="233" t="str">
        <f>РПЗ!$AA458</f>
        <v>АО "НИИ "Полюс" им. М.Ф. Стельмаха" тел. отдела закупок 8-495-333-05-02</v>
      </c>
      <c r="D458" s="633" t="str">
        <f>РПЗ!$AB458</f>
        <v>Заказчик</v>
      </c>
      <c r="E458" s="96" t="s">
        <v>46</v>
      </c>
      <c r="F458" s="233" t="str">
        <f>РПЗ!Q458</f>
        <v>ОК</v>
      </c>
      <c r="G458" s="237"/>
      <c r="H458" s="237" t="str">
        <f>РПЗ!R458</f>
        <v>да</v>
      </c>
      <c r="I458" s="15">
        <f>РПЗ!W458</f>
        <v>0</v>
      </c>
      <c r="J458" s="233">
        <f>РПЗ!X458</f>
        <v>0</v>
      </c>
      <c r="K458" s="283">
        <f>РПЗ!Z458</f>
        <v>0</v>
      </c>
      <c r="L458" s="17"/>
      <c r="M458" s="18">
        <f>РПЗ!O458</f>
        <v>42736.5</v>
      </c>
      <c r="N458" s="238">
        <f>Таблица5[[#This Row],[10]]</f>
        <v>42736.5</v>
      </c>
      <c r="O458" s="17"/>
      <c r="P458" s="17"/>
      <c r="Q458" s="17"/>
      <c r="R458" s="17"/>
      <c r="S458" s="17"/>
      <c r="T458" s="686"/>
      <c r="U458" s="18">
        <f>РПЗ!P458</f>
        <v>43100.5</v>
      </c>
      <c r="V458" s="686"/>
      <c r="W458" s="236">
        <f>РПЗ!L458</f>
        <v>5388116</v>
      </c>
      <c r="X458" s="689"/>
      <c r="Y458" s="689"/>
      <c r="Z458" s="690"/>
      <c r="AA458" s="691"/>
      <c r="AB458" s="111"/>
      <c r="AC458" s="17"/>
      <c r="AD458" s="690"/>
      <c r="AE458" s="686"/>
      <c r="AF458" s="474"/>
      <c r="AG458" s="692"/>
      <c r="AH458" s="236" t="str">
        <f>IF(Таблица5[[#This Row],[30]]=0,"НД",Таблица5[[#This Row],[20]]-Таблица5[[#This Row],[30]])</f>
        <v>НД</v>
      </c>
      <c r="AI458" s="511" t="str">
        <f>IF(((1-Таблица5[[#This Row],[30]]/Таблица5[[#This Row],[20]])=1),"НД",(1-Таблица5[[#This Row],[30]]/Таблица5[[#This Row],[20]]))</f>
        <v>НД</v>
      </c>
      <c r="AJ458" s="111"/>
      <c r="AK458" s="111"/>
      <c r="AL458" s="512"/>
      <c r="AM458" s="513"/>
      <c r="AN458" s="465"/>
      <c r="AO458" s="468" t="str">
        <f>РПЗ!AD458</f>
        <v>Нет</v>
      </c>
      <c r="AP458" s="472">
        <f>РПЗ!V458</f>
        <v>0</v>
      </c>
      <c r="AQ458" s="470">
        <f>IF(Таблица5[[#This Row],[11]]=0,,MONTH(Таблица5[[#This Row],[11]]))</f>
        <v>1</v>
      </c>
    </row>
    <row r="459" spans="1:43" ht="39" thickBot="1" x14ac:dyDescent="0.3">
      <c r="A459" s="233" t="str">
        <f t="shared" si="7"/>
        <v>1004-2017-00444</v>
      </c>
      <c r="B459" s="233" t="str">
        <f>РПЗ!$D459</f>
        <v>1004-2017-00444Поставка Частотомер Ч3-85/5</v>
      </c>
      <c r="C459" s="233" t="str">
        <f>РПЗ!$AA459</f>
        <v>АО "НИИ "Полюс" им. М.Ф. Стельмаха" тел. отдела закупок 8-495-333-05-02</v>
      </c>
      <c r="D459" s="633" t="str">
        <f>РПЗ!$AB459</f>
        <v>Заказчик</v>
      </c>
      <c r="E459" s="96" t="s">
        <v>46</v>
      </c>
      <c r="F459" s="233" t="str">
        <f>РПЗ!Q459</f>
        <v>ОЗК</v>
      </c>
      <c r="G459" s="237"/>
      <c r="H459" s="237" t="str">
        <f>РПЗ!R459</f>
        <v>да</v>
      </c>
      <c r="I459" s="15">
        <f>РПЗ!W459</f>
        <v>0</v>
      </c>
      <c r="J459" s="233">
        <f>РПЗ!X459</f>
        <v>0</v>
      </c>
      <c r="K459" s="283">
        <f>РПЗ!Z459</f>
        <v>0</v>
      </c>
      <c r="L459" s="17"/>
      <c r="M459" s="18">
        <f>РПЗ!O459</f>
        <v>42736.5</v>
      </c>
      <c r="N459" s="238">
        <f>Таблица5[[#This Row],[10]]</f>
        <v>42736.5</v>
      </c>
      <c r="O459" s="17"/>
      <c r="P459" s="17"/>
      <c r="Q459" s="17"/>
      <c r="R459" s="17"/>
      <c r="S459" s="17"/>
      <c r="T459" s="686"/>
      <c r="U459" s="18">
        <f>РПЗ!P459</f>
        <v>43100.5</v>
      </c>
      <c r="V459" s="686"/>
      <c r="W459" s="236">
        <f>РПЗ!L459</f>
        <v>225000</v>
      </c>
      <c r="X459" s="689"/>
      <c r="Y459" s="689"/>
      <c r="Z459" s="690"/>
      <c r="AA459" s="691"/>
      <c r="AB459" s="111"/>
      <c r="AC459" s="17"/>
      <c r="AD459" s="690"/>
      <c r="AE459" s="686"/>
      <c r="AF459" s="474"/>
      <c r="AG459" s="692"/>
      <c r="AH459" s="236" t="str">
        <f>IF(Таблица5[[#This Row],[30]]=0,"НД",Таблица5[[#This Row],[20]]-Таблица5[[#This Row],[30]])</f>
        <v>НД</v>
      </c>
      <c r="AI459" s="511" t="str">
        <f>IF(((1-Таблица5[[#This Row],[30]]/Таблица5[[#This Row],[20]])=1),"НД",(1-Таблица5[[#This Row],[30]]/Таблица5[[#This Row],[20]]))</f>
        <v>НД</v>
      </c>
      <c r="AJ459" s="111"/>
      <c r="AK459" s="111"/>
      <c r="AL459" s="512"/>
      <c r="AM459" s="513"/>
      <c r="AN459" s="465"/>
      <c r="AO459" s="468" t="str">
        <f>РПЗ!AD459</f>
        <v>Нет</v>
      </c>
      <c r="AP459" s="472">
        <f>РПЗ!V459</f>
        <v>0</v>
      </c>
      <c r="AQ459" s="470">
        <f>IF(Таблица5[[#This Row],[11]]=0,,MONTH(Таблица5[[#This Row],[11]]))</f>
        <v>1</v>
      </c>
    </row>
    <row r="460" spans="1:43" ht="39" thickBot="1" x14ac:dyDescent="0.3">
      <c r="A460" s="233" t="str">
        <f t="shared" si="7"/>
        <v>1004-2017-00445</v>
      </c>
      <c r="B460" s="233" t="str">
        <f>РПЗ!$D460</f>
        <v xml:space="preserve">1004-2017-00445Поставка Измеритель RCL AM 3010 </v>
      </c>
      <c r="C460" s="233" t="str">
        <f>РПЗ!$AA460</f>
        <v>АО "НИИ "Полюс" им. М.Ф. Стельмаха" тел. отдела закупок 8-495-333-05-02</v>
      </c>
      <c r="D460" s="633" t="str">
        <f>РПЗ!$AB460</f>
        <v>Заказчик</v>
      </c>
      <c r="E460" s="96" t="s">
        <v>46</v>
      </c>
      <c r="F460" s="233" t="str">
        <f>РПЗ!Q460</f>
        <v>ОЗК</v>
      </c>
      <c r="G460" s="237"/>
      <c r="H460" s="237" t="str">
        <f>РПЗ!R460</f>
        <v>да</v>
      </c>
      <c r="I460" s="15">
        <f>РПЗ!W460</f>
        <v>0</v>
      </c>
      <c r="J460" s="233">
        <f>РПЗ!X460</f>
        <v>0</v>
      </c>
      <c r="K460" s="283">
        <f>РПЗ!Z460</f>
        <v>0</v>
      </c>
      <c r="L460" s="17"/>
      <c r="M460" s="18">
        <f>РПЗ!O460</f>
        <v>42736.5</v>
      </c>
      <c r="N460" s="238">
        <f>Таблица5[[#This Row],[10]]</f>
        <v>42736.5</v>
      </c>
      <c r="O460" s="17"/>
      <c r="P460" s="17"/>
      <c r="Q460" s="17"/>
      <c r="R460" s="17"/>
      <c r="S460" s="17"/>
      <c r="T460" s="686"/>
      <c r="U460" s="18">
        <f>РПЗ!P460</f>
        <v>43100.5</v>
      </c>
      <c r="V460" s="686"/>
      <c r="W460" s="236">
        <f>РПЗ!L460</f>
        <v>452200</v>
      </c>
      <c r="X460" s="689"/>
      <c r="Y460" s="689"/>
      <c r="Z460" s="690"/>
      <c r="AA460" s="691"/>
      <c r="AB460" s="111"/>
      <c r="AC460" s="17"/>
      <c r="AD460" s="690"/>
      <c r="AE460" s="686"/>
      <c r="AF460" s="474"/>
      <c r="AG460" s="692"/>
      <c r="AH460" s="236" t="str">
        <f>IF(Таблица5[[#This Row],[30]]=0,"НД",Таблица5[[#This Row],[20]]-Таблица5[[#This Row],[30]])</f>
        <v>НД</v>
      </c>
      <c r="AI460" s="511" t="str">
        <f>IF(((1-Таблица5[[#This Row],[30]]/Таблица5[[#This Row],[20]])=1),"НД",(1-Таблица5[[#This Row],[30]]/Таблица5[[#This Row],[20]]))</f>
        <v>НД</v>
      </c>
      <c r="AJ460" s="111"/>
      <c r="AK460" s="111"/>
      <c r="AL460" s="512"/>
      <c r="AM460" s="513"/>
      <c r="AN460" s="465"/>
      <c r="AO460" s="468" t="str">
        <f>РПЗ!AD460</f>
        <v>Нет</v>
      </c>
      <c r="AP460" s="472">
        <f>РПЗ!V460</f>
        <v>0</v>
      </c>
      <c r="AQ460" s="470">
        <f>IF(Таблица5[[#This Row],[11]]=0,,MONTH(Таблица5[[#This Row],[11]]))</f>
        <v>1</v>
      </c>
    </row>
    <row r="461" spans="1:43" ht="39" thickBot="1" x14ac:dyDescent="0.3">
      <c r="A461" s="233" t="str">
        <f t="shared" si="7"/>
        <v>1004-2017-00446</v>
      </c>
      <c r="B461" s="233" t="str">
        <f>РПЗ!$D461</f>
        <v>1004-2017-00446Поставка Измеритель профиля луча BGS-USB-SP620U</v>
      </c>
      <c r="C461" s="233" t="str">
        <f>РПЗ!$AA461</f>
        <v>АО "НИИ "Полюс" им. М.Ф. Стельмаха" тел. отдела закупок 8-495-333-05-02</v>
      </c>
      <c r="D461" s="633" t="str">
        <f>РПЗ!$AB461</f>
        <v>Заказчик</v>
      </c>
      <c r="E461" s="96" t="s">
        <v>46</v>
      </c>
      <c r="F461" s="233" t="str">
        <f>РПЗ!Q461</f>
        <v>ОЗК</v>
      </c>
      <c r="G461" s="237"/>
      <c r="H461" s="237" t="str">
        <f>РПЗ!R461</f>
        <v>да</v>
      </c>
      <c r="I461" s="15">
        <f>РПЗ!W461</f>
        <v>0</v>
      </c>
      <c r="J461" s="233">
        <f>РПЗ!X461</f>
        <v>0</v>
      </c>
      <c r="K461" s="283">
        <f>РПЗ!Z461</f>
        <v>0</v>
      </c>
      <c r="L461" s="17"/>
      <c r="M461" s="18">
        <f>РПЗ!O461</f>
        <v>42736.5</v>
      </c>
      <c r="N461" s="238">
        <f>Таблица5[[#This Row],[10]]</f>
        <v>42736.5</v>
      </c>
      <c r="O461" s="17"/>
      <c r="P461" s="17"/>
      <c r="Q461" s="17"/>
      <c r="R461" s="17"/>
      <c r="S461" s="17"/>
      <c r="T461" s="686"/>
      <c r="U461" s="18">
        <f>РПЗ!P461</f>
        <v>43100.5</v>
      </c>
      <c r="V461" s="686"/>
      <c r="W461" s="236">
        <f>РПЗ!L461</f>
        <v>1137266</v>
      </c>
      <c r="X461" s="689"/>
      <c r="Y461" s="689"/>
      <c r="Z461" s="690"/>
      <c r="AA461" s="691"/>
      <c r="AB461" s="111"/>
      <c r="AC461" s="17"/>
      <c r="AD461" s="690"/>
      <c r="AE461" s="686"/>
      <c r="AF461" s="474"/>
      <c r="AG461" s="692"/>
      <c r="AH461" s="236" t="str">
        <f>IF(Таблица5[[#This Row],[30]]=0,"НД",Таблица5[[#This Row],[20]]-Таблица5[[#This Row],[30]])</f>
        <v>НД</v>
      </c>
      <c r="AI461" s="511" t="str">
        <f>IF(((1-Таблица5[[#This Row],[30]]/Таблица5[[#This Row],[20]])=1),"НД",(1-Таблица5[[#This Row],[30]]/Таблица5[[#This Row],[20]]))</f>
        <v>НД</v>
      </c>
      <c r="AJ461" s="111"/>
      <c r="AK461" s="111"/>
      <c r="AL461" s="512"/>
      <c r="AM461" s="513"/>
      <c r="AN461" s="465"/>
      <c r="AO461" s="468" t="str">
        <f>РПЗ!AD461</f>
        <v>Нет</v>
      </c>
      <c r="AP461" s="472">
        <f>РПЗ!V461</f>
        <v>0</v>
      </c>
      <c r="AQ461" s="470">
        <f>IF(Таблица5[[#This Row],[11]]=0,,MONTH(Таблица5[[#This Row],[11]]))</f>
        <v>1</v>
      </c>
    </row>
    <row r="462" spans="1:43" ht="39" thickBot="1" x14ac:dyDescent="0.3">
      <c r="A462" s="233" t="str">
        <f t="shared" si="7"/>
        <v>1004-2017-00447</v>
      </c>
      <c r="B462" s="233" t="str">
        <f>РПЗ!$D462</f>
        <v>1004-2017-00447Поставка Пироэлектрическая головка OPHIR PE50BF-DIFH-C</v>
      </c>
      <c r="C462" s="233" t="str">
        <f>РПЗ!$AA462</f>
        <v>АО "НИИ "Полюс" им. М.Ф. Стельмаха" тел. отдела закупок 8-495-333-05-02</v>
      </c>
      <c r="D462" s="633" t="str">
        <f>РПЗ!$AB462</f>
        <v>Заказчик</v>
      </c>
      <c r="E462" s="96" t="s">
        <v>46</v>
      </c>
      <c r="F462" s="233" t="str">
        <f>РПЗ!Q462</f>
        <v>ОЗК</v>
      </c>
      <c r="G462" s="237"/>
      <c r="H462" s="237" t="str">
        <f>РПЗ!R462</f>
        <v>да</v>
      </c>
      <c r="I462" s="15">
        <f>РПЗ!W462</f>
        <v>0</v>
      </c>
      <c r="J462" s="233">
        <f>РПЗ!X462</f>
        <v>0</v>
      </c>
      <c r="K462" s="283">
        <f>РПЗ!Z462</f>
        <v>0</v>
      </c>
      <c r="L462" s="17"/>
      <c r="M462" s="18">
        <f>РПЗ!O462</f>
        <v>42736.5</v>
      </c>
      <c r="N462" s="238">
        <f>Таблица5[[#This Row],[10]]</f>
        <v>42736.5</v>
      </c>
      <c r="O462" s="17"/>
      <c r="P462" s="17"/>
      <c r="Q462" s="17"/>
      <c r="R462" s="17"/>
      <c r="S462" s="17"/>
      <c r="T462" s="686"/>
      <c r="U462" s="18">
        <f>РПЗ!P462</f>
        <v>43100.5</v>
      </c>
      <c r="V462" s="686"/>
      <c r="W462" s="236">
        <f>РПЗ!L462</f>
        <v>1416000</v>
      </c>
      <c r="X462" s="689"/>
      <c r="Y462" s="689"/>
      <c r="Z462" s="690"/>
      <c r="AA462" s="691"/>
      <c r="AB462" s="111"/>
      <c r="AC462" s="17"/>
      <c r="AD462" s="690"/>
      <c r="AE462" s="686"/>
      <c r="AF462" s="474"/>
      <c r="AG462" s="692"/>
      <c r="AH462" s="236" t="str">
        <f>IF(Таблица5[[#This Row],[30]]=0,"НД",Таблица5[[#This Row],[20]]-Таблица5[[#This Row],[30]])</f>
        <v>НД</v>
      </c>
      <c r="AI462" s="511" t="str">
        <f>IF(((1-Таблица5[[#This Row],[30]]/Таблица5[[#This Row],[20]])=1),"НД",(1-Таблица5[[#This Row],[30]]/Таблица5[[#This Row],[20]]))</f>
        <v>НД</v>
      </c>
      <c r="AJ462" s="111"/>
      <c r="AK462" s="111"/>
      <c r="AL462" s="512"/>
      <c r="AM462" s="513"/>
      <c r="AN462" s="465"/>
      <c r="AO462" s="468" t="str">
        <f>РПЗ!AD462</f>
        <v>Нет</v>
      </c>
      <c r="AP462" s="472">
        <f>РПЗ!V462</f>
        <v>0</v>
      </c>
      <c r="AQ462" s="470">
        <f>IF(Таблица5[[#This Row],[11]]=0,,MONTH(Таблица5[[#This Row],[11]]))</f>
        <v>1</v>
      </c>
    </row>
    <row r="463" spans="1:43" ht="39" thickBot="1" x14ac:dyDescent="0.3">
      <c r="A463" s="233" t="str">
        <f t="shared" si="7"/>
        <v>1004-2017-00448</v>
      </c>
      <c r="B463" s="233" t="str">
        <f>РПЗ!$D463</f>
        <v>1004-2017-00448Поставка Отсчетный блок Ophir Vega ROHS</v>
      </c>
      <c r="C463" s="233" t="str">
        <f>РПЗ!$AA463</f>
        <v>АО "НИИ "Полюс" им. М.Ф. Стельмаха" тел. отдела закупок 8-495-333-05-02</v>
      </c>
      <c r="D463" s="633" t="str">
        <f>РПЗ!$AB463</f>
        <v>Заказчик</v>
      </c>
      <c r="E463" s="96" t="s">
        <v>46</v>
      </c>
      <c r="F463" s="233" t="str">
        <f>РПЗ!Q463</f>
        <v>ОК</v>
      </c>
      <c r="G463" s="237"/>
      <c r="H463" s="237" t="str">
        <f>РПЗ!R463</f>
        <v>да</v>
      </c>
      <c r="I463" s="15">
        <f>РПЗ!W463</f>
        <v>0</v>
      </c>
      <c r="J463" s="233">
        <f>РПЗ!X463</f>
        <v>0</v>
      </c>
      <c r="K463" s="283">
        <f>РПЗ!Z463</f>
        <v>0</v>
      </c>
      <c r="L463" s="17"/>
      <c r="M463" s="18">
        <f>РПЗ!O463</f>
        <v>42736.5</v>
      </c>
      <c r="N463" s="238">
        <f>Таблица5[[#This Row],[10]]</f>
        <v>42736.5</v>
      </c>
      <c r="O463" s="17"/>
      <c r="P463" s="17"/>
      <c r="Q463" s="17"/>
      <c r="R463" s="17"/>
      <c r="S463" s="17"/>
      <c r="T463" s="686"/>
      <c r="U463" s="18">
        <f>РПЗ!P463</f>
        <v>43100.5</v>
      </c>
      <c r="V463" s="686"/>
      <c r="W463" s="236">
        <f>РПЗ!L463</f>
        <v>591180</v>
      </c>
      <c r="X463" s="689"/>
      <c r="Y463" s="689"/>
      <c r="Z463" s="690"/>
      <c r="AA463" s="691"/>
      <c r="AB463" s="111"/>
      <c r="AC463" s="17"/>
      <c r="AD463" s="690"/>
      <c r="AE463" s="686"/>
      <c r="AF463" s="474"/>
      <c r="AG463" s="692"/>
      <c r="AH463" s="236" t="str">
        <f>IF(Таблица5[[#This Row],[30]]=0,"НД",Таблица5[[#This Row],[20]]-Таблица5[[#This Row],[30]])</f>
        <v>НД</v>
      </c>
      <c r="AI463" s="511" t="str">
        <f>IF(((1-Таблица5[[#This Row],[30]]/Таблица5[[#This Row],[20]])=1),"НД",(1-Таблица5[[#This Row],[30]]/Таблица5[[#This Row],[20]]))</f>
        <v>НД</v>
      </c>
      <c r="AJ463" s="111"/>
      <c r="AK463" s="111"/>
      <c r="AL463" s="512"/>
      <c r="AM463" s="513"/>
      <c r="AN463" s="465"/>
      <c r="AO463" s="468" t="str">
        <f>РПЗ!AD463</f>
        <v>Нет</v>
      </c>
      <c r="AP463" s="472">
        <f>РПЗ!V463</f>
        <v>0</v>
      </c>
      <c r="AQ463" s="470">
        <f>IF(Таблица5[[#This Row],[11]]=0,,MONTH(Таблица5[[#This Row],[11]]))</f>
        <v>1</v>
      </c>
    </row>
    <row r="464" spans="1:43" ht="39" thickBot="1" x14ac:dyDescent="0.3">
      <c r="A464" s="233" t="str">
        <f t="shared" si="7"/>
        <v>1004-2017-00449</v>
      </c>
      <c r="B464" s="233" t="str">
        <f>РПЗ!$D464</f>
        <v>1004-2017-00449Поставка Газовый Лазер ГН-5П</v>
      </c>
      <c r="C464" s="233" t="str">
        <f>РПЗ!$AA464</f>
        <v>АО "НИИ "Полюс" им. М.Ф. Стельмаха" тел. отдела закупок 8-495-333-05-02</v>
      </c>
      <c r="D464" s="633" t="str">
        <f>РПЗ!$AB464</f>
        <v>Заказчик</v>
      </c>
      <c r="E464" s="96" t="s">
        <v>46</v>
      </c>
      <c r="F464" s="233" t="str">
        <f>РПЗ!Q464</f>
        <v>ОЗК</v>
      </c>
      <c r="G464" s="237"/>
      <c r="H464" s="237" t="str">
        <f>РПЗ!R464</f>
        <v>да</v>
      </c>
      <c r="I464" s="15">
        <f>РПЗ!W464</f>
        <v>0</v>
      </c>
      <c r="J464" s="233">
        <f>РПЗ!X464</f>
        <v>0</v>
      </c>
      <c r="K464" s="283">
        <f>РПЗ!Z464</f>
        <v>0</v>
      </c>
      <c r="L464" s="17"/>
      <c r="M464" s="18">
        <f>РПЗ!O464</f>
        <v>42736.5</v>
      </c>
      <c r="N464" s="238">
        <f>Таблица5[[#This Row],[10]]</f>
        <v>42736.5</v>
      </c>
      <c r="O464" s="17"/>
      <c r="P464" s="17"/>
      <c r="Q464" s="17"/>
      <c r="R464" s="17"/>
      <c r="S464" s="17"/>
      <c r="T464" s="686"/>
      <c r="U464" s="18">
        <f>РПЗ!P464</f>
        <v>43100.5</v>
      </c>
      <c r="V464" s="686"/>
      <c r="W464" s="236">
        <f>РПЗ!L464</f>
        <v>259140</v>
      </c>
      <c r="X464" s="689"/>
      <c r="Y464" s="689"/>
      <c r="Z464" s="690"/>
      <c r="AA464" s="691"/>
      <c r="AB464" s="111"/>
      <c r="AC464" s="17"/>
      <c r="AD464" s="690"/>
      <c r="AE464" s="686"/>
      <c r="AF464" s="474"/>
      <c r="AG464" s="692"/>
      <c r="AH464" s="236" t="str">
        <f>IF(Таблица5[[#This Row],[30]]=0,"НД",Таблица5[[#This Row],[20]]-Таблица5[[#This Row],[30]])</f>
        <v>НД</v>
      </c>
      <c r="AI464" s="511" t="str">
        <f>IF(((1-Таблица5[[#This Row],[30]]/Таблица5[[#This Row],[20]])=1),"НД",(1-Таблица5[[#This Row],[30]]/Таблица5[[#This Row],[20]]))</f>
        <v>НД</v>
      </c>
      <c r="AJ464" s="111"/>
      <c r="AK464" s="111"/>
      <c r="AL464" s="512"/>
      <c r="AM464" s="513"/>
      <c r="AN464" s="465"/>
      <c r="AO464" s="468" t="str">
        <f>РПЗ!AD464</f>
        <v>Нет</v>
      </c>
      <c r="AP464" s="472">
        <f>РПЗ!V464</f>
        <v>0</v>
      </c>
      <c r="AQ464" s="470">
        <f>IF(Таблица5[[#This Row],[11]]=0,,MONTH(Таблица5[[#This Row],[11]]))</f>
        <v>1</v>
      </c>
    </row>
    <row r="465" spans="1:43" ht="39" thickBot="1" x14ac:dyDescent="0.3">
      <c r="A465" s="233" t="str">
        <f t="shared" si="7"/>
        <v>1004-2017-00450</v>
      </c>
      <c r="B465" s="233" t="str">
        <f>РПЗ!$D465</f>
        <v>1004-2017-00450Поставка Осцилограф высокочастотный LECROY WaveSurfer 10R</v>
      </c>
      <c r="C465" s="233" t="str">
        <f>РПЗ!$AA465</f>
        <v>АО "НИИ "Полюс" им. М.Ф. Стельмаха" тел. отдела закупок 8-495-333-05-02</v>
      </c>
      <c r="D465" s="633" t="str">
        <f>РПЗ!$AB465</f>
        <v>Заказчик</v>
      </c>
      <c r="E465" s="96" t="s">
        <v>46</v>
      </c>
      <c r="F465" s="233" t="str">
        <f>РПЗ!Q465</f>
        <v>ОЗК</v>
      </c>
      <c r="G465" s="237"/>
      <c r="H465" s="237" t="str">
        <f>РПЗ!R465</f>
        <v>да</v>
      </c>
      <c r="I465" s="15">
        <f>РПЗ!W465</f>
        <v>0</v>
      </c>
      <c r="J465" s="233">
        <f>РПЗ!X465</f>
        <v>0</v>
      </c>
      <c r="K465" s="283">
        <f>РПЗ!Z465</f>
        <v>0</v>
      </c>
      <c r="L465" s="17"/>
      <c r="M465" s="18">
        <f>РПЗ!O465</f>
        <v>42736.5</v>
      </c>
      <c r="N465" s="238">
        <f>Таблица5[[#This Row],[10]]</f>
        <v>42736.5</v>
      </c>
      <c r="O465" s="17"/>
      <c r="P465" s="17"/>
      <c r="Q465" s="17"/>
      <c r="R465" s="17"/>
      <c r="S465" s="17"/>
      <c r="T465" s="686"/>
      <c r="U465" s="18">
        <f>РПЗ!P465</f>
        <v>43100.5</v>
      </c>
      <c r="V465" s="686"/>
      <c r="W465" s="236">
        <f>РПЗ!L465</f>
        <v>991122</v>
      </c>
      <c r="X465" s="689"/>
      <c r="Y465" s="689"/>
      <c r="Z465" s="690"/>
      <c r="AA465" s="691"/>
      <c r="AB465" s="111"/>
      <c r="AC465" s="17"/>
      <c r="AD465" s="690"/>
      <c r="AE465" s="686"/>
      <c r="AF465" s="474"/>
      <c r="AG465" s="692"/>
      <c r="AH465" s="236" t="str">
        <f>IF(Таблица5[[#This Row],[30]]=0,"НД",Таблица5[[#This Row],[20]]-Таблица5[[#This Row],[30]])</f>
        <v>НД</v>
      </c>
      <c r="AI465" s="511" t="str">
        <f>IF(((1-Таблица5[[#This Row],[30]]/Таблица5[[#This Row],[20]])=1),"НД",(1-Таблица5[[#This Row],[30]]/Таблица5[[#This Row],[20]]))</f>
        <v>НД</v>
      </c>
      <c r="AJ465" s="111"/>
      <c r="AK465" s="111"/>
      <c r="AL465" s="512"/>
      <c r="AM465" s="513"/>
      <c r="AN465" s="465"/>
      <c r="AO465" s="468" t="str">
        <f>РПЗ!AD465</f>
        <v>Нет</v>
      </c>
      <c r="AP465" s="472">
        <f>РПЗ!V465</f>
        <v>0</v>
      </c>
      <c r="AQ465" s="470">
        <f>IF(Таблица5[[#This Row],[11]]=0,,MONTH(Таблица5[[#This Row],[11]]))</f>
        <v>1</v>
      </c>
    </row>
    <row r="466" spans="1:43" ht="39" thickBot="1" x14ac:dyDescent="0.3">
      <c r="A466" s="233" t="str">
        <f t="shared" si="7"/>
        <v>1004-2017-00451</v>
      </c>
      <c r="B466" s="233" t="str">
        <f>РПЗ!$D466</f>
        <v>1004-2017-00451ГПоставкарафический мультиметр FLUKE 289</v>
      </c>
      <c r="C466" s="233" t="str">
        <f>РПЗ!$AA466</f>
        <v>АО "НИИ "Полюс" им. М.Ф. Стельмаха" тел. отдела закупок 8-495-333-05-02</v>
      </c>
      <c r="D466" s="633" t="str">
        <f>РПЗ!$AB466</f>
        <v>Заказчик</v>
      </c>
      <c r="E466" s="96" t="s">
        <v>46</v>
      </c>
      <c r="F466" s="233" t="str">
        <f>РПЗ!Q466</f>
        <v>ОЗК</v>
      </c>
      <c r="G466" s="237"/>
      <c r="H466" s="237" t="str">
        <f>РПЗ!R466</f>
        <v>да</v>
      </c>
      <c r="I466" s="15">
        <f>РПЗ!W466</f>
        <v>0</v>
      </c>
      <c r="J466" s="233">
        <f>РПЗ!X466</f>
        <v>0</v>
      </c>
      <c r="K466" s="283">
        <f>РПЗ!Z466</f>
        <v>0</v>
      </c>
      <c r="L466" s="17"/>
      <c r="M466" s="18">
        <f>РПЗ!O466</f>
        <v>42736.5</v>
      </c>
      <c r="N466" s="238">
        <f>Таблица5[[#This Row],[10]]</f>
        <v>42736.5</v>
      </c>
      <c r="O466" s="17"/>
      <c r="P466" s="17"/>
      <c r="Q466" s="17"/>
      <c r="R466" s="17"/>
      <c r="S466" s="17"/>
      <c r="T466" s="686"/>
      <c r="U466" s="18">
        <f>РПЗ!P466</f>
        <v>43100.5</v>
      </c>
      <c r="V466" s="686"/>
      <c r="W466" s="236">
        <f>РПЗ!L466</f>
        <v>268800</v>
      </c>
      <c r="X466" s="689"/>
      <c r="Y466" s="689"/>
      <c r="Z466" s="690"/>
      <c r="AA466" s="691"/>
      <c r="AB466" s="111"/>
      <c r="AC466" s="17"/>
      <c r="AD466" s="690"/>
      <c r="AE466" s="686"/>
      <c r="AF466" s="474"/>
      <c r="AG466" s="692"/>
      <c r="AH466" s="236" t="str">
        <f>IF(Таблица5[[#This Row],[30]]=0,"НД",Таблица5[[#This Row],[20]]-Таблица5[[#This Row],[30]])</f>
        <v>НД</v>
      </c>
      <c r="AI466" s="511" t="str">
        <f>IF(((1-Таблица5[[#This Row],[30]]/Таблица5[[#This Row],[20]])=1),"НД",(1-Таблица5[[#This Row],[30]]/Таблица5[[#This Row],[20]]))</f>
        <v>НД</v>
      </c>
      <c r="AJ466" s="111"/>
      <c r="AK466" s="111"/>
      <c r="AL466" s="512"/>
      <c r="AM466" s="513"/>
      <c r="AN466" s="465"/>
      <c r="AO466" s="468" t="str">
        <f>РПЗ!AD466</f>
        <v>Нет</v>
      </c>
      <c r="AP466" s="472">
        <f>РПЗ!V466</f>
        <v>0</v>
      </c>
      <c r="AQ466" s="470">
        <f>IF(Таблица5[[#This Row],[11]]=0,,MONTH(Таблица5[[#This Row],[11]]))</f>
        <v>1</v>
      </c>
    </row>
    <row r="467" spans="1:43" ht="39" thickBot="1" x14ac:dyDescent="0.3">
      <c r="A467" s="233" t="str">
        <f t="shared" si="7"/>
        <v>1004-2017-00452</v>
      </c>
      <c r="B467" s="233" t="str">
        <f>РПЗ!$D467</f>
        <v>1004-2017-00452Поставка Коллиматор внеосевой параболический зеркальный ВК-2000</v>
      </c>
      <c r="C467" s="233" t="str">
        <f>РПЗ!$AA467</f>
        <v>АО "НИИ "Полюс" им. М.Ф. Стельмаха" тел. отдела закупок 8-495-333-05-02</v>
      </c>
      <c r="D467" s="633" t="str">
        <f>РПЗ!$AB467</f>
        <v>Заказчик</v>
      </c>
      <c r="E467" s="96" t="s">
        <v>46</v>
      </c>
      <c r="F467" s="233" t="str">
        <f>РПЗ!Q467</f>
        <v>ОЗК</v>
      </c>
      <c r="G467" s="237"/>
      <c r="H467" s="237" t="str">
        <f>РПЗ!R467</f>
        <v>да</v>
      </c>
      <c r="I467" s="15">
        <f>РПЗ!W467</f>
        <v>0</v>
      </c>
      <c r="J467" s="233">
        <f>РПЗ!X467</f>
        <v>0</v>
      </c>
      <c r="K467" s="283">
        <f>РПЗ!Z467</f>
        <v>0</v>
      </c>
      <c r="L467" s="17"/>
      <c r="M467" s="18">
        <f>РПЗ!O467</f>
        <v>42736.5</v>
      </c>
      <c r="N467" s="238">
        <f>Таблица5[[#This Row],[10]]</f>
        <v>42736.5</v>
      </c>
      <c r="O467" s="17"/>
      <c r="P467" s="17"/>
      <c r="Q467" s="17"/>
      <c r="R467" s="17"/>
      <c r="S467" s="17"/>
      <c r="T467" s="686"/>
      <c r="U467" s="18">
        <f>РПЗ!P467</f>
        <v>43100.5</v>
      </c>
      <c r="V467" s="686"/>
      <c r="W467" s="236">
        <f>РПЗ!L467</f>
        <v>3500000</v>
      </c>
      <c r="X467" s="689"/>
      <c r="Y467" s="689"/>
      <c r="Z467" s="690"/>
      <c r="AA467" s="691"/>
      <c r="AB467" s="111"/>
      <c r="AC467" s="17"/>
      <c r="AD467" s="690"/>
      <c r="AE467" s="686"/>
      <c r="AF467" s="474"/>
      <c r="AG467" s="692"/>
      <c r="AH467" s="236" t="str">
        <f>IF(Таблица5[[#This Row],[30]]=0,"НД",Таблица5[[#This Row],[20]]-Таблица5[[#This Row],[30]])</f>
        <v>НД</v>
      </c>
      <c r="AI467" s="511" t="str">
        <f>IF(((1-Таблица5[[#This Row],[30]]/Таблица5[[#This Row],[20]])=1),"НД",(1-Таблица5[[#This Row],[30]]/Таблица5[[#This Row],[20]]))</f>
        <v>НД</v>
      </c>
      <c r="AJ467" s="111"/>
      <c r="AK467" s="111"/>
      <c r="AL467" s="512"/>
      <c r="AM467" s="513"/>
      <c r="AN467" s="465"/>
      <c r="AO467" s="468" t="str">
        <f>РПЗ!AD467</f>
        <v>Нет</v>
      </c>
      <c r="AP467" s="472">
        <f>РПЗ!V467</f>
        <v>0</v>
      </c>
      <c r="AQ467" s="470">
        <f>IF(Таблица5[[#This Row],[11]]=0,,MONTH(Таблица5[[#This Row],[11]]))</f>
        <v>1</v>
      </c>
    </row>
    <row r="468" spans="1:43" ht="39" thickBot="1" x14ac:dyDescent="0.3">
      <c r="A468" s="233" t="str">
        <f t="shared" si="7"/>
        <v>1004-2017-00453</v>
      </c>
      <c r="B468" s="233" t="str">
        <f>РПЗ!$D468</f>
        <v>1004-2017-00453ПоставкаСистема охранного видеонаблюдения предприятия</v>
      </c>
      <c r="C468" s="233" t="str">
        <f>РПЗ!$AA468</f>
        <v>АО "НИИ "Полюс" им. М.Ф. Стельмаха" тел. отдела закупок 8-495-333-05-02</v>
      </c>
      <c r="D468" s="633" t="str">
        <f>РПЗ!$AB468</f>
        <v>Заказчик</v>
      </c>
      <c r="E468" s="96" t="s">
        <v>46</v>
      </c>
      <c r="F468" s="233" t="str">
        <f>РПЗ!Q468</f>
        <v>ОЗК</v>
      </c>
      <c r="G468" s="237"/>
      <c r="H468" s="237" t="str">
        <f>РПЗ!R468</f>
        <v>да</v>
      </c>
      <c r="I468" s="15">
        <f>РПЗ!W468</f>
        <v>0</v>
      </c>
      <c r="J468" s="233">
        <f>РПЗ!X468</f>
        <v>0</v>
      </c>
      <c r="K468" s="283">
        <f>РПЗ!Z468</f>
        <v>0</v>
      </c>
      <c r="L468" s="17"/>
      <c r="M468" s="18">
        <f>РПЗ!O468</f>
        <v>42736.5</v>
      </c>
      <c r="N468" s="238">
        <f>Таблица5[[#This Row],[10]]</f>
        <v>42736.5</v>
      </c>
      <c r="O468" s="17"/>
      <c r="P468" s="17"/>
      <c r="Q468" s="17"/>
      <c r="R468" s="17"/>
      <c r="S468" s="17"/>
      <c r="T468" s="686"/>
      <c r="U468" s="18">
        <f>РПЗ!P468</f>
        <v>43100.5</v>
      </c>
      <c r="V468" s="686"/>
      <c r="W468" s="236">
        <f>РПЗ!L468</f>
        <v>10734066</v>
      </c>
      <c r="X468" s="689"/>
      <c r="Y468" s="689"/>
      <c r="Z468" s="690"/>
      <c r="AA468" s="691"/>
      <c r="AB468" s="111"/>
      <c r="AC468" s="17"/>
      <c r="AD468" s="690"/>
      <c r="AE468" s="686"/>
      <c r="AF468" s="474"/>
      <c r="AG468" s="692"/>
      <c r="AH468" s="236" t="str">
        <f>IF(Таблица5[[#This Row],[30]]=0,"НД",Таблица5[[#This Row],[20]]-Таблица5[[#This Row],[30]])</f>
        <v>НД</v>
      </c>
      <c r="AI468" s="511" t="str">
        <f>IF(((1-Таблица5[[#This Row],[30]]/Таблица5[[#This Row],[20]])=1),"НД",(1-Таблица5[[#This Row],[30]]/Таблица5[[#This Row],[20]]))</f>
        <v>НД</v>
      </c>
      <c r="AJ468" s="111"/>
      <c r="AK468" s="111"/>
      <c r="AL468" s="512"/>
      <c r="AM468" s="513"/>
      <c r="AN468" s="465"/>
      <c r="AO468" s="468" t="str">
        <f>РПЗ!AD468</f>
        <v>Нет</v>
      </c>
      <c r="AP468" s="472">
        <f>РПЗ!V468</f>
        <v>0</v>
      </c>
      <c r="AQ468" s="470">
        <f>IF(Таблица5[[#This Row],[11]]=0,,MONTH(Таблица5[[#This Row],[11]]))</f>
        <v>1</v>
      </c>
    </row>
    <row r="469" spans="1:43" ht="39" thickBot="1" x14ac:dyDescent="0.3">
      <c r="A469" s="233" t="str">
        <f t="shared" si="7"/>
        <v>1004-2017-00454</v>
      </c>
      <c r="B469" s="233" t="str">
        <f>РПЗ!$D469</f>
        <v>1004-2017-00454Поставка Периметральная радиолучевая охранная сиситема</v>
      </c>
      <c r="C469" s="233" t="str">
        <f>РПЗ!$AA469</f>
        <v>АО "НИИ "Полюс" им. М.Ф. Стельмаха" тел. отдела закупок 8-495-333-05-02</v>
      </c>
      <c r="D469" s="633" t="str">
        <f>РПЗ!$AB469</f>
        <v>Заказчик</v>
      </c>
      <c r="E469" s="96" t="s">
        <v>46</v>
      </c>
      <c r="F469" s="233" t="str">
        <f>РПЗ!Q469</f>
        <v>ОЗК</v>
      </c>
      <c r="G469" s="237"/>
      <c r="H469" s="237" t="str">
        <f>РПЗ!R469</f>
        <v>да</v>
      </c>
      <c r="I469" s="15">
        <f>РПЗ!W469</f>
        <v>0</v>
      </c>
      <c r="J469" s="233">
        <f>РПЗ!X469</f>
        <v>0</v>
      </c>
      <c r="K469" s="283">
        <f>РПЗ!Z469</f>
        <v>0</v>
      </c>
      <c r="L469" s="17"/>
      <c r="M469" s="18">
        <f>РПЗ!O469</f>
        <v>42736.5</v>
      </c>
      <c r="N469" s="238">
        <f>Таблица5[[#This Row],[10]]</f>
        <v>42736.5</v>
      </c>
      <c r="O469" s="17"/>
      <c r="P469" s="17"/>
      <c r="Q469" s="17"/>
      <c r="R469" s="17"/>
      <c r="S469" s="17"/>
      <c r="T469" s="686"/>
      <c r="U469" s="18">
        <f>РПЗ!P469</f>
        <v>43100.5</v>
      </c>
      <c r="V469" s="686"/>
      <c r="W469" s="236">
        <f>РПЗ!L469</f>
        <v>6200000</v>
      </c>
      <c r="X469" s="689"/>
      <c r="Y469" s="689"/>
      <c r="Z469" s="690"/>
      <c r="AA469" s="691"/>
      <c r="AB469" s="111"/>
      <c r="AC469" s="17"/>
      <c r="AD469" s="690"/>
      <c r="AE469" s="686"/>
      <c r="AF469" s="474"/>
      <c r="AG469" s="692"/>
      <c r="AH469" s="236" t="str">
        <f>IF(Таблица5[[#This Row],[30]]=0,"НД",Таблица5[[#This Row],[20]]-Таблица5[[#This Row],[30]])</f>
        <v>НД</v>
      </c>
      <c r="AI469" s="511" t="str">
        <f>IF(((1-Таблица5[[#This Row],[30]]/Таблица5[[#This Row],[20]])=1),"НД",(1-Таблица5[[#This Row],[30]]/Таблица5[[#This Row],[20]]))</f>
        <v>НД</v>
      </c>
      <c r="AJ469" s="111"/>
      <c r="AK469" s="111"/>
      <c r="AL469" s="512"/>
      <c r="AM469" s="513"/>
      <c r="AN469" s="465"/>
      <c r="AO469" s="468" t="str">
        <f>РПЗ!AD469</f>
        <v>Нет</v>
      </c>
      <c r="AP469" s="472">
        <f>РПЗ!V469</f>
        <v>0</v>
      </c>
      <c r="AQ469" s="470">
        <f>IF(Таблица5[[#This Row],[11]]=0,,MONTH(Таблица5[[#This Row],[11]]))</f>
        <v>1</v>
      </c>
    </row>
    <row r="470" spans="1:43" ht="39" thickBot="1" x14ac:dyDescent="0.3">
      <c r="A470" s="233" t="str">
        <f t="shared" si="7"/>
        <v>1004-2017-00455</v>
      </c>
      <c r="B470" s="233" t="str">
        <f>РПЗ!$D470</f>
        <v>1004-2017-00455Поставка оборудование ля обработки информации ограниченного доступа</v>
      </c>
      <c r="C470" s="233" t="str">
        <f>РПЗ!$AA470</f>
        <v>АО "НИИ "Полюс" им. М.Ф. Стельмаха" тел. отдела закупок 8-495-333-05-02</v>
      </c>
      <c r="D470" s="633" t="str">
        <f>РПЗ!$AB470</f>
        <v>Заказчик</v>
      </c>
      <c r="E470" s="96" t="s">
        <v>46</v>
      </c>
      <c r="F470" s="233" t="str">
        <f>РПЗ!Q470</f>
        <v>ОЗК</v>
      </c>
      <c r="G470" s="237"/>
      <c r="H470" s="237" t="str">
        <f>РПЗ!R470</f>
        <v>да</v>
      </c>
      <c r="I470" s="15">
        <f>РПЗ!W470</f>
        <v>0</v>
      </c>
      <c r="J470" s="233">
        <f>РПЗ!X470</f>
        <v>0</v>
      </c>
      <c r="K470" s="283">
        <f>РПЗ!Z470</f>
        <v>0</v>
      </c>
      <c r="L470" s="17"/>
      <c r="M470" s="18">
        <f>РПЗ!O470</f>
        <v>42736.5</v>
      </c>
      <c r="N470" s="238">
        <f>Таблица5[[#This Row],[10]]</f>
        <v>42736.5</v>
      </c>
      <c r="O470" s="17"/>
      <c r="P470" s="17"/>
      <c r="Q470" s="17"/>
      <c r="R470" s="17"/>
      <c r="S470" s="17"/>
      <c r="T470" s="686"/>
      <c r="U470" s="18">
        <f>РПЗ!P470</f>
        <v>43100.5</v>
      </c>
      <c r="V470" s="686"/>
      <c r="W470" s="236">
        <f>РПЗ!L470</f>
        <v>4000000</v>
      </c>
      <c r="X470" s="689"/>
      <c r="Y470" s="689"/>
      <c r="Z470" s="690"/>
      <c r="AA470" s="691"/>
      <c r="AB470" s="111"/>
      <c r="AC470" s="17"/>
      <c r="AD470" s="690"/>
      <c r="AE470" s="686"/>
      <c r="AF470" s="474"/>
      <c r="AG470" s="692"/>
      <c r="AH470" s="236" t="str">
        <f>IF(Таблица5[[#This Row],[30]]=0,"НД",Таблица5[[#This Row],[20]]-Таблица5[[#This Row],[30]])</f>
        <v>НД</v>
      </c>
      <c r="AI470" s="511" t="str">
        <f>IF(((1-Таблица5[[#This Row],[30]]/Таблица5[[#This Row],[20]])=1),"НД",(1-Таблица5[[#This Row],[30]]/Таблица5[[#This Row],[20]]))</f>
        <v>НД</v>
      </c>
      <c r="AJ470" s="111"/>
      <c r="AK470" s="111"/>
      <c r="AL470" s="512"/>
      <c r="AM470" s="513"/>
      <c r="AN470" s="465"/>
      <c r="AO470" s="468" t="str">
        <f>РПЗ!AD470</f>
        <v>Нет</v>
      </c>
      <c r="AP470" s="472">
        <f>РПЗ!V470</f>
        <v>0</v>
      </c>
      <c r="AQ470" s="470">
        <f>IF(Таблица5[[#This Row],[11]]=0,,MONTH(Таблица5[[#This Row],[11]]))</f>
        <v>1</v>
      </c>
    </row>
    <row r="471" spans="1:43" ht="51.75" thickBot="1" x14ac:dyDescent="0.3">
      <c r="A471" s="233" t="str">
        <f t="shared" si="7"/>
        <v>1004-2017-00456</v>
      </c>
      <c r="B471" s="233" t="str">
        <f>РПЗ!$D471</f>
        <v>1004-2017-00456Договор № 07.300419-ТЭ от 27.01.2016г. С ПАО "МОЭК" на поставку тепловой энергии</v>
      </c>
      <c r="C471" s="233" t="str">
        <f>РПЗ!$AA471</f>
        <v>АО "НИИ "Полюс" им. М.Ф. Стельмаха" тел. отдела закупок 8-495-333-05-02</v>
      </c>
      <c r="D471" s="633" t="str">
        <f>РПЗ!$AB471</f>
        <v>Заказчик</v>
      </c>
      <c r="E471" s="96" t="s">
        <v>46</v>
      </c>
      <c r="F471" s="233" t="str">
        <f>РПЗ!Q471</f>
        <v>ОЗК</v>
      </c>
      <c r="G471" s="237"/>
      <c r="H471" s="237" t="str">
        <f>РПЗ!R471</f>
        <v>да</v>
      </c>
      <c r="I471" s="15">
        <f>РПЗ!W471</f>
        <v>0</v>
      </c>
      <c r="J471" s="233">
        <f>РПЗ!X471</f>
        <v>0</v>
      </c>
      <c r="K471" s="283">
        <f>РПЗ!Z471</f>
        <v>0</v>
      </c>
      <c r="L471" s="17"/>
      <c r="M471" s="18">
        <f>РПЗ!O471</f>
        <v>42736.5</v>
      </c>
      <c r="N471" s="238">
        <f>Таблица5[[#This Row],[10]]</f>
        <v>42736.5</v>
      </c>
      <c r="O471" s="17"/>
      <c r="P471" s="17"/>
      <c r="Q471" s="17"/>
      <c r="R471" s="17"/>
      <c r="S471" s="17"/>
      <c r="T471" s="686"/>
      <c r="U471" s="18">
        <f>РПЗ!P471</f>
        <v>43100.5</v>
      </c>
      <c r="V471" s="686"/>
      <c r="W471" s="236">
        <f>РПЗ!L471</f>
        <v>14000000</v>
      </c>
      <c r="X471" s="689"/>
      <c r="Y471" s="689"/>
      <c r="Z471" s="690"/>
      <c r="AA471" s="691"/>
      <c r="AB471" s="111"/>
      <c r="AC471" s="17"/>
      <c r="AD471" s="690"/>
      <c r="AE471" s="686"/>
      <c r="AF471" s="474"/>
      <c r="AG471" s="692"/>
      <c r="AH471" s="236" t="str">
        <f>IF(Таблица5[[#This Row],[30]]=0,"НД",Таблица5[[#This Row],[20]]-Таблица5[[#This Row],[30]])</f>
        <v>НД</v>
      </c>
      <c r="AI471" s="511" t="str">
        <f>IF(((1-Таблица5[[#This Row],[30]]/Таблица5[[#This Row],[20]])=1),"НД",(1-Таблица5[[#This Row],[30]]/Таблица5[[#This Row],[20]]))</f>
        <v>НД</v>
      </c>
      <c r="AJ471" s="111"/>
      <c r="AK471" s="111"/>
      <c r="AL471" s="512"/>
      <c r="AM471" s="513"/>
      <c r="AN471" s="465"/>
      <c r="AO471" s="468" t="str">
        <f>РПЗ!AD471</f>
        <v>Нет</v>
      </c>
      <c r="AP471" s="472">
        <f>РПЗ!V471</f>
        <v>0</v>
      </c>
      <c r="AQ471" s="470">
        <f>IF(Таблица5[[#This Row],[11]]=0,,MONTH(Таблица5[[#This Row],[11]]))</f>
        <v>1</v>
      </c>
    </row>
    <row r="472" spans="1:43" ht="51.75" thickBot="1" x14ac:dyDescent="0.3">
      <c r="A472" s="233" t="str">
        <f t="shared" si="7"/>
        <v>1004-2017-00457</v>
      </c>
      <c r="B472" s="233" t="str">
        <f>РПЗ!$D472</f>
        <v>1004-2017-00457Договор №07.300420-ТЭ от 27.01.2016г. С ПАО "МОЭК" на поставку тепловой энергии</v>
      </c>
      <c r="C472" s="233" t="str">
        <f>РПЗ!$AA472</f>
        <v>АО "НИИ "Полюс" им. М.Ф. Стельмаха" тел. отдела закупок 8-495-333-05-02</v>
      </c>
      <c r="D472" s="633" t="str">
        <f>РПЗ!$AB472</f>
        <v>Заказчик</v>
      </c>
      <c r="E472" s="96" t="s">
        <v>46</v>
      </c>
      <c r="F472" s="233" t="str">
        <f>РПЗ!Q472</f>
        <v>ОЗК</v>
      </c>
      <c r="G472" s="237"/>
      <c r="H472" s="237" t="str">
        <f>РПЗ!R472</f>
        <v>да</v>
      </c>
      <c r="I472" s="15">
        <f>РПЗ!W472</f>
        <v>0</v>
      </c>
      <c r="J472" s="233">
        <f>РПЗ!X472</f>
        <v>0</v>
      </c>
      <c r="K472" s="283">
        <f>РПЗ!Z472</f>
        <v>0</v>
      </c>
      <c r="L472" s="17"/>
      <c r="M472" s="18">
        <f>РПЗ!O472</f>
        <v>42736.5</v>
      </c>
      <c r="N472" s="238">
        <f>Таблица5[[#This Row],[10]]</f>
        <v>42736.5</v>
      </c>
      <c r="O472" s="17"/>
      <c r="P472" s="17"/>
      <c r="Q472" s="17"/>
      <c r="R472" s="17"/>
      <c r="S472" s="17"/>
      <c r="T472" s="686"/>
      <c r="U472" s="18">
        <f>РПЗ!P472</f>
        <v>43100.5</v>
      </c>
      <c r="V472" s="686"/>
      <c r="W472" s="236">
        <f>РПЗ!L472</f>
        <v>14000000</v>
      </c>
      <c r="X472" s="689"/>
      <c r="Y472" s="689"/>
      <c r="Z472" s="690"/>
      <c r="AA472" s="691"/>
      <c r="AB472" s="111"/>
      <c r="AC472" s="17"/>
      <c r="AD472" s="690"/>
      <c r="AE472" s="686"/>
      <c r="AF472" s="474"/>
      <c r="AG472" s="692"/>
      <c r="AH472" s="236" t="str">
        <f>IF(Таблица5[[#This Row],[30]]=0,"НД",Таблица5[[#This Row],[20]]-Таблица5[[#This Row],[30]])</f>
        <v>НД</v>
      </c>
      <c r="AI472" s="511" t="str">
        <f>IF(((1-Таблица5[[#This Row],[30]]/Таблица5[[#This Row],[20]])=1),"НД",(1-Таблица5[[#This Row],[30]]/Таблица5[[#This Row],[20]]))</f>
        <v>НД</v>
      </c>
      <c r="AJ472" s="111"/>
      <c r="AK472" s="111"/>
      <c r="AL472" s="512"/>
      <c r="AM472" s="513"/>
      <c r="AN472" s="465"/>
      <c r="AO472" s="468" t="str">
        <f>РПЗ!AD472</f>
        <v>Нет</v>
      </c>
      <c r="AP472" s="472">
        <f>РПЗ!V472</f>
        <v>0</v>
      </c>
      <c r="AQ472" s="470">
        <f>IF(Таблица5[[#This Row],[11]]=0,,MONTH(Таблица5[[#This Row],[11]]))</f>
        <v>1</v>
      </c>
    </row>
    <row r="473" spans="1:43" ht="39" thickBot="1" x14ac:dyDescent="0.3">
      <c r="A473" s="233" t="str">
        <f t="shared" si="7"/>
        <v>1004-2017-00458</v>
      </c>
      <c r="B473" s="233" t="str">
        <f>РПЗ!$D473</f>
        <v xml:space="preserve">1004-2017-00458Информационное обслуживание </v>
      </c>
      <c r="C473" s="233" t="str">
        <f>РПЗ!$AA473</f>
        <v>АО "НИИ "Полюс" им. М.Ф. Стельмаха" тел. отдела закупок 8-495-333-05-02</v>
      </c>
      <c r="D473" s="633" t="str">
        <f>РПЗ!$AB473</f>
        <v>Заказчик</v>
      </c>
      <c r="E473" s="96" t="s">
        <v>46</v>
      </c>
      <c r="F473" s="233" t="str">
        <f>РПЗ!Q473</f>
        <v>ОК</v>
      </c>
      <c r="G473" s="237"/>
      <c r="H473" s="237" t="str">
        <f>РПЗ!R473</f>
        <v>да</v>
      </c>
      <c r="I473" s="15">
        <f>РПЗ!W473</f>
        <v>0</v>
      </c>
      <c r="J473" s="233">
        <f>РПЗ!X473</f>
        <v>0</v>
      </c>
      <c r="K473" s="283">
        <f>РПЗ!Z473</f>
        <v>0</v>
      </c>
      <c r="L473" s="17"/>
      <c r="M473" s="18">
        <f>РПЗ!O473</f>
        <v>43040.5</v>
      </c>
      <c r="N473" s="238">
        <f>Таблица5[[#This Row],[10]]</f>
        <v>43040.5</v>
      </c>
      <c r="O473" s="17"/>
      <c r="P473" s="17"/>
      <c r="Q473" s="17"/>
      <c r="R473" s="17"/>
      <c r="S473" s="17"/>
      <c r="T473" s="686"/>
      <c r="U473" s="18">
        <f>РПЗ!P473</f>
        <v>43100.5</v>
      </c>
      <c r="V473" s="686"/>
      <c r="W473" s="236">
        <f>РПЗ!L473</f>
        <v>140000</v>
      </c>
      <c r="X473" s="689"/>
      <c r="Y473" s="689"/>
      <c r="Z473" s="690"/>
      <c r="AA473" s="691"/>
      <c r="AB473" s="111"/>
      <c r="AC473" s="17"/>
      <c r="AD473" s="690"/>
      <c r="AE473" s="686"/>
      <c r="AF473" s="474"/>
      <c r="AG473" s="692"/>
      <c r="AH473" s="236" t="str">
        <f>IF(Таблица5[[#This Row],[30]]=0,"НД",Таблица5[[#This Row],[20]]-Таблица5[[#This Row],[30]])</f>
        <v>НД</v>
      </c>
      <c r="AI473" s="511" t="str">
        <f>IF(((1-Таблица5[[#This Row],[30]]/Таблица5[[#This Row],[20]])=1),"НД",(1-Таблица5[[#This Row],[30]]/Таблица5[[#This Row],[20]]))</f>
        <v>НД</v>
      </c>
      <c r="AJ473" s="111"/>
      <c r="AK473" s="111"/>
      <c r="AL473" s="512"/>
      <c r="AM473" s="513"/>
      <c r="AN473" s="465"/>
      <c r="AO473" s="468" t="str">
        <f>РПЗ!AD473</f>
        <v>Нет</v>
      </c>
      <c r="AP473" s="472">
        <f>РПЗ!V473</f>
        <v>0</v>
      </c>
      <c r="AQ473" s="470">
        <f>IF(Таблица5[[#This Row],[11]]=0,,MONTH(Таблица5[[#This Row],[11]]))</f>
        <v>11</v>
      </c>
    </row>
    <row r="474" spans="1:43" ht="39" thickBot="1" x14ac:dyDescent="0.3">
      <c r="A474" s="233" t="str">
        <f t="shared" si="7"/>
        <v>1004-2017-00459</v>
      </c>
      <c r="B474" s="233" t="str">
        <f>РПЗ!$D474</f>
        <v xml:space="preserve">1004-2017-00459 выполнение программы производственного контроля </v>
      </c>
      <c r="C474" s="233" t="str">
        <f>РПЗ!$AA474</f>
        <v>АО "НИИ "Полюс" им. М.Ф. Стельмаха" тел. отдела закупок 8-495-333-05-02</v>
      </c>
      <c r="D474" s="633" t="str">
        <f>РПЗ!$AB474</f>
        <v>Заказчик</v>
      </c>
      <c r="E474" s="96" t="s">
        <v>46</v>
      </c>
      <c r="F474" s="233" t="str">
        <f>РПЗ!Q474</f>
        <v>ОК</v>
      </c>
      <c r="G474" s="237"/>
      <c r="H474" s="237" t="str">
        <f>РПЗ!R474</f>
        <v>да</v>
      </c>
      <c r="I474" s="15">
        <f>РПЗ!W474</f>
        <v>0</v>
      </c>
      <c r="J474" s="233">
        <f>РПЗ!X474</f>
        <v>0</v>
      </c>
      <c r="K474" s="283">
        <f>РПЗ!Z474</f>
        <v>0</v>
      </c>
      <c r="L474" s="17"/>
      <c r="M474" s="18">
        <f>РПЗ!O474</f>
        <v>42736.5</v>
      </c>
      <c r="N474" s="238">
        <f>Таблица5[[#This Row],[10]]</f>
        <v>42736.5</v>
      </c>
      <c r="O474" s="17"/>
      <c r="P474" s="17"/>
      <c r="Q474" s="17"/>
      <c r="R474" s="17"/>
      <c r="S474" s="17"/>
      <c r="T474" s="686"/>
      <c r="U474" s="18">
        <f>РПЗ!P474</f>
        <v>43100.5</v>
      </c>
      <c r="V474" s="686"/>
      <c r="W474" s="236">
        <f>РПЗ!L474</f>
        <v>200000</v>
      </c>
      <c r="X474" s="689"/>
      <c r="Y474" s="689"/>
      <c r="Z474" s="690"/>
      <c r="AA474" s="691"/>
      <c r="AB474" s="111"/>
      <c r="AC474" s="17"/>
      <c r="AD474" s="690"/>
      <c r="AE474" s="686"/>
      <c r="AF474" s="474"/>
      <c r="AG474" s="692"/>
      <c r="AH474" s="236" t="str">
        <f>IF(Таблица5[[#This Row],[30]]=0,"НД",Таблица5[[#This Row],[20]]-Таблица5[[#This Row],[30]])</f>
        <v>НД</v>
      </c>
      <c r="AI474" s="511" t="str">
        <f>IF(((1-Таблица5[[#This Row],[30]]/Таблица5[[#This Row],[20]])=1),"НД",(1-Таблица5[[#This Row],[30]]/Таблица5[[#This Row],[20]]))</f>
        <v>НД</v>
      </c>
      <c r="AJ474" s="111"/>
      <c r="AK474" s="111"/>
      <c r="AL474" s="512"/>
      <c r="AM474" s="513"/>
      <c r="AN474" s="465"/>
      <c r="AO474" s="468" t="str">
        <f>РПЗ!AD474</f>
        <v>Нет</v>
      </c>
      <c r="AP474" s="472">
        <f>РПЗ!V474</f>
        <v>0</v>
      </c>
      <c r="AQ474" s="470">
        <f>IF(Таблица5[[#This Row],[11]]=0,,MONTH(Таблица5[[#This Row],[11]]))</f>
        <v>1</v>
      </c>
    </row>
    <row r="475" spans="1:43" ht="39" thickBot="1" x14ac:dyDescent="0.3">
      <c r="A475" s="233" t="str">
        <f t="shared" si="7"/>
        <v>1004-2017-00460</v>
      </c>
      <c r="B475" s="233" t="str">
        <f>РПЗ!$D475</f>
        <v>1004-2017-00460Техническое обслуживание и ремонт грузоподъёмных механизмов</v>
      </c>
      <c r="C475" s="233" t="str">
        <f>РПЗ!$AA475</f>
        <v>АО "НИИ "Полюс" им. М.Ф. Стельмаха" тел. отдела закупок 8-495-333-05-02</v>
      </c>
      <c r="D475" s="633" t="str">
        <f>РПЗ!$AB475</f>
        <v>Заказчик</v>
      </c>
      <c r="E475" s="96" t="s">
        <v>46</v>
      </c>
      <c r="F475" s="233" t="str">
        <f>РПЗ!Q475</f>
        <v>ОК</v>
      </c>
      <c r="G475" s="237"/>
      <c r="H475" s="237" t="str">
        <f>РПЗ!R475</f>
        <v>да</v>
      </c>
      <c r="I475" s="15">
        <f>РПЗ!W475</f>
        <v>0</v>
      </c>
      <c r="J475" s="233">
        <f>РПЗ!X475</f>
        <v>0</v>
      </c>
      <c r="K475" s="283">
        <f>РПЗ!Z475</f>
        <v>0</v>
      </c>
      <c r="L475" s="17"/>
      <c r="M475" s="18">
        <f>РПЗ!O475</f>
        <v>42736.5</v>
      </c>
      <c r="N475" s="238">
        <f>Таблица5[[#This Row],[10]]</f>
        <v>42736.5</v>
      </c>
      <c r="O475" s="17"/>
      <c r="P475" s="17"/>
      <c r="Q475" s="17"/>
      <c r="R475" s="17"/>
      <c r="S475" s="17"/>
      <c r="T475" s="686"/>
      <c r="U475" s="18">
        <f>РПЗ!P475</f>
        <v>43100.5</v>
      </c>
      <c r="V475" s="686"/>
      <c r="W475" s="236">
        <f>РПЗ!L475</f>
        <v>3358138.4</v>
      </c>
      <c r="X475" s="689"/>
      <c r="Y475" s="689"/>
      <c r="Z475" s="690"/>
      <c r="AA475" s="691"/>
      <c r="AB475" s="111"/>
      <c r="AC475" s="17"/>
      <c r="AD475" s="690"/>
      <c r="AE475" s="686"/>
      <c r="AF475" s="474"/>
      <c r="AG475" s="692"/>
      <c r="AH475" s="236" t="str">
        <f>IF(Таблица5[[#This Row],[30]]=0,"НД",Таблица5[[#This Row],[20]]-Таблица5[[#This Row],[30]])</f>
        <v>НД</v>
      </c>
      <c r="AI475" s="511" t="str">
        <f>IF(((1-Таблица5[[#This Row],[30]]/Таблица5[[#This Row],[20]])=1),"НД",(1-Таблица5[[#This Row],[30]]/Таблица5[[#This Row],[20]]))</f>
        <v>НД</v>
      </c>
      <c r="AJ475" s="111"/>
      <c r="AK475" s="111"/>
      <c r="AL475" s="512"/>
      <c r="AM475" s="513"/>
      <c r="AN475" s="465"/>
      <c r="AO475" s="468" t="str">
        <f>РПЗ!AD475</f>
        <v>Нет</v>
      </c>
      <c r="AP475" s="472">
        <f>РПЗ!V475</f>
        <v>0</v>
      </c>
      <c r="AQ475" s="470">
        <f>IF(Таблица5[[#This Row],[11]]=0,,MONTH(Таблица5[[#This Row],[11]]))</f>
        <v>1</v>
      </c>
    </row>
    <row r="476" spans="1:43" ht="64.5" thickBot="1" x14ac:dyDescent="0.3">
      <c r="A476" s="233" t="str">
        <f t="shared" si="7"/>
        <v>1004-2017-00461</v>
      </c>
      <c r="B476" s="233" t="str">
        <f>РПЗ!$D476</f>
        <v>1004-2017-00461техническое обслуживание и ремонт грузоподъёмных механизмов, не регистрируемых в МТУ Ростехадзора</v>
      </c>
      <c r="C476" s="233" t="str">
        <f>РПЗ!$AA476</f>
        <v>АО "НИИ "Полюс" им. М.Ф. Стельмаха" тел. отдела закупок 8-495-333-05-02</v>
      </c>
      <c r="D476" s="633" t="str">
        <f>РПЗ!$AB476</f>
        <v>Заказчик</v>
      </c>
      <c r="E476" s="96" t="s">
        <v>46</v>
      </c>
      <c r="F476" s="233" t="str">
        <f>РПЗ!Q476</f>
        <v>ОЗК</v>
      </c>
      <c r="G476" s="237"/>
      <c r="H476" s="237" t="str">
        <f>РПЗ!R476</f>
        <v>да</v>
      </c>
      <c r="I476" s="15">
        <f>РПЗ!W476</f>
        <v>0</v>
      </c>
      <c r="J476" s="233">
        <f>РПЗ!X476</f>
        <v>0</v>
      </c>
      <c r="K476" s="283">
        <f>РПЗ!Z476</f>
        <v>0</v>
      </c>
      <c r="L476" s="17"/>
      <c r="M476" s="18">
        <f>РПЗ!O476</f>
        <v>42736.5</v>
      </c>
      <c r="N476" s="238">
        <f>Таблица5[[#This Row],[10]]</f>
        <v>42736.5</v>
      </c>
      <c r="O476" s="17"/>
      <c r="P476" s="17"/>
      <c r="Q476" s="17"/>
      <c r="R476" s="17"/>
      <c r="S476" s="17"/>
      <c r="T476" s="686"/>
      <c r="U476" s="18">
        <f>РПЗ!P476</f>
        <v>43100.5</v>
      </c>
      <c r="V476" s="686"/>
      <c r="W476" s="236">
        <f>РПЗ!L476</f>
        <v>1572350</v>
      </c>
      <c r="X476" s="689"/>
      <c r="Y476" s="689"/>
      <c r="Z476" s="690"/>
      <c r="AA476" s="691"/>
      <c r="AB476" s="111"/>
      <c r="AC476" s="17"/>
      <c r="AD476" s="690"/>
      <c r="AE476" s="686"/>
      <c r="AF476" s="474"/>
      <c r="AG476" s="692"/>
      <c r="AH476" s="236" t="str">
        <f>IF(Таблица5[[#This Row],[30]]=0,"НД",Таблица5[[#This Row],[20]]-Таблица5[[#This Row],[30]])</f>
        <v>НД</v>
      </c>
      <c r="AI476" s="511" t="str">
        <f>IF(((1-Таблица5[[#This Row],[30]]/Таблица5[[#This Row],[20]])=1),"НД",(1-Таблица5[[#This Row],[30]]/Таблица5[[#This Row],[20]]))</f>
        <v>НД</v>
      </c>
      <c r="AJ476" s="111"/>
      <c r="AK476" s="111"/>
      <c r="AL476" s="512"/>
      <c r="AM476" s="513"/>
      <c r="AN476" s="465"/>
      <c r="AO476" s="468" t="str">
        <f>РПЗ!AD476</f>
        <v>Нет</v>
      </c>
      <c r="AP476" s="472">
        <f>РПЗ!V476</f>
        <v>0</v>
      </c>
      <c r="AQ476" s="470">
        <f>IF(Таблица5[[#This Row],[11]]=0,,MONTH(Таблица5[[#This Row],[11]]))</f>
        <v>1</v>
      </c>
    </row>
    <row r="477" spans="1:43" ht="39" thickBot="1" x14ac:dyDescent="0.3">
      <c r="A477" s="233" t="str">
        <f t="shared" si="7"/>
        <v>1004-2017-00462</v>
      </c>
      <c r="B477" s="233" t="str">
        <f>РПЗ!$D477</f>
        <v>1004-2017-00462Выполнение работ поЗамена въездных ворот на КПП 4</v>
      </c>
      <c r="C477" s="233" t="str">
        <f>РПЗ!$AA477</f>
        <v>АО "НИИ "Полюс" им. М.Ф. Стельмаха" тел. отдела закупок 8-495-333-05-02</v>
      </c>
      <c r="D477" s="633" t="str">
        <f>РПЗ!$AB477</f>
        <v>Заказчик</v>
      </c>
      <c r="E477" s="96" t="s">
        <v>46</v>
      </c>
      <c r="F477" s="233" t="str">
        <f>РПЗ!Q477</f>
        <v>ОЗК</v>
      </c>
      <c r="G477" s="237"/>
      <c r="H477" s="237" t="str">
        <f>РПЗ!R477</f>
        <v>да</v>
      </c>
      <c r="I477" s="15">
        <f>РПЗ!W477</f>
        <v>0</v>
      </c>
      <c r="J477" s="233">
        <f>РПЗ!X477</f>
        <v>0</v>
      </c>
      <c r="K477" s="283">
        <f>РПЗ!Z477</f>
        <v>0</v>
      </c>
      <c r="L477" s="17"/>
      <c r="M477" s="18">
        <f>РПЗ!O477</f>
        <v>42736.5</v>
      </c>
      <c r="N477" s="238">
        <f>Таблица5[[#This Row],[10]]</f>
        <v>42736.5</v>
      </c>
      <c r="O477" s="17"/>
      <c r="P477" s="17"/>
      <c r="Q477" s="17"/>
      <c r="R477" s="17"/>
      <c r="S477" s="17"/>
      <c r="T477" s="686"/>
      <c r="U477" s="18">
        <f>РПЗ!P477</f>
        <v>43100.5</v>
      </c>
      <c r="V477" s="686"/>
      <c r="W477" s="236">
        <f>РПЗ!L477</f>
        <v>800000</v>
      </c>
      <c r="X477" s="689"/>
      <c r="Y477" s="689"/>
      <c r="Z477" s="690"/>
      <c r="AA477" s="691"/>
      <c r="AB477" s="111"/>
      <c r="AC477" s="17"/>
      <c r="AD477" s="690"/>
      <c r="AE477" s="686"/>
      <c r="AF477" s="474"/>
      <c r="AG477" s="692"/>
      <c r="AH477" s="236" t="str">
        <f>IF(Таблица5[[#This Row],[30]]=0,"НД",Таблица5[[#This Row],[20]]-Таблица5[[#This Row],[30]])</f>
        <v>НД</v>
      </c>
      <c r="AI477" s="511" t="str">
        <f>IF(((1-Таблица5[[#This Row],[30]]/Таблица5[[#This Row],[20]])=1),"НД",(1-Таблица5[[#This Row],[30]]/Таблица5[[#This Row],[20]]))</f>
        <v>НД</v>
      </c>
      <c r="AJ477" s="111"/>
      <c r="AK477" s="111"/>
      <c r="AL477" s="512"/>
      <c r="AM477" s="513"/>
      <c r="AN477" s="465"/>
      <c r="AO477" s="468" t="str">
        <f>РПЗ!AD477</f>
        <v>Нет</v>
      </c>
      <c r="AP477" s="472">
        <f>РПЗ!V477</f>
        <v>0</v>
      </c>
      <c r="AQ477" s="470">
        <f>IF(Таблица5[[#This Row],[11]]=0,,MONTH(Таблица5[[#This Row],[11]]))</f>
        <v>1</v>
      </c>
    </row>
    <row r="478" spans="1:43" ht="39" thickBot="1" x14ac:dyDescent="0.3">
      <c r="A478" s="233" t="str">
        <f t="shared" si="7"/>
        <v>1004-2017-00463</v>
      </c>
      <c r="B478" s="233" t="str">
        <f>РПЗ!$D478</f>
        <v>1004-2017-00463Выполнение работ поЗамена лифтов в колличестве 3 штук</v>
      </c>
      <c r="C478" s="233" t="str">
        <f>РПЗ!$AA478</f>
        <v>АО "НИИ "Полюс" им. М.Ф. Стельмаха" тел. отдела закупок 8-495-333-05-02</v>
      </c>
      <c r="D478" s="633" t="str">
        <f>РПЗ!$AB478</f>
        <v>Заказчик</v>
      </c>
      <c r="E478" s="96" t="s">
        <v>46</v>
      </c>
      <c r="F478" s="233" t="str">
        <f>РПЗ!Q478</f>
        <v>ОЗК</v>
      </c>
      <c r="G478" s="237"/>
      <c r="H478" s="237" t="str">
        <f>РПЗ!R478</f>
        <v>да</v>
      </c>
      <c r="I478" s="15">
        <f>РПЗ!W478</f>
        <v>0</v>
      </c>
      <c r="J478" s="233">
        <f>РПЗ!X478</f>
        <v>0</v>
      </c>
      <c r="K478" s="283">
        <f>РПЗ!Z478</f>
        <v>0</v>
      </c>
      <c r="L478" s="17"/>
      <c r="M478" s="18">
        <f>РПЗ!O478</f>
        <v>42767.5</v>
      </c>
      <c r="N478" s="238">
        <f>Таблица5[[#This Row],[10]]</f>
        <v>42767.5</v>
      </c>
      <c r="O478" s="17"/>
      <c r="P478" s="17"/>
      <c r="Q478" s="17"/>
      <c r="R478" s="17"/>
      <c r="S478" s="17"/>
      <c r="T478" s="686"/>
      <c r="U478" s="18">
        <f>РПЗ!P478</f>
        <v>43100.5</v>
      </c>
      <c r="V478" s="686"/>
      <c r="W478" s="236">
        <f>РПЗ!L478</f>
        <v>8500000</v>
      </c>
      <c r="X478" s="689"/>
      <c r="Y478" s="689"/>
      <c r="Z478" s="690"/>
      <c r="AA478" s="691"/>
      <c r="AB478" s="111"/>
      <c r="AC478" s="17"/>
      <c r="AD478" s="690"/>
      <c r="AE478" s="686"/>
      <c r="AF478" s="474"/>
      <c r="AG478" s="692"/>
      <c r="AH478" s="236" t="str">
        <f>IF(Таблица5[[#This Row],[30]]=0,"НД",Таблица5[[#This Row],[20]]-Таблица5[[#This Row],[30]])</f>
        <v>НД</v>
      </c>
      <c r="AI478" s="511" t="str">
        <f>IF(((1-Таблица5[[#This Row],[30]]/Таблица5[[#This Row],[20]])=1),"НД",(1-Таблица5[[#This Row],[30]]/Таблица5[[#This Row],[20]]))</f>
        <v>НД</v>
      </c>
      <c r="AJ478" s="111"/>
      <c r="AK478" s="111"/>
      <c r="AL478" s="512"/>
      <c r="AM478" s="513"/>
      <c r="AN478" s="465"/>
      <c r="AO478" s="468" t="str">
        <f>РПЗ!AD478</f>
        <v>Нет</v>
      </c>
      <c r="AP478" s="472">
        <f>РПЗ!V478</f>
        <v>0</v>
      </c>
      <c r="AQ478" s="470">
        <f>IF(Таблица5[[#This Row],[11]]=0,,MONTH(Таблица5[[#This Row],[11]]))</f>
        <v>2</v>
      </c>
    </row>
    <row r="479" spans="1:43" ht="39" thickBot="1" x14ac:dyDescent="0.3">
      <c r="A479" s="233" t="str">
        <f t="shared" si="7"/>
        <v>1004-2017-00464</v>
      </c>
      <c r="B479" s="233" t="str">
        <f>РПЗ!$D479</f>
        <v>1004-2017-00464Поставка Устройство двухскатной кровли здания КВЦ</v>
      </c>
      <c r="C479" s="233" t="str">
        <f>РПЗ!$AA479</f>
        <v>АО "НИИ "Полюс" им. М.Ф. Стельмаха" тел. отдела закупок 8-495-333-05-02</v>
      </c>
      <c r="D479" s="633" t="str">
        <f>РПЗ!$AB479</f>
        <v>Заказчик</v>
      </c>
      <c r="E479" s="96" t="s">
        <v>46</v>
      </c>
      <c r="F479" s="233" t="str">
        <f>РПЗ!Q479</f>
        <v>ОЗК</v>
      </c>
      <c r="G479" s="237"/>
      <c r="H479" s="237" t="str">
        <f>РПЗ!R479</f>
        <v>да</v>
      </c>
      <c r="I479" s="15">
        <f>РПЗ!W479</f>
        <v>0</v>
      </c>
      <c r="J479" s="233">
        <f>РПЗ!X479</f>
        <v>0</v>
      </c>
      <c r="K479" s="283">
        <f>РПЗ!Z479</f>
        <v>0</v>
      </c>
      <c r="L479" s="17"/>
      <c r="M479" s="18">
        <f>РПЗ!O479</f>
        <v>42887.5</v>
      </c>
      <c r="N479" s="238">
        <f>Таблица5[[#This Row],[10]]</f>
        <v>42887.5</v>
      </c>
      <c r="O479" s="17"/>
      <c r="P479" s="17"/>
      <c r="Q479" s="17"/>
      <c r="R479" s="17"/>
      <c r="S479" s="17"/>
      <c r="T479" s="686"/>
      <c r="U479" s="18">
        <f>РПЗ!P479</f>
        <v>43100.5</v>
      </c>
      <c r="V479" s="686"/>
      <c r="W479" s="236">
        <f>РПЗ!L479</f>
        <v>3000000</v>
      </c>
      <c r="X479" s="689"/>
      <c r="Y479" s="689"/>
      <c r="Z479" s="690"/>
      <c r="AA479" s="691"/>
      <c r="AB479" s="111"/>
      <c r="AC479" s="17"/>
      <c r="AD479" s="690"/>
      <c r="AE479" s="686"/>
      <c r="AF479" s="474"/>
      <c r="AG479" s="692"/>
      <c r="AH479" s="236" t="str">
        <f>IF(Таблица5[[#This Row],[30]]=0,"НД",Таблица5[[#This Row],[20]]-Таблица5[[#This Row],[30]])</f>
        <v>НД</v>
      </c>
      <c r="AI479" s="511" t="str">
        <f>IF(((1-Таблица5[[#This Row],[30]]/Таблица5[[#This Row],[20]])=1),"НД",(1-Таблица5[[#This Row],[30]]/Таблица5[[#This Row],[20]]))</f>
        <v>НД</v>
      </c>
      <c r="AJ479" s="111"/>
      <c r="AK479" s="111"/>
      <c r="AL479" s="512"/>
      <c r="AM479" s="513"/>
      <c r="AN479" s="465"/>
      <c r="AO479" s="468" t="str">
        <f>РПЗ!AD479</f>
        <v>Нет</v>
      </c>
      <c r="AP479" s="472">
        <f>РПЗ!V479</f>
        <v>0</v>
      </c>
      <c r="AQ479" s="470">
        <f>IF(Таблица5[[#This Row],[11]]=0,,MONTH(Таблица5[[#This Row],[11]]))</f>
        <v>6</v>
      </c>
    </row>
    <row r="480" spans="1:43" ht="38.25" x14ac:dyDescent="0.25">
      <c r="A480" s="233" t="str">
        <f t="shared" si="7"/>
        <v>1004-2017-00465</v>
      </c>
      <c r="B480" s="233" t="str">
        <f>РПЗ!$D480</f>
        <v>1004-2017-00465Выполнение работ по Замена аварийного остекления фасадов зданий предприятия</v>
      </c>
      <c r="C480" s="233" t="str">
        <f>РПЗ!$AA480</f>
        <v>АО "НИИ "Полюс" им. М.Ф. Стельмаха" тел. отдела закупок 8-495-333-05-02</v>
      </c>
      <c r="D480" s="633" t="str">
        <f>РПЗ!$AB480</f>
        <v>Заказчик</v>
      </c>
      <c r="E480" s="96" t="s">
        <v>46</v>
      </c>
      <c r="F480" s="233" t="str">
        <f>РПЗ!Q480</f>
        <v>ОЗК</v>
      </c>
      <c r="G480" s="237"/>
      <c r="H480" s="237" t="str">
        <f>РПЗ!R480</f>
        <v>да</v>
      </c>
      <c r="I480" s="15">
        <f>РПЗ!W480</f>
        <v>0</v>
      </c>
      <c r="J480" s="233">
        <f>РПЗ!X480</f>
        <v>0</v>
      </c>
      <c r="K480" s="283">
        <f>РПЗ!Z480</f>
        <v>0</v>
      </c>
      <c r="L480" s="17"/>
      <c r="M480" s="18">
        <f>РПЗ!O480</f>
        <v>42856.5</v>
      </c>
      <c r="N480" s="238">
        <f>Таблица5[[#This Row],[10]]</f>
        <v>42856.5</v>
      </c>
      <c r="O480" s="17"/>
      <c r="P480" s="17"/>
      <c r="Q480" s="17"/>
      <c r="R480" s="17"/>
      <c r="S480" s="17"/>
      <c r="T480" s="686"/>
      <c r="U480" s="18">
        <f>РПЗ!P480</f>
        <v>43100.5</v>
      </c>
      <c r="V480" s="686"/>
      <c r="W480" s="236">
        <f>РПЗ!L480</f>
        <v>1500000</v>
      </c>
      <c r="X480" s="689"/>
      <c r="Y480" s="689"/>
      <c r="Z480" s="690"/>
      <c r="AA480" s="691"/>
      <c r="AB480" s="111"/>
      <c r="AC480" s="17"/>
      <c r="AD480" s="690"/>
      <c r="AE480" s="686"/>
      <c r="AF480" s="474"/>
      <c r="AG480" s="692"/>
      <c r="AH480" s="236" t="str">
        <f>IF(Таблица5[[#This Row],[30]]=0,"НД",Таблица5[[#This Row],[20]]-Таблица5[[#This Row],[30]])</f>
        <v>НД</v>
      </c>
      <c r="AI480" s="511" t="str">
        <f>IF(((1-Таблица5[[#This Row],[30]]/Таблица5[[#This Row],[20]])=1),"НД",(1-Таблица5[[#This Row],[30]]/Таблица5[[#This Row],[20]]))</f>
        <v>НД</v>
      </c>
      <c r="AJ480" s="111"/>
      <c r="AK480" s="111"/>
      <c r="AL480" s="512"/>
      <c r="AM480" s="513"/>
      <c r="AN480" s="465"/>
      <c r="AO480" s="468" t="str">
        <f>РПЗ!AD480</f>
        <v>Нет</v>
      </c>
      <c r="AP480" s="472">
        <f>РПЗ!V480</f>
        <v>0</v>
      </c>
      <c r="AQ480" s="470">
        <f>IF(Таблица5[[#This Row],[11]]=0,,MONTH(Таблица5[[#This Row],[11]]))</f>
        <v>5</v>
      </c>
    </row>
    <row r="481" spans="1:43" ht="51.75" thickBot="1" x14ac:dyDescent="0.3">
      <c r="A481" s="233" t="str">
        <f t="shared" si="7"/>
        <v>1004-2017-00466</v>
      </c>
      <c r="B481" s="233" t="str">
        <f>РПЗ!$D481</f>
        <v>1004-2017-00466Выполнение работ поУстановка металлических дверных блоков в помещениях предприятия</v>
      </c>
      <c r="C481" s="233" t="str">
        <f>РПЗ!$AA481</f>
        <v>АО "НИИ "Полюс" им. М.Ф. Стельмаха" тел. отдела закупок 8-495-333-05-02</v>
      </c>
      <c r="D481" s="633" t="str">
        <f>РПЗ!$AB481</f>
        <v>Заказчик</v>
      </c>
      <c r="E481" s="510" t="s">
        <v>62</v>
      </c>
      <c r="F481" s="233" t="str">
        <f>РПЗ!Q481</f>
        <v>ОЗК</v>
      </c>
      <c r="G481" s="237" t="str">
        <f>Таблица5[[#This Row],[6]]</f>
        <v>ОЗК</v>
      </c>
      <c r="H481" s="237" t="str">
        <f>РПЗ!R481</f>
        <v>да</v>
      </c>
      <c r="I481" s="15">
        <f>РПЗ!W481</f>
        <v>0</v>
      </c>
      <c r="J481" s="233">
        <f>РПЗ!X481</f>
        <v>0</v>
      </c>
      <c r="K481" s="283">
        <f>РПЗ!Z481</f>
        <v>0</v>
      </c>
      <c r="L481" s="17"/>
      <c r="M481" s="18">
        <f>РПЗ!O481</f>
        <v>42767.5</v>
      </c>
      <c r="N481" s="238">
        <f>Таблица5[[#This Row],[10]]</f>
        <v>42767.5</v>
      </c>
      <c r="O481" s="17">
        <v>42796</v>
      </c>
      <c r="P481" s="17">
        <v>42801</v>
      </c>
      <c r="Q481" s="17">
        <v>42801</v>
      </c>
      <c r="R481" s="17">
        <v>42800</v>
      </c>
      <c r="S481" s="17">
        <v>42800</v>
      </c>
      <c r="T481" s="808" t="s">
        <v>3101</v>
      </c>
      <c r="U481" s="18">
        <f>РПЗ!P481</f>
        <v>43100.5</v>
      </c>
      <c r="V481" s="760">
        <v>42826</v>
      </c>
      <c r="W481" s="236">
        <f>РПЗ!L481</f>
        <v>600000</v>
      </c>
      <c r="X481" s="689">
        <v>2</v>
      </c>
      <c r="Y481" s="689">
        <v>0</v>
      </c>
      <c r="Z481" s="765">
        <v>2130106844</v>
      </c>
      <c r="AA481" s="810" t="s">
        <v>3279</v>
      </c>
      <c r="AB481" s="111">
        <v>489564.93</v>
      </c>
      <c r="AC481" s="17">
        <v>42826</v>
      </c>
      <c r="AD481" s="810" t="s">
        <v>3280</v>
      </c>
      <c r="AE481" s="694" t="s">
        <v>3101</v>
      </c>
      <c r="AF481" s="474"/>
      <c r="AG481" s="827">
        <v>489564.93</v>
      </c>
      <c r="AH481" s="236">
        <f>IF(Таблица5[[#This Row],[30]]=0,"НД",Таблица5[[#This Row],[20]]-Таблица5[[#This Row],[30]])</f>
        <v>110435.07</v>
      </c>
      <c r="AI481" s="511">
        <f>IF(((1-Таблица5[[#This Row],[30]]/Таблица5[[#This Row],[20]])=1),"НД",(1-Таблица5[[#This Row],[30]]/Таблица5[[#This Row],[20]]))</f>
        <v>0.18405844999999998</v>
      </c>
      <c r="AJ481" s="111"/>
      <c r="AK481" s="111"/>
      <c r="AL481" s="512"/>
      <c r="AM481" s="788" t="s">
        <v>113</v>
      </c>
      <c r="AN481" s="801">
        <v>31704821442</v>
      </c>
      <c r="AO481" s="468" t="str">
        <f>РПЗ!AD481</f>
        <v>Нет</v>
      </c>
      <c r="AP481" s="472">
        <f>РПЗ!V481</f>
        <v>0</v>
      </c>
      <c r="AQ481" s="470">
        <f>IF(Таблица5[[#This Row],[11]]=0,,MONTH(Таблица5[[#This Row],[11]]))</f>
        <v>2</v>
      </c>
    </row>
    <row r="482" spans="1:43" ht="39" thickBot="1" x14ac:dyDescent="0.3">
      <c r="A482" s="233" t="str">
        <f t="shared" si="7"/>
        <v>1004-2017-00467</v>
      </c>
      <c r="B482" s="233" t="str">
        <f>РПЗ!$D482</f>
        <v>1004-2017-00467Выполнение работ поУстановка металлических ворот на КТП</v>
      </c>
      <c r="C482" s="233" t="str">
        <f>РПЗ!$AA482</f>
        <v>АО "НИИ "Полюс" им. М.Ф. Стельмаха" тел. отдела закупок 8-495-333-05-02</v>
      </c>
      <c r="D482" s="633" t="str">
        <f>РПЗ!$AB482</f>
        <v>Заказчик</v>
      </c>
      <c r="E482" s="96" t="s">
        <v>46</v>
      </c>
      <c r="F482" s="233" t="str">
        <f>РПЗ!Q482</f>
        <v>ОЗК</v>
      </c>
      <c r="G482" s="237"/>
      <c r="H482" s="237" t="str">
        <f>РПЗ!R482</f>
        <v>да</v>
      </c>
      <c r="I482" s="15">
        <f>РПЗ!W482</f>
        <v>0</v>
      </c>
      <c r="J482" s="233">
        <f>РПЗ!X482</f>
        <v>0</v>
      </c>
      <c r="K482" s="283">
        <f>РПЗ!Z482</f>
        <v>0</v>
      </c>
      <c r="L482" s="17"/>
      <c r="M482" s="18">
        <f>РПЗ!O482</f>
        <v>42856.5</v>
      </c>
      <c r="N482" s="238">
        <f>Таблица5[[#This Row],[10]]</f>
        <v>42856.5</v>
      </c>
      <c r="O482" s="17"/>
      <c r="P482" s="17"/>
      <c r="Q482" s="17"/>
      <c r="R482" s="17"/>
      <c r="S482" s="17"/>
      <c r="T482" s="686"/>
      <c r="U482" s="18">
        <f>РПЗ!P482</f>
        <v>43100.5</v>
      </c>
      <c r="V482" s="686"/>
      <c r="W482" s="236">
        <f>РПЗ!L482</f>
        <v>500000</v>
      </c>
      <c r="X482" s="689"/>
      <c r="Y482" s="689"/>
      <c r="Z482" s="690"/>
      <c r="AA482" s="691"/>
      <c r="AB482" s="111"/>
      <c r="AC482" s="17"/>
      <c r="AD482" s="690"/>
      <c r="AE482" s="686"/>
      <c r="AF482" s="474"/>
      <c r="AG482" s="692"/>
      <c r="AH482" s="236" t="str">
        <f>IF(Таблица5[[#This Row],[30]]=0,"НД",Таблица5[[#This Row],[20]]-Таблица5[[#This Row],[30]])</f>
        <v>НД</v>
      </c>
      <c r="AI482" s="511" t="str">
        <f>IF(((1-Таблица5[[#This Row],[30]]/Таблица5[[#This Row],[20]])=1),"НД",(1-Таблица5[[#This Row],[30]]/Таблица5[[#This Row],[20]]))</f>
        <v>НД</v>
      </c>
      <c r="AJ482" s="111"/>
      <c r="AK482" s="111"/>
      <c r="AL482" s="512"/>
      <c r="AM482" s="513"/>
      <c r="AN482" s="465"/>
      <c r="AO482" s="468" t="str">
        <f>РПЗ!AD482</f>
        <v>Нет</v>
      </c>
      <c r="AP482" s="472">
        <f>РПЗ!V482</f>
        <v>0</v>
      </c>
      <c r="AQ482" s="470">
        <f>IF(Таблица5[[#This Row],[11]]=0,,MONTH(Таблица5[[#This Row],[11]]))</f>
        <v>5</v>
      </c>
    </row>
    <row r="483" spans="1:43" ht="39" thickBot="1" x14ac:dyDescent="0.3">
      <c r="A483" s="233" t="str">
        <f t="shared" si="7"/>
        <v>1004-2017-00468</v>
      </c>
      <c r="B483" s="233" t="str">
        <f>РПЗ!$D483</f>
        <v>1004-2017-00468Работы по строительству новой столовой</v>
      </c>
      <c r="C483" s="233" t="str">
        <f>РПЗ!$AA483</f>
        <v>АО "НИИ "Полюс" им. М.Ф. Стельмаха" тел. отдела закупок 8-495-333-05-02</v>
      </c>
      <c r="D483" s="633" t="str">
        <f>РПЗ!$AB483</f>
        <v>Заказчик</v>
      </c>
      <c r="E483" s="96" t="s">
        <v>46</v>
      </c>
      <c r="F483" s="233" t="str">
        <f>РПЗ!Q483</f>
        <v>ОК</v>
      </c>
      <c r="G483" s="237"/>
      <c r="H483" s="237" t="str">
        <f>РПЗ!R483</f>
        <v>да</v>
      </c>
      <c r="I483" s="15">
        <f>РПЗ!W483</f>
        <v>0</v>
      </c>
      <c r="J483" s="233">
        <f>РПЗ!X483</f>
        <v>0</v>
      </c>
      <c r="K483" s="283">
        <f>РПЗ!Z483</f>
        <v>0</v>
      </c>
      <c r="L483" s="17"/>
      <c r="M483" s="18">
        <f>РПЗ!O483</f>
        <v>42887.5</v>
      </c>
      <c r="N483" s="238">
        <f>Таблица5[[#This Row],[10]]</f>
        <v>42887.5</v>
      </c>
      <c r="O483" s="17"/>
      <c r="P483" s="17"/>
      <c r="Q483" s="17"/>
      <c r="R483" s="17"/>
      <c r="S483" s="17"/>
      <c r="T483" s="686"/>
      <c r="U483" s="18">
        <f>РПЗ!P483</f>
        <v>43100.5</v>
      </c>
      <c r="V483" s="686"/>
      <c r="W483" s="236">
        <f>РПЗ!L483</f>
        <v>9000000</v>
      </c>
      <c r="X483" s="689"/>
      <c r="Y483" s="689"/>
      <c r="Z483" s="690"/>
      <c r="AA483" s="691"/>
      <c r="AB483" s="111"/>
      <c r="AC483" s="17"/>
      <c r="AD483" s="690"/>
      <c r="AE483" s="686"/>
      <c r="AF483" s="474"/>
      <c r="AG483" s="692"/>
      <c r="AH483" s="236" t="str">
        <f>IF(Таблица5[[#This Row],[30]]=0,"НД",Таблица5[[#This Row],[20]]-Таблица5[[#This Row],[30]])</f>
        <v>НД</v>
      </c>
      <c r="AI483" s="511" t="str">
        <f>IF(((1-Таблица5[[#This Row],[30]]/Таблица5[[#This Row],[20]])=1),"НД",(1-Таблица5[[#This Row],[30]]/Таблица5[[#This Row],[20]]))</f>
        <v>НД</v>
      </c>
      <c r="AJ483" s="111"/>
      <c r="AK483" s="111"/>
      <c r="AL483" s="512"/>
      <c r="AM483" s="513"/>
      <c r="AN483" s="465"/>
      <c r="AO483" s="468" t="str">
        <f>РПЗ!AD483</f>
        <v>Нет</v>
      </c>
      <c r="AP483" s="472">
        <f>РПЗ!V483</f>
        <v>0</v>
      </c>
      <c r="AQ483" s="470">
        <f>IF(Таблица5[[#This Row],[11]]=0,,MONTH(Таблица5[[#This Row],[11]]))</f>
        <v>6</v>
      </c>
    </row>
    <row r="484" spans="1:43" ht="39" thickBot="1" x14ac:dyDescent="0.3">
      <c r="A484" s="233" t="str">
        <f t="shared" si="7"/>
        <v>1004-2017-00469</v>
      </c>
      <c r="B484" s="233" t="str">
        <f>РПЗ!$D484</f>
        <v>1004-2017-00469Выполнение работ по Монтаж системы дымоудаления</v>
      </c>
      <c r="C484" s="233" t="str">
        <f>РПЗ!$AA484</f>
        <v>АО "НИИ "Полюс" им. М.Ф. Стельмаха" тел. отдела закупок 8-495-333-05-02</v>
      </c>
      <c r="D484" s="633" t="str">
        <f>РПЗ!$AB484</f>
        <v>Заказчик</v>
      </c>
      <c r="E484" s="96" t="s">
        <v>46</v>
      </c>
      <c r="F484" s="233" t="str">
        <f>РПЗ!Q484</f>
        <v>ОК</v>
      </c>
      <c r="G484" s="237"/>
      <c r="H484" s="237" t="str">
        <f>РПЗ!R484</f>
        <v>да</v>
      </c>
      <c r="I484" s="15">
        <f>РПЗ!W484</f>
        <v>0</v>
      </c>
      <c r="J484" s="233">
        <f>РПЗ!X484</f>
        <v>0</v>
      </c>
      <c r="K484" s="283">
        <f>РПЗ!Z484</f>
        <v>0</v>
      </c>
      <c r="L484" s="17"/>
      <c r="M484" s="18">
        <f>РПЗ!O484</f>
        <v>42917.5</v>
      </c>
      <c r="N484" s="238">
        <f>Таблица5[[#This Row],[10]]</f>
        <v>42917.5</v>
      </c>
      <c r="O484" s="17"/>
      <c r="P484" s="17"/>
      <c r="Q484" s="17"/>
      <c r="R484" s="17"/>
      <c r="S484" s="17"/>
      <c r="T484" s="686"/>
      <c r="U484" s="18">
        <f>РПЗ!P484</f>
        <v>43100.5</v>
      </c>
      <c r="V484" s="686"/>
      <c r="W484" s="236">
        <f>РПЗ!L484</f>
        <v>2500000</v>
      </c>
      <c r="X484" s="689"/>
      <c r="Y484" s="689"/>
      <c r="Z484" s="690"/>
      <c r="AA484" s="691"/>
      <c r="AB484" s="111"/>
      <c r="AC484" s="17"/>
      <c r="AD484" s="690"/>
      <c r="AE484" s="686"/>
      <c r="AF484" s="474"/>
      <c r="AG484" s="692"/>
      <c r="AH484" s="236" t="str">
        <f>IF(Таблица5[[#This Row],[30]]=0,"НД",Таблица5[[#This Row],[20]]-Таблица5[[#This Row],[30]])</f>
        <v>НД</v>
      </c>
      <c r="AI484" s="511" t="str">
        <f>IF(((1-Таблица5[[#This Row],[30]]/Таблица5[[#This Row],[20]])=1),"НД",(1-Таблица5[[#This Row],[30]]/Таблица5[[#This Row],[20]]))</f>
        <v>НД</v>
      </c>
      <c r="AJ484" s="111"/>
      <c r="AK484" s="111"/>
      <c r="AL484" s="512"/>
      <c r="AM484" s="513"/>
      <c r="AN484" s="465"/>
      <c r="AO484" s="468" t="str">
        <f>РПЗ!AD484</f>
        <v>Нет</v>
      </c>
      <c r="AP484" s="472">
        <f>РПЗ!V484</f>
        <v>0</v>
      </c>
      <c r="AQ484" s="470">
        <f>IF(Таблица5[[#This Row],[11]]=0,,MONTH(Таблица5[[#This Row],[11]]))</f>
        <v>7</v>
      </c>
    </row>
    <row r="485" spans="1:43" ht="39" thickBot="1" x14ac:dyDescent="0.3">
      <c r="A485" s="233" t="str">
        <f t="shared" si="7"/>
        <v>1004-2017-00470</v>
      </c>
      <c r="B485" s="233" t="str">
        <f>РПЗ!$D485</f>
        <v xml:space="preserve">1004-2017-00470Выполнение работ поФОК "Узкое".  Реконструкция строения №2 </v>
      </c>
      <c r="C485" s="233" t="str">
        <f>РПЗ!$AA485</f>
        <v>АО "НИИ "Полюс" им. М.Ф. Стельмаха" тел. отдела закупок 8-495-333-05-02</v>
      </c>
      <c r="D485" s="633" t="str">
        <f>РПЗ!$AB485</f>
        <v>Заказчик</v>
      </c>
      <c r="E485" s="96" t="s">
        <v>46</v>
      </c>
      <c r="F485" s="233" t="str">
        <f>РПЗ!Q485</f>
        <v>ОЗК</v>
      </c>
      <c r="G485" s="237"/>
      <c r="H485" s="237" t="str">
        <f>РПЗ!R485</f>
        <v>да</v>
      </c>
      <c r="I485" s="15">
        <f>РПЗ!W485</f>
        <v>0</v>
      </c>
      <c r="J485" s="233">
        <f>РПЗ!X485</f>
        <v>0</v>
      </c>
      <c r="K485" s="283">
        <f>РПЗ!Z485</f>
        <v>0</v>
      </c>
      <c r="L485" s="17"/>
      <c r="M485" s="18">
        <f>РПЗ!O485</f>
        <v>42887.5</v>
      </c>
      <c r="N485" s="238">
        <f>Таблица5[[#This Row],[10]]</f>
        <v>42887.5</v>
      </c>
      <c r="O485" s="17"/>
      <c r="P485" s="17"/>
      <c r="Q485" s="17"/>
      <c r="R485" s="17"/>
      <c r="S485" s="17"/>
      <c r="T485" s="686"/>
      <c r="U485" s="18">
        <f>РПЗ!P485</f>
        <v>43100.5</v>
      </c>
      <c r="V485" s="686"/>
      <c r="W485" s="236">
        <f>РПЗ!L485</f>
        <v>980000</v>
      </c>
      <c r="X485" s="689"/>
      <c r="Y485" s="689"/>
      <c r="Z485" s="690"/>
      <c r="AA485" s="691"/>
      <c r="AB485" s="111"/>
      <c r="AC485" s="17"/>
      <c r="AD485" s="690"/>
      <c r="AE485" s="686"/>
      <c r="AF485" s="474"/>
      <c r="AG485" s="692"/>
      <c r="AH485" s="236" t="str">
        <f>IF(Таблица5[[#This Row],[30]]=0,"НД",Таблица5[[#This Row],[20]]-Таблица5[[#This Row],[30]])</f>
        <v>НД</v>
      </c>
      <c r="AI485" s="511" t="str">
        <f>IF(((1-Таблица5[[#This Row],[30]]/Таблица5[[#This Row],[20]])=1),"НД",(1-Таблица5[[#This Row],[30]]/Таблица5[[#This Row],[20]]))</f>
        <v>НД</v>
      </c>
      <c r="AJ485" s="111"/>
      <c r="AK485" s="111"/>
      <c r="AL485" s="512"/>
      <c r="AM485" s="513"/>
      <c r="AN485" s="465"/>
      <c r="AO485" s="468" t="str">
        <f>РПЗ!AD485</f>
        <v>Нет</v>
      </c>
      <c r="AP485" s="472">
        <f>РПЗ!V485</f>
        <v>0</v>
      </c>
      <c r="AQ485" s="470">
        <f>IF(Таблица5[[#This Row],[11]]=0,,MONTH(Таблица5[[#This Row],[11]]))</f>
        <v>6</v>
      </c>
    </row>
    <row r="486" spans="1:43" ht="39" thickBot="1" x14ac:dyDescent="0.3">
      <c r="A486" s="233" t="str">
        <f t="shared" si="7"/>
        <v>1004-2017-00471</v>
      </c>
      <c r="B486" s="233" t="str">
        <f>РПЗ!$D486</f>
        <v>1004-2017-00471Выполнение работ поЗамена остекления перехода ЛПК восточная сторона</v>
      </c>
      <c r="C486" s="233" t="str">
        <f>РПЗ!$AA486</f>
        <v>АО "НИИ "Полюс" им. М.Ф. Стельмаха" тел. отдела закупок 8-495-333-05-02</v>
      </c>
      <c r="D486" s="633" t="str">
        <f>РПЗ!$AB486</f>
        <v>Заказчик</v>
      </c>
      <c r="E486" s="96" t="s">
        <v>46</v>
      </c>
      <c r="F486" s="233" t="str">
        <f>РПЗ!Q486</f>
        <v>ОЗК</v>
      </c>
      <c r="G486" s="237"/>
      <c r="H486" s="237" t="str">
        <f>РПЗ!R486</f>
        <v>да</v>
      </c>
      <c r="I486" s="15">
        <f>РПЗ!W486</f>
        <v>0</v>
      </c>
      <c r="J486" s="233">
        <f>РПЗ!X486</f>
        <v>0</v>
      </c>
      <c r="K486" s="283">
        <f>РПЗ!Z486</f>
        <v>0</v>
      </c>
      <c r="L486" s="17"/>
      <c r="M486" s="18">
        <f>РПЗ!O486</f>
        <v>42767.5</v>
      </c>
      <c r="N486" s="238">
        <f>Таблица5[[#This Row],[10]]</f>
        <v>42767.5</v>
      </c>
      <c r="O486" s="17"/>
      <c r="P486" s="17"/>
      <c r="Q486" s="17"/>
      <c r="R486" s="17"/>
      <c r="S486" s="17"/>
      <c r="T486" s="686"/>
      <c r="U486" s="18">
        <f>РПЗ!P486</f>
        <v>43100.5</v>
      </c>
      <c r="V486" s="686"/>
      <c r="W486" s="236">
        <f>РПЗ!L486</f>
        <v>4000000</v>
      </c>
      <c r="X486" s="689"/>
      <c r="Y486" s="689"/>
      <c r="Z486" s="690"/>
      <c r="AA486" s="691"/>
      <c r="AB486" s="111"/>
      <c r="AC486" s="17"/>
      <c r="AD486" s="690"/>
      <c r="AE486" s="686"/>
      <c r="AF486" s="474"/>
      <c r="AG486" s="692"/>
      <c r="AH486" s="236" t="str">
        <f>IF(Таблица5[[#This Row],[30]]=0,"НД",Таблица5[[#This Row],[20]]-Таблица5[[#This Row],[30]])</f>
        <v>НД</v>
      </c>
      <c r="AI486" s="511" t="str">
        <f>IF(((1-Таблица5[[#This Row],[30]]/Таблица5[[#This Row],[20]])=1),"НД",(1-Таблица5[[#This Row],[30]]/Таблица5[[#This Row],[20]]))</f>
        <v>НД</v>
      </c>
      <c r="AJ486" s="111"/>
      <c r="AK486" s="111"/>
      <c r="AL486" s="512"/>
      <c r="AM486" s="513"/>
      <c r="AN486" s="465"/>
      <c r="AO486" s="468" t="str">
        <f>РПЗ!AD486</f>
        <v>Нет</v>
      </c>
      <c r="AP486" s="472">
        <f>РПЗ!V486</f>
        <v>0</v>
      </c>
      <c r="AQ486" s="470">
        <f>IF(Таблица5[[#This Row],[11]]=0,,MONTH(Таблица5[[#This Row],[11]]))</f>
        <v>2</v>
      </c>
    </row>
    <row r="487" spans="1:43" ht="39" thickBot="1" x14ac:dyDescent="0.3">
      <c r="A487" s="233" t="str">
        <f t="shared" si="7"/>
        <v>1004-2017-00472</v>
      </c>
      <c r="B487" s="233" t="str">
        <f>РПЗ!$D487</f>
        <v>1004-2017-00472Выполнение работ по Установка окон ПВХ</v>
      </c>
      <c r="C487" s="233" t="str">
        <f>РПЗ!$AA487</f>
        <v>АО "НИИ "Полюс" им. М.Ф. Стельмаха" тел. отдела закупок 8-495-333-05-02</v>
      </c>
      <c r="D487" s="633" t="str">
        <f>РПЗ!$AB487</f>
        <v>Заказчик</v>
      </c>
      <c r="E487" s="96" t="s">
        <v>46</v>
      </c>
      <c r="F487" s="233" t="str">
        <f>РПЗ!Q487</f>
        <v>ОЗК</v>
      </c>
      <c r="G487" s="237"/>
      <c r="H487" s="237" t="str">
        <f>РПЗ!R487</f>
        <v>да</v>
      </c>
      <c r="I487" s="15">
        <f>РПЗ!W487</f>
        <v>0</v>
      </c>
      <c r="J487" s="233">
        <f>РПЗ!X487</f>
        <v>0</v>
      </c>
      <c r="K487" s="283">
        <f>РПЗ!Z487</f>
        <v>0</v>
      </c>
      <c r="L487" s="17"/>
      <c r="M487" s="18">
        <f>РПЗ!O487</f>
        <v>42736.5</v>
      </c>
      <c r="N487" s="238">
        <f>Таблица5[[#This Row],[10]]</f>
        <v>42736.5</v>
      </c>
      <c r="O487" s="17"/>
      <c r="P487" s="17"/>
      <c r="Q487" s="17"/>
      <c r="R487" s="17"/>
      <c r="S487" s="17"/>
      <c r="T487" s="686"/>
      <c r="U487" s="18">
        <f>РПЗ!P487</f>
        <v>43100.5</v>
      </c>
      <c r="V487" s="686"/>
      <c r="W487" s="236">
        <f>РПЗ!L487</f>
        <v>850000</v>
      </c>
      <c r="X487" s="689"/>
      <c r="Y487" s="689"/>
      <c r="Z487" s="690"/>
      <c r="AA487" s="691"/>
      <c r="AB487" s="111"/>
      <c r="AC487" s="17"/>
      <c r="AD487" s="690"/>
      <c r="AE487" s="686"/>
      <c r="AF487" s="474"/>
      <c r="AG487" s="692"/>
      <c r="AH487" s="236" t="str">
        <f>IF(Таблица5[[#This Row],[30]]=0,"НД",Таблица5[[#This Row],[20]]-Таблица5[[#This Row],[30]])</f>
        <v>НД</v>
      </c>
      <c r="AI487" s="511" t="str">
        <f>IF(((1-Таблица5[[#This Row],[30]]/Таблица5[[#This Row],[20]])=1),"НД",(1-Таблица5[[#This Row],[30]]/Таблица5[[#This Row],[20]]))</f>
        <v>НД</v>
      </c>
      <c r="AJ487" s="111"/>
      <c r="AK487" s="111"/>
      <c r="AL487" s="512"/>
      <c r="AM487" s="513"/>
      <c r="AN487" s="465"/>
      <c r="AO487" s="468" t="str">
        <f>РПЗ!AD487</f>
        <v>Нет</v>
      </c>
      <c r="AP487" s="472">
        <f>РПЗ!V487</f>
        <v>0</v>
      </c>
      <c r="AQ487" s="470">
        <f>IF(Таблица5[[#This Row],[11]]=0,,MONTH(Таблица5[[#This Row],[11]]))</f>
        <v>1</v>
      </c>
    </row>
    <row r="488" spans="1:43" ht="39" thickBot="1" x14ac:dyDescent="0.3">
      <c r="A488" s="233" t="str">
        <f t="shared" si="7"/>
        <v>1004-2017-00473</v>
      </c>
      <c r="B488" s="233" t="str">
        <f>РПЗ!$D488</f>
        <v xml:space="preserve">1004-2017-00473Выполнение работ поЗамена трубопровода хозяйственного водоснабжения </v>
      </c>
      <c r="C488" s="233" t="str">
        <f>РПЗ!$AA488</f>
        <v>АО "НИИ "Полюс" им. М.Ф. Стельмаха" тел. отдела закупок 8-495-333-05-02</v>
      </c>
      <c r="D488" s="633" t="str">
        <f>РПЗ!$AB488</f>
        <v>Заказчик</v>
      </c>
      <c r="E488" s="96" t="s">
        <v>46</v>
      </c>
      <c r="F488" s="233" t="str">
        <f>РПЗ!Q488</f>
        <v>ОК</v>
      </c>
      <c r="G488" s="237"/>
      <c r="H488" s="237" t="str">
        <f>РПЗ!R488</f>
        <v>да</v>
      </c>
      <c r="I488" s="15">
        <f>РПЗ!W488</f>
        <v>0</v>
      </c>
      <c r="J488" s="233">
        <f>РПЗ!X488</f>
        <v>0</v>
      </c>
      <c r="K488" s="283">
        <f>РПЗ!Z488</f>
        <v>0</v>
      </c>
      <c r="L488" s="17"/>
      <c r="M488" s="18">
        <f>РПЗ!O488</f>
        <v>42736.5</v>
      </c>
      <c r="N488" s="238">
        <f>Таблица5[[#This Row],[10]]</f>
        <v>42736.5</v>
      </c>
      <c r="O488" s="17"/>
      <c r="P488" s="17"/>
      <c r="Q488" s="17"/>
      <c r="R488" s="17"/>
      <c r="S488" s="17"/>
      <c r="T488" s="686"/>
      <c r="U488" s="18">
        <f>РПЗ!P488</f>
        <v>43100.5</v>
      </c>
      <c r="V488" s="686"/>
      <c r="W488" s="236">
        <f>РПЗ!L488</f>
        <v>600000</v>
      </c>
      <c r="X488" s="689"/>
      <c r="Y488" s="689"/>
      <c r="Z488" s="690"/>
      <c r="AA488" s="691"/>
      <c r="AB488" s="111"/>
      <c r="AC488" s="17"/>
      <c r="AD488" s="690"/>
      <c r="AE488" s="686"/>
      <c r="AF488" s="474"/>
      <c r="AG488" s="692"/>
      <c r="AH488" s="236" t="str">
        <f>IF(Таблица5[[#This Row],[30]]=0,"НД",Таблица5[[#This Row],[20]]-Таблица5[[#This Row],[30]])</f>
        <v>НД</v>
      </c>
      <c r="AI488" s="511" t="str">
        <f>IF(((1-Таблица5[[#This Row],[30]]/Таблица5[[#This Row],[20]])=1),"НД",(1-Таблица5[[#This Row],[30]]/Таблица5[[#This Row],[20]]))</f>
        <v>НД</v>
      </c>
      <c r="AJ488" s="111"/>
      <c r="AK488" s="111"/>
      <c r="AL488" s="512"/>
      <c r="AM488" s="513"/>
      <c r="AN488" s="465"/>
      <c r="AO488" s="468" t="str">
        <f>РПЗ!AD488</f>
        <v>Нет</v>
      </c>
      <c r="AP488" s="472">
        <f>РПЗ!V488</f>
        <v>0</v>
      </c>
      <c r="AQ488" s="470">
        <f>IF(Таблица5[[#This Row],[11]]=0,,MONTH(Таблица5[[#This Row],[11]]))</f>
        <v>1</v>
      </c>
    </row>
    <row r="489" spans="1:43" ht="39" thickBot="1" x14ac:dyDescent="0.3">
      <c r="A489" s="233" t="str">
        <f t="shared" si="7"/>
        <v>1004-2017-00474</v>
      </c>
      <c r="B489" s="233" t="str">
        <f>РПЗ!$D489</f>
        <v xml:space="preserve">1004-2017-00474Выполнение работ по Замена 3-х сетевых насосов </v>
      </c>
      <c r="C489" s="233" t="str">
        <f>РПЗ!$AA489</f>
        <v>АО "НИИ "Полюс" им. М.Ф. Стельмаха" тел. отдела закупок 8-495-333-05-02</v>
      </c>
      <c r="D489" s="633" t="str">
        <f>РПЗ!$AB489</f>
        <v>Заказчик</v>
      </c>
      <c r="E489" s="96" t="s">
        <v>46</v>
      </c>
      <c r="F489" s="233" t="str">
        <f>РПЗ!Q489</f>
        <v>ОЗК</v>
      </c>
      <c r="G489" s="237"/>
      <c r="H489" s="237" t="str">
        <f>РПЗ!R489</f>
        <v>да</v>
      </c>
      <c r="I489" s="15">
        <f>РПЗ!W489</f>
        <v>0</v>
      </c>
      <c r="J489" s="233">
        <f>РПЗ!X489</f>
        <v>0</v>
      </c>
      <c r="K489" s="283">
        <f>РПЗ!Z489</f>
        <v>0</v>
      </c>
      <c r="L489" s="17"/>
      <c r="M489" s="18">
        <f>РПЗ!O489</f>
        <v>42736.5</v>
      </c>
      <c r="N489" s="238">
        <f>Таблица5[[#This Row],[10]]</f>
        <v>42736.5</v>
      </c>
      <c r="O489" s="17"/>
      <c r="P489" s="17"/>
      <c r="Q489" s="17"/>
      <c r="R489" s="17"/>
      <c r="S489" s="17"/>
      <c r="T489" s="686"/>
      <c r="U489" s="18">
        <f>РПЗ!P489</f>
        <v>43100.5</v>
      </c>
      <c r="V489" s="686"/>
      <c r="W489" s="236">
        <f>РПЗ!L489</f>
        <v>450000</v>
      </c>
      <c r="X489" s="689"/>
      <c r="Y489" s="689"/>
      <c r="Z489" s="690"/>
      <c r="AA489" s="691"/>
      <c r="AB489" s="111"/>
      <c r="AC489" s="17"/>
      <c r="AD489" s="690"/>
      <c r="AE489" s="686"/>
      <c r="AF489" s="474"/>
      <c r="AG489" s="692"/>
      <c r="AH489" s="236" t="str">
        <f>IF(Таблица5[[#This Row],[30]]=0,"НД",Таблица5[[#This Row],[20]]-Таблица5[[#This Row],[30]])</f>
        <v>НД</v>
      </c>
      <c r="AI489" s="511" t="str">
        <f>IF(((1-Таблица5[[#This Row],[30]]/Таблица5[[#This Row],[20]])=1),"НД",(1-Таблица5[[#This Row],[30]]/Таблица5[[#This Row],[20]]))</f>
        <v>НД</v>
      </c>
      <c r="AJ489" s="111"/>
      <c r="AK489" s="111"/>
      <c r="AL489" s="512"/>
      <c r="AM489" s="513"/>
      <c r="AN489" s="465"/>
      <c r="AO489" s="468" t="str">
        <f>РПЗ!AD489</f>
        <v>Нет</v>
      </c>
      <c r="AP489" s="472">
        <f>РПЗ!V489</f>
        <v>0</v>
      </c>
      <c r="AQ489" s="470">
        <f>IF(Таблица5[[#This Row],[11]]=0,,MONTH(Таблица5[[#This Row],[11]]))</f>
        <v>1</v>
      </c>
    </row>
    <row r="490" spans="1:43" ht="39" thickBot="1" x14ac:dyDescent="0.3">
      <c r="A490" s="233" t="str">
        <f t="shared" si="7"/>
        <v>1004-2017-00475</v>
      </c>
      <c r="B490" s="233" t="str">
        <f>РПЗ!$D490</f>
        <v xml:space="preserve">1004-2017-00475Выполнение работ по Замена трубопроводов отопления </v>
      </c>
      <c r="C490" s="233" t="str">
        <f>РПЗ!$AA490</f>
        <v>АО "НИИ "Полюс" им. М.Ф. Стельмаха" тел. отдела закупок 8-495-333-05-02</v>
      </c>
      <c r="D490" s="633" t="str">
        <f>РПЗ!$AB490</f>
        <v>Заказчик</v>
      </c>
      <c r="E490" s="96" t="s">
        <v>46</v>
      </c>
      <c r="F490" s="233" t="str">
        <f>РПЗ!Q490</f>
        <v>ОЗК</v>
      </c>
      <c r="G490" s="237"/>
      <c r="H490" s="237" t="str">
        <f>РПЗ!R490</f>
        <v>да</v>
      </c>
      <c r="I490" s="15">
        <f>РПЗ!W490</f>
        <v>0</v>
      </c>
      <c r="J490" s="233">
        <f>РПЗ!X490</f>
        <v>0</v>
      </c>
      <c r="K490" s="283">
        <f>РПЗ!Z490</f>
        <v>0</v>
      </c>
      <c r="L490" s="17"/>
      <c r="M490" s="18">
        <f>РПЗ!O490</f>
        <v>42736.5</v>
      </c>
      <c r="N490" s="238">
        <f>Таблица5[[#This Row],[10]]</f>
        <v>42736.5</v>
      </c>
      <c r="O490" s="17"/>
      <c r="P490" s="17"/>
      <c r="Q490" s="17"/>
      <c r="R490" s="17"/>
      <c r="S490" s="17"/>
      <c r="T490" s="686"/>
      <c r="U490" s="18">
        <f>РПЗ!P490</f>
        <v>43100.5</v>
      </c>
      <c r="V490" s="686"/>
      <c r="W490" s="236">
        <f>РПЗ!L490</f>
        <v>390000</v>
      </c>
      <c r="X490" s="689"/>
      <c r="Y490" s="689"/>
      <c r="Z490" s="690"/>
      <c r="AA490" s="691"/>
      <c r="AB490" s="111"/>
      <c r="AC490" s="17"/>
      <c r="AD490" s="690"/>
      <c r="AE490" s="686"/>
      <c r="AF490" s="474"/>
      <c r="AG490" s="692"/>
      <c r="AH490" s="236" t="str">
        <f>IF(Таблица5[[#This Row],[30]]=0,"НД",Таблица5[[#This Row],[20]]-Таблица5[[#This Row],[30]])</f>
        <v>НД</v>
      </c>
      <c r="AI490" s="511" t="str">
        <f>IF(((1-Таблица5[[#This Row],[30]]/Таблица5[[#This Row],[20]])=1),"НД",(1-Таблица5[[#This Row],[30]]/Таблица5[[#This Row],[20]]))</f>
        <v>НД</v>
      </c>
      <c r="AJ490" s="111"/>
      <c r="AK490" s="111"/>
      <c r="AL490" s="512"/>
      <c r="AM490" s="513"/>
      <c r="AN490" s="465"/>
      <c r="AO490" s="468" t="str">
        <f>РПЗ!AD490</f>
        <v>Нет</v>
      </c>
      <c r="AP490" s="472">
        <f>РПЗ!V490</f>
        <v>0</v>
      </c>
      <c r="AQ490" s="470">
        <f>IF(Таблица5[[#This Row],[11]]=0,,MONTH(Таблица5[[#This Row],[11]]))</f>
        <v>1</v>
      </c>
    </row>
    <row r="491" spans="1:43" ht="51.75" thickBot="1" x14ac:dyDescent="0.3">
      <c r="A491" s="233" t="str">
        <f t="shared" si="7"/>
        <v>1004-2017-00476</v>
      </c>
      <c r="B491" s="233" t="str">
        <f>РПЗ!$D491</f>
        <v>1004-2017-00476Поставка Демонтаж-монтаж трубопроводов с заменой на полипропиленовые трубы с заменой запорной арматуры</v>
      </c>
      <c r="C491" s="233" t="str">
        <f>РПЗ!$AA491</f>
        <v>АО "НИИ "Полюс" им. М.Ф. Стельмаха" тел. отдела закупок 8-495-333-05-02</v>
      </c>
      <c r="D491" s="633" t="str">
        <f>РПЗ!$AB491</f>
        <v>Заказчик</v>
      </c>
      <c r="E491" s="96" t="s">
        <v>46</v>
      </c>
      <c r="F491" s="233" t="str">
        <f>РПЗ!Q491</f>
        <v>ОЗК</v>
      </c>
      <c r="G491" s="237"/>
      <c r="H491" s="237" t="str">
        <f>РПЗ!R491</f>
        <v>да</v>
      </c>
      <c r="I491" s="15">
        <f>РПЗ!W491</f>
        <v>0</v>
      </c>
      <c r="J491" s="233">
        <f>РПЗ!X491</f>
        <v>0</v>
      </c>
      <c r="K491" s="283">
        <f>РПЗ!Z491</f>
        <v>0</v>
      </c>
      <c r="L491" s="17"/>
      <c r="M491" s="18">
        <f>РПЗ!O491</f>
        <v>42736.5</v>
      </c>
      <c r="N491" s="238">
        <f>Таблица5[[#This Row],[10]]</f>
        <v>42736.5</v>
      </c>
      <c r="O491" s="17"/>
      <c r="P491" s="17"/>
      <c r="Q491" s="17"/>
      <c r="R491" s="17"/>
      <c r="S491" s="17"/>
      <c r="T491" s="686"/>
      <c r="U491" s="18">
        <f>РПЗ!P491</f>
        <v>43100.5</v>
      </c>
      <c r="V491" s="686"/>
      <c r="W491" s="236">
        <f>РПЗ!L491</f>
        <v>400000</v>
      </c>
      <c r="X491" s="689"/>
      <c r="Y491" s="689"/>
      <c r="Z491" s="690"/>
      <c r="AA491" s="691"/>
      <c r="AB491" s="111"/>
      <c r="AC491" s="17"/>
      <c r="AD491" s="690"/>
      <c r="AE491" s="686"/>
      <c r="AF491" s="474"/>
      <c r="AG491" s="692"/>
      <c r="AH491" s="236" t="str">
        <f>IF(Таблица5[[#This Row],[30]]=0,"НД",Таблица5[[#This Row],[20]]-Таблица5[[#This Row],[30]])</f>
        <v>НД</v>
      </c>
      <c r="AI491" s="511" t="str">
        <f>IF(((1-Таблица5[[#This Row],[30]]/Таблица5[[#This Row],[20]])=1),"НД",(1-Таблица5[[#This Row],[30]]/Таблица5[[#This Row],[20]]))</f>
        <v>НД</v>
      </c>
      <c r="AJ491" s="111"/>
      <c r="AK491" s="111"/>
      <c r="AL491" s="512"/>
      <c r="AM491" s="513"/>
      <c r="AN491" s="465"/>
      <c r="AO491" s="468" t="str">
        <f>РПЗ!AD491</f>
        <v>Нет</v>
      </c>
      <c r="AP491" s="472">
        <f>РПЗ!V491</f>
        <v>0</v>
      </c>
      <c r="AQ491" s="470">
        <f>IF(Таблица5[[#This Row],[11]]=0,,MONTH(Таблица5[[#This Row],[11]]))</f>
        <v>1</v>
      </c>
    </row>
    <row r="492" spans="1:43" ht="77.25" thickBot="1" x14ac:dyDescent="0.3">
      <c r="A492" s="233" t="str">
        <f t="shared" si="7"/>
        <v>1004-2017-00477</v>
      </c>
      <c r="B492" s="233" t="str">
        <f>РПЗ!$D492</f>
        <v xml:space="preserve">1004-2017-00477Поставка Двухосный динамический испытательный стенд с температурной камерой TES-UT-H44_TM в комплекте. Изготовитель Acuitas AG, Швейцария </v>
      </c>
      <c r="C492" s="233" t="str">
        <f>РПЗ!$AA492</f>
        <v>АО "НИИ "Полюс" им. М.Ф. Стельмаха" тел. отдела закупок 8-495-333-05-02</v>
      </c>
      <c r="D492" s="633" t="str">
        <f>РПЗ!$AB492</f>
        <v>Заказчик</v>
      </c>
      <c r="E492" s="96" t="s">
        <v>46</v>
      </c>
      <c r="F492" s="233" t="str">
        <f>РПЗ!Q492</f>
        <v>ОЗК</v>
      </c>
      <c r="G492" s="237"/>
      <c r="H492" s="237" t="str">
        <f>РПЗ!R492</f>
        <v>да</v>
      </c>
      <c r="I492" s="15">
        <f>РПЗ!W492</f>
        <v>0</v>
      </c>
      <c r="J492" s="233">
        <f>РПЗ!X492</f>
        <v>0</v>
      </c>
      <c r="K492" s="283">
        <f>РПЗ!Z492</f>
        <v>0</v>
      </c>
      <c r="L492" s="17"/>
      <c r="M492" s="18">
        <f>РПЗ!O492</f>
        <v>42736.5</v>
      </c>
      <c r="N492" s="238">
        <f>Таблица5[[#This Row],[10]]</f>
        <v>42736.5</v>
      </c>
      <c r="O492" s="17"/>
      <c r="P492" s="17"/>
      <c r="Q492" s="17"/>
      <c r="R492" s="17"/>
      <c r="S492" s="17"/>
      <c r="T492" s="686"/>
      <c r="U492" s="18">
        <f>РПЗ!P492</f>
        <v>43070.5</v>
      </c>
      <c r="V492" s="686"/>
      <c r="W492" s="236">
        <f>РПЗ!L492</f>
        <v>53295533.5</v>
      </c>
      <c r="X492" s="689"/>
      <c r="Y492" s="689"/>
      <c r="Z492" s="690"/>
      <c r="AA492" s="691"/>
      <c r="AB492" s="111"/>
      <c r="AC492" s="17"/>
      <c r="AD492" s="690"/>
      <c r="AE492" s="686"/>
      <c r="AF492" s="474"/>
      <c r="AG492" s="692"/>
      <c r="AH492" s="236" t="str">
        <f>IF(Таблица5[[#This Row],[30]]=0,"НД",Таблица5[[#This Row],[20]]-Таблица5[[#This Row],[30]])</f>
        <v>НД</v>
      </c>
      <c r="AI492" s="511" t="str">
        <f>IF(((1-Таблица5[[#This Row],[30]]/Таблица5[[#This Row],[20]])=1),"НД",(1-Таблица5[[#This Row],[30]]/Таблица5[[#This Row],[20]]))</f>
        <v>НД</v>
      </c>
      <c r="AJ492" s="111"/>
      <c r="AK492" s="111"/>
      <c r="AL492" s="512"/>
      <c r="AM492" s="513"/>
      <c r="AN492" s="465"/>
      <c r="AO492" s="468" t="str">
        <f>РПЗ!AD492</f>
        <v>Нет</v>
      </c>
      <c r="AP492" s="472">
        <f>РПЗ!V492</f>
        <v>0</v>
      </c>
      <c r="AQ492" s="470">
        <f>IF(Таблица5[[#This Row],[11]]=0,,MONTH(Таблица5[[#This Row],[11]]))</f>
        <v>1</v>
      </c>
    </row>
    <row r="493" spans="1:43" ht="102.75" thickBot="1" x14ac:dyDescent="0.3">
      <c r="A493" s="233" t="str">
        <f t="shared" si="7"/>
        <v>1004-2017-00478</v>
      </c>
      <c r="B493" s="233" t="str">
        <f>РПЗ!$D493</f>
        <v xml:space="preserve">1004-2017-00478Поставка Одноосевой динамический испытательный стенд  с горизонтальной осью вращения, с температурной камерой  ADS-HS_TM Изготовитель Acuitas AG, Швейцария в комплекте:_x000D_
</v>
      </c>
      <c r="C493" s="233" t="str">
        <f>РПЗ!$AA493</f>
        <v>АО "НИИ "Полюс" им. М.Ф. Стельмаха" тел. отдела закупок 8-495-333-05-02</v>
      </c>
      <c r="D493" s="633" t="str">
        <f>РПЗ!$AB493</f>
        <v>Заказчик</v>
      </c>
      <c r="E493" s="96" t="s">
        <v>46</v>
      </c>
      <c r="F493" s="233" t="str">
        <f>РПЗ!Q493</f>
        <v>ОЗК</v>
      </c>
      <c r="G493" s="237"/>
      <c r="H493" s="237" t="str">
        <f>РПЗ!R493</f>
        <v>да</v>
      </c>
      <c r="I493" s="15">
        <f>РПЗ!W493</f>
        <v>0</v>
      </c>
      <c r="J493" s="233">
        <f>РПЗ!X493</f>
        <v>0</v>
      </c>
      <c r="K493" s="283">
        <f>РПЗ!Z493</f>
        <v>0</v>
      </c>
      <c r="L493" s="17"/>
      <c r="M493" s="18">
        <f>РПЗ!O493</f>
        <v>42736.5</v>
      </c>
      <c r="N493" s="238">
        <f>Таблица5[[#This Row],[10]]</f>
        <v>42736.5</v>
      </c>
      <c r="O493" s="17"/>
      <c r="P493" s="17"/>
      <c r="Q493" s="17"/>
      <c r="R493" s="17"/>
      <c r="S493" s="17"/>
      <c r="T493" s="686"/>
      <c r="U493" s="18">
        <f>РПЗ!P493</f>
        <v>43070.5</v>
      </c>
      <c r="V493" s="686"/>
      <c r="W493" s="236">
        <f>РПЗ!L493</f>
        <v>20500000</v>
      </c>
      <c r="X493" s="689"/>
      <c r="Y493" s="689"/>
      <c r="Z493" s="690"/>
      <c r="AA493" s="691"/>
      <c r="AB493" s="111"/>
      <c r="AC493" s="17"/>
      <c r="AD493" s="690"/>
      <c r="AE493" s="686"/>
      <c r="AF493" s="474"/>
      <c r="AG493" s="692"/>
      <c r="AH493" s="236" t="str">
        <f>IF(Таблица5[[#This Row],[30]]=0,"НД",Таблица5[[#This Row],[20]]-Таблица5[[#This Row],[30]])</f>
        <v>НД</v>
      </c>
      <c r="AI493" s="511" t="str">
        <f>IF(((1-Таблица5[[#This Row],[30]]/Таблица5[[#This Row],[20]])=1),"НД",(1-Таблица5[[#This Row],[30]]/Таблица5[[#This Row],[20]]))</f>
        <v>НД</v>
      </c>
      <c r="AJ493" s="111"/>
      <c r="AK493" s="111"/>
      <c r="AL493" s="512"/>
      <c r="AM493" s="513"/>
      <c r="AN493" s="465"/>
      <c r="AO493" s="468" t="str">
        <f>РПЗ!AD493</f>
        <v>Нет</v>
      </c>
      <c r="AP493" s="472">
        <f>РПЗ!V493</f>
        <v>0</v>
      </c>
      <c r="AQ493" s="470">
        <f>IF(Таблица5[[#This Row],[11]]=0,,MONTH(Таблица5[[#This Row],[11]]))</f>
        <v>1</v>
      </c>
    </row>
    <row r="494" spans="1:43" ht="77.25" thickBot="1" x14ac:dyDescent="0.3">
      <c r="A494" s="233" t="str">
        <f t="shared" si="7"/>
        <v>1004-2017-00479</v>
      </c>
      <c r="B494" s="233" t="str">
        <f>РПЗ!$D494</f>
        <v xml:space="preserve">1004-2017-00479Поставка Одноосевой динамический испытательный стенд с вертикальной осью вращения  TES-4Vs, Изготовитель Acuitas AG, Швейцария </v>
      </c>
      <c r="C494" s="233" t="str">
        <f>РПЗ!$AA494</f>
        <v>АО "НИИ "Полюс" им. М.Ф. Стельмаха" тел. отдела закупок 8-495-333-05-02</v>
      </c>
      <c r="D494" s="633" t="str">
        <f>РПЗ!$AB494</f>
        <v>Заказчик</v>
      </c>
      <c r="E494" s="96" t="s">
        <v>46</v>
      </c>
      <c r="F494" s="233" t="str">
        <f>РПЗ!Q494</f>
        <v>ОЗК</v>
      </c>
      <c r="G494" s="237"/>
      <c r="H494" s="237" t="str">
        <f>РПЗ!R494</f>
        <v>да</v>
      </c>
      <c r="I494" s="15">
        <f>РПЗ!W494</f>
        <v>0</v>
      </c>
      <c r="J494" s="233">
        <f>РПЗ!X494</f>
        <v>0</v>
      </c>
      <c r="K494" s="283">
        <f>РПЗ!Z494</f>
        <v>0</v>
      </c>
      <c r="L494" s="17"/>
      <c r="M494" s="18">
        <f>РПЗ!O494</f>
        <v>42736.5</v>
      </c>
      <c r="N494" s="238">
        <f>Таблица5[[#This Row],[10]]</f>
        <v>42736.5</v>
      </c>
      <c r="O494" s="17"/>
      <c r="P494" s="17"/>
      <c r="Q494" s="17"/>
      <c r="R494" s="17"/>
      <c r="S494" s="17"/>
      <c r="T494" s="686"/>
      <c r="U494" s="18">
        <f>РПЗ!P494</f>
        <v>43070.5</v>
      </c>
      <c r="V494" s="686"/>
      <c r="W494" s="236">
        <f>РПЗ!L494</f>
        <v>57196427.490000002</v>
      </c>
      <c r="X494" s="689"/>
      <c r="Y494" s="689"/>
      <c r="Z494" s="690"/>
      <c r="AA494" s="691"/>
      <c r="AB494" s="111"/>
      <c r="AC494" s="17"/>
      <c r="AD494" s="690"/>
      <c r="AE494" s="686"/>
      <c r="AF494" s="474"/>
      <c r="AG494" s="692"/>
      <c r="AH494" s="236" t="str">
        <f>IF(Таблица5[[#This Row],[30]]=0,"НД",Таблица5[[#This Row],[20]]-Таблица5[[#This Row],[30]])</f>
        <v>НД</v>
      </c>
      <c r="AI494" s="511" t="str">
        <f>IF(((1-Таблица5[[#This Row],[30]]/Таблица5[[#This Row],[20]])=1),"НД",(1-Таблица5[[#This Row],[30]]/Таблица5[[#This Row],[20]]))</f>
        <v>НД</v>
      </c>
      <c r="AJ494" s="111"/>
      <c r="AK494" s="111"/>
      <c r="AL494" s="512"/>
      <c r="AM494" s="513"/>
      <c r="AN494" s="465"/>
      <c r="AO494" s="468" t="str">
        <f>РПЗ!AD494</f>
        <v>Нет</v>
      </c>
      <c r="AP494" s="472">
        <f>РПЗ!V494</f>
        <v>0</v>
      </c>
      <c r="AQ494" s="470">
        <f>IF(Таблица5[[#This Row],[11]]=0,,MONTH(Таблица5[[#This Row],[11]]))</f>
        <v>1</v>
      </c>
    </row>
    <row r="495" spans="1:43" ht="64.5" thickBot="1" x14ac:dyDescent="0.3">
      <c r="A495" s="233" t="str">
        <f t="shared" si="7"/>
        <v>1004-2017-00480</v>
      </c>
      <c r="B495" s="233" t="str">
        <f>РПЗ!$D495</f>
        <v xml:space="preserve">1004-2017-00480Трехосный динамический испытательный стенд TES-UUT-V644 Изготовитель Acuitas AG, Швейцария в комплекте: _x000D_
</v>
      </c>
      <c r="C495" s="233" t="str">
        <f>РПЗ!$AA495</f>
        <v>АО "НИИ "Полюс" им. М.Ф. Стельмаха" тел. отдела закупок 8-495-333-05-02</v>
      </c>
      <c r="D495" s="633" t="str">
        <f>РПЗ!$AB495</f>
        <v>Заказчик</v>
      </c>
      <c r="E495" s="96" t="s">
        <v>46</v>
      </c>
      <c r="F495" s="233" t="str">
        <f>РПЗ!Q495</f>
        <v>ОЗК</v>
      </c>
      <c r="G495" s="237"/>
      <c r="H495" s="237" t="str">
        <f>РПЗ!R495</f>
        <v>да</v>
      </c>
      <c r="I495" s="15">
        <f>РПЗ!W495</f>
        <v>0</v>
      </c>
      <c r="J495" s="233">
        <f>РПЗ!X495</f>
        <v>0</v>
      </c>
      <c r="K495" s="283">
        <f>РПЗ!Z495</f>
        <v>0</v>
      </c>
      <c r="L495" s="17"/>
      <c r="M495" s="18">
        <f>РПЗ!O495</f>
        <v>42736.5</v>
      </c>
      <c r="N495" s="238">
        <f>Таблица5[[#This Row],[10]]</f>
        <v>42736.5</v>
      </c>
      <c r="O495" s="17"/>
      <c r="P495" s="17"/>
      <c r="Q495" s="17"/>
      <c r="R495" s="17"/>
      <c r="S495" s="17"/>
      <c r="T495" s="686"/>
      <c r="U495" s="18">
        <f>РПЗ!P495</f>
        <v>43070.5</v>
      </c>
      <c r="V495" s="686"/>
      <c r="W495" s="236">
        <f>РПЗ!L495</f>
        <v>168892803.97</v>
      </c>
      <c r="X495" s="689"/>
      <c r="Y495" s="689"/>
      <c r="Z495" s="690"/>
      <c r="AA495" s="691"/>
      <c r="AB495" s="111"/>
      <c r="AC495" s="17"/>
      <c r="AD495" s="690"/>
      <c r="AE495" s="686"/>
      <c r="AF495" s="474"/>
      <c r="AG495" s="692"/>
      <c r="AH495" s="236" t="str">
        <f>IF(Таблица5[[#This Row],[30]]=0,"НД",Таблица5[[#This Row],[20]]-Таблица5[[#This Row],[30]])</f>
        <v>НД</v>
      </c>
      <c r="AI495" s="511" t="str">
        <f>IF(((1-Таблица5[[#This Row],[30]]/Таблица5[[#This Row],[20]])=1),"НД",(1-Таблица5[[#This Row],[30]]/Таблица5[[#This Row],[20]]))</f>
        <v>НД</v>
      </c>
      <c r="AJ495" s="111"/>
      <c r="AK495" s="111"/>
      <c r="AL495" s="512"/>
      <c r="AM495" s="513"/>
      <c r="AN495" s="465"/>
      <c r="AO495" s="468" t="str">
        <f>РПЗ!AD495</f>
        <v>Нет</v>
      </c>
      <c r="AP495" s="472">
        <f>РПЗ!V495</f>
        <v>0</v>
      </c>
      <c r="AQ495" s="470">
        <f>IF(Таблица5[[#This Row],[11]]=0,,MONTH(Таблица5[[#This Row],[11]]))</f>
        <v>1</v>
      </c>
    </row>
    <row r="496" spans="1:43" ht="115.5" thickBot="1" x14ac:dyDescent="0.3">
      <c r="A496" s="233" t="str">
        <f t="shared" si="7"/>
        <v>1004-2017-00481</v>
      </c>
      <c r="B496" s="233" t="str">
        <f>РПЗ!$D496</f>
        <v xml:space="preserve">1004-2017-00481Поставка Рабочее место для технологических испытаний на базе 1-осевого стенда серии ADS-VK_0696 с камерой._x000D_
(Производства Acuitas AG, Швейцария)_x000D_
                                                                                                                             _x000D_
</v>
      </c>
      <c r="C496" s="233" t="str">
        <f>РПЗ!$AA496</f>
        <v>АО "НИИ "Полюс" им. М.Ф. Стельмаха" тел. отдела закупок 8-495-333-05-02</v>
      </c>
      <c r="D496" s="633" t="str">
        <f>РПЗ!$AB496</f>
        <v>Заказчик</v>
      </c>
      <c r="E496" s="96" t="s">
        <v>46</v>
      </c>
      <c r="F496" s="233" t="str">
        <f>РПЗ!Q496</f>
        <v>ОЗК</v>
      </c>
      <c r="G496" s="237"/>
      <c r="H496" s="237" t="str">
        <f>РПЗ!R496</f>
        <v>да</v>
      </c>
      <c r="I496" s="15">
        <f>РПЗ!W496</f>
        <v>0</v>
      </c>
      <c r="J496" s="233">
        <f>РПЗ!X496</f>
        <v>0</v>
      </c>
      <c r="K496" s="283">
        <f>РПЗ!Z496</f>
        <v>0</v>
      </c>
      <c r="L496" s="17"/>
      <c r="M496" s="18">
        <f>РПЗ!O496</f>
        <v>42736.5</v>
      </c>
      <c r="N496" s="238">
        <f>Таблица5[[#This Row],[10]]</f>
        <v>42736.5</v>
      </c>
      <c r="O496" s="17"/>
      <c r="P496" s="17"/>
      <c r="Q496" s="17"/>
      <c r="R496" s="17"/>
      <c r="S496" s="17"/>
      <c r="T496" s="686"/>
      <c r="U496" s="18">
        <f>РПЗ!P496</f>
        <v>43070.5</v>
      </c>
      <c r="V496" s="686"/>
      <c r="W496" s="236">
        <f>РПЗ!L496</f>
        <v>20682481.390000001</v>
      </c>
      <c r="X496" s="689"/>
      <c r="Y496" s="689"/>
      <c r="Z496" s="690"/>
      <c r="AA496" s="691"/>
      <c r="AB496" s="111"/>
      <c r="AC496" s="17"/>
      <c r="AD496" s="690"/>
      <c r="AE496" s="686"/>
      <c r="AF496" s="474"/>
      <c r="AG496" s="692"/>
      <c r="AH496" s="236" t="str">
        <f>IF(Таблица5[[#This Row],[30]]=0,"НД",Таблица5[[#This Row],[20]]-Таблица5[[#This Row],[30]])</f>
        <v>НД</v>
      </c>
      <c r="AI496" s="511" t="str">
        <f>IF(((1-Таблица5[[#This Row],[30]]/Таблица5[[#This Row],[20]])=1),"НД",(1-Таблица5[[#This Row],[30]]/Таблица5[[#This Row],[20]]))</f>
        <v>НД</v>
      </c>
      <c r="AJ496" s="111"/>
      <c r="AK496" s="111"/>
      <c r="AL496" s="512"/>
      <c r="AM496" s="513"/>
      <c r="AN496" s="465"/>
      <c r="AO496" s="468" t="str">
        <f>РПЗ!AD496</f>
        <v>Нет</v>
      </c>
      <c r="AP496" s="472">
        <f>РПЗ!V496</f>
        <v>0</v>
      </c>
      <c r="AQ496" s="470">
        <f>IF(Таблица5[[#This Row],[11]]=0,,MONTH(Таблица5[[#This Row],[11]]))</f>
        <v>1</v>
      </c>
    </row>
    <row r="497" spans="1:43" ht="51.75" thickBot="1" x14ac:dyDescent="0.3">
      <c r="A497" s="233" t="str">
        <f t="shared" si="7"/>
        <v>1004-2017-00482</v>
      </c>
      <c r="B497" s="233" t="str">
        <f>РПЗ!$D497</f>
        <v>1004-2017-00482Поставка Безмасляный масс-спектрометрический гелиевый течеискатель ASM 340D, Франция</v>
      </c>
      <c r="C497" s="233" t="str">
        <f>РПЗ!$AA497</f>
        <v>АО "НИИ "Полюс" им. М.Ф. Стельмаха" тел. отдела закупок 8-495-333-05-02</v>
      </c>
      <c r="D497" s="633" t="str">
        <f>РПЗ!$AB497</f>
        <v>Заказчик</v>
      </c>
      <c r="E497" s="96" t="s">
        <v>46</v>
      </c>
      <c r="F497" s="233" t="str">
        <f>РПЗ!Q497</f>
        <v>ОК</v>
      </c>
      <c r="G497" s="237"/>
      <c r="H497" s="237" t="str">
        <f>РПЗ!R497</f>
        <v>да</v>
      </c>
      <c r="I497" s="15">
        <f>РПЗ!W497</f>
        <v>0</v>
      </c>
      <c r="J497" s="233">
        <f>РПЗ!X497</f>
        <v>0</v>
      </c>
      <c r="K497" s="283">
        <f>РПЗ!Z497</f>
        <v>0</v>
      </c>
      <c r="L497" s="17"/>
      <c r="M497" s="18">
        <f>РПЗ!O497</f>
        <v>42736.5</v>
      </c>
      <c r="N497" s="238">
        <f>Таблица5[[#This Row],[10]]</f>
        <v>42736.5</v>
      </c>
      <c r="O497" s="17"/>
      <c r="P497" s="17"/>
      <c r="Q497" s="17"/>
      <c r="R497" s="17"/>
      <c r="S497" s="17"/>
      <c r="T497" s="686"/>
      <c r="U497" s="18">
        <f>РПЗ!P497</f>
        <v>43070.5</v>
      </c>
      <c r="V497" s="686"/>
      <c r="W497" s="236">
        <f>РПЗ!L497</f>
        <v>2658000</v>
      </c>
      <c r="X497" s="689"/>
      <c r="Y497" s="689"/>
      <c r="Z497" s="690"/>
      <c r="AA497" s="691"/>
      <c r="AB497" s="111"/>
      <c r="AC497" s="17"/>
      <c r="AD497" s="690"/>
      <c r="AE497" s="686"/>
      <c r="AF497" s="474"/>
      <c r="AG497" s="692"/>
      <c r="AH497" s="236" t="str">
        <f>IF(Таблица5[[#This Row],[30]]=0,"НД",Таблица5[[#This Row],[20]]-Таблица5[[#This Row],[30]])</f>
        <v>НД</v>
      </c>
      <c r="AI497" s="511" t="str">
        <f>IF(((1-Таблица5[[#This Row],[30]]/Таблица5[[#This Row],[20]])=1),"НД",(1-Таблица5[[#This Row],[30]]/Таблица5[[#This Row],[20]]))</f>
        <v>НД</v>
      </c>
      <c r="AJ497" s="111"/>
      <c r="AK497" s="111"/>
      <c r="AL497" s="512"/>
      <c r="AM497" s="513"/>
      <c r="AN497" s="465"/>
      <c r="AO497" s="468" t="str">
        <f>РПЗ!AD497</f>
        <v>Нет</v>
      </c>
      <c r="AP497" s="472">
        <f>РПЗ!V497</f>
        <v>0</v>
      </c>
      <c r="AQ497" s="470">
        <f>IF(Таблица5[[#This Row],[11]]=0,,MONTH(Таблица5[[#This Row],[11]]))</f>
        <v>1</v>
      </c>
    </row>
    <row r="498" spans="1:43" ht="39" thickBot="1" x14ac:dyDescent="0.3">
      <c r="A498" s="233" t="str">
        <f t="shared" si="7"/>
        <v>1004-2017-00483</v>
      </c>
      <c r="B498" s="233" t="str">
        <f>РПЗ!$D498</f>
        <v>1004-2017-00483Поставка Стул лабораторный специализированный 7NG 36GBLR 00 905, Франция</v>
      </c>
      <c r="C498" s="233" t="str">
        <f>РПЗ!$AA498</f>
        <v>АО "НИИ "Полюс" им. М.Ф. Стельмаха" тел. отдела закупок 8-495-333-05-02</v>
      </c>
      <c r="D498" s="633" t="str">
        <f>РПЗ!$AB498</f>
        <v>Заказчик</v>
      </c>
      <c r="E498" s="96" t="s">
        <v>46</v>
      </c>
      <c r="F498" s="233" t="str">
        <f>РПЗ!Q498</f>
        <v>ОК</v>
      </c>
      <c r="G498" s="237"/>
      <c r="H498" s="237" t="str">
        <f>РПЗ!R498</f>
        <v>да</v>
      </c>
      <c r="I498" s="15">
        <f>РПЗ!W498</f>
        <v>0</v>
      </c>
      <c r="J498" s="233">
        <f>РПЗ!X498</f>
        <v>0</v>
      </c>
      <c r="K498" s="283">
        <f>РПЗ!Z498</f>
        <v>0</v>
      </c>
      <c r="L498" s="17"/>
      <c r="M498" s="18">
        <f>РПЗ!O498</f>
        <v>42736.5</v>
      </c>
      <c r="N498" s="238">
        <f>Таблица5[[#This Row],[10]]</f>
        <v>42736.5</v>
      </c>
      <c r="O498" s="17"/>
      <c r="P498" s="17"/>
      <c r="Q498" s="17"/>
      <c r="R498" s="17"/>
      <c r="S498" s="17"/>
      <c r="T498" s="686"/>
      <c r="U498" s="18">
        <f>РПЗ!P498</f>
        <v>43070.5</v>
      </c>
      <c r="V498" s="686"/>
      <c r="W498" s="236">
        <f>РПЗ!L498</f>
        <v>474199.55</v>
      </c>
      <c r="X498" s="689"/>
      <c r="Y498" s="689"/>
      <c r="Z498" s="690"/>
      <c r="AA498" s="691"/>
      <c r="AB498" s="111"/>
      <c r="AC498" s="17"/>
      <c r="AD498" s="690"/>
      <c r="AE498" s="686"/>
      <c r="AF498" s="474"/>
      <c r="AG498" s="692"/>
      <c r="AH498" s="236" t="str">
        <f>IF(Таблица5[[#This Row],[30]]=0,"НД",Таблица5[[#This Row],[20]]-Таблица5[[#This Row],[30]])</f>
        <v>НД</v>
      </c>
      <c r="AI498" s="511" t="str">
        <f>IF(((1-Таблица5[[#This Row],[30]]/Таблица5[[#This Row],[20]])=1),"НД",(1-Таблица5[[#This Row],[30]]/Таблица5[[#This Row],[20]]))</f>
        <v>НД</v>
      </c>
      <c r="AJ498" s="111"/>
      <c r="AK498" s="111"/>
      <c r="AL498" s="512"/>
      <c r="AM498" s="513"/>
      <c r="AN498" s="465"/>
      <c r="AO498" s="468" t="str">
        <f>РПЗ!AD498</f>
        <v>Нет</v>
      </c>
      <c r="AP498" s="472">
        <f>РПЗ!V498</f>
        <v>0</v>
      </c>
      <c r="AQ498" s="470">
        <f>IF(Таблица5[[#This Row],[11]]=0,,MONTH(Таблица5[[#This Row],[11]]))</f>
        <v>1</v>
      </c>
    </row>
    <row r="499" spans="1:43" ht="39" thickBot="1" x14ac:dyDescent="0.3">
      <c r="A499" s="233" t="str">
        <f t="shared" ref="A499:A562" si="8">INDEX(Диапазон1,ROW(), COLUMN())</f>
        <v>1004-2017-00484</v>
      </c>
      <c r="B499" s="233" t="str">
        <f>РПЗ!$D499</f>
        <v>1004-2017-00484Поставка Система поиска течи  на базе безмаслянного гелиевого течеискателя ASM 340D</v>
      </c>
      <c r="C499" s="233" t="str">
        <f>РПЗ!$AA499</f>
        <v>АО "НИИ "Полюс" им. М.Ф. Стельмаха" тел. отдела закупок 8-495-333-05-02</v>
      </c>
      <c r="D499" s="633" t="str">
        <f>РПЗ!$AB499</f>
        <v>Заказчик</v>
      </c>
      <c r="E499" s="96" t="s">
        <v>46</v>
      </c>
      <c r="F499" s="233" t="str">
        <f>РПЗ!Q499</f>
        <v>ОК</v>
      </c>
      <c r="G499" s="237"/>
      <c r="H499" s="237" t="str">
        <f>РПЗ!R499</f>
        <v>да</v>
      </c>
      <c r="I499" s="15">
        <f>РПЗ!W499</f>
        <v>0</v>
      </c>
      <c r="J499" s="233">
        <f>РПЗ!X499</f>
        <v>0</v>
      </c>
      <c r="K499" s="283">
        <f>РПЗ!Z499</f>
        <v>0</v>
      </c>
      <c r="L499" s="17"/>
      <c r="M499" s="18">
        <f>РПЗ!O499</f>
        <v>42736.5</v>
      </c>
      <c r="N499" s="238">
        <f>Таблица5[[#This Row],[10]]</f>
        <v>42736.5</v>
      </c>
      <c r="O499" s="17"/>
      <c r="P499" s="17"/>
      <c r="Q499" s="17"/>
      <c r="R499" s="17"/>
      <c r="S499" s="17"/>
      <c r="T499" s="686"/>
      <c r="U499" s="18">
        <f>РПЗ!P499</f>
        <v>43070.5</v>
      </c>
      <c r="V499" s="686"/>
      <c r="W499" s="236">
        <f>РПЗ!L499</f>
        <v>2564119.11</v>
      </c>
      <c r="X499" s="689"/>
      <c r="Y499" s="689"/>
      <c r="Z499" s="690"/>
      <c r="AA499" s="691"/>
      <c r="AB499" s="111"/>
      <c r="AC499" s="17"/>
      <c r="AD499" s="690"/>
      <c r="AE499" s="686"/>
      <c r="AF499" s="474"/>
      <c r="AG499" s="692"/>
      <c r="AH499" s="236" t="str">
        <f>IF(Таблица5[[#This Row],[30]]=0,"НД",Таблица5[[#This Row],[20]]-Таблица5[[#This Row],[30]])</f>
        <v>НД</v>
      </c>
      <c r="AI499" s="511" t="str">
        <f>IF(((1-Таблица5[[#This Row],[30]]/Таблица5[[#This Row],[20]])=1),"НД",(1-Таблица5[[#This Row],[30]]/Таблица5[[#This Row],[20]]))</f>
        <v>НД</v>
      </c>
      <c r="AJ499" s="111"/>
      <c r="AK499" s="111"/>
      <c r="AL499" s="512"/>
      <c r="AM499" s="513"/>
      <c r="AN499" s="465"/>
      <c r="AO499" s="468" t="str">
        <f>РПЗ!AD499</f>
        <v>Нет</v>
      </c>
      <c r="AP499" s="472">
        <f>РПЗ!V499</f>
        <v>0</v>
      </c>
      <c r="AQ499" s="470">
        <f>IF(Таблица5[[#This Row],[11]]=0,,MONTH(Таблица5[[#This Row],[11]]))</f>
        <v>1</v>
      </c>
    </row>
    <row r="500" spans="1:43" ht="39" thickBot="1" x14ac:dyDescent="0.3">
      <c r="A500" s="233" t="str">
        <f t="shared" si="8"/>
        <v>1004-2017-00485</v>
      </c>
      <c r="B500" s="233" t="str">
        <f>РПЗ!$D500</f>
        <v>1004-2017-00485Поставка Камера тепла и холода МС-812R "ESPEC", Япония</v>
      </c>
      <c r="C500" s="233" t="str">
        <f>РПЗ!$AA500</f>
        <v>АО "НИИ "Полюс" им. М.Ф. Стельмаха" тел. отдела закупок 8-495-333-05-02</v>
      </c>
      <c r="D500" s="633" t="str">
        <f>РПЗ!$AB500</f>
        <v>Заказчик</v>
      </c>
      <c r="E500" s="96" t="s">
        <v>46</v>
      </c>
      <c r="F500" s="233" t="str">
        <f>РПЗ!Q500</f>
        <v>ОК</v>
      </c>
      <c r="G500" s="237"/>
      <c r="H500" s="237" t="str">
        <f>РПЗ!R500</f>
        <v>да</v>
      </c>
      <c r="I500" s="15">
        <f>РПЗ!W500</f>
        <v>0</v>
      </c>
      <c r="J500" s="233">
        <f>РПЗ!X500</f>
        <v>0</v>
      </c>
      <c r="K500" s="283">
        <f>РПЗ!Z500</f>
        <v>0</v>
      </c>
      <c r="L500" s="17"/>
      <c r="M500" s="18">
        <f>РПЗ!O500</f>
        <v>42736.5</v>
      </c>
      <c r="N500" s="238">
        <f>Таблица5[[#This Row],[10]]</f>
        <v>42736.5</v>
      </c>
      <c r="O500" s="17"/>
      <c r="P500" s="17"/>
      <c r="Q500" s="17"/>
      <c r="R500" s="17"/>
      <c r="S500" s="17"/>
      <c r="T500" s="686"/>
      <c r="U500" s="18">
        <f>РПЗ!P500</f>
        <v>43070.5</v>
      </c>
      <c r="V500" s="686"/>
      <c r="W500" s="236">
        <f>РПЗ!L500</f>
        <v>6311889</v>
      </c>
      <c r="X500" s="689"/>
      <c r="Y500" s="689"/>
      <c r="Z500" s="690"/>
      <c r="AA500" s="691"/>
      <c r="AB500" s="111"/>
      <c r="AC500" s="17"/>
      <c r="AD500" s="690"/>
      <c r="AE500" s="686"/>
      <c r="AF500" s="474"/>
      <c r="AG500" s="692"/>
      <c r="AH500" s="236" t="str">
        <f>IF(Таблица5[[#This Row],[30]]=0,"НД",Таблица5[[#This Row],[20]]-Таблица5[[#This Row],[30]])</f>
        <v>НД</v>
      </c>
      <c r="AI500" s="511" t="str">
        <f>IF(((1-Таблица5[[#This Row],[30]]/Таблица5[[#This Row],[20]])=1),"НД",(1-Таблица5[[#This Row],[30]]/Таблица5[[#This Row],[20]]))</f>
        <v>НД</v>
      </c>
      <c r="AJ500" s="111"/>
      <c r="AK500" s="111"/>
      <c r="AL500" s="512"/>
      <c r="AM500" s="513"/>
      <c r="AN500" s="465"/>
      <c r="AO500" s="468" t="str">
        <f>РПЗ!AD500</f>
        <v>Нет</v>
      </c>
      <c r="AP500" s="472">
        <f>РПЗ!V500</f>
        <v>0</v>
      </c>
      <c r="AQ500" s="470">
        <f>IF(Таблица5[[#This Row],[11]]=0,,MONTH(Таблица5[[#This Row],[11]]))</f>
        <v>1</v>
      </c>
    </row>
    <row r="501" spans="1:43" ht="39" thickBot="1" x14ac:dyDescent="0.3">
      <c r="A501" s="233" t="str">
        <f t="shared" si="8"/>
        <v>1004-2017-00486</v>
      </c>
      <c r="B501" s="233" t="str">
        <f>РПЗ!$D501</f>
        <v>1004-2017-00486Поставка Источник питания переменного тока APS-9301, Тайвань</v>
      </c>
      <c r="C501" s="233" t="str">
        <f>РПЗ!$AA501</f>
        <v>АО "НИИ "Полюс" им. М.Ф. Стельмаха" тел. отдела закупок 8-495-333-05-02</v>
      </c>
      <c r="D501" s="633" t="str">
        <f>РПЗ!$AB501</f>
        <v>Заказчик</v>
      </c>
      <c r="E501" s="96" t="s">
        <v>46</v>
      </c>
      <c r="F501" s="233" t="str">
        <f>РПЗ!Q501</f>
        <v>ОК</v>
      </c>
      <c r="G501" s="237"/>
      <c r="H501" s="237" t="str">
        <f>РПЗ!R501</f>
        <v>да</v>
      </c>
      <c r="I501" s="15">
        <f>РПЗ!W501</f>
        <v>0</v>
      </c>
      <c r="J501" s="233">
        <f>РПЗ!X501</f>
        <v>0</v>
      </c>
      <c r="K501" s="283">
        <f>РПЗ!Z501</f>
        <v>0</v>
      </c>
      <c r="L501" s="17"/>
      <c r="M501" s="18">
        <f>РПЗ!O501</f>
        <v>42736.5</v>
      </c>
      <c r="N501" s="238">
        <f>Таблица5[[#This Row],[10]]</f>
        <v>42736.5</v>
      </c>
      <c r="O501" s="17"/>
      <c r="P501" s="17"/>
      <c r="Q501" s="17"/>
      <c r="R501" s="17"/>
      <c r="S501" s="17"/>
      <c r="T501" s="686"/>
      <c r="U501" s="18">
        <f>РПЗ!P501</f>
        <v>43070.5</v>
      </c>
      <c r="V501" s="686"/>
      <c r="W501" s="236">
        <f>РПЗ!L501</f>
        <v>214562</v>
      </c>
      <c r="X501" s="689"/>
      <c r="Y501" s="689"/>
      <c r="Z501" s="690"/>
      <c r="AA501" s="691"/>
      <c r="AB501" s="111"/>
      <c r="AC501" s="17"/>
      <c r="AD501" s="690"/>
      <c r="AE501" s="686"/>
      <c r="AF501" s="474"/>
      <c r="AG501" s="692"/>
      <c r="AH501" s="236" t="str">
        <f>IF(Таблица5[[#This Row],[30]]=0,"НД",Таблица5[[#This Row],[20]]-Таблица5[[#This Row],[30]])</f>
        <v>НД</v>
      </c>
      <c r="AI501" s="511" t="str">
        <f>IF(((1-Таблица5[[#This Row],[30]]/Таблица5[[#This Row],[20]])=1),"НД",(1-Таблица5[[#This Row],[30]]/Таблица5[[#This Row],[20]]))</f>
        <v>НД</v>
      </c>
      <c r="AJ501" s="111"/>
      <c r="AK501" s="111"/>
      <c r="AL501" s="512"/>
      <c r="AM501" s="513"/>
      <c r="AN501" s="465"/>
      <c r="AO501" s="468" t="str">
        <f>РПЗ!AD501</f>
        <v>Нет</v>
      </c>
      <c r="AP501" s="472">
        <f>РПЗ!V501</f>
        <v>0</v>
      </c>
      <c r="AQ501" s="470">
        <f>IF(Таблица5[[#This Row],[11]]=0,,MONTH(Таблица5[[#This Row],[11]]))</f>
        <v>1</v>
      </c>
    </row>
    <row r="502" spans="1:43" ht="39" thickBot="1" x14ac:dyDescent="0.3">
      <c r="A502" s="233" t="str">
        <f t="shared" si="8"/>
        <v>1004-2017-00487</v>
      </c>
      <c r="B502" s="233" t="str">
        <f>РПЗ!$D502</f>
        <v>1004-2017-00487Поставка Линейный источник питания постоянного тока GPS-73030D, Тайвань</v>
      </c>
      <c r="C502" s="233" t="str">
        <f>РПЗ!$AA502</f>
        <v>АО "НИИ "Полюс" им. М.Ф. Стельмаха" тел. отдела закупок 8-495-333-05-02</v>
      </c>
      <c r="D502" s="633" t="str">
        <f>РПЗ!$AB502</f>
        <v>Заказчик</v>
      </c>
      <c r="E502" s="96" t="s">
        <v>46</v>
      </c>
      <c r="F502" s="233" t="str">
        <f>РПЗ!Q502</f>
        <v>ОЗК</v>
      </c>
      <c r="G502" s="237"/>
      <c r="H502" s="237" t="str">
        <f>РПЗ!R502</f>
        <v>да</v>
      </c>
      <c r="I502" s="15">
        <f>РПЗ!W502</f>
        <v>0</v>
      </c>
      <c r="J502" s="233">
        <f>РПЗ!X502</f>
        <v>0</v>
      </c>
      <c r="K502" s="283">
        <f>РПЗ!Z502</f>
        <v>0</v>
      </c>
      <c r="L502" s="17"/>
      <c r="M502" s="18">
        <f>РПЗ!O502</f>
        <v>42736.5</v>
      </c>
      <c r="N502" s="238">
        <f>Таблица5[[#This Row],[10]]</f>
        <v>42736.5</v>
      </c>
      <c r="O502" s="17"/>
      <c r="P502" s="17"/>
      <c r="Q502" s="17"/>
      <c r="R502" s="17"/>
      <c r="S502" s="17"/>
      <c r="T502" s="686"/>
      <c r="U502" s="18">
        <f>РПЗ!P502</f>
        <v>43070.5</v>
      </c>
      <c r="V502" s="686"/>
      <c r="W502" s="236">
        <f>РПЗ!L502</f>
        <v>198053.33</v>
      </c>
      <c r="X502" s="689"/>
      <c r="Y502" s="689"/>
      <c r="Z502" s="690"/>
      <c r="AA502" s="691"/>
      <c r="AB502" s="111"/>
      <c r="AC502" s="17"/>
      <c r="AD502" s="690"/>
      <c r="AE502" s="686"/>
      <c r="AF502" s="474"/>
      <c r="AG502" s="692"/>
      <c r="AH502" s="236" t="str">
        <f>IF(Таблица5[[#This Row],[30]]=0,"НД",Таблица5[[#This Row],[20]]-Таблица5[[#This Row],[30]])</f>
        <v>НД</v>
      </c>
      <c r="AI502" s="511" t="str">
        <f>IF(((1-Таблица5[[#This Row],[30]]/Таблица5[[#This Row],[20]])=1),"НД",(1-Таблица5[[#This Row],[30]]/Таблица5[[#This Row],[20]]))</f>
        <v>НД</v>
      </c>
      <c r="AJ502" s="111"/>
      <c r="AK502" s="111"/>
      <c r="AL502" s="512"/>
      <c r="AM502" s="513"/>
      <c r="AN502" s="465"/>
      <c r="AO502" s="468" t="str">
        <f>РПЗ!AD502</f>
        <v>Нет</v>
      </c>
      <c r="AP502" s="472">
        <f>РПЗ!V502</f>
        <v>0</v>
      </c>
      <c r="AQ502" s="470">
        <f>IF(Таблица5[[#This Row],[11]]=0,,MONTH(Таблица5[[#This Row],[11]]))</f>
        <v>1</v>
      </c>
    </row>
    <row r="503" spans="1:43" ht="39" thickBot="1" x14ac:dyDescent="0.3">
      <c r="A503" s="233" t="str">
        <f t="shared" si="8"/>
        <v>1004-2017-00488</v>
      </c>
      <c r="B503" s="233" t="str">
        <f>РПЗ!$D503</f>
        <v>1004-2017-00488Поставка Электромеханический вибрационный стенд VS-5060M-H, Тайвань</v>
      </c>
      <c r="C503" s="233" t="str">
        <f>РПЗ!$AA503</f>
        <v>АО "НИИ "Полюс" им. М.Ф. Стельмаха" тел. отдела закупок 8-495-333-05-02</v>
      </c>
      <c r="D503" s="633" t="str">
        <f>РПЗ!$AB503</f>
        <v>Заказчик</v>
      </c>
      <c r="E503" s="96" t="s">
        <v>46</v>
      </c>
      <c r="F503" s="233" t="str">
        <f>РПЗ!Q503</f>
        <v>ОЗК</v>
      </c>
      <c r="G503" s="237"/>
      <c r="H503" s="237" t="str">
        <f>РПЗ!R503</f>
        <v>да</v>
      </c>
      <c r="I503" s="15">
        <f>РПЗ!W503</f>
        <v>0</v>
      </c>
      <c r="J503" s="233">
        <f>РПЗ!X503</f>
        <v>0</v>
      </c>
      <c r="K503" s="283">
        <f>РПЗ!Z503</f>
        <v>0</v>
      </c>
      <c r="L503" s="17"/>
      <c r="M503" s="18">
        <f>РПЗ!O503</f>
        <v>42736.5</v>
      </c>
      <c r="N503" s="238">
        <f>Таблица5[[#This Row],[10]]</f>
        <v>42736.5</v>
      </c>
      <c r="O503" s="17"/>
      <c r="P503" s="17"/>
      <c r="Q503" s="17"/>
      <c r="R503" s="17"/>
      <c r="S503" s="17"/>
      <c r="T503" s="686"/>
      <c r="U503" s="18">
        <f>РПЗ!P503</f>
        <v>43070.5</v>
      </c>
      <c r="V503" s="686"/>
      <c r="W503" s="236">
        <f>РПЗ!L503</f>
        <v>2357537</v>
      </c>
      <c r="X503" s="689"/>
      <c r="Y503" s="689"/>
      <c r="Z503" s="690"/>
      <c r="AA503" s="691"/>
      <c r="AB503" s="111"/>
      <c r="AC503" s="17"/>
      <c r="AD503" s="690"/>
      <c r="AE503" s="686"/>
      <c r="AF503" s="474"/>
      <c r="AG503" s="692"/>
      <c r="AH503" s="236" t="str">
        <f>IF(Таблица5[[#This Row],[30]]=0,"НД",Таблица5[[#This Row],[20]]-Таблица5[[#This Row],[30]])</f>
        <v>НД</v>
      </c>
      <c r="AI503" s="511" t="str">
        <f>IF(((1-Таблица5[[#This Row],[30]]/Таблица5[[#This Row],[20]])=1),"НД",(1-Таблица5[[#This Row],[30]]/Таблица5[[#This Row],[20]]))</f>
        <v>НД</v>
      </c>
      <c r="AJ503" s="111"/>
      <c r="AK503" s="111"/>
      <c r="AL503" s="512"/>
      <c r="AM503" s="513"/>
      <c r="AN503" s="465"/>
      <c r="AO503" s="468" t="str">
        <f>РПЗ!AD503</f>
        <v>Нет</v>
      </c>
      <c r="AP503" s="472">
        <f>РПЗ!V503</f>
        <v>0</v>
      </c>
      <c r="AQ503" s="470">
        <f>IF(Таблица5[[#This Row],[11]]=0,,MONTH(Таблица5[[#This Row],[11]]))</f>
        <v>1</v>
      </c>
    </row>
    <row r="504" spans="1:43" ht="39" thickBot="1" x14ac:dyDescent="0.3">
      <c r="A504" s="233" t="str">
        <f t="shared" si="8"/>
        <v>1004-2017-00489</v>
      </c>
      <c r="B504" s="233" t="str">
        <f>РПЗ!$D504</f>
        <v>1004-2017-00489Поставка Антистатический стул монтажный VKG C-300 ESD в комплекте.</v>
      </c>
      <c r="C504" s="233" t="str">
        <f>РПЗ!$AA504</f>
        <v>АО "НИИ "Полюс" им. М.Ф. Стельмаха" тел. отдела закупок 8-495-333-05-02</v>
      </c>
      <c r="D504" s="633" t="str">
        <f>РПЗ!$AB504</f>
        <v>Заказчик</v>
      </c>
      <c r="E504" s="96" t="s">
        <v>46</v>
      </c>
      <c r="F504" s="233" t="str">
        <f>РПЗ!Q504</f>
        <v>ОЗК</v>
      </c>
      <c r="G504" s="237"/>
      <c r="H504" s="237" t="str">
        <f>РПЗ!R504</f>
        <v>да</v>
      </c>
      <c r="I504" s="15">
        <f>РПЗ!W504</f>
        <v>0</v>
      </c>
      <c r="J504" s="233">
        <f>РПЗ!X504</f>
        <v>0</v>
      </c>
      <c r="K504" s="283">
        <f>РПЗ!Z504</f>
        <v>0</v>
      </c>
      <c r="L504" s="17"/>
      <c r="M504" s="18">
        <f>РПЗ!O504</f>
        <v>42736.5</v>
      </c>
      <c r="N504" s="238">
        <f>Таблица5[[#This Row],[10]]</f>
        <v>42736.5</v>
      </c>
      <c r="O504" s="17"/>
      <c r="P504" s="17"/>
      <c r="Q504" s="17"/>
      <c r="R504" s="17"/>
      <c r="S504" s="17"/>
      <c r="T504" s="686"/>
      <c r="U504" s="18">
        <f>РПЗ!P504</f>
        <v>43070.5</v>
      </c>
      <c r="V504" s="686"/>
      <c r="W504" s="236">
        <f>РПЗ!L504</f>
        <v>432064</v>
      </c>
      <c r="X504" s="689"/>
      <c r="Y504" s="689"/>
      <c r="Z504" s="690"/>
      <c r="AA504" s="691"/>
      <c r="AB504" s="111"/>
      <c r="AC504" s="17"/>
      <c r="AD504" s="690"/>
      <c r="AE504" s="686"/>
      <c r="AF504" s="474"/>
      <c r="AG504" s="692"/>
      <c r="AH504" s="236" t="str">
        <f>IF(Таблица5[[#This Row],[30]]=0,"НД",Таблица5[[#This Row],[20]]-Таблица5[[#This Row],[30]])</f>
        <v>НД</v>
      </c>
      <c r="AI504" s="511" t="str">
        <f>IF(((1-Таблица5[[#This Row],[30]]/Таблица5[[#This Row],[20]])=1),"НД",(1-Таблица5[[#This Row],[30]]/Таблица5[[#This Row],[20]]))</f>
        <v>НД</v>
      </c>
      <c r="AJ504" s="111"/>
      <c r="AK504" s="111"/>
      <c r="AL504" s="512"/>
      <c r="AM504" s="513"/>
      <c r="AN504" s="465"/>
      <c r="AO504" s="468" t="str">
        <f>РПЗ!AD504</f>
        <v>Нет</v>
      </c>
      <c r="AP504" s="472">
        <f>РПЗ!V504</f>
        <v>0</v>
      </c>
      <c r="AQ504" s="470">
        <f>IF(Таблица5[[#This Row],[11]]=0,,MONTH(Таблица5[[#This Row],[11]]))</f>
        <v>1</v>
      </c>
    </row>
    <row r="505" spans="1:43" ht="39" thickBot="1" x14ac:dyDescent="0.3">
      <c r="A505" s="233" t="str">
        <f t="shared" si="8"/>
        <v>1004-2017-00490</v>
      </c>
      <c r="B505" s="233" t="str">
        <f>РПЗ!$D505</f>
        <v>1004-2017-00490Поставка Стойка с индикатором часового типа МС 12</v>
      </c>
      <c r="C505" s="233" t="str">
        <f>РПЗ!$AA505</f>
        <v>АО "НИИ "Полюс" им. М.Ф. Стельмаха" тел. отдела закупок 8-495-333-05-02</v>
      </c>
      <c r="D505" s="633" t="str">
        <f>РПЗ!$AB505</f>
        <v>Заказчик</v>
      </c>
      <c r="E505" s="96" t="s">
        <v>46</v>
      </c>
      <c r="F505" s="233" t="str">
        <f>РПЗ!Q505</f>
        <v>ОК</v>
      </c>
      <c r="G505" s="237"/>
      <c r="H505" s="237" t="str">
        <f>РПЗ!R505</f>
        <v>да</v>
      </c>
      <c r="I505" s="15">
        <f>РПЗ!W505</f>
        <v>0</v>
      </c>
      <c r="J505" s="233">
        <f>РПЗ!X505</f>
        <v>0</v>
      </c>
      <c r="K505" s="283">
        <f>РПЗ!Z505</f>
        <v>0</v>
      </c>
      <c r="L505" s="17"/>
      <c r="M505" s="18">
        <f>РПЗ!O505</f>
        <v>42736.5</v>
      </c>
      <c r="N505" s="238">
        <f>Таблица5[[#This Row],[10]]</f>
        <v>42736.5</v>
      </c>
      <c r="O505" s="17"/>
      <c r="P505" s="17"/>
      <c r="Q505" s="17"/>
      <c r="R505" s="17"/>
      <c r="S505" s="17"/>
      <c r="T505" s="686"/>
      <c r="U505" s="18">
        <f>РПЗ!P505</f>
        <v>43070.5</v>
      </c>
      <c r="V505" s="686"/>
      <c r="W505" s="236">
        <f>РПЗ!L505</f>
        <v>157419.4</v>
      </c>
      <c r="X505" s="689"/>
      <c r="Y505" s="689"/>
      <c r="Z505" s="690"/>
      <c r="AA505" s="691"/>
      <c r="AB505" s="111"/>
      <c r="AC505" s="17"/>
      <c r="AD505" s="690"/>
      <c r="AE505" s="686"/>
      <c r="AF505" s="474"/>
      <c r="AG505" s="692"/>
      <c r="AH505" s="236" t="str">
        <f>IF(Таблица5[[#This Row],[30]]=0,"НД",Таблица5[[#This Row],[20]]-Таблица5[[#This Row],[30]])</f>
        <v>НД</v>
      </c>
      <c r="AI505" s="511" t="str">
        <f>IF(((1-Таблица5[[#This Row],[30]]/Таблица5[[#This Row],[20]])=1),"НД",(1-Таблица5[[#This Row],[30]]/Таблица5[[#This Row],[20]]))</f>
        <v>НД</v>
      </c>
      <c r="AJ505" s="111"/>
      <c r="AK505" s="111"/>
      <c r="AL505" s="512"/>
      <c r="AM505" s="513"/>
      <c r="AN505" s="465"/>
      <c r="AO505" s="468" t="str">
        <f>РПЗ!AD505</f>
        <v>Нет</v>
      </c>
      <c r="AP505" s="472">
        <f>РПЗ!V505</f>
        <v>0</v>
      </c>
      <c r="AQ505" s="470">
        <f>IF(Таблица5[[#This Row],[11]]=0,,MONTH(Таблица5[[#This Row],[11]]))</f>
        <v>1</v>
      </c>
    </row>
    <row r="506" spans="1:43" ht="51.75" thickBot="1" x14ac:dyDescent="0.3">
      <c r="A506" s="233" t="str">
        <f t="shared" si="8"/>
        <v>1004-2017-00491</v>
      </c>
      <c r="B506" s="233" t="str">
        <f>РПЗ!$D506</f>
        <v>1004-2017-00491Поставка Автоматизированная лазерная установка ALFA-300AUTO в комплекте. Россия</v>
      </c>
      <c r="C506" s="233" t="str">
        <f>РПЗ!$AA506</f>
        <v>АО "НИИ "Полюс" им. М.Ф. Стельмаха" тел. отдела закупок 8-495-333-05-02</v>
      </c>
      <c r="D506" s="633" t="str">
        <f>РПЗ!$AB506</f>
        <v>Заказчик</v>
      </c>
      <c r="E506" s="96" t="s">
        <v>46</v>
      </c>
      <c r="F506" s="233" t="str">
        <f>РПЗ!Q506</f>
        <v>ОЗК</v>
      </c>
      <c r="G506" s="237"/>
      <c r="H506" s="237" t="str">
        <f>РПЗ!R506</f>
        <v>да</v>
      </c>
      <c r="I506" s="15">
        <f>РПЗ!W506</f>
        <v>0</v>
      </c>
      <c r="J506" s="233">
        <f>РПЗ!X506</f>
        <v>0</v>
      </c>
      <c r="K506" s="283">
        <f>РПЗ!Z506</f>
        <v>0</v>
      </c>
      <c r="L506" s="17"/>
      <c r="M506" s="18">
        <f>РПЗ!O506</f>
        <v>42736.5</v>
      </c>
      <c r="N506" s="238">
        <f>Таблица5[[#This Row],[10]]</f>
        <v>42736.5</v>
      </c>
      <c r="O506" s="17"/>
      <c r="P506" s="17"/>
      <c r="Q506" s="17"/>
      <c r="R506" s="17"/>
      <c r="S506" s="17"/>
      <c r="T506" s="686"/>
      <c r="U506" s="18">
        <f>РПЗ!P506</f>
        <v>43070.5</v>
      </c>
      <c r="V506" s="686"/>
      <c r="W506" s="236">
        <f>РПЗ!L506</f>
        <v>8262933.3300000001</v>
      </c>
      <c r="X506" s="689"/>
      <c r="Y506" s="689"/>
      <c r="Z506" s="690"/>
      <c r="AA506" s="691"/>
      <c r="AB506" s="111"/>
      <c r="AC506" s="17"/>
      <c r="AD506" s="690"/>
      <c r="AE506" s="686"/>
      <c r="AF506" s="474"/>
      <c r="AG506" s="692"/>
      <c r="AH506" s="236" t="str">
        <f>IF(Таблица5[[#This Row],[30]]=0,"НД",Таблица5[[#This Row],[20]]-Таблица5[[#This Row],[30]])</f>
        <v>НД</v>
      </c>
      <c r="AI506" s="511" t="str">
        <f>IF(((1-Таблица5[[#This Row],[30]]/Таблица5[[#This Row],[20]])=1),"НД",(1-Таблица5[[#This Row],[30]]/Таблица5[[#This Row],[20]]))</f>
        <v>НД</v>
      </c>
      <c r="AJ506" s="111"/>
      <c r="AK506" s="111"/>
      <c r="AL506" s="512"/>
      <c r="AM506" s="513"/>
      <c r="AN506" s="465"/>
      <c r="AO506" s="468" t="str">
        <f>РПЗ!AD506</f>
        <v>Нет</v>
      </c>
      <c r="AP506" s="472">
        <f>РПЗ!V506</f>
        <v>0</v>
      </c>
      <c r="AQ506" s="470">
        <f>IF(Таблица5[[#This Row],[11]]=0,,MONTH(Таблица5[[#This Row],[11]]))</f>
        <v>1</v>
      </c>
    </row>
    <row r="507" spans="1:43" ht="39" thickBot="1" x14ac:dyDescent="0.3">
      <c r="A507" s="233" t="str">
        <f t="shared" si="8"/>
        <v>1004-2017-00492</v>
      </c>
      <c r="B507" s="233" t="str">
        <f>РПЗ!$D507</f>
        <v>1004-2017-00492Поставка Блок – УОД-1 ПКБР.426439.005 в комплекте.</v>
      </c>
      <c r="C507" s="233" t="str">
        <f>РПЗ!$AA507</f>
        <v>АО "НИИ "Полюс" им. М.Ф. Стельмаха" тел. отдела закупок 8-495-333-05-02</v>
      </c>
      <c r="D507" s="633" t="str">
        <f>РПЗ!$AB507</f>
        <v>Заказчик</v>
      </c>
      <c r="E507" s="96" t="s">
        <v>46</v>
      </c>
      <c r="F507" s="233" t="str">
        <f>РПЗ!Q507</f>
        <v>ОЗК</v>
      </c>
      <c r="G507" s="237"/>
      <c r="H507" s="237" t="str">
        <f>РПЗ!R507</f>
        <v>да</v>
      </c>
      <c r="I507" s="15">
        <f>РПЗ!W507</f>
        <v>0</v>
      </c>
      <c r="J507" s="233">
        <f>РПЗ!X507</f>
        <v>0</v>
      </c>
      <c r="K507" s="283">
        <f>РПЗ!Z507</f>
        <v>0</v>
      </c>
      <c r="L507" s="17"/>
      <c r="M507" s="18">
        <f>РПЗ!O507</f>
        <v>42736.5</v>
      </c>
      <c r="N507" s="238">
        <f>Таблица5[[#This Row],[10]]</f>
        <v>42736.5</v>
      </c>
      <c r="O507" s="17"/>
      <c r="P507" s="17"/>
      <c r="Q507" s="17"/>
      <c r="R507" s="17"/>
      <c r="S507" s="17"/>
      <c r="T507" s="686"/>
      <c r="U507" s="18">
        <f>РПЗ!P507</f>
        <v>43070.5</v>
      </c>
      <c r="V507" s="686"/>
      <c r="W507" s="236">
        <f>РПЗ!L507</f>
        <v>26690662.5</v>
      </c>
      <c r="X507" s="689"/>
      <c r="Y507" s="689"/>
      <c r="Z507" s="690"/>
      <c r="AA507" s="691"/>
      <c r="AB507" s="111"/>
      <c r="AC507" s="17"/>
      <c r="AD507" s="690"/>
      <c r="AE507" s="686"/>
      <c r="AF507" s="474"/>
      <c r="AG507" s="692"/>
      <c r="AH507" s="236" t="str">
        <f>IF(Таблица5[[#This Row],[30]]=0,"НД",Таблица5[[#This Row],[20]]-Таблица5[[#This Row],[30]])</f>
        <v>НД</v>
      </c>
      <c r="AI507" s="511" t="str">
        <f>IF(((1-Таблица5[[#This Row],[30]]/Таблица5[[#This Row],[20]])=1),"НД",(1-Таблица5[[#This Row],[30]]/Таблица5[[#This Row],[20]]))</f>
        <v>НД</v>
      </c>
      <c r="AJ507" s="111"/>
      <c r="AK507" s="111"/>
      <c r="AL507" s="512"/>
      <c r="AM507" s="513"/>
      <c r="AN507" s="465"/>
      <c r="AO507" s="468" t="str">
        <f>РПЗ!AD507</f>
        <v>Нет</v>
      </c>
      <c r="AP507" s="472">
        <f>РПЗ!V507</f>
        <v>0</v>
      </c>
      <c r="AQ507" s="470">
        <f>IF(Таблица5[[#This Row],[11]]=0,,MONTH(Таблица5[[#This Row],[11]]))</f>
        <v>1</v>
      </c>
    </row>
    <row r="508" spans="1:43" ht="39" thickBot="1" x14ac:dyDescent="0.3">
      <c r="A508" s="233" t="str">
        <f t="shared" si="8"/>
        <v>1004-2017-00493</v>
      </c>
      <c r="B508" s="233" t="str">
        <f>РПЗ!$D508</f>
        <v>1004-2017-00493Поставка Верстак ВР-15Д в комплекте.</v>
      </c>
      <c r="C508" s="233" t="str">
        <f>РПЗ!$AA508</f>
        <v>АО "НИИ "Полюс" им. М.Ф. Стельмаха" тел. отдела закупок 8-495-333-05-02</v>
      </c>
      <c r="D508" s="633" t="str">
        <f>РПЗ!$AB508</f>
        <v>Заказчик</v>
      </c>
      <c r="E508" s="96" t="s">
        <v>46</v>
      </c>
      <c r="F508" s="233" t="str">
        <f>РПЗ!Q508</f>
        <v>ОЗК</v>
      </c>
      <c r="G508" s="237"/>
      <c r="H508" s="237" t="str">
        <f>РПЗ!R508</f>
        <v>да</v>
      </c>
      <c r="I508" s="15">
        <f>РПЗ!W508</f>
        <v>0</v>
      </c>
      <c r="J508" s="233">
        <f>РПЗ!X508</f>
        <v>0</v>
      </c>
      <c r="K508" s="283">
        <f>РПЗ!Z508</f>
        <v>0</v>
      </c>
      <c r="L508" s="17"/>
      <c r="M508" s="18">
        <f>РПЗ!O508</f>
        <v>42736.5</v>
      </c>
      <c r="N508" s="238">
        <f>Таблица5[[#This Row],[10]]</f>
        <v>42736.5</v>
      </c>
      <c r="O508" s="17"/>
      <c r="P508" s="17"/>
      <c r="Q508" s="17"/>
      <c r="R508" s="17"/>
      <c r="S508" s="17"/>
      <c r="T508" s="686"/>
      <c r="U508" s="18">
        <f>РПЗ!P508</f>
        <v>43070.5</v>
      </c>
      <c r="V508" s="686"/>
      <c r="W508" s="236">
        <f>РПЗ!L508</f>
        <v>198570</v>
      </c>
      <c r="X508" s="689"/>
      <c r="Y508" s="689"/>
      <c r="Z508" s="690"/>
      <c r="AA508" s="691"/>
      <c r="AB508" s="111"/>
      <c r="AC508" s="17"/>
      <c r="AD508" s="690"/>
      <c r="AE508" s="686"/>
      <c r="AF508" s="474"/>
      <c r="AG508" s="692"/>
      <c r="AH508" s="236" t="str">
        <f>IF(Таблица5[[#This Row],[30]]=0,"НД",Таблица5[[#This Row],[20]]-Таблица5[[#This Row],[30]])</f>
        <v>НД</v>
      </c>
      <c r="AI508" s="511" t="str">
        <f>IF(((1-Таблица5[[#This Row],[30]]/Таблица5[[#This Row],[20]])=1),"НД",(1-Таблица5[[#This Row],[30]]/Таблица5[[#This Row],[20]]))</f>
        <v>НД</v>
      </c>
      <c r="AJ508" s="111"/>
      <c r="AK508" s="111"/>
      <c r="AL508" s="512"/>
      <c r="AM508" s="513"/>
      <c r="AN508" s="465"/>
      <c r="AO508" s="468" t="str">
        <f>РПЗ!AD508</f>
        <v>Нет</v>
      </c>
      <c r="AP508" s="472">
        <f>РПЗ!V508</f>
        <v>0</v>
      </c>
      <c r="AQ508" s="470">
        <f>IF(Таблица5[[#This Row],[11]]=0,,MONTH(Таблица5[[#This Row],[11]]))</f>
        <v>1</v>
      </c>
    </row>
    <row r="509" spans="1:43" ht="39" thickBot="1" x14ac:dyDescent="0.3">
      <c r="A509" s="233" t="str">
        <f t="shared" si="8"/>
        <v>1004-2017-00494</v>
      </c>
      <c r="B509" s="233" t="str">
        <f>РПЗ!$D509</f>
        <v>1004-2017-00494Поставка Водородная печь двухколпаковая тип АПВД2.250х380х1350</v>
      </c>
      <c r="C509" s="233" t="str">
        <f>РПЗ!$AA509</f>
        <v>АО "НИИ "Полюс" им. М.Ф. Стельмаха" тел. отдела закупок 8-495-333-05-02</v>
      </c>
      <c r="D509" s="633" t="str">
        <f>РПЗ!$AB509</f>
        <v>Заказчик</v>
      </c>
      <c r="E509" s="96" t="s">
        <v>46</v>
      </c>
      <c r="F509" s="233" t="str">
        <f>РПЗ!Q509</f>
        <v>ОЗК</v>
      </c>
      <c r="G509" s="237"/>
      <c r="H509" s="237" t="str">
        <f>РПЗ!R509</f>
        <v>да</v>
      </c>
      <c r="I509" s="15">
        <f>РПЗ!W509</f>
        <v>0</v>
      </c>
      <c r="J509" s="233">
        <f>РПЗ!X509</f>
        <v>0</v>
      </c>
      <c r="K509" s="283">
        <f>РПЗ!Z509</f>
        <v>0</v>
      </c>
      <c r="L509" s="17"/>
      <c r="M509" s="18">
        <f>РПЗ!O509</f>
        <v>42736.5</v>
      </c>
      <c r="N509" s="238">
        <f>Таблица5[[#This Row],[10]]</f>
        <v>42736.5</v>
      </c>
      <c r="O509" s="17"/>
      <c r="P509" s="17"/>
      <c r="Q509" s="17"/>
      <c r="R509" s="17"/>
      <c r="S509" s="17"/>
      <c r="T509" s="686"/>
      <c r="U509" s="18">
        <f>РПЗ!P509</f>
        <v>43070.5</v>
      </c>
      <c r="V509" s="686"/>
      <c r="W509" s="236">
        <f>РПЗ!L509</f>
        <v>9192650</v>
      </c>
      <c r="X509" s="689"/>
      <c r="Y509" s="689"/>
      <c r="Z509" s="690"/>
      <c r="AA509" s="691"/>
      <c r="AB509" s="111"/>
      <c r="AC509" s="17"/>
      <c r="AD509" s="690"/>
      <c r="AE509" s="686"/>
      <c r="AF509" s="474"/>
      <c r="AG509" s="692"/>
      <c r="AH509" s="236" t="str">
        <f>IF(Таблица5[[#This Row],[30]]=0,"НД",Таблица5[[#This Row],[20]]-Таблица5[[#This Row],[30]])</f>
        <v>НД</v>
      </c>
      <c r="AI509" s="511" t="str">
        <f>IF(((1-Таблица5[[#This Row],[30]]/Таблица5[[#This Row],[20]])=1),"НД",(1-Таблица5[[#This Row],[30]]/Таблица5[[#This Row],[20]]))</f>
        <v>НД</v>
      </c>
      <c r="AJ509" s="111"/>
      <c r="AK509" s="111"/>
      <c r="AL509" s="512"/>
      <c r="AM509" s="513"/>
      <c r="AN509" s="465"/>
      <c r="AO509" s="468" t="str">
        <f>РПЗ!AD509</f>
        <v>Нет</v>
      </c>
      <c r="AP509" s="472">
        <f>РПЗ!V509</f>
        <v>0</v>
      </c>
      <c r="AQ509" s="470">
        <f>IF(Таблица5[[#This Row],[11]]=0,,MONTH(Таблица5[[#This Row],[11]]))</f>
        <v>1</v>
      </c>
    </row>
    <row r="510" spans="1:43" ht="39" thickBot="1" x14ac:dyDescent="0.3">
      <c r="A510" s="233" t="str">
        <f t="shared" si="8"/>
        <v>1004-2017-00495</v>
      </c>
      <c r="B510" s="233" t="str">
        <f>РПЗ!$D510</f>
        <v>1004-2017-00495Поставка Делитель напряжения 1:1000 ПКБР.441461.050</v>
      </c>
      <c r="C510" s="233" t="str">
        <f>РПЗ!$AA510</f>
        <v>АО "НИИ "Полюс" им. М.Ф. Стельмаха" тел. отдела закупок 8-495-333-05-02</v>
      </c>
      <c r="D510" s="633" t="str">
        <f>РПЗ!$AB510</f>
        <v>Заказчик</v>
      </c>
      <c r="E510" s="96" t="s">
        <v>46</v>
      </c>
      <c r="F510" s="233" t="str">
        <f>РПЗ!Q510</f>
        <v>ОЗК</v>
      </c>
      <c r="G510" s="237"/>
      <c r="H510" s="237" t="str">
        <f>РПЗ!R510</f>
        <v>да</v>
      </c>
      <c r="I510" s="15">
        <f>РПЗ!W510</f>
        <v>0</v>
      </c>
      <c r="J510" s="233">
        <f>РПЗ!X510</f>
        <v>0</v>
      </c>
      <c r="K510" s="283">
        <f>РПЗ!Z510</f>
        <v>0</v>
      </c>
      <c r="L510" s="17"/>
      <c r="M510" s="18">
        <f>РПЗ!O510</f>
        <v>42736.5</v>
      </c>
      <c r="N510" s="238">
        <f>Таблица5[[#This Row],[10]]</f>
        <v>42736.5</v>
      </c>
      <c r="O510" s="17"/>
      <c r="P510" s="17"/>
      <c r="Q510" s="17"/>
      <c r="R510" s="17"/>
      <c r="S510" s="17"/>
      <c r="T510" s="686"/>
      <c r="U510" s="18">
        <f>РПЗ!P510</f>
        <v>43070.5</v>
      </c>
      <c r="V510" s="686"/>
      <c r="W510" s="236">
        <f>РПЗ!L510</f>
        <v>504000</v>
      </c>
      <c r="X510" s="689"/>
      <c r="Y510" s="689"/>
      <c r="Z510" s="690"/>
      <c r="AA510" s="691"/>
      <c r="AB510" s="111"/>
      <c r="AC510" s="17"/>
      <c r="AD510" s="690"/>
      <c r="AE510" s="686"/>
      <c r="AF510" s="474"/>
      <c r="AG510" s="692"/>
      <c r="AH510" s="236" t="str">
        <f>IF(Таблица5[[#This Row],[30]]=0,"НД",Таблица5[[#This Row],[20]]-Таблица5[[#This Row],[30]])</f>
        <v>НД</v>
      </c>
      <c r="AI510" s="511" t="str">
        <f>IF(((1-Таблица5[[#This Row],[30]]/Таблица5[[#This Row],[20]])=1),"НД",(1-Таблица5[[#This Row],[30]]/Таблица5[[#This Row],[20]]))</f>
        <v>НД</v>
      </c>
      <c r="AJ510" s="111"/>
      <c r="AK510" s="111"/>
      <c r="AL510" s="512"/>
      <c r="AM510" s="513"/>
      <c r="AN510" s="465"/>
      <c r="AO510" s="468" t="str">
        <f>РПЗ!AD510</f>
        <v>Нет</v>
      </c>
      <c r="AP510" s="472">
        <f>РПЗ!V510</f>
        <v>0</v>
      </c>
      <c r="AQ510" s="470">
        <f>IF(Таблица5[[#This Row],[11]]=0,,MONTH(Таблица5[[#This Row],[11]]))</f>
        <v>1</v>
      </c>
    </row>
    <row r="511" spans="1:43" ht="39" thickBot="1" x14ac:dyDescent="0.3">
      <c r="A511" s="233" t="str">
        <f t="shared" si="8"/>
        <v>1004-2017-00496</v>
      </c>
      <c r="B511" s="233" t="str">
        <f>РПЗ!$D511</f>
        <v>1004-2017-00496Поставка Измеритель разности фаз Ф2-34</v>
      </c>
      <c r="C511" s="233" t="str">
        <f>РПЗ!$AA511</f>
        <v>АО "НИИ "Полюс" им. М.Ф. Стельмаха" тел. отдела закупок 8-495-333-05-02</v>
      </c>
      <c r="D511" s="633" t="str">
        <f>РПЗ!$AB511</f>
        <v>Заказчик</v>
      </c>
      <c r="E511" s="96" t="s">
        <v>46</v>
      </c>
      <c r="F511" s="233" t="str">
        <f>РПЗ!Q511</f>
        <v>ОК</v>
      </c>
      <c r="G511" s="237"/>
      <c r="H511" s="237" t="str">
        <f>РПЗ!R511</f>
        <v>да</v>
      </c>
      <c r="I511" s="15">
        <f>РПЗ!W511</f>
        <v>0</v>
      </c>
      <c r="J511" s="233">
        <f>РПЗ!X511</f>
        <v>0</v>
      </c>
      <c r="K511" s="283">
        <f>РПЗ!Z511</f>
        <v>0</v>
      </c>
      <c r="L511" s="17"/>
      <c r="M511" s="18">
        <f>РПЗ!O511</f>
        <v>42736.5</v>
      </c>
      <c r="N511" s="238">
        <f>Таблица5[[#This Row],[10]]</f>
        <v>42736.5</v>
      </c>
      <c r="O511" s="17"/>
      <c r="P511" s="17"/>
      <c r="Q511" s="17"/>
      <c r="R511" s="17"/>
      <c r="S511" s="17"/>
      <c r="T511" s="686"/>
      <c r="U511" s="18">
        <f>РПЗ!P511</f>
        <v>43070.5</v>
      </c>
      <c r="V511" s="686"/>
      <c r="W511" s="236">
        <f>РПЗ!L511</f>
        <v>2216951.33</v>
      </c>
      <c r="X511" s="689"/>
      <c r="Y511" s="689"/>
      <c r="Z511" s="690"/>
      <c r="AA511" s="691"/>
      <c r="AB511" s="111"/>
      <c r="AC511" s="17"/>
      <c r="AD511" s="690"/>
      <c r="AE511" s="686"/>
      <c r="AF511" s="474"/>
      <c r="AG511" s="692"/>
      <c r="AH511" s="236" t="str">
        <f>IF(Таблица5[[#This Row],[30]]=0,"НД",Таблица5[[#This Row],[20]]-Таблица5[[#This Row],[30]])</f>
        <v>НД</v>
      </c>
      <c r="AI511" s="511" t="str">
        <f>IF(((1-Таблица5[[#This Row],[30]]/Таблица5[[#This Row],[20]])=1),"НД",(1-Таблица5[[#This Row],[30]]/Таблица5[[#This Row],[20]]))</f>
        <v>НД</v>
      </c>
      <c r="AJ511" s="111"/>
      <c r="AK511" s="111"/>
      <c r="AL511" s="512"/>
      <c r="AM511" s="513"/>
      <c r="AN511" s="465"/>
      <c r="AO511" s="468" t="str">
        <f>РПЗ!AD511</f>
        <v>Нет</v>
      </c>
      <c r="AP511" s="472">
        <f>РПЗ!V511</f>
        <v>0</v>
      </c>
      <c r="AQ511" s="470">
        <f>IF(Таблица5[[#This Row],[11]]=0,,MONTH(Таблица5[[#This Row],[11]]))</f>
        <v>1</v>
      </c>
    </row>
    <row r="512" spans="1:43" ht="77.25" thickBot="1" x14ac:dyDescent="0.3">
      <c r="A512" s="233" t="str">
        <f t="shared" si="8"/>
        <v>1004-2017-00497</v>
      </c>
      <c r="B512" s="233" t="str">
        <f>РПЗ!$D512</f>
        <v>1004-2017-00497Комплекс оборудования для чистых и особо чистых помещений лечебно-профилактических учреждений КОЧ "Ламинар-С" 1200х1200х2100 мм класса 5ИСО</v>
      </c>
      <c r="C512" s="233" t="str">
        <f>РПЗ!$AA512</f>
        <v>АО "НИИ "Полюс" им. М.Ф. Стельмаха" тел. отдела закупок 8-495-333-05-02</v>
      </c>
      <c r="D512" s="633" t="str">
        <f>РПЗ!$AB512</f>
        <v>Заказчик</v>
      </c>
      <c r="E512" s="96" t="s">
        <v>46</v>
      </c>
      <c r="F512" s="233" t="str">
        <f>РПЗ!Q512</f>
        <v>ОК</v>
      </c>
      <c r="G512" s="237"/>
      <c r="H512" s="237" t="str">
        <f>РПЗ!R512</f>
        <v>да</v>
      </c>
      <c r="I512" s="15">
        <f>РПЗ!W512</f>
        <v>0</v>
      </c>
      <c r="J512" s="233">
        <f>РПЗ!X512</f>
        <v>0</v>
      </c>
      <c r="K512" s="283">
        <f>РПЗ!Z512</f>
        <v>0</v>
      </c>
      <c r="L512" s="17"/>
      <c r="M512" s="18">
        <f>РПЗ!O512</f>
        <v>42736.5</v>
      </c>
      <c r="N512" s="238">
        <f>Таблица5[[#This Row],[10]]</f>
        <v>42736.5</v>
      </c>
      <c r="O512" s="17"/>
      <c r="P512" s="17"/>
      <c r="Q512" s="17"/>
      <c r="R512" s="17"/>
      <c r="S512" s="17"/>
      <c r="T512" s="686"/>
      <c r="U512" s="18">
        <f>РПЗ!P512</f>
        <v>43070.5</v>
      </c>
      <c r="V512" s="686"/>
      <c r="W512" s="236">
        <f>РПЗ!L512</f>
        <v>533300</v>
      </c>
      <c r="X512" s="689"/>
      <c r="Y512" s="689"/>
      <c r="Z512" s="690"/>
      <c r="AA512" s="691"/>
      <c r="AB512" s="111"/>
      <c r="AC512" s="17"/>
      <c r="AD512" s="690"/>
      <c r="AE512" s="686"/>
      <c r="AF512" s="474"/>
      <c r="AG512" s="692"/>
      <c r="AH512" s="236" t="str">
        <f>IF(Таблица5[[#This Row],[30]]=0,"НД",Таблица5[[#This Row],[20]]-Таблица5[[#This Row],[30]])</f>
        <v>НД</v>
      </c>
      <c r="AI512" s="511" t="str">
        <f>IF(((1-Таблица5[[#This Row],[30]]/Таблица5[[#This Row],[20]])=1),"НД",(1-Таблица5[[#This Row],[30]]/Таблица5[[#This Row],[20]]))</f>
        <v>НД</v>
      </c>
      <c r="AJ512" s="111"/>
      <c r="AK512" s="111"/>
      <c r="AL512" s="512"/>
      <c r="AM512" s="513"/>
      <c r="AN512" s="465"/>
      <c r="AO512" s="468" t="str">
        <f>РПЗ!AD512</f>
        <v>Нет</v>
      </c>
      <c r="AP512" s="472">
        <f>РПЗ!V512</f>
        <v>0</v>
      </c>
      <c r="AQ512" s="470">
        <f>IF(Таблица5[[#This Row],[11]]=0,,MONTH(Таблица5[[#This Row],[11]]))</f>
        <v>1</v>
      </c>
    </row>
    <row r="513" spans="1:43" ht="77.25" thickBot="1" x14ac:dyDescent="0.3">
      <c r="A513" s="233" t="str">
        <f t="shared" si="8"/>
        <v>1004-2017-00498</v>
      </c>
      <c r="B513" s="233" t="str">
        <f>РПЗ!$D513</f>
        <v>1004-2017-00498Поставка Комплекс оборудования для чистых и особо чистых помещений лечебно-профилактических учреждений КОЧ "Ламинар-С" 2000х1200х2100 мм класса 7ИСО</v>
      </c>
      <c r="C513" s="233" t="str">
        <f>РПЗ!$AA513</f>
        <v>АО "НИИ "Полюс" им. М.Ф. Стельмаха" тел. отдела закупок 8-495-333-05-02</v>
      </c>
      <c r="D513" s="633" t="str">
        <f>РПЗ!$AB513</f>
        <v>Заказчик</v>
      </c>
      <c r="E513" s="96" t="s">
        <v>46</v>
      </c>
      <c r="F513" s="233" t="str">
        <f>РПЗ!Q513</f>
        <v>ОЗК</v>
      </c>
      <c r="G513" s="237"/>
      <c r="H513" s="237" t="str">
        <f>РПЗ!R513</f>
        <v>да</v>
      </c>
      <c r="I513" s="15">
        <f>РПЗ!W513</f>
        <v>0</v>
      </c>
      <c r="J513" s="233">
        <f>РПЗ!X513</f>
        <v>0</v>
      </c>
      <c r="K513" s="283">
        <f>РПЗ!Z513</f>
        <v>0</v>
      </c>
      <c r="L513" s="17"/>
      <c r="M513" s="18">
        <f>РПЗ!O513</f>
        <v>42736.5</v>
      </c>
      <c r="N513" s="238">
        <f>Таблица5[[#This Row],[10]]</f>
        <v>42736.5</v>
      </c>
      <c r="O513" s="17"/>
      <c r="P513" s="17"/>
      <c r="Q513" s="17"/>
      <c r="R513" s="17"/>
      <c r="S513" s="17"/>
      <c r="T513" s="686"/>
      <c r="U513" s="18">
        <f>РПЗ!P513</f>
        <v>43070.5</v>
      </c>
      <c r="V513" s="686"/>
      <c r="W513" s="236">
        <f>РПЗ!L513</f>
        <v>514200</v>
      </c>
      <c r="X513" s="689"/>
      <c r="Y513" s="689"/>
      <c r="Z513" s="690"/>
      <c r="AA513" s="691"/>
      <c r="AB513" s="111"/>
      <c r="AC513" s="17"/>
      <c r="AD513" s="690"/>
      <c r="AE513" s="686"/>
      <c r="AF513" s="474"/>
      <c r="AG513" s="692"/>
      <c r="AH513" s="236" t="str">
        <f>IF(Таблица5[[#This Row],[30]]=0,"НД",Таблица5[[#This Row],[20]]-Таблица5[[#This Row],[30]])</f>
        <v>НД</v>
      </c>
      <c r="AI513" s="511" t="str">
        <f>IF(((1-Таблица5[[#This Row],[30]]/Таблица5[[#This Row],[20]])=1),"НД",(1-Таблица5[[#This Row],[30]]/Таблица5[[#This Row],[20]]))</f>
        <v>НД</v>
      </c>
      <c r="AJ513" s="111"/>
      <c r="AK513" s="111"/>
      <c r="AL513" s="512"/>
      <c r="AM513" s="513"/>
      <c r="AN513" s="465"/>
      <c r="AO513" s="468" t="str">
        <f>РПЗ!AD513</f>
        <v>Нет</v>
      </c>
      <c r="AP513" s="472">
        <f>РПЗ!V513</f>
        <v>0</v>
      </c>
      <c r="AQ513" s="470">
        <f>IF(Таблица5[[#This Row],[11]]=0,,MONTH(Таблица5[[#This Row],[11]]))</f>
        <v>1</v>
      </c>
    </row>
    <row r="514" spans="1:43" ht="77.25" thickBot="1" x14ac:dyDescent="0.3">
      <c r="A514" s="233" t="str">
        <f t="shared" si="8"/>
        <v>1004-2017-00499</v>
      </c>
      <c r="B514" s="233" t="str">
        <f>РПЗ!$D514</f>
        <v>1004-2017-00499Поставка Комплекс оборудования для чистых и особо чистых помещений лечебно-профилактических учреждений КОЧ "Ламинар-С" 3000х1500х2100 мм класса 5ИСО</v>
      </c>
      <c r="C514" s="233" t="str">
        <f>РПЗ!$AA514</f>
        <v>АО "НИИ "Полюс" им. М.Ф. Стельмаха" тел. отдела закупок 8-495-333-05-02</v>
      </c>
      <c r="D514" s="633" t="str">
        <f>РПЗ!$AB514</f>
        <v>Заказчик</v>
      </c>
      <c r="E514" s="96" t="s">
        <v>46</v>
      </c>
      <c r="F514" s="233" t="str">
        <f>РПЗ!Q514</f>
        <v>ОК</v>
      </c>
      <c r="G514" s="237"/>
      <c r="H514" s="237" t="str">
        <f>РПЗ!R514</f>
        <v>да</v>
      </c>
      <c r="I514" s="15">
        <f>РПЗ!W514</f>
        <v>0</v>
      </c>
      <c r="J514" s="233">
        <f>РПЗ!X514</f>
        <v>0</v>
      </c>
      <c r="K514" s="283">
        <f>РПЗ!Z514</f>
        <v>0</v>
      </c>
      <c r="L514" s="17"/>
      <c r="M514" s="18">
        <f>РПЗ!O514</f>
        <v>42736.5</v>
      </c>
      <c r="N514" s="238">
        <f>Таблица5[[#This Row],[10]]</f>
        <v>42736.5</v>
      </c>
      <c r="O514" s="17"/>
      <c r="P514" s="17"/>
      <c r="Q514" s="17"/>
      <c r="R514" s="17"/>
      <c r="S514" s="17"/>
      <c r="T514" s="686"/>
      <c r="U514" s="18">
        <f>РПЗ!P514</f>
        <v>43070.5</v>
      </c>
      <c r="V514" s="686"/>
      <c r="W514" s="236">
        <f>РПЗ!L514</f>
        <v>1231400</v>
      </c>
      <c r="X514" s="689"/>
      <c r="Y514" s="689"/>
      <c r="Z514" s="690"/>
      <c r="AA514" s="691"/>
      <c r="AB514" s="111"/>
      <c r="AC514" s="17"/>
      <c r="AD514" s="690"/>
      <c r="AE514" s="686"/>
      <c r="AF514" s="474"/>
      <c r="AG514" s="692"/>
      <c r="AH514" s="236" t="str">
        <f>IF(Таблица5[[#This Row],[30]]=0,"НД",Таблица5[[#This Row],[20]]-Таблица5[[#This Row],[30]])</f>
        <v>НД</v>
      </c>
      <c r="AI514" s="511" t="str">
        <f>IF(((1-Таблица5[[#This Row],[30]]/Таблица5[[#This Row],[20]])=1),"НД",(1-Таблица5[[#This Row],[30]]/Таблица5[[#This Row],[20]]))</f>
        <v>НД</v>
      </c>
      <c r="AJ514" s="111"/>
      <c r="AK514" s="111"/>
      <c r="AL514" s="512"/>
      <c r="AM514" s="513"/>
      <c r="AN514" s="465"/>
      <c r="AO514" s="468" t="str">
        <f>РПЗ!AD514</f>
        <v>Нет</v>
      </c>
      <c r="AP514" s="472">
        <f>РПЗ!V514</f>
        <v>0</v>
      </c>
      <c r="AQ514" s="470">
        <f>IF(Таблица5[[#This Row],[11]]=0,,MONTH(Таблица5[[#This Row],[11]]))</f>
        <v>1</v>
      </c>
    </row>
    <row r="515" spans="1:43" ht="77.25" thickBot="1" x14ac:dyDescent="0.3">
      <c r="A515" s="233" t="str">
        <f t="shared" si="8"/>
        <v>1004-2017-00500</v>
      </c>
      <c r="B515" s="233" t="str">
        <f>РПЗ!$D515</f>
        <v xml:space="preserve">1004-2017-00500Поставка Комплекс оборудования для чистых и особо чистых помещений лечебно-профилактических учреждений КОЧ "Ламинар-С" 3000х1500х2100 мм класса 7ИСО        </v>
      </c>
      <c r="C515" s="233" t="str">
        <f>РПЗ!$AA515</f>
        <v>АО "НИИ "Полюс" им. М.Ф. Стельмаха" тел. отдела закупок 8-495-333-05-02</v>
      </c>
      <c r="D515" s="633" t="str">
        <f>РПЗ!$AB515</f>
        <v>Заказчик</v>
      </c>
      <c r="E515" s="96" t="s">
        <v>46</v>
      </c>
      <c r="F515" s="233" t="str">
        <f>РПЗ!Q515</f>
        <v>ОЗК</v>
      </c>
      <c r="G515" s="237"/>
      <c r="H515" s="237" t="str">
        <f>РПЗ!R515</f>
        <v>да</v>
      </c>
      <c r="I515" s="15">
        <f>РПЗ!W515</f>
        <v>0</v>
      </c>
      <c r="J515" s="233">
        <f>РПЗ!X515</f>
        <v>0</v>
      </c>
      <c r="K515" s="283">
        <f>РПЗ!Z515</f>
        <v>0</v>
      </c>
      <c r="L515" s="17"/>
      <c r="M515" s="18">
        <f>РПЗ!O515</f>
        <v>42736.5</v>
      </c>
      <c r="N515" s="238">
        <f>Таблица5[[#This Row],[10]]</f>
        <v>42736.5</v>
      </c>
      <c r="O515" s="17"/>
      <c r="P515" s="17"/>
      <c r="Q515" s="17"/>
      <c r="R515" s="17"/>
      <c r="S515" s="17"/>
      <c r="T515" s="686"/>
      <c r="U515" s="18">
        <f>РПЗ!P515</f>
        <v>43070.5</v>
      </c>
      <c r="V515" s="686"/>
      <c r="W515" s="236">
        <f>РПЗ!L515</f>
        <v>740050</v>
      </c>
      <c r="X515" s="689"/>
      <c r="Y515" s="689"/>
      <c r="Z515" s="690"/>
      <c r="AA515" s="691"/>
      <c r="AB515" s="111"/>
      <c r="AC515" s="17"/>
      <c r="AD515" s="690"/>
      <c r="AE515" s="686"/>
      <c r="AF515" s="474"/>
      <c r="AG515" s="692"/>
      <c r="AH515" s="236" t="str">
        <f>IF(Таблица5[[#This Row],[30]]=0,"НД",Таблица5[[#This Row],[20]]-Таблица5[[#This Row],[30]])</f>
        <v>НД</v>
      </c>
      <c r="AI515" s="511" t="str">
        <f>IF(((1-Таблица5[[#This Row],[30]]/Таблица5[[#This Row],[20]])=1),"НД",(1-Таблица5[[#This Row],[30]]/Таблица5[[#This Row],[20]]))</f>
        <v>НД</v>
      </c>
      <c r="AJ515" s="111"/>
      <c r="AK515" s="111"/>
      <c r="AL515" s="512"/>
      <c r="AM515" s="513"/>
      <c r="AN515" s="465"/>
      <c r="AO515" s="468" t="str">
        <f>РПЗ!AD515</f>
        <v>Нет</v>
      </c>
      <c r="AP515" s="472">
        <f>РПЗ!V515</f>
        <v>0</v>
      </c>
      <c r="AQ515" s="470">
        <f>IF(Таблица5[[#This Row],[11]]=0,,MONTH(Таблица5[[#This Row],[11]]))</f>
        <v>1</v>
      </c>
    </row>
    <row r="516" spans="1:43" ht="77.25" thickBot="1" x14ac:dyDescent="0.3">
      <c r="A516" s="233" t="str">
        <f t="shared" si="8"/>
        <v>1004-2017-00501</v>
      </c>
      <c r="B516" s="233" t="str">
        <f>РПЗ!$D516</f>
        <v>1004-2017-00501 Поставка Комплекс оборудования для чистых и особо чистых помещений лечебно-профилактических учреждений КОЧ "Ламинар-С" 3000х2000х2100 мм класса 7ИСО</v>
      </c>
      <c r="C516" s="233" t="str">
        <f>РПЗ!$AA516</f>
        <v>АО "НИИ "Полюс" им. М.Ф. Стельмаха" тел. отдела закупок 8-495-333-05-02</v>
      </c>
      <c r="D516" s="633" t="str">
        <f>РПЗ!$AB516</f>
        <v>Заказчик</v>
      </c>
      <c r="E516" s="96" t="s">
        <v>46</v>
      </c>
      <c r="F516" s="233" t="str">
        <f>РПЗ!Q516</f>
        <v>ОЗК</v>
      </c>
      <c r="G516" s="237"/>
      <c r="H516" s="237" t="str">
        <f>РПЗ!R516</f>
        <v>да</v>
      </c>
      <c r="I516" s="15">
        <f>РПЗ!W516</f>
        <v>0</v>
      </c>
      <c r="J516" s="233">
        <f>РПЗ!X516</f>
        <v>0</v>
      </c>
      <c r="K516" s="283">
        <f>РПЗ!Z516</f>
        <v>0</v>
      </c>
      <c r="L516" s="17"/>
      <c r="M516" s="18">
        <f>РПЗ!O516</f>
        <v>42736.5</v>
      </c>
      <c r="N516" s="238">
        <f>Таблица5[[#This Row],[10]]</f>
        <v>42736.5</v>
      </c>
      <c r="O516" s="17"/>
      <c r="P516" s="17"/>
      <c r="Q516" s="17"/>
      <c r="R516" s="17"/>
      <c r="S516" s="17"/>
      <c r="T516" s="686"/>
      <c r="U516" s="18">
        <f>РПЗ!P516</f>
        <v>43070.5</v>
      </c>
      <c r="V516" s="686"/>
      <c r="W516" s="236">
        <f>РПЗ!L516</f>
        <v>868800</v>
      </c>
      <c r="X516" s="689"/>
      <c r="Y516" s="689"/>
      <c r="Z516" s="690"/>
      <c r="AA516" s="691"/>
      <c r="AB516" s="111"/>
      <c r="AC516" s="17"/>
      <c r="AD516" s="690"/>
      <c r="AE516" s="686"/>
      <c r="AF516" s="474"/>
      <c r="AG516" s="692"/>
      <c r="AH516" s="236" t="str">
        <f>IF(Таблица5[[#This Row],[30]]=0,"НД",Таблица5[[#This Row],[20]]-Таблица5[[#This Row],[30]])</f>
        <v>НД</v>
      </c>
      <c r="AI516" s="511" t="str">
        <f>IF(((1-Таблица5[[#This Row],[30]]/Таблица5[[#This Row],[20]])=1),"НД",(1-Таблица5[[#This Row],[30]]/Таблица5[[#This Row],[20]]))</f>
        <v>НД</v>
      </c>
      <c r="AJ516" s="111"/>
      <c r="AK516" s="111"/>
      <c r="AL516" s="512"/>
      <c r="AM516" s="513"/>
      <c r="AN516" s="465"/>
      <c r="AO516" s="468" t="str">
        <f>РПЗ!AD516</f>
        <v>Нет</v>
      </c>
      <c r="AP516" s="472">
        <f>РПЗ!V516</f>
        <v>0</v>
      </c>
      <c r="AQ516" s="470">
        <f>IF(Таблица5[[#This Row],[11]]=0,,MONTH(Таблица5[[#This Row],[11]]))</f>
        <v>1</v>
      </c>
    </row>
    <row r="517" spans="1:43" ht="77.25" thickBot="1" x14ac:dyDescent="0.3">
      <c r="A517" s="233" t="str">
        <f t="shared" si="8"/>
        <v>1004-2017-00502</v>
      </c>
      <c r="B517" s="233" t="str">
        <f>РПЗ!$D517</f>
        <v xml:space="preserve">1004-2017-00502Поставка Комплекс оборудования для чистых и особо чистых помещений лечебно-профилактических учреждений КОЧ "Ламинар-С" 5500х2500х2100 мм класса 7ИСО                                  </v>
      </c>
      <c r="C517" s="233" t="str">
        <f>РПЗ!$AA517</f>
        <v>АО "НИИ "Полюс" им. М.Ф. Стельмаха" тел. отдела закупок 8-495-333-05-02</v>
      </c>
      <c r="D517" s="633" t="str">
        <f>РПЗ!$AB517</f>
        <v>Заказчик</v>
      </c>
      <c r="E517" s="96" t="s">
        <v>46</v>
      </c>
      <c r="F517" s="233" t="str">
        <f>РПЗ!Q517</f>
        <v>ОЗК</v>
      </c>
      <c r="G517" s="237"/>
      <c r="H517" s="237" t="str">
        <f>РПЗ!R517</f>
        <v>да</v>
      </c>
      <c r="I517" s="15">
        <f>РПЗ!W517</f>
        <v>0</v>
      </c>
      <c r="J517" s="233">
        <f>РПЗ!X517</f>
        <v>0</v>
      </c>
      <c r="K517" s="283">
        <f>РПЗ!Z517</f>
        <v>0</v>
      </c>
      <c r="L517" s="17"/>
      <c r="M517" s="18">
        <f>РПЗ!O517</f>
        <v>42736.5</v>
      </c>
      <c r="N517" s="238">
        <f>Таблица5[[#This Row],[10]]</f>
        <v>42736.5</v>
      </c>
      <c r="O517" s="17"/>
      <c r="P517" s="17"/>
      <c r="Q517" s="17"/>
      <c r="R517" s="17"/>
      <c r="S517" s="17"/>
      <c r="T517" s="686"/>
      <c r="U517" s="18">
        <f>РПЗ!P517</f>
        <v>43070.5</v>
      </c>
      <c r="V517" s="686"/>
      <c r="W517" s="236">
        <f>РПЗ!L517</f>
        <v>1459600</v>
      </c>
      <c r="X517" s="689"/>
      <c r="Y517" s="689"/>
      <c r="Z517" s="690"/>
      <c r="AA517" s="691"/>
      <c r="AB517" s="111"/>
      <c r="AC517" s="17"/>
      <c r="AD517" s="690"/>
      <c r="AE517" s="686"/>
      <c r="AF517" s="474"/>
      <c r="AG517" s="692"/>
      <c r="AH517" s="236" t="str">
        <f>IF(Таблица5[[#This Row],[30]]=0,"НД",Таблица5[[#This Row],[20]]-Таблица5[[#This Row],[30]])</f>
        <v>НД</v>
      </c>
      <c r="AI517" s="511" t="str">
        <f>IF(((1-Таблица5[[#This Row],[30]]/Таблица5[[#This Row],[20]])=1),"НД",(1-Таблица5[[#This Row],[30]]/Таблица5[[#This Row],[20]]))</f>
        <v>НД</v>
      </c>
      <c r="AJ517" s="111"/>
      <c r="AK517" s="111"/>
      <c r="AL517" s="512"/>
      <c r="AM517" s="513"/>
      <c r="AN517" s="465"/>
      <c r="AO517" s="468" t="str">
        <f>РПЗ!AD517</f>
        <v>Нет</v>
      </c>
      <c r="AP517" s="472">
        <f>РПЗ!V517</f>
        <v>0</v>
      </c>
      <c r="AQ517" s="470">
        <f>IF(Таблица5[[#This Row],[11]]=0,,MONTH(Таблица5[[#This Row],[11]]))</f>
        <v>1</v>
      </c>
    </row>
    <row r="518" spans="1:43" ht="77.25" thickBot="1" x14ac:dyDescent="0.3">
      <c r="A518" s="233" t="str">
        <f t="shared" si="8"/>
        <v>1004-2017-00503</v>
      </c>
      <c r="B518" s="233" t="str">
        <f>РПЗ!$D518</f>
        <v xml:space="preserve">1004-2017-00503Поставка Комплекс оборудования для чистых и особо чистых помещений лечебно-профилактических учреждений КОЧ "Ламинар-С" 6000 х 2800 х 2100 мм класса 7ИСО           </v>
      </c>
      <c r="C518" s="233" t="str">
        <f>РПЗ!$AA518</f>
        <v>АО "НИИ "Полюс" им. М.Ф. Стельмаха" тел. отдела закупок 8-495-333-05-02</v>
      </c>
      <c r="D518" s="633" t="str">
        <f>РПЗ!$AB518</f>
        <v>Заказчик</v>
      </c>
      <c r="E518" s="96" t="s">
        <v>46</v>
      </c>
      <c r="F518" s="233" t="str">
        <f>РПЗ!Q518</f>
        <v>ОЗК</v>
      </c>
      <c r="G518" s="237"/>
      <c r="H518" s="237" t="str">
        <f>РПЗ!R518</f>
        <v>да</v>
      </c>
      <c r="I518" s="15">
        <f>РПЗ!W518</f>
        <v>0</v>
      </c>
      <c r="J518" s="233">
        <f>РПЗ!X518</f>
        <v>0</v>
      </c>
      <c r="K518" s="283">
        <f>РПЗ!Z518</f>
        <v>0</v>
      </c>
      <c r="L518" s="17"/>
      <c r="M518" s="18">
        <f>РПЗ!O518</f>
        <v>42736.5</v>
      </c>
      <c r="N518" s="238">
        <f>Таблица5[[#This Row],[10]]</f>
        <v>42736.5</v>
      </c>
      <c r="O518" s="17"/>
      <c r="P518" s="17"/>
      <c r="Q518" s="17"/>
      <c r="R518" s="17"/>
      <c r="S518" s="17"/>
      <c r="T518" s="686"/>
      <c r="U518" s="18">
        <f>РПЗ!P518</f>
        <v>43070.5</v>
      </c>
      <c r="V518" s="686"/>
      <c r="W518" s="236">
        <f>РПЗ!L518</f>
        <v>1653833.33</v>
      </c>
      <c r="X518" s="689"/>
      <c r="Y518" s="689"/>
      <c r="Z518" s="690"/>
      <c r="AA518" s="691"/>
      <c r="AB518" s="111"/>
      <c r="AC518" s="17"/>
      <c r="AD518" s="690"/>
      <c r="AE518" s="686"/>
      <c r="AF518" s="474"/>
      <c r="AG518" s="692"/>
      <c r="AH518" s="236" t="str">
        <f>IF(Таблица5[[#This Row],[30]]=0,"НД",Таблица5[[#This Row],[20]]-Таблица5[[#This Row],[30]])</f>
        <v>НД</v>
      </c>
      <c r="AI518" s="511" t="str">
        <f>IF(((1-Таблица5[[#This Row],[30]]/Таблица5[[#This Row],[20]])=1),"НД",(1-Таблица5[[#This Row],[30]]/Таблица5[[#This Row],[20]]))</f>
        <v>НД</v>
      </c>
      <c r="AJ518" s="111"/>
      <c r="AK518" s="111"/>
      <c r="AL518" s="512"/>
      <c r="AM518" s="513"/>
      <c r="AN518" s="465"/>
      <c r="AO518" s="468" t="str">
        <f>РПЗ!AD518</f>
        <v>Нет</v>
      </c>
      <c r="AP518" s="472">
        <f>РПЗ!V518</f>
        <v>0</v>
      </c>
      <c r="AQ518" s="470">
        <f>IF(Таблица5[[#This Row],[11]]=0,,MONTH(Таблица5[[#This Row],[11]]))</f>
        <v>1</v>
      </c>
    </row>
    <row r="519" spans="1:43" ht="77.25" thickBot="1" x14ac:dyDescent="0.3">
      <c r="A519" s="233" t="str">
        <f t="shared" si="8"/>
        <v>1004-2017-00504</v>
      </c>
      <c r="B519" s="233" t="str">
        <f>РПЗ!$D519</f>
        <v>1004-2017-00504Поставка Комплекс оборудования для чистых и особо чистых помещений лечебно-профилактических учреждений КОЧ "Ламинар-С" К.О.Ч.3.078.00.00.000 (1800х4800) Класс 5ИСО</v>
      </c>
      <c r="C519" s="233" t="str">
        <f>РПЗ!$AA519</f>
        <v>АО "НИИ "Полюс" им. М.Ф. Стельмаха" тел. отдела закупок 8-495-333-05-02</v>
      </c>
      <c r="D519" s="633" t="str">
        <f>РПЗ!$AB519</f>
        <v>Заказчик</v>
      </c>
      <c r="E519" s="96" t="s">
        <v>46</v>
      </c>
      <c r="F519" s="233" t="str">
        <f>РПЗ!Q519</f>
        <v>ОЗК</v>
      </c>
      <c r="G519" s="237"/>
      <c r="H519" s="237" t="str">
        <f>РПЗ!R519</f>
        <v>да</v>
      </c>
      <c r="I519" s="15">
        <f>РПЗ!W519</f>
        <v>0</v>
      </c>
      <c r="J519" s="233">
        <f>РПЗ!X519</f>
        <v>0</v>
      </c>
      <c r="K519" s="283">
        <f>РПЗ!Z519</f>
        <v>0</v>
      </c>
      <c r="L519" s="17"/>
      <c r="M519" s="18">
        <f>РПЗ!O519</f>
        <v>42736.5</v>
      </c>
      <c r="N519" s="238">
        <f>Таблица5[[#This Row],[10]]</f>
        <v>42736.5</v>
      </c>
      <c r="O519" s="17"/>
      <c r="P519" s="17"/>
      <c r="Q519" s="17"/>
      <c r="R519" s="17"/>
      <c r="S519" s="17"/>
      <c r="T519" s="686"/>
      <c r="U519" s="18">
        <f>РПЗ!P519</f>
        <v>43070.5</v>
      </c>
      <c r="V519" s="686"/>
      <c r="W519" s="236">
        <f>РПЗ!L519</f>
        <v>1080000</v>
      </c>
      <c r="X519" s="689"/>
      <c r="Y519" s="689"/>
      <c r="Z519" s="690"/>
      <c r="AA519" s="691"/>
      <c r="AB519" s="111"/>
      <c r="AC519" s="17"/>
      <c r="AD519" s="690"/>
      <c r="AE519" s="686"/>
      <c r="AF519" s="474"/>
      <c r="AG519" s="692"/>
      <c r="AH519" s="236" t="str">
        <f>IF(Таблица5[[#This Row],[30]]=0,"НД",Таблица5[[#This Row],[20]]-Таблица5[[#This Row],[30]])</f>
        <v>НД</v>
      </c>
      <c r="AI519" s="511" t="str">
        <f>IF(((1-Таблица5[[#This Row],[30]]/Таблица5[[#This Row],[20]])=1),"НД",(1-Таблица5[[#This Row],[30]]/Таблица5[[#This Row],[20]]))</f>
        <v>НД</v>
      </c>
      <c r="AJ519" s="111"/>
      <c r="AK519" s="111"/>
      <c r="AL519" s="512"/>
      <c r="AM519" s="513"/>
      <c r="AN519" s="465"/>
      <c r="AO519" s="468" t="str">
        <f>РПЗ!AD519</f>
        <v>Нет</v>
      </c>
      <c r="AP519" s="472">
        <f>РПЗ!V519</f>
        <v>0</v>
      </c>
      <c r="AQ519" s="470">
        <f>IF(Таблица5[[#This Row],[11]]=0,,MONTH(Таблица5[[#This Row],[11]]))</f>
        <v>1</v>
      </c>
    </row>
    <row r="520" spans="1:43" ht="77.25" thickBot="1" x14ac:dyDescent="0.3">
      <c r="A520" s="233" t="str">
        <f t="shared" si="8"/>
        <v>1004-2017-00505</v>
      </c>
      <c r="B520" s="233" t="str">
        <f>РПЗ!$D520</f>
        <v>1004-2017-00505Поставка Комплекс оборудования для чистых и особо чистых помещений лечебно-профилактических учреждений КОЧ "Ламинар-С" К.О.Ч.3.079.00.00.000 (1200х1200) Класс 5ИСО</v>
      </c>
      <c r="C520" s="233" t="str">
        <f>РПЗ!$AA520</f>
        <v>АО "НИИ "Полюс" им. М.Ф. Стельмаха" тел. отдела закупок 8-495-333-05-02</v>
      </c>
      <c r="D520" s="633" t="str">
        <f>РПЗ!$AB520</f>
        <v>Заказчик</v>
      </c>
      <c r="E520" s="96" t="s">
        <v>46</v>
      </c>
      <c r="F520" s="233" t="str">
        <f>РПЗ!Q520</f>
        <v>ОЗК</v>
      </c>
      <c r="G520" s="237"/>
      <c r="H520" s="237" t="str">
        <f>РПЗ!R520</f>
        <v>да</v>
      </c>
      <c r="I520" s="15">
        <f>РПЗ!W520</f>
        <v>0</v>
      </c>
      <c r="J520" s="233">
        <f>РПЗ!X520</f>
        <v>0</v>
      </c>
      <c r="K520" s="283">
        <f>РПЗ!Z520</f>
        <v>0</v>
      </c>
      <c r="L520" s="17"/>
      <c r="M520" s="18">
        <f>РПЗ!O520</f>
        <v>42736.5</v>
      </c>
      <c r="N520" s="238">
        <f>Таблица5[[#This Row],[10]]</f>
        <v>42736.5</v>
      </c>
      <c r="O520" s="17"/>
      <c r="P520" s="17"/>
      <c r="Q520" s="17"/>
      <c r="R520" s="17"/>
      <c r="S520" s="17"/>
      <c r="T520" s="686"/>
      <c r="U520" s="18">
        <f>РПЗ!P520</f>
        <v>43070.5</v>
      </c>
      <c r="V520" s="686"/>
      <c r="W520" s="236">
        <f>РПЗ!L520</f>
        <v>254500</v>
      </c>
      <c r="X520" s="689"/>
      <c r="Y520" s="689"/>
      <c r="Z520" s="690"/>
      <c r="AA520" s="691"/>
      <c r="AB520" s="111"/>
      <c r="AC520" s="17"/>
      <c r="AD520" s="690"/>
      <c r="AE520" s="686"/>
      <c r="AF520" s="474"/>
      <c r="AG520" s="692"/>
      <c r="AH520" s="236" t="str">
        <f>IF(Таблица5[[#This Row],[30]]=0,"НД",Таблица5[[#This Row],[20]]-Таблица5[[#This Row],[30]])</f>
        <v>НД</v>
      </c>
      <c r="AI520" s="511" t="str">
        <f>IF(((1-Таблица5[[#This Row],[30]]/Таблица5[[#This Row],[20]])=1),"НД",(1-Таблица5[[#This Row],[30]]/Таблица5[[#This Row],[20]]))</f>
        <v>НД</v>
      </c>
      <c r="AJ520" s="111"/>
      <c r="AK520" s="111"/>
      <c r="AL520" s="512"/>
      <c r="AM520" s="513"/>
      <c r="AN520" s="465"/>
      <c r="AO520" s="468" t="str">
        <f>РПЗ!AD520</f>
        <v>Нет</v>
      </c>
      <c r="AP520" s="472">
        <f>РПЗ!V520</f>
        <v>0</v>
      </c>
      <c r="AQ520" s="470">
        <f>IF(Таблица5[[#This Row],[11]]=0,,MONTH(Таблица5[[#This Row],[11]]))</f>
        <v>1</v>
      </c>
    </row>
    <row r="521" spans="1:43" ht="77.25" thickBot="1" x14ac:dyDescent="0.3">
      <c r="A521" s="233" t="str">
        <f t="shared" si="8"/>
        <v>1004-2017-00506</v>
      </c>
      <c r="B521" s="233" t="str">
        <f>РПЗ!$D521</f>
        <v>1004-2017-00506Поставка Комплекс оборудования для чистых и особо чистых помещений лечебно-профилактических учреждений КОЧ типа "Ламинар-С" 5000х2000х2100 мм класса 7ИСО</v>
      </c>
      <c r="C521" s="233" t="str">
        <f>РПЗ!$AA521</f>
        <v>АО "НИИ "Полюс" им. М.Ф. Стельмаха" тел. отдела закупок 8-495-333-05-02</v>
      </c>
      <c r="D521" s="633" t="str">
        <f>РПЗ!$AB521</f>
        <v>Заказчик</v>
      </c>
      <c r="E521" s="96" t="s">
        <v>46</v>
      </c>
      <c r="F521" s="233" t="str">
        <f>РПЗ!Q521</f>
        <v>ОЗК</v>
      </c>
      <c r="G521" s="237"/>
      <c r="H521" s="237" t="str">
        <f>РПЗ!R521</f>
        <v>да</v>
      </c>
      <c r="I521" s="15">
        <f>РПЗ!W521</f>
        <v>0</v>
      </c>
      <c r="J521" s="233">
        <f>РПЗ!X521</f>
        <v>0</v>
      </c>
      <c r="K521" s="283">
        <f>РПЗ!Z521</f>
        <v>0</v>
      </c>
      <c r="L521" s="17"/>
      <c r="M521" s="18">
        <f>РПЗ!O521</f>
        <v>42736.5</v>
      </c>
      <c r="N521" s="238">
        <f>Таблица5[[#This Row],[10]]</f>
        <v>42736.5</v>
      </c>
      <c r="O521" s="17"/>
      <c r="P521" s="17"/>
      <c r="Q521" s="17"/>
      <c r="R521" s="17"/>
      <c r="S521" s="17"/>
      <c r="T521" s="686"/>
      <c r="U521" s="18">
        <f>РПЗ!P521</f>
        <v>43070.5</v>
      </c>
      <c r="V521" s="686"/>
      <c r="W521" s="236">
        <f>РПЗ!L521</f>
        <v>1170900</v>
      </c>
      <c r="X521" s="689"/>
      <c r="Y521" s="689"/>
      <c r="Z521" s="690"/>
      <c r="AA521" s="691"/>
      <c r="AB521" s="111"/>
      <c r="AC521" s="17"/>
      <c r="AD521" s="690"/>
      <c r="AE521" s="686"/>
      <c r="AF521" s="474"/>
      <c r="AG521" s="692"/>
      <c r="AH521" s="236" t="str">
        <f>IF(Таблица5[[#This Row],[30]]=0,"НД",Таблица5[[#This Row],[20]]-Таблица5[[#This Row],[30]])</f>
        <v>НД</v>
      </c>
      <c r="AI521" s="511" t="str">
        <f>IF(((1-Таблица5[[#This Row],[30]]/Таблица5[[#This Row],[20]])=1),"НД",(1-Таблица5[[#This Row],[30]]/Таблица5[[#This Row],[20]]))</f>
        <v>НД</v>
      </c>
      <c r="AJ521" s="111"/>
      <c r="AK521" s="111"/>
      <c r="AL521" s="512"/>
      <c r="AM521" s="513"/>
      <c r="AN521" s="465"/>
      <c r="AO521" s="468" t="str">
        <f>РПЗ!AD521</f>
        <v>Нет</v>
      </c>
      <c r="AP521" s="472">
        <f>РПЗ!V521</f>
        <v>0</v>
      </c>
      <c r="AQ521" s="470">
        <f>IF(Таблица5[[#This Row],[11]]=0,,MONTH(Таблица5[[#This Row],[11]]))</f>
        <v>1</v>
      </c>
    </row>
    <row r="522" spans="1:43" ht="39" thickBot="1" x14ac:dyDescent="0.3">
      <c r="A522" s="233" t="str">
        <f t="shared" si="8"/>
        <v>1004-2017-00507</v>
      </c>
      <c r="B522" s="233" t="str">
        <f>РПЗ!$D522</f>
        <v>1004-2017-00507Поставка Комплект оборудования ДИМЕТ модель 421-С</v>
      </c>
      <c r="C522" s="233" t="str">
        <f>РПЗ!$AA522</f>
        <v>АО "НИИ "Полюс" им. М.Ф. Стельмаха" тел. отдела закупок 8-495-333-05-02</v>
      </c>
      <c r="D522" s="633" t="str">
        <f>РПЗ!$AB522</f>
        <v>Заказчик</v>
      </c>
      <c r="E522" s="96" t="s">
        <v>46</v>
      </c>
      <c r="F522" s="233" t="str">
        <f>РПЗ!Q522</f>
        <v>ОЗК</v>
      </c>
      <c r="G522" s="237"/>
      <c r="H522" s="237" t="str">
        <f>РПЗ!R522</f>
        <v>да</v>
      </c>
      <c r="I522" s="15">
        <f>РПЗ!W522</f>
        <v>0</v>
      </c>
      <c r="J522" s="233">
        <f>РПЗ!X522</f>
        <v>0</v>
      </c>
      <c r="K522" s="283">
        <f>РПЗ!Z522</f>
        <v>0</v>
      </c>
      <c r="L522" s="17"/>
      <c r="M522" s="18">
        <f>РПЗ!O522</f>
        <v>42736.5</v>
      </c>
      <c r="N522" s="238">
        <f>Таблица5[[#This Row],[10]]</f>
        <v>42736.5</v>
      </c>
      <c r="O522" s="17"/>
      <c r="P522" s="17"/>
      <c r="Q522" s="17"/>
      <c r="R522" s="17"/>
      <c r="S522" s="17"/>
      <c r="T522" s="686"/>
      <c r="U522" s="18">
        <f>РПЗ!P522</f>
        <v>43070.5</v>
      </c>
      <c r="V522" s="686"/>
      <c r="W522" s="236">
        <f>РПЗ!L522</f>
        <v>413000</v>
      </c>
      <c r="X522" s="689"/>
      <c r="Y522" s="689"/>
      <c r="Z522" s="690"/>
      <c r="AA522" s="691"/>
      <c r="AB522" s="111"/>
      <c r="AC522" s="17"/>
      <c r="AD522" s="690"/>
      <c r="AE522" s="686"/>
      <c r="AF522" s="474"/>
      <c r="AG522" s="692"/>
      <c r="AH522" s="236" t="str">
        <f>IF(Таблица5[[#This Row],[30]]=0,"НД",Таблица5[[#This Row],[20]]-Таблица5[[#This Row],[30]])</f>
        <v>НД</v>
      </c>
      <c r="AI522" s="511" t="str">
        <f>IF(((1-Таблица5[[#This Row],[30]]/Таблица5[[#This Row],[20]])=1),"НД",(1-Таблица5[[#This Row],[30]]/Таблица5[[#This Row],[20]]))</f>
        <v>НД</v>
      </c>
      <c r="AJ522" s="111"/>
      <c r="AK522" s="111"/>
      <c r="AL522" s="512"/>
      <c r="AM522" s="513"/>
      <c r="AN522" s="465"/>
      <c r="AO522" s="468" t="str">
        <f>РПЗ!AD522</f>
        <v>Нет</v>
      </c>
      <c r="AP522" s="472">
        <f>РПЗ!V522</f>
        <v>0</v>
      </c>
      <c r="AQ522" s="470">
        <f>IF(Таблица5[[#This Row],[11]]=0,,MONTH(Таблица5[[#This Row],[11]]))</f>
        <v>1</v>
      </c>
    </row>
    <row r="523" spans="1:43" ht="141" thickBot="1" x14ac:dyDescent="0.3">
      <c r="A523" s="233" t="str">
        <f t="shared" si="8"/>
        <v>1004-2017-00508</v>
      </c>
      <c r="B523" s="233" t="str">
        <f>РПЗ!$D523</f>
        <v xml:space="preserve">1004-2017-00508Поставка Комплект оборудования для автоматизированной мойки оптических деталей, включая: _x000D_
набор кабелей и защитный кожух для защиты ультразвукового генератора -1 компл., штатный защитный бокс с вытяжной системой - 1шт., ванна с установленными ультразвуковыми излучателями, 40 кГц </v>
      </c>
      <c r="C523" s="233" t="str">
        <f>РПЗ!$AA523</f>
        <v>АО "НИИ "Полюс" им. М.Ф. Стельмаха" тел. отдела закупок 8-495-333-05-02</v>
      </c>
      <c r="D523" s="633" t="str">
        <f>РПЗ!$AB523</f>
        <v>Заказчик</v>
      </c>
      <c r="E523" s="96" t="s">
        <v>46</v>
      </c>
      <c r="F523" s="233" t="str">
        <f>РПЗ!Q523</f>
        <v>ОЗК</v>
      </c>
      <c r="G523" s="237"/>
      <c r="H523" s="237" t="str">
        <f>РПЗ!R523</f>
        <v>да</v>
      </c>
      <c r="I523" s="15">
        <f>РПЗ!W523</f>
        <v>0</v>
      </c>
      <c r="J523" s="233">
        <f>РПЗ!X523</f>
        <v>0</v>
      </c>
      <c r="K523" s="283">
        <f>РПЗ!Z523</f>
        <v>0</v>
      </c>
      <c r="L523" s="17"/>
      <c r="M523" s="18">
        <f>РПЗ!O523</f>
        <v>42736.5</v>
      </c>
      <c r="N523" s="238">
        <f>Таблица5[[#This Row],[10]]</f>
        <v>42736.5</v>
      </c>
      <c r="O523" s="17"/>
      <c r="P523" s="17"/>
      <c r="Q523" s="17"/>
      <c r="R523" s="17"/>
      <c r="S523" s="17"/>
      <c r="T523" s="686"/>
      <c r="U523" s="18">
        <f>РПЗ!P523</f>
        <v>43070.5</v>
      </c>
      <c r="V523" s="686"/>
      <c r="W523" s="236">
        <f>РПЗ!L523</f>
        <v>4230569</v>
      </c>
      <c r="X523" s="689"/>
      <c r="Y523" s="689"/>
      <c r="Z523" s="690"/>
      <c r="AA523" s="691"/>
      <c r="AB523" s="111"/>
      <c r="AC523" s="17"/>
      <c r="AD523" s="690"/>
      <c r="AE523" s="686"/>
      <c r="AF523" s="474"/>
      <c r="AG523" s="692"/>
      <c r="AH523" s="236" t="str">
        <f>IF(Таблица5[[#This Row],[30]]=0,"НД",Таблица5[[#This Row],[20]]-Таблица5[[#This Row],[30]])</f>
        <v>НД</v>
      </c>
      <c r="AI523" s="511" t="str">
        <f>IF(((1-Таблица5[[#This Row],[30]]/Таблица5[[#This Row],[20]])=1),"НД",(1-Таблица5[[#This Row],[30]]/Таблица5[[#This Row],[20]]))</f>
        <v>НД</v>
      </c>
      <c r="AJ523" s="111"/>
      <c r="AK523" s="111"/>
      <c r="AL523" s="512"/>
      <c r="AM523" s="513"/>
      <c r="AN523" s="465"/>
      <c r="AO523" s="468" t="str">
        <f>РПЗ!AD523</f>
        <v>Нет</v>
      </c>
      <c r="AP523" s="472">
        <f>РПЗ!V523</f>
        <v>0</v>
      </c>
      <c r="AQ523" s="470">
        <f>IF(Таблица5[[#This Row],[11]]=0,,MONTH(Таблица5[[#This Row],[11]]))</f>
        <v>1</v>
      </c>
    </row>
    <row r="524" spans="1:43" ht="39" thickBot="1" x14ac:dyDescent="0.3">
      <c r="A524" s="233" t="str">
        <f t="shared" si="8"/>
        <v>1004-2017-00509</v>
      </c>
      <c r="B524" s="233" t="str">
        <f>РПЗ!$D524</f>
        <v>1004-2017-00509Ламинарный бокс 1170х690х1950мм БАВнп-01-«Ламинар-С»-1,2 (440.120)  ИСО 5</v>
      </c>
      <c r="C524" s="233" t="str">
        <f>РПЗ!$AA524</f>
        <v>АО "НИИ "Полюс" им. М.Ф. Стельмаха" тел. отдела закупок 8-495-333-05-02</v>
      </c>
      <c r="D524" s="633" t="str">
        <f>РПЗ!$AB524</f>
        <v>Заказчик</v>
      </c>
      <c r="E524" s="96" t="s">
        <v>46</v>
      </c>
      <c r="F524" s="233" t="str">
        <f>РПЗ!Q524</f>
        <v>ОЗК</v>
      </c>
      <c r="G524" s="237"/>
      <c r="H524" s="237" t="str">
        <f>РПЗ!R524</f>
        <v>да</v>
      </c>
      <c r="I524" s="15">
        <f>РПЗ!W524</f>
        <v>0</v>
      </c>
      <c r="J524" s="233">
        <f>РПЗ!X524</f>
        <v>0</v>
      </c>
      <c r="K524" s="283">
        <f>РПЗ!Z524</f>
        <v>0</v>
      </c>
      <c r="L524" s="17"/>
      <c r="M524" s="18">
        <f>РПЗ!O524</f>
        <v>42736.5</v>
      </c>
      <c r="N524" s="238">
        <f>Таблица5[[#This Row],[10]]</f>
        <v>42736.5</v>
      </c>
      <c r="O524" s="17"/>
      <c r="P524" s="17"/>
      <c r="Q524" s="17"/>
      <c r="R524" s="17"/>
      <c r="S524" s="17"/>
      <c r="T524" s="686"/>
      <c r="U524" s="18">
        <f>РПЗ!P524</f>
        <v>43070.5</v>
      </c>
      <c r="V524" s="686"/>
      <c r="W524" s="236">
        <f>РПЗ!L524</f>
        <v>320000</v>
      </c>
      <c r="X524" s="689"/>
      <c r="Y524" s="689"/>
      <c r="Z524" s="690"/>
      <c r="AA524" s="691"/>
      <c r="AB524" s="111"/>
      <c r="AC524" s="17"/>
      <c r="AD524" s="690"/>
      <c r="AE524" s="686"/>
      <c r="AF524" s="474"/>
      <c r="AG524" s="692"/>
      <c r="AH524" s="236" t="str">
        <f>IF(Таблица5[[#This Row],[30]]=0,"НД",Таблица5[[#This Row],[20]]-Таблица5[[#This Row],[30]])</f>
        <v>НД</v>
      </c>
      <c r="AI524" s="511" t="str">
        <f>IF(((1-Таблица5[[#This Row],[30]]/Таблица5[[#This Row],[20]])=1),"НД",(1-Таблица5[[#This Row],[30]]/Таблица5[[#This Row],[20]]))</f>
        <v>НД</v>
      </c>
      <c r="AJ524" s="111"/>
      <c r="AK524" s="111"/>
      <c r="AL524" s="512"/>
      <c r="AM524" s="513"/>
      <c r="AN524" s="465"/>
      <c r="AO524" s="468" t="str">
        <f>РПЗ!AD524</f>
        <v>Нет</v>
      </c>
      <c r="AP524" s="472">
        <f>РПЗ!V524</f>
        <v>0</v>
      </c>
      <c r="AQ524" s="470">
        <f>IF(Таблица5[[#This Row],[11]]=0,,MONTH(Таблица5[[#This Row],[11]]))</f>
        <v>1</v>
      </c>
    </row>
    <row r="525" spans="1:43" ht="39" thickBot="1" x14ac:dyDescent="0.3">
      <c r="A525" s="233" t="str">
        <f t="shared" si="8"/>
        <v>1004-2017-00510</v>
      </c>
      <c r="B525" s="233" t="str">
        <f>РПЗ!$D525</f>
        <v>1004-00510Поставка Настольный трехкоординатный робот с сист. дозирования V2203-200, Россия</v>
      </c>
      <c r="C525" s="233" t="str">
        <f>РПЗ!$AA525</f>
        <v>АО "НИИ "Полюс" им. М.Ф. Стельмаха" тел. отдела закупок 8-495-333-05-02</v>
      </c>
      <c r="D525" s="633" t="str">
        <f>РПЗ!$AB525</f>
        <v>Заказчик</v>
      </c>
      <c r="E525" s="96" t="s">
        <v>46</v>
      </c>
      <c r="F525" s="233" t="str">
        <f>РПЗ!Q525</f>
        <v>ОЗК</v>
      </c>
      <c r="G525" s="237"/>
      <c r="H525" s="237" t="str">
        <f>РПЗ!R525</f>
        <v>да</v>
      </c>
      <c r="I525" s="15">
        <f>РПЗ!W525</f>
        <v>0</v>
      </c>
      <c r="J525" s="233">
        <f>РПЗ!X525</f>
        <v>0</v>
      </c>
      <c r="K525" s="283">
        <f>РПЗ!Z525</f>
        <v>0</v>
      </c>
      <c r="L525" s="17"/>
      <c r="M525" s="18">
        <f>РПЗ!O525</f>
        <v>42736.5</v>
      </c>
      <c r="N525" s="238">
        <f>Таблица5[[#This Row],[10]]</f>
        <v>42736.5</v>
      </c>
      <c r="O525" s="17"/>
      <c r="P525" s="17"/>
      <c r="Q525" s="17"/>
      <c r="R525" s="17"/>
      <c r="S525" s="17"/>
      <c r="T525" s="686"/>
      <c r="U525" s="18">
        <f>РПЗ!P525</f>
        <v>43070.5</v>
      </c>
      <c r="V525" s="686"/>
      <c r="W525" s="236">
        <f>РПЗ!L525</f>
        <v>1278759.71</v>
      </c>
      <c r="X525" s="689"/>
      <c r="Y525" s="689"/>
      <c r="Z525" s="690"/>
      <c r="AA525" s="691"/>
      <c r="AB525" s="111"/>
      <c r="AC525" s="17"/>
      <c r="AD525" s="690"/>
      <c r="AE525" s="686"/>
      <c r="AF525" s="474"/>
      <c r="AG525" s="692"/>
      <c r="AH525" s="236" t="str">
        <f>IF(Таблица5[[#This Row],[30]]=0,"НД",Таблица5[[#This Row],[20]]-Таблица5[[#This Row],[30]])</f>
        <v>НД</v>
      </c>
      <c r="AI525" s="511" t="str">
        <f>IF(((1-Таблица5[[#This Row],[30]]/Таблица5[[#This Row],[20]])=1),"НД",(1-Таблица5[[#This Row],[30]]/Таблица5[[#This Row],[20]]))</f>
        <v>НД</v>
      </c>
      <c r="AJ525" s="111"/>
      <c r="AK525" s="111"/>
      <c r="AL525" s="512"/>
      <c r="AM525" s="513"/>
      <c r="AN525" s="465"/>
      <c r="AO525" s="468" t="str">
        <f>РПЗ!AD525</f>
        <v>Нет</v>
      </c>
      <c r="AP525" s="472">
        <f>РПЗ!V525</f>
        <v>0</v>
      </c>
      <c r="AQ525" s="470">
        <f>IF(Таблица5[[#This Row],[11]]=0,,MONTH(Таблица5[[#This Row],[11]]))</f>
        <v>1</v>
      </c>
    </row>
    <row r="526" spans="1:43" ht="51.75" thickBot="1" x14ac:dyDescent="0.3">
      <c r="A526" s="233" t="str">
        <f t="shared" si="8"/>
        <v>1004-2017-00511</v>
      </c>
      <c r="B526" s="233" t="str">
        <f>РПЗ!$D526</f>
        <v>1004-2017-00511Поставка Печь ПМ-14М1-ТД-В муфельная (1200С, 15л, электронный самописец, Термодат 16Е3, с вытяжкой, керамика</v>
      </c>
      <c r="C526" s="233" t="str">
        <f>РПЗ!$AA526</f>
        <v>АО "НИИ "Полюс" им. М.Ф. Стельмаха" тел. отдела закупок 8-495-333-05-02</v>
      </c>
      <c r="D526" s="633" t="str">
        <f>РПЗ!$AB526</f>
        <v>Заказчик</v>
      </c>
      <c r="E526" s="96" t="s">
        <v>46</v>
      </c>
      <c r="F526" s="233" t="str">
        <f>РПЗ!Q526</f>
        <v>ОЗК</v>
      </c>
      <c r="G526" s="237"/>
      <c r="H526" s="237" t="str">
        <f>РПЗ!R526</f>
        <v>да</v>
      </c>
      <c r="I526" s="15">
        <f>РПЗ!W526</f>
        <v>0</v>
      </c>
      <c r="J526" s="233">
        <f>РПЗ!X526</f>
        <v>0</v>
      </c>
      <c r="K526" s="283">
        <f>РПЗ!Z526</f>
        <v>0</v>
      </c>
      <c r="L526" s="17"/>
      <c r="M526" s="18">
        <f>РПЗ!O526</f>
        <v>42736.5</v>
      </c>
      <c r="N526" s="238">
        <f>Таблица5[[#This Row],[10]]</f>
        <v>42736.5</v>
      </c>
      <c r="O526" s="17"/>
      <c r="P526" s="17"/>
      <c r="Q526" s="17"/>
      <c r="R526" s="17"/>
      <c r="S526" s="17"/>
      <c r="T526" s="686"/>
      <c r="U526" s="18">
        <f>РПЗ!P526</f>
        <v>43070.5</v>
      </c>
      <c r="V526" s="686"/>
      <c r="W526" s="236">
        <f>РПЗ!L526</f>
        <v>103440</v>
      </c>
      <c r="X526" s="689"/>
      <c r="Y526" s="689"/>
      <c r="Z526" s="690"/>
      <c r="AA526" s="691"/>
      <c r="AB526" s="111"/>
      <c r="AC526" s="17"/>
      <c r="AD526" s="690"/>
      <c r="AE526" s="686"/>
      <c r="AF526" s="474"/>
      <c r="AG526" s="692"/>
      <c r="AH526" s="236" t="str">
        <f>IF(Таблица5[[#This Row],[30]]=0,"НД",Таблица5[[#This Row],[20]]-Таблица5[[#This Row],[30]])</f>
        <v>НД</v>
      </c>
      <c r="AI526" s="511" t="str">
        <f>IF(((1-Таблица5[[#This Row],[30]]/Таблица5[[#This Row],[20]])=1),"НД",(1-Таблица5[[#This Row],[30]]/Таблица5[[#This Row],[20]]))</f>
        <v>НД</v>
      </c>
      <c r="AJ526" s="111"/>
      <c r="AK526" s="111"/>
      <c r="AL526" s="512"/>
      <c r="AM526" s="513"/>
      <c r="AN526" s="465"/>
      <c r="AO526" s="468" t="str">
        <f>РПЗ!AD526</f>
        <v>Нет</v>
      </c>
      <c r="AP526" s="472">
        <f>РПЗ!V526</f>
        <v>0</v>
      </c>
      <c r="AQ526" s="470">
        <f>IF(Таблица5[[#This Row],[11]]=0,,MONTH(Таблица5[[#This Row],[11]]))</f>
        <v>1</v>
      </c>
    </row>
    <row r="527" spans="1:43" ht="39" thickBot="1" x14ac:dyDescent="0.3">
      <c r="A527" s="233" t="str">
        <f t="shared" si="8"/>
        <v>1004-2017-00512</v>
      </c>
      <c r="B527" s="233" t="str">
        <f>РПЗ!$D527</f>
        <v>1004-2017-00512Поставка Плита нагревательная LOIP-402 с алюминиевой поверхностью</v>
      </c>
      <c r="C527" s="233" t="str">
        <f>РПЗ!$AA527</f>
        <v>АО "НИИ "Полюс" им. М.Ф. Стельмаха" тел. отдела закупок 8-495-333-05-02</v>
      </c>
      <c r="D527" s="633" t="str">
        <f>РПЗ!$AB527</f>
        <v>Заказчик</v>
      </c>
      <c r="E527" s="96" t="s">
        <v>46</v>
      </c>
      <c r="F527" s="233" t="str">
        <f>РПЗ!Q527</f>
        <v>ОЗК</v>
      </c>
      <c r="G527" s="237"/>
      <c r="H527" s="237" t="str">
        <f>РПЗ!R527</f>
        <v>да</v>
      </c>
      <c r="I527" s="15">
        <f>РПЗ!W527</f>
        <v>0</v>
      </c>
      <c r="J527" s="233">
        <f>РПЗ!X527</f>
        <v>0</v>
      </c>
      <c r="K527" s="283">
        <f>РПЗ!Z527</f>
        <v>0</v>
      </c>
      <c r="L527" s="17"/>
      <c r="M527" s="18">
        <f>РПЗ!O527</f>
        <v>42736.5</v>
      </c>
      <c r="N527" s="238">
        <f>Таблица5[[#This Row],[10]]</f>
        <v>42736.5</v>
      </c>
      <c r="O527" s="17"/>
      <c r="P527" s="17"/>
      <c r="Q527" s="17"/>
      <c r="R527" s="17"/>
      <c r="S527" s="17"/>
      <c r="T527" s="686"/>
      <c r="U527" s="18">
        <f>РПЗ!P527</f>
        <v>43070.5</v>
      </c>
      <c r="V527" s="686"/>
      <c r="W527" s="236">
        <f>РПЗ!L527</f>
        <v>107998.42</v>
      </c>
      <c r="X527" s="689"/>
      <c r="Y527" s="689"/>
      <c r="Z527" s="690"/>
      <c r="AA527" s="691"/>
      <c r="AB527" s="111"/>
      <c r="AC527" s="17"/>
      <c r="AD527" s="690"/>
      <c r="AE527" s="686"/>
      <c r="AF527" s="474"/>
      <c r="AG527" s="692"/>
      <c r="AH527" s="236" t="str">
        <f>IF(Таблица5[[#This Row],[30]]=0,"НД",Таблица5[[#This Row],[20]]-Таблица5[[#This Row],[30]])</f>
        <v>НД</v>
      </c>
      <c r="AI527" s="511" t="str">
        <f>IF(((1-Таблица5[[#This Row],[30]]/Таблица5[[#This Row],[20]])=1),"НД",(1-Таблица5[[#This Row],[30]]/Таблица5[[#This Row],[20]]))</f>
        <v>НД</v>
      </c>
      <c r="AJ527" s="111"/>
      <c r="AK527" s="111"/>
      <c r="AL527" s="512"/>
      <c r="AM527" s="513"/>
      <c r="AN527" s="465"/>
      <c r="AO527" s="468" t="str">
        <f>РПЗ!AD527</f>
        <v>Нет</v>
      </c>
      <c r="AP527" s="472">
        <f>РПЗ!V527</f>
        <v>0</v>
      </c>
      <c r="AQ527" s="470">
        <f>IF(Таблица5[[#This Row],[11]]=0,,MONTH(Таблица5[[#This Row],[11]]))</f>
        <v>1</v>
      </c>
    </row>
    <row r="528" spans="1:43" ht="51.75" thickBot="1" x14ac:dyDescent="0.3">
      <c r="A528" s="233" t="str">
        <f t="shared" si="8"/>
        <v>1004-2017-00513</v>
      </c>
      <c r="B528" s="233" t="str">
        <f>РПЗ!$D528</f>
        <v xml:space="preserve">1004-00513Поставка Подкатная стойка для оборудования в комплекте 680х460х1600 СТ-05 Комфорт </v>
      </c>
      <c r="C528" s="233" t="str">
        <f>РПЗ!$AA528</f>
        <v>АО "НИИ "Полюс" им. М.Ф. Стельмаха" тел. отдела закупок 8-495-333-05-02</v>
      </c>
      <c r="D528" s="633" t="str">
        <f>РПЗ!$AB528</f>
        <v>Заказчик</v>
      </c>
      <c r="E528" s="96" t="s">
        <v>46</v>
      </c>
      <c r="F528" s="233" t="str">
        <f>РПЗ!Q528</f>
        <v>ОЗК</v>
      </c>
      <c r="G528" s="237"/>
      <c r="H528" s="237" t="str">
        <f>РПЗ!R528</f>
        <v>да</v>
      </c>
      <c r="I528" s="15">
        <f>РПЗ!W528</f>
        <v>0</v>
      </c>
      <c r="J528" s="233">
        <f>РПЗ!X528</f>
        <v>0</v>
      </c>
      <c r="K528" s="283">
        <f>РПЗ!Z528</f>
        <v>0</v>
      </c>
      <c r="L528" s="17"/>
      <c r="M528" s="18">
        <f>РПЗ!O528</f>
        <v>42736.5</v>
      </c>
      <c r="N528" s="238">
        <f>Таблица5[[#This Row],[10]]</f>
        <v>42736.5</v>
      </c>
      <c r="O528" s="17"/>
      <c r="P528" s="17"/>
      <c r="Q528" s="17"/>
      <c r="R528" s="17"/>
      <c r="S528" s="17"/>
      <c r="T528" s="686"/>
      <c r="U528" s="18">
        <f>РПЗ!P528</f>
        <v>43070.5</v>
      </c>
      <c r="V528" s="686"/>
      <c r="W528" s="236">
        <f>РПЗ!L528</f>
        <v>168718.7</v>
      </c>
      <c r="X528" s="689"/>
      <c r="Y528" s="689"/>
      <c r="Z528" s="690"/>
      <c r="AA528" s="691"/>
      <c r="AB528" s="111"/>
      <c r="AC528" s="17"/>
      <c r="AD528" s="690"/>
      <c r="AE528" s="686"/>
      <c r="AF528" s="474"/>
      <c r="AG528" s="692"/>
      <c r="AH528" s="236" t="str">
        <f>IF(Таблица5[[#This Row],[30]]=0,"НД",Таблица5[[#This Row],[20]]-Таблица5[[#This Row],[30]])</f>
        <v>НД</v>
      </c>
      <c r="AI528" s="511" t="str">
        <f>IF(((1-Таблица5[[#This Row],[30]]/Таблица5[[#This Row],[20]])=1),"НД",(1-Таблица5[[#This Row],[30]]/Таблица5[[#This Row],[20]]))</f>
        <v>НД</v>
      </c>
      <c r="AJ528" s="111"/>
      <c r="AK528" s="111"/>
      <c r="AL528" s="512"/>
      <c r="AM528" s="513"/>
      <c r="AN528" s="465"/>
      <c r="AO528" s="468" t="str">
        <f>РПЗ!AD528</f>
        <v>Нет</v>
      </c>
      <c r="AP528" s="472">
        <f>РПЗ!V528</f>
        <v>0</v>
      </c>
      <c r="AQ528" s="470">
        <f>IF(Таблица5[[#This Row],[11]]=0,,MONTH(Таблица5[[#This Row],[11]]))</f>
        <v>1</v>
      </c>
    </row>
    <row r="529" spans="1:43" ht="39" thickBot="1" x14ac:dyDescent="0.3">
      <c r="A529" s="233" t="str">
        <f t="shared" si="8"/>
        <v>1004-2017-00514</v>
      </c>
      <c r="B529" s="233" t="str">
        <f>РПЗ!$D529</f>
        <v xml:space="preserve">1004-02017-0514Поставка Потенциостат-гальваностат  P-40x </v>
      </c>
      <c r="C529" s="233" t="str">
        <f>РПЗ!$AA529</f>
        <v>АО "НИИ "Полюс" им. М.Ф. Стельмаха" тел. отдела закупок 8-495-333-05-02</v>
      </c>
      <c r="D529" s="633" t="str">
        <f>РПЗ!$AB529</f>
        <v>Заказчик</v>
      </c>
      <c r="E529" s="96" t="s">
        <v>46</v>
      </c>
      <c r="F529" s="233" t="str">
        <f>РПЗ!Q529</f>
        <v>ОЗК</v>
      </c>
      <c r="G529" s="237"/>
      <c r="H529" s="237" t="str">
        <f>РПЗ!R529</f>
        <v>да</v>
      </c>
      <c r="I529" s="15">
        <f>РПЗ!W529</f>
        <v>0</v>
      </c>
      <c r="J529" s="233">
        <f>РПЗ!X529</f>
        <v>0</v>
      </c>
      <c r="K529" s="283">
        <f>РПЗ!Z529</f>
        <v>0</v>
      </c>
      <c r="L529" s="17"/>
      <c r="M529" s="18">
        <f>РПЗ!O529</f>
        <v>42736.5</v>
      </c>
      <c r="N529" s="238">
        <f>Таблица5[[#This Row],[10]]</f>
        <v>42736.5</v>
      </c>
      <c r="O529" s="17"/>
      <c r="P529" s="17"/>
      <c r="Q529" s="17"/>
      <c r="R529" s="17"/>
      <c r="S529" s="17"/>
      <c r="T529" s="686"/>
      <c r="U529" s="18">
        <f>РПЗ!P529</f>
        <v>43070.5</v>
      </c>
      <c r="V529" s="686"/>
      <c r="W529" s="236">
        <f>РПЗ!L529</f>
        <v>450026</v>
      </c>
      <c r="X529" s="689"/>
      <c r="Y529" s="689"/>
      <c r="Z529" s="690"/>
      <c r="AA529" s="691"/>
      <c r="AB529" s="111"/>
      <c r="AC529" s="17"/>
      <c r="AD529" s="690"/>
      <c r="AE529" s="686"/>
      <c r="AF529" s="474"/>
      <c r="AG529" s="692"/>
      <c r="AH529" s="236" t="str">
        <f>IF(Таблица5[[#This Row],[30]]=0,"НД",Таблица5[[#This Row],[20]]-Таблица5[[#This Row],[30]])</f>
        <v>НД</v>
      </c>
      <c r="AI529" s="511" t="str">
        <f>IF(((1-Таблица5[[#This Row],[30]]/Таблица5[[#This Row],[20]])=1),"НД",(1-Таблица5[[#This Row],[30]]/Таблица5[[#This Row],[20]]))</f>
        <v>НД</v>
      </c>
      <c r="AJ529" s="111"/>
      <c r="AK529" s="111"/>
      <c r="AL529" s="512"/>
      <c r="AM529" s="513"/>
      <c r="AN529" s="465"/>
      <c r="AO529" s="468" t="str">
        <f>РПЗ!AD529</f>
        <v>Нет</v>
      </c>
      <c r="AP529" s="472">
        <f>РПЗ!V529</f>
        <v>0</v>
      </c>
      <c r="AQ529" s="470">
        <f>IF(Таблица5[[#This Row],[11]]=0,,MONTH(Таблица5[[#This Row],[11]]))</f>
        <v>1</v>
      </c>
    </row>
    <row r="530" spans="1:43" ht="39" thickBot="1" x14ac:dyDescent="0.3">
      <c r="A530" s="233" t="str">
        <f t="shared" si="8"/>
        <v>1004-2017-00515</v>
      </c>
      <c r="B530" s="233" t="str">
        <f>РПЗ!$D530</f>
        <v>1004-2017-00515Поставка Прибор контрольно-испытательный ПКИ-6М-Т в комплекте.</v>
      </c>
      <c r="C530" s="233" t="str">
        <f>РПЗ!$AA530</f>
        <v>АО "НИИ "Полюс" им. М.Ф. Стельмаха" тел. отдела закупок 8-495-333-05-02</v>
      </c>
      <c r="D530" s="633" t="str">
        <f>РПЗ!$AB530</f>
        <v>Заказчик</v>
      </c>
      <c r="E530" s="96" t="s">
        <v>46</v>
      </c>
      <c r="F530" s="233" t="str">
        <f>РПЗ!Q530</f>
        <v>ОЗК</v>
      </c>
      <c r="G530" s="237"/>
      <c r="H530" s="237" t="str">
        <f>РПЗ!R530</f>
        <v>да</v>
      </c>
      <c r="I530" s="15">
        <f>РПЗ!W530</f>
        <v>0</v>
      </c>
      <c r="J530" s="233">
        <f>РПЗ!X530</f>
        <v>0</v>
      </c>
      <c r="K530" s="283">
        <f>РПЗ!Z530</f>
        <v>0</v>
      </c>
      <c r="L530" s="17"/>
      <c r="M530" s="18">
        <f>РПЗ!O530</f>
        <v>42736.5</v>
      </c>
      <c r="N530" s="238">
        <f>Таблица5[[#This Row],[10]]</f>
        <v>42736.5</v>
      </c>
      <c r="O530" s="17"/>
      <c r="P530" s="17"/>
      <c r="Q530" s="17"/>
      <c r="R530" s="17"/>
      <c r="S530" s="17"/>
      <c r="T530" s="686"/>
      <c r="U530" s="18">
        <f>РПЗ!P530</f>
        <v>43070.5</v>
      </c>
      <c r="V530" s="686"/>
      <c r="W530" s="236">
        <f>РПЗ!L530</f>
        <v>19576200</v>
      </c>
      <c r="X530" s="689"/>
      <c r="Y530" s="689"/>
      <c r="Z530" s="690"/>
      <c r="AA530" s="691"/>
      <c r="AB530" s="111"/>
      <c r="AC530" s="17"/>
      <c r="AD530" s="690"/>
      <c r="AE530" s="686"/>
      <c r="AF530" s="474"/>
      <c r="AG530" s="692"/>
      <c r="AH530" s="236" t="str">
        <f>IF(Таблица5[[#This Row],[30]]=0,"НД",Таблица5[[#This Row],[20]]-Таблица5[[#This Row],[30]])</f>
        <v>НД</v>
      </c>
      <c r="AI530" s="511" t="str">
        <f>IF(((1-Таблица5[[#This Row],[30]]/Таблица5[[#This Row],[20]])=1),"НД",(1-Таблица5[[#This Row],[30]]/Таблица5[[#This Row],[20]]))</f>
        <v>НД</v>
      </c>
      <c r="AJ530" s="111"/>
      <c r="AK530" s="111"/>
      <c r="AL530" s="512"/>
      <c r="AM530" s="513"/>
      <c r="AN530" s="465"/>
      <c r="AO530" s="468" t="str">
        <f>РПЗ!AD530</f>
        <v>Нет</v>
      </c>
      <c r="AP530" s="472">
        <f>РПЗ!V530</f>
        <v>0</v>
      </c>
      <c r="AQ530" s="470">
        <f>IF(Таблица5[[#This Row],[11]]=0,,MONTH(Таблица5[[#This Row],[11]]))</f>
        <v>1</v>
      </c>
    </row>
    <row r="531" spans="1:43" ht="77.25" thickBot="1" x14ac:dyDescent="0.3">
      <c r="A531" s="233" t="str">
        <f t="shared" si="8"/>
        <v>1004-2017-00516</v>
      </c>
      <c r="B531" s="233" t="str">
        <f>РПЗ!$D531</f>
        <v>1004-2017-00516Поставка Статический гониометр СГ-1Ц  ООО "Научно-производственный комплекс "Диагностика" Оптико-механический блок 610*300*350 Электронный блок 260*200*80</v>
      </c>
      <c r="C531" s="233" t="str">
        <f>РПЗ!$AA531</f>
        <v>АО "НИИ "Полюс" им. М.Ф. Стельмаха" тел. отдела закупок 8-495-333-05-02</v>
      </c>
      <c r="D531" s="633" t="str">
        <f>РПЗ!$AB531</f>
        <v>Заказчик</v>
      </c>
      <c r="E531" s="96" t="s">
        <v>46</v>
      </c>
      <c r="F531" s="233" t="str">
        <f>РПЗ!Q531</f>
        <v>ОЗК</v>
      </c>
      <c r="G531" s="237"/>
      <c r="H531" s="237" t="str">
        <f>РПЗ!R531</f>
        <v>да</v>
      </c>
      <c r="I531" s="15">
        <f>РПЗ!W531</f>
        <v>0</v>
      </c>
      <c r="J531" s="233">
        <f>РПЗ!X531</f>
        <v>0</v>
      </c>
      <c r="K531" s="283">
        <f>РПЗ!Z531</f>
        <v>0</v>
      </c>
      <c r="L531" s="17"/>
      <c r="M531" s="18">
        <f>РПЗ!O531</f>
        <v>42736.5</v>
      </c>
      <c r="N531" s="238">
        <f>Таблица5[[#This Row],[10]]</f>
        <v>42736.5</v>
      </c>
      <c r="O531" s="17"/>
      <c r="P531" s="17"/>
      <c r="Q531" s="17"/>
      <c r="R531" s="17"/>
      <c r="S531" s="17"/>
      <c r="T531" s="686"/>
      <c r="U531" s="18">
        <f>РПЗ!P531</f>
        <v>43070.5</v>
      </c>
      <c r="V531" s="686"/>
      <c r="W531" s="236">
        <f>РПЗ!L531</f>
        <v>2868133.33</v>
      </c>
      <c r="X531" s="689"/>
      <c r="Y531" s="689"/>
      <c r="Z531" s="690"/>
      <c r="AA531" s="691"/>
      <c r="AB531" s="111"/>
      <c r="AC531" s="17"/>
      <c r="AD531" s="690"/>
      <c r="AE531" s="686"/>
      <c r="AF531" s="474"/>
      <c r="AG531" s="692"/>
      <c r="AH531" s="236" t="str">
        <f>IF(Таблица5[[#This Row],[30]]=0,"НД",Таблица5[[#This Row],[20]]-Таблица5[[#This Row],[30]])</f>
        <v>НД</v>
      </c>
      <c r="AI531" s="511" t="str">
        <f>IF(((1-Таблица5[[#This Row],[30]]/Таблица5[[#This Row],[20]])=1),"НД",(1-Таблица5[[#This Row],[30]]/Таблица5[[#This Row],[20]]))</f>
        <v>НД</v>
      </c>
      <c r="AJ531" s="111"/>
      <c r="AK531" s="111"/>
      <c r="AL531" s="512"/>
      <c r="AM531" s="513"/>
      <c r="AN531" s="465"/>
      <c r="AO531" s="468" t="str">
        <f>РПЗ!AD531</f>
        <v>Нет</v>
      </c>
      <c r="AP531" s="472">
        <f>РПЗ!V531</f>
        <v>0</v>
      </c>
      <c r="AQ531" s="470">
        <f>IF(Таблица5[[#This Row],[11]]=0,,MONTH(Таблица5[[#This Row],[11]]))</f>
        <v>1</v>
      </c>
    </row>
    <row r="532" spans="1:43" ht="128.25" thickBot="1" x14ac:dyDescent="0.3">
      <c r="A532" s="233" t="str">
        <f t="shared" si="8"/>
        <v>1004-2017-00517</v>
      </c>
      <c r="B532" s="233" t="str">
        <f>РПЗ!$D532</f>
        <v xml:space="preserve">1004-2017-00517Поставка Стол  с полкой под оборудование, дополнительной полкой под оборудование, панелью электромонтажной, панелью перфорированной стальной, освещением рабочей поверхности  Классик, VIKING ESD: СР18;   ПО-18-4; ПО-18/1-4; ЭПА-18; ПФП-18; ДЛ-18/А, 1800х700х1500 </v>
      </c>
      <c r="C532" s="233" t="str">
        <f>РПЗ!$AA532</f>
        <v>АО "НИИ "Полюс" им. М.Ф. Стельмаха" тел. отдела закупок 8-495-333-05-02</v>
      </c>
      <c r="D532" s="633" t="str">
        <f>РПЗ!$AB532</f>
        <v>Заказчик</v>
      </c>
      <c r="E532" s="96" t="s">
        <v>46</v>
      </c>
      <c r="F532" s="233" t="str">
        <f>РПЗ!Q532</f>
        <v>ОЗК</v>
      </c>
      <c r="G532" s="237"/>
      <c r="H532" s="237" t="str">
        <f>РПЗ!R532</f>
        <v>да</v>
      </c>
      <c r="I532" s="15">
        <f>РПЗ!W532</f>
        <v>0</v>
      </c>
      <c r="J532" s="233">
        <f>РПЗ!X532</f>
        <v>0</v>
      </c>
      <c r="K532" s="283">
        <f>РПЗ!Z532</f>
        <v>0</v>
      </c>
      <c r="L532" s="17"/>
      <c r="M532" s="18">
        <f>РПЗ!O532</f>
        <v>42736.5</v>
      </c>
      <c r="N532" s="238">
        <f>Таблица5[[#This Row],[10]]</f>
        <v>42736.5</v>
      </c>
      <c r="O532" s="17"/>
      <c r="P532" s="17"/>
      <c r="Q532" s="17"/>
      <c r="R532" s="17"/>
      <c r="S532" s="17"/>
      <c r="T532" s="686"/>
      <c r="U532" s="18">
        <f>РПЗ!P532</f>
        <v>43070.5</v>
      </c>
      <c r="V532" s="686"/>
      <c r="W532" s="236">
        <f>РПЗ!L532</f>
        <v>123033</v>
      </c>
      <c r="X532" s="689"/>
      <c r="Y532" s="689"/>
      <c r="Z532" s="690"/>
      <c r="AA532" s="691"/>
      <c r="AB532" s="111"/>
      <c r="AC532" s="17"/>
      <c r="AD532" s="690"/>
      <c r="AE532" s="686"/>
      <c r="AF532" s="474"/>
      <c r="AG532" s="692"/>
      <c r="AH532" s="236" t="str">
        <f>IF(Таблица5[[#This Row],[30]]=0,"НД",Таблица5[[#This Row],[20]]-Таблица5[[#This Row],[30]])</f>
        <v>НД</v>
      </c>
      <c r="AI532" s="511" t="str">
        <f>IF(((1-Таблица5[[#This Row],[30]]/Таблица5[[#This Row],[20]])=1),"НД",(1-Таблица5[[#This Row],[30]]/Таблица5[[#This Row],[20]]))</f>
        <v>НД</v>
      </c>
      <c r="AJ532" s="111"/>
      <c r="AK532" s="111"/>
      <c r="AL532" s="512"/>
      <c r="AM532" s="513"/>
      <c r="AN532" s="465"/>
      <c r="AO532" s="468" t="str">
        <f>РПЗ!AD532</f>
        <v>Нет</v>
      </c>
      <c r="AP532" s="472">
        <f>РПЗ!V532</f>
        <v>0</v>
      </c>
      <c r="AQ532" s="470">
        <f>IF(Таблица5[[#This Row],[11]]=0,,MONTH(Таблица5[[#This Row],[11]]))</f>
        <v>1</v>
      </c>
    </row>
    <row r="533" spans="1:43" ht="51.75" thickBot="1" x14ac:dyDescent="0.3">
      <c r="A533" s="233" t="str">
        <f t="shared" si="8"/>
        <v>1004-2017-00518</v>
      </c>
      <c r="B533" s="233" t="str">
        <f>РПЗ!$D533</f>
        <v>1004-2017-00518Поставка Стол лабораторный рабочий 1200х650х750мм ЛАБ-PRO СЛн 120.65.75LA</v>
      </c>
      <c r="C533" s="233" t="str">
        <f>РПЗ!$AA533</f>
        <v>АО "НИИ "Полюс" им. М.Ф. Стельмаха" тел. отдела закупок 8-495-333-05-02</v>
      </c>
      <c r="D533" s="633" t="str">
        <f>РПЗ!$AB533</f>
        <v>Заказчик</v>
      </c>
      <c r="E533" s="96" t="s">
        <v>46</v>
      </c>
      <c r="F533" s="233" t="str">
        <f>РПЗ!Q533</f>
        <v>ОЗК</v>
      </c>
      <c r="G533" s="237"/>
      <c r="H533" s="237" t="str">
        <f>РПЗ!R533</f>
        <v>да</v>
      </c>
      <c r="I533" s="15">
        <f>РПЗ!W533</f>
        <v>0</v>
      </c>
      <c r="J533" s="233">
        <f>РПЗ!X533</f>
        <v>0</v>
      </c>
      <c r="K533" s="283">
        <f>РПЗ!Z533</f>
        <v>0</v>
      </c>
      <c r="L533" s="17"/>
      <c r="M533" s="18">
        <f>РПЗ!O533</f>
        <v>42736.5</v>
      </c>
      <c r="N533" s="238">
        <f>Таблица5[[#This Row],[10]]</f>
        <v>42736.5</v>
      </c>
      <c r="O533" s="17"/>
      <c r="P533" s="17"/>
      <c r="Q533" s="17"/>
      <c r="R533" s="17"/>
      <c r="S533" s="17"/>
      <c r="T533" s="686"/>
      <c r="U533" s="18">
        <f>РПЗ!P533</f>
        <v>43070.5</v>
      </c>
      <c r="V533" s="686"/>
      <c r="W533" s="236">
        <f>РПЗ!L533</f>
        <v>268681.28000000003</v>
      </c>
      <c r="X533" s="689"/>
      <c r="Y533" s="689"/>
      <c r="Z533" s="690"/>
      <c r="AA533" s="691"/>
      <c r="AB533" s="111"/>
      <c r="AC533" s="17"/>
      <c r="AD533" s="690"/>
      <c r="AE533" s="686"/>
      <c r="AF533" s="474"/>
      <c r="AG533" s="692"/>
      <c r="AH533" s="236" t="str">
        <f>IF(Таблица5[[#This Row],[30]]=0,"НД",Таблица5[[#This Row],[20]]-Таблица5[[#This Row],[30]])</f>
        <v>НД</v>
      </c>
      <c r="AI533" s="511" t="str">
        <f>IF(((1-Таблица5[[#This Row],[30]]/Таблица5[[#This Row],[20]])=1),"НД",(1-Таблица5[[#This Row],[30]]/Таблица5[[#This Row],[20]]))</f>
        <v>НД</v>
      </c>
      <c r="AJ533" s="111"/>
      <c r="AK533" s="111"/>
      <c r="AL533" s="512"/>
      <c r="AM533" s="513"/>
      <c r="AN533" s="465"/>
      <c r="AO533" s="468" t="str">
        <f>РПЗ!AD533</f>
        <v>Нет</v>
      </c>
      <c r="AP533" s="472">
        <f>РПЗ!V533</f>
        <v>0</v>
      </c>
      <c r="AQ533" s="470">
        <f>IF(Таблица5[[#This Row],[11]]=0,,MONTH(Таблица5[[#This Row],[11]]))</f>
        <v>1</v>
      </c>
    </row>
    <row r="534" spans="1:43" ht="39" thickBot="1" x14ac:dyDescent="0.3">
      <c r="A534" s="233" t="str">
        <f t="shared" si="8"/>
        <v>1004-2017-00519</v>
      </c>
      <c r="B534" s="233" t="str">
        <f>РПЗ!$D534</f>
        <v>1004-2017-00519Поставка Стол монтажный рабочий «Классик» (1200x700) (в комплекте.)</v>
      </c>
      <c r="C534" s="233" t="str">
        <f>РПЗ!$AA534</f>
        <v>АО "НИИ "Полюс" им. М.Ф. Стельмаха" тел. отдела закупок 8-495-333-05-02</v>
      </c>
      <c r="D534" s="633" t="str">
        <f>РПЗ!$AB534</f>
        <v>Заказчик</v>
      </c>
      <c r="E534" s="96" t="s">
        <v>46</v>
      </c>
      <c r="F534" s="233" t="str">
        <f>РПЗ!Q534</f>
        <v>ОЗК</v>
      </c>
      <c r="G534" s="237"/>
      <c r="H534" s="237" t="str">
        <f>РПЗ!R534</f>
        <v>да</v>
      </c>
      <c r="I534" s="15">
        <f>РПЗ!W534</f>
        <v>0</v>
      </c>
      <c r="J534" s="233">
        <f>РПЗ!X534</f>
        <v>0</v>
      </c>
      <c r="K534" s="283">
        <f>РПЗ!Z534</f>
        <v>0</v>
      </c>
      <c r="L534" s="17"/>
      <c r="M534" s="18">
        <f>РПЗ!O534</f>
        <v>42736.5</v>
      </c>
      <c r="N534" s="238">
        <f>Таблица5[[#This Row],[10]]</f>
        <v>42736.5</v>
      </c>
      <c r="O534" s="17"/>
      <c r="P534" s="17"/>
      <c r="Q534" s="17"/>
      <c r="R534" s="17"/>
      <c r="S534" s="17"/>
      <c r="T534" s="686"/>
      <c r="U534" s="18">
        <f>РПЗ!P534</f>
        <v>43070.5</v>
      </c>
      <c r="V534" s="686"/>
      <c r="W534" s="236">
        <f>РПЗ!L534</f>
        <v>205692</v>
      </c>
      <c r="X534" s="689"/>
      <c r="Y534" s="689"/>
      <c r="Z534" s="690"/>
      <c r="AA534" s="691"/>
      <c r="AB534" s="111"/>
      <c r="AC534" s="17"/>
      <c r="AD534" s="690"/>
      <c r="AE534" s="686"/>
      <c r="AF534" s="474"/>
      <c r="AG534" s="692"/>
      <c r="AH534" s="236" t="str">
        <f>IF(Таблица5[[#This Row],[30]]=0,"НД",Таблица5[[#This Row],[20]]-Таблица5[[#This Row],[30]])</f>
        <v>НД</v>
      </c>
      <c r="AI534" s="511" t="str">
        <f>IF(((1-Таблица5[[#This Row],[30]]/Таблица5[[#This Row],[20]])=1),"НД",(1-Таблица5[[#This Row],[30]]/Таблица5[[#This Row],[20]]))</f>
        <v>НД</v>
      </c>
      <c r="AJ534" s="111"/>
      <c r="AK534" s="111"/>
      <c r="AL534" s="512"/>
      <c r="AM534" s="513"/>
      <c r="AN534" s="465"/>
      <c r="AO534" s="468" t="str">
        <f>РПЗ!AD534</f>
        <v>Нет</v>
      </c>
      <c r="AP534" s="472">
        <f>РПЗ!V534</f>
        <v>0</v>
      </c>
      <c r="AQ534" s="470">
        <f>IF(Таблица5[[#This Row],[11]]=0,,MONTH(Таблица5[[#This Row],[11]]))</f>
        <v>1</v>
      </c>
    </row>
    <row r="535" spans="1:43" ht="51.75" thickBot="1" x14ac:dyDescent="0.3">
      <c r="A535" s="233" t="str">
        <f t="shared" si="8"/>
        <v>1004-2017-00520</v>
      </c>
      <c r="B535" s="233" t="str">
        <f>РПЗ!$D535</f>
        <v xml:space="preserve">1004-2017-00520Поставка Стол промышленный рабочий 1500х700 СР-15-7серии КЛАССИК в комплекте. </v>
      </c>
      <c r="C535" s="233" t="str">
        <f>РПЗ!$AA535</f>
        <v>АО "НИИ "Полюс" им. М.Ф. Стельмаха" тел. отдела закупок 8-495-333-05-02</v>
      </c>
      <c r="D535" s="633" t="str">
        <f>РПЗ!$AB535</f>
        <v>Заказчик</v>
      </c>
      <c r="E535" s="96" t="s">
        <v>46</v>
      </c>
      <c r="F535" s="233" t="str">
        <f>РПЗ!Q535</f>
        <v>ОК</v>
      </c>
      <c r="G535" s="237"/>
      <c r="H535" s="237" t="str">
        <f>РПЗ!R535</f>
        <v>да</v>
      </c>
      <c r="I535" s="15">
        <f>РПЗ!W535</f>
        <v>0</v>
      </c>
      <c r="J535" s="233">
        <f>РПЗ!X535</f>
        <v>0</v>
      </c>
      <c r="K535" s="283">
        <f>РПЗ!Z535</f>
        <v>0</v>
      </c>
      <c r="L535" s="17"/>
      <c r="M535" s="18">
        <f>РПЗ!O535</f>
        <v>42736.5</v>
      </c>
      <c r="N535" s="238">
        <f>Таблица5[[#This Row],[10]]</f>
        <v>42736.5</v>
      </c>
      <c r="O535" s="17"/>
      <c r="P535" s="17"/>
      <c r="Q535" s="17"/>
      <c r="R535" s="17"/>
      <c r="S535" s="17"/>
      <c r="T535" s="686"/>
      <c r="U535" s="18">
        <f>РПЗ!P535</f>
        <v>43070.5</v>
      </c>
      <c r="V535" s="686"/>
      <c r="W535" s="236">
        <f>РПЗ!L535</f>
        <v>549582</v>
      </c>
      <c r="X535" s="689"/>
      <c r="Y535" s="689"/>
      <c r="Z535" s="690"/>
      <c r="AA535" s="691"/>
      <c r="AB535" s="111"/>
      <c r="AC535" s="17"/>
      <c r="AD535" s="690"/>
      <c r="AE535" s="686"/>
      <c r="AF535" s="474"/>
      <c r="AG535" s="692"/>
      <c r="AH535" s="236" t="str">
        <f>IF(Таблица5[[#This Row],[30]]=0,"НД",Таблица5[[#This Row],[20]]-Таблица5[[#This Row],[30]])</f>
        <v>НД</v>
      </c>
      <c r="AI535" s="511" t="str">
        <f>IF(((1-Таблица5[[#This Row],[30]]/Таблица5[[#This Row],[20]])=1),"НД",(1-Таблица5[[#This Row],[30]]/Таблица5[[#This Row],[20]]))</f>
        <v>НД</v>
      </c>
      <c r="AJ535" s="111"/>
      <c r="AK535" s="111"/>
      <c r="AL535" s="512"/>
      <c r="AM535" s="513"/>
      <c r="AN535" s="465"/>
      <c r="AO535" s="468" t="str">
        <f>РПЗ!AD535</f>
        <v>Нет</v>
      </c>
      <c r="AP535" s="472">
        <f>РПЗ!V535</f>
        <v>0</v>
      </c>
      <c r="AQ535" s="470">
        <f>IF(Таблица5[[#This Row],[11]]=0,,MONTH(Таблица5[[#This Row],[11]]))</f>
        <v>1</v>
      </c>
    </row>
    <row r="536" spans="1:43" ht="102.75" thickBot="1" x14ac:dyDescent="0.3">
      <c r="A536" s="233" t="str">
        <f t="shared" si="8"/>
        <v>1004-2017-00521</v>
      </c>
      <c r="B536" s="233" t="str">
        <f>РПЗ!$D536</f>
        <v>1004-2017-00521Поставка Стол рабочий 1200х700х750  CP-12 Комфорт RAL-7035,  полка для оборудования ПО-12-3 RAL-7035, панель электромонтажная ЭПА-12 с освещением рабочей поверхности   ДЛ-12/А Комфорт, тумба подкатная ТП-01/S RAL-7035</v>
      </c>
      <c r="C536" s="233" t="str">
        <f>РПЗ!$AA536</f>
        <v>АО "НИИ "Полюс" им. М.Ф. Стельмаха" тел. отдела закупок 8-495-333-05-02</v>
      </c>
      <c r="D536" s="633" t="str">
        <f>РПЗ!$AB536</f>
        <v>Заказчик</v>
      </c>
      <c r="E536" s="96" t="s">
        <v>46</v>
      </c>
      <c r="F536" s="233" t="str">
        <f>РПЗ!Q536</f>
        <v>ОЗК</v>
      </c>
      <c r="G536" s="237"/>
      <c r="H536" s="237" t="str">
        <f>РПЗ!R536</f>
        <v>да</v>
      </c>
      <c r="I536" s="15">
        <f>РПЗ!W536</f>
        <v>0</v>
      </c>
      <c r="J536" s="233">
        <f>РПЗ!X536</f>
        <v>0</v>
      </c>
      <c r="K536" s="283">
        <f>РПЗ!Z536</f>
        <v>0</v>
      </c>
      <c r="L536" s="17"/>
      <c r="M536" s="18">
        <f>РПЗ!O536</f>
        <v>42736.5</v>
      </c>
      <c r="N536" s="238">
        <f>Таблица5[[#This Row],[10]]</f>
        <v>42736.5</v>
      </c>
      <c r="O536" s="17"/>
      <c r="P536" s="17"/>
      <c r="Q536" s="17"/>
      <c r="R536" s="17"/>
      <c r="S536" s="17"/>
      <c r="T536" s="686"/>
      <c r="U536" s="18">
        <f>РПЗ!P536</f>
        <v>43070.5</v>
      </c>
      <c r="V536" s="686"/>
      <c r="W536" s="236">
        <f>РПЗ!L536</f>
        <v>568800</v>
      </c>
      <c r="X536" s="689"/>
      <c r="Y536" s="689"/>
      <c r="Z536" s="690"/>
      <c r="AA536" s="691"/>
      <c r="AB536" s="111"/>
      <c r="AC536" s="17"/>
      <c r="AD536" s="690"/>
      <c r="AE536" s="686"/>
      <c r="AF536" s="474"/>
      <c r="AG536" s="692"/>
      <c r="AH536" s="236" t="str">
        <f>IF(Таблица5[[#This Row],[30]]=0,"НД",Таблица5[[#This Row],[20]]-Таблица5[[#This Row],[30]])</f>
        <v>НД</v>
      </c>
      <c r="AI536" s="511" t="str">
        <f>IF(((1-Таблица5[[#This Row],[30]]/Таблица5[[#This Row],[20]])=1),"НД",(1-Таблица5[[#This Row],[30]]/Таблица5[[#This Row],[20]]))</f>
        <v>НД</v>
      </c>
      <c r="AJ536" s="111"/>
      <c r="AK536" s="111"/>
      <c r="AL536" s="512"/>
      <c r="AM536" s="513"/>
      <c r="AN536" s="465"/>
      <c r="AO536" s="468" t="str">
        <f>РПЗ!AD536</f>
        <v>Нет</v>
      </c>
      <c r="AP536" s="472">
        <f>РПЗ!V536</f>
        <v>0</v>
      </c>
      <c r="AQ536" s="470">
        <f>IF(Таблица5[[#This Row],[11]]=0,,MONTH(Таблица5[[#This Row],[11]]))</f>
        <v>1</v>
      </c>
    </row>
    <row r="537" spans="1:43" ht="39" thickBot="1" x14ac:dyDescent="0.3">
      <c r="A537" s="233" t="str">
        <f t="shared" si="8"/>
        <v>1004-2017-00522</v>
      </c>
      <c r="B537" s="233" t="str">
        <f>РПЗ!$D537</f>
        <v>1004-2017-00522Поставка Стол-мойка ЛАБ-PRO-МО40 120.75.90</v>
      </c>
      <c r="C537" s="233" t="str">
        <f>РПЗ!$AA537</f>
        <v>АО "НИИ "Полюс" им. М.Ф. Стельмаха" тел. отдела закупок 8-495-333-05-02</v>
      </c>
      <c r="D537" s="633" t="str">
        <f>РПЗ!$AB537</f>
        <v>Заказчик</v>
      </c>
      <c r="E537" s="96" t="s">
        <v>46</v>
      </c>
      <c r="F537" s="233" t="str">
        <f>РПЗ!Q537</f>
        <v>ОЗК</v>
      </c>
      <c r="G537" s="237"/>
      <c r="H537" s="237" t="str">
        <f>РПЗ!R537</f>
        <v>да</v>
      </c>
      <c r="I537" s="15">
        <f>РПЗ!W537</f>
        <v>0</v>
      </c>
      <c r="J537" s="233">
        <f>РПЗ!X537</f>
        <v>0</v>
      </c>
      <c r="K537" s="283">
        <f>РПЗ!Z537</f>
        <v>0</v>
      </c>
      <c r="L537" s="17"/>
      <c r="M537" s="18">
        <f>РПЗ!O537</f>
        <v>42736.5</v>
      </c>
      <c r="N537" s="238">
        <f>Таблица5[[#This Row],[10]]</f>
        <v>42736.5</v>
      </c>
      <c r="O537" s="17"/>
      <c r="P537" s="17"/>
      <c r="Q537" s="17"/>
      <c r="R537" s="17"/>
      <c r="S537" s="17"/>
      <c r="T537" s="686"/>
      <c r="U537" s="18">
        <f>РПЗ!P537</f>
        <v>43070.5</v>
      </c>
      <c r="V537" s="686"/>
      <c r="W537" s="236">
        <f>РПЗ!L537</f>
        <v>313569.26</v>
      </c>
      <c r="X537" s="689"/>
      <c r="Y537" s="689"/>
      <c r="Z537" s="690"/>
      <c r="AA537" s="691"/>
      <c r="AB537" s="111"/>
      <c r="AC537" s="17"/>
      <c r="AD537" s="690"/>
      <c r="AE537" s="686"/>
      <c r="AF537" s="474"/>
      <c r="AG537" s="692"/>
      <c r="AH537" s="236" t="str">
        <f>IF(Таблица5[[#This Row],[30]]=0,"НД",Таблица5[[#This Row],[20]]-Таблица5[[#This Row],[30]])</f>
        <v>НД</v>
      </c>
      <c r="AI537" s="511" t="str">
        <f>IF(((1-Таблица5[[#This Row],[30]]/Таблица5[[#This Row],[20]])=1),"НД",(1-Таблица5[[#This Row],[30]]/Таблица5[[#This Row],[20]]))</f>
        <v>НД</v>
      </c>
      <c r="AJ537" s="111"/>
      <c r="AK537" s="111"/>
      <c r="AL537" s="512"/>
      <c r="AM537" s="513"/>
      <c r="AN537" s="465"/>
      <c r="AO537" s="468" t="str">
        <f>РПЗ!AD537</f>
        <v>Нет</v>
      </c>
      <c r="AP537" s="472">
        <f>РПЗ!V537</f>
        <v>0</v>
      </c>
      <c r="AQ537" s="470">
        <f>IF(Таблица5[[#This Row],[11]]=0,,MONTH(Таблица5[[#This Row],[11]]))</f>
        <v>1</v>
      </c>
    </row>
    <row r="538" spans="1:43" ht="39" thickBot="1" x14ac:dyDescent="0.3">
      <c r="A538" s="233" t="str">
        <f t="shared" si="8"/>
        <v>1004-2017-00523</v>
      </c>
      <c r="B538" s="233" t="str">
        <f>РПЗ!$D538</f>
        <v>1004-2017-00523Поставка Стул промышленный СТ-280ПК</v>
      </c>
      <c r="C538" s="233" t="str">
        <f>РПЗ!$AA538</f>
        <v>АО "НИИ "Полюс" им. М.Ф. Стельмаха" тел. отдела закупок 8-495-333-05-02</v>
      </c>
      <c r="D538" s="633" t="str">
        <f>РПЗ!$AB538</f>
        <v>Заказчик</v>
      </c>
      <c r="E538" s="96" t="s">
        <v>46</v>
      </c>
      <c r="F538" s="233" t="str">
        <f>РПЗ!Q538</f>
        <v>ОЗК</v>
      </c>
      <c r="G538" s="237"/>
      <c r="H538" s="237" t="str">
        <f>РПЗ!R538</f>
        <v>да</v>
      </c>
      <c r="I538" s="15">
        <f>РПЗ!W538</f>
        <v>0</v>
      </c>
      <c r="J538" s="233">
        <f>РПЗ!X538</f>
        <v>0</v>
      </c>
      <c r="K538" s="283">
        <f>РПЗ!Z538</f>
        <v>0</v>
      </c>
      <c r="L538" s="17"/>
      <c r="M538" s="18">
        <f>РПЗ!O538</f>
        <v>42736.5</v>
      </c>
      <c r="N538" s="238">
        <f>Таблица5[[#This Row],[10]]</f>
        <v>42736.5</v>
      </c>
      <c r="O538" s="17"/>
      <c r="P538" s="17"/>
      <c r="Q538" s="17"/>
      <c r="R538" s="17"/>
      <c r="S538" s="17"/>
      <c r="T538" s="686"/>
      <c r="U538" s="18">
        <f>РПЗ!P538</f>
        <v>43070.5</v>
      </c>
      <c r="V538" s="686"/>
      <c r="W538" s="236">
        <f>РПЗ!L538</f>
        <v>361350</v>
      </c>
      <c r="X538" s="689"/>
      <c r="Y538" s="689"/>
      <c r="Z538" s="690"/>
      <c r="AA538" s="691"/>
      <c r="AB538" s="111"/>
      <c r="AC538" s="17"/>
      <c r="AD538" s="690"/>
      <c r="AE538" s="686"/>
      <c r="AF538" s="474"/>
      <c r="AG538" s="692"/>
      <c r="AH538" s="236" t="str">
        <f>IF(Таблица5[[#This Row],[30]]=0,"НД",Таблица5[[#This Row],[20]]-Таблица5[[#This Row],[30]])</f>
        <v>НД</v>
      </c>
      <c r="AI538" s="511" t="str">
        <f>IF(((1-Таблица5[[#This Row],[30]]/Таблица5[[#This Row],[20]])=1),"НД",(1-Таблица5[[#This Row],[30]]/Таблица5[[#This Row],[20]]))</f>
        <v>НД</v>
      </c>
      <c r="AJ538" s="111"/>
      <c r="AK538" s="111"/>
      <c r="AL538" s="512"/>
      <c r="AM538" s="513"/>
      <c r="AN538" s="465"/>
      <c r="AO538" s="468" t="str">
        <f>РПЗ!AD538</f>
        <v>Нет</v>
      </c>
      <c r="AP538" s="472">
        <f>РПЗ!V538</f>
        <v>0</v>
      </c>
      <c r="AQ538" s="470">
        <f>IF(Таблица5[[#This Row],[11]]=0,,MONTH(Таблица5[[#This Row],[11]]))</f>
        <v>1</v>
      </c>
    </row>
    <row r="539" spans="1:43" ht="39" thickBot="1" x14ac:dyDescent="0.3">
      <c r="A539" s="233" t="str">
        <f t="shared" si="8"/>
        <v>1004-2017-00524</v>
      </c>
      <c r="B539" s="233" t="str">
        <f>РПЗ!$D539</f>
        <v>1004-2017-00524Поставка Стул промышленный СТ-6 ( винтовой)</v>
      </c>
      <c r="C539" s="233" t="str">
        <f>РПЗ!$AA539</f>
        <v>АО "НИИ "Полюс" им. М.Ф. Стельмаха" тел. отдела закупок 8-495-333-05-02</v>
      </c>
      <c r="D539" s="633" t="str">
        <f>РПЗ!$AB539</f>
        <v>Заказчик</v>
      </c>
      <c r="E539" s="96" t="s">
        <v>46</v>
      </c>
      <c r="F539" s="233" t="str">
        <f>РПЗ!Q539</f>
        <v>ОЗК</v>
      </c>
      <c r="G539" s="237"/>
      <c r="H539" s="237" t="str">
        <f>РПЗ!R539</f>
        <v>да</v>
      </c>
      <c r="I539" s="15">
        <f>РПЗ!W539</f>
        <v>0</v>
      </c>
      <c r="J539" s="233">
        <f>РПЗ!X539</f>
        <v>0</v>
      </c>
      <c r="K539" s="283">
        <f>РПЗ!Z539</f>
        <v>0</v>
      </c>
      <c r="L539" s="17"/>
      <c r="M539" s="18">
        <f>РПЗ!O539</f>
        <v>42736.5</v>
      </c>
      <c r="N539" s="238">
        <f>Таблица5[[#This Row],[10]]</f>
        <v>42736.5</v>
      </c>
      <c r="O539" s="17"/>
      <c r="P539" s="17"/>
      <c r="Q539" s="17"/>
      <c r="R539" s="17"/>
      <c r="S539" s="17"/>
      <c r="T539" s="686"/>
      <c r="U539" s="18">
        <f>РПЗ!P539</f>
        <v>43070.5</v>
      </c>
      <c r="V539" s="686"/>
      <c r="W539" s="236">
        <f>РПЗ!L539</f>
        <v>136372.5</v>
      </c>
      <c r="X539" s="689"/>
      <c r="Y539" s="689"/>
      <c r="Z539" s="690"/>
      <c r="AA539" s="691"/>
      <c r="AB539" s="111"/>
      <c r="AC539" s="17"/>
      <c r="AD539" s="690"/>
      <c r="AE539" s="686"/>
      <c r="AF539" s="474"/>
      <c r="AG539" s="692"/>
      <c r="AH539" s="236" t="str">
        <f>IF(Таблица5[[#This Row],[30]]=0,"НД",Таблица5[[#This Row],[20]]-Таблица5[[#This Row],[30]])</f>
        <v>НД</v>
      </c>
      <c r="AI539" s="511" t="str">
        <f>IF(((1-Таблица5[[#This Row],[30]]/Таблица5[[#This Row],[20]])=1),"НД",(1-Таблица5[[#This Row],[30]]/Таблица5[[#This Row],[20]]))</f>
        <v>НД</v>
      </c>
      <c r="AJ539" s="111"/>
      <c r="AK539" s="111"/>
      <c r="AL539" s="512"/>
      <c r="AM539" s="513"/>
      <c r="AN539" s="465"/>
      <c r="AO539" s="468" t="str">
        <f>РПЗ!AD539</f>
        <v>Нет</v>
      </c>
      <c r="AP539" s="472">
        <f>РПЗ!V539</f>
        <v>0</v>
      </c>
      <c r="AQ539" s="470">
        <f>IF(Таблица5[[#This Row],[11]]=0,,MONTH(Таблица5[[#This Row],[11]]))</f>
        <v>1</v>
      </c>
    </row>
    <row r="540" spans="1:43" ht="39" thickBot="1" x14ac:dyDescent="0.3">
      <c r="A540" s="233" t="str">
        <f t="shared" si="8"/>
        <v>1004-2017-00525</v>
      </c>
      <c r="B540" s="233" t="str">
        <f>РПЗ!$D540</f>
        <v>1004-2017-00525Поставка Тумбочка инструментальная 1000х565х600 ВЛ-017</v>
      </c>
      <c r="C540" s="233" t="str">
        <f>РПЗ!$AA540</f>
        <v>АО "НИИ "Полюс" им. М.Ф. Стельмаха" тел. отдела закупок 8-495-333-05-02</v>
      </c>
      <c r="D540" s="633" t="str">
        <f>РПЗ!$AB540</f>
        <v>Заказчик</v>
      </c>
      <c r="E540" s="96" t="s">
        <v>46</v>
      </c>
      <c r="F540" s="233" t="str">
        <f>РПЗ!Q540</f>
        <v>ОЗК</v>
      </c>
      <c r="G540" s="237"/>
      <c r="H540" s="237" t="str">
        <f>РПЗ!R540</f>
        <v>да</v>
      </c>
      <c r="I540" s="15">
        <f>РПЗ!W540</f>
        <v>0</v>
      </c>
      <c r="J540" s="233">
        <f>РПЗ!X540</f>
        <v>0</v>
      </c>
      <c r="K540" s="283">
        <f>РПЗ!Z540</f>
        <v>0</v>
      </c>
      <c r="L540" s="17"/>
      <c r="M540" s="18">
        <f>РПЗ!O540</f>
        <v>42736.5</v>
      </c>
      <c r="N540" s="238">
        <f>Таблица5[[#This Row],[10]]</f>
        <v>42736.5</v>
      </c>
      <c r="O540" s="17"/>
      <c r="P540" s="17"/>
      <c r="Q540" s="17"/>
      <c r="R540" s="17"/>
      <c r="S540" s="17"/>
      <c r="T540" s="686"/>
      <c r="U540" s="18">
        <f>РПЗ!P540</f>
        <v>43070.5</v>
      </c>
      <c r="V540" s="686"/>
      <c r="W540" s="236">
        <f>РПЗ!L540</f>
        <v>211392</v>
      </c>
      <c r="X540" s="689"/>
      <c r="Y540" s="689"/>
      <c r="Z540" s="690"/>
      <c r="AA540" s="691"/>
      <c r="AB540" s="111"/>
      <c r="AC540" s="17"/>
      <c r="AD540" s="690"/>
      <c r="AE540" s="686"/>
      <c r="AF540" s="474"/>
      <c r="AG540" s="692"/>
      <c r="AH540" s="236" t="str">
        <f>IF(Таблица5[[#This Row],[30]]=0,"НД",Таблица5[[#This Row],[20]]-Таблица5[[#This Row],[30]])</f>
        <v>НД</v>
      </c>
      <c r="AI540" s="511" t="str">
        <f>IF(((1-Таблица5[[#This Row],[30]]/Таблица5[[#This Row],[20]])=1),"НД",(1-Таблица5[[#This Row],[30]]/Таблица5[[#This Row],[20]]))</f>
        <v>НД</v>
      </c>
      <c r="AJ540" s="111"/>
      <c r="AK540" s="111"/>
      <c r="AL540" s="512"/>
      <c r="AM540" s="513"/>
      <c r="AN540" s="465"/>
      <c r="AO540" s="468" t="str">
        <f>РПЗ!AD540</f>
        <v>Нет</v>
      </c>
      <c r="AP540" s="472">
        <f>РПЗ!V540</f>
        <v>0</v>
      </c>
      <c r="AQ540" s="470">
        <f>IF(Таблица5[[#This Row],[11]]=0,,MONTH(Таблица5[[#This Row],[11]]))</f>
        <v>1</v>
      </c>
    </row>
    <row r="541" spans="1:43" ht="77.25" thickBot="1" x14ac:dyDescent="0.3">
      <c r="A541" s="233" t="str">
        <f t="shared" si="8"/>
        <v>1004-2017-00526</v>
      </c>
      <c r="B541" s="233" t="str">
        <f>РПЗ!$D541</f>
        <v>1004-2017-00526Поставка Установка создания кольцевого He-Ne лазера на основе оптического резонатора лазерного гироскопа методом многоступенчатого технологического процесса в комплекте.</v>
      </c>
      <c r="C541" s="233" t="str">
        <f>РПЗ!$AA541</f>
        <v>АО "НИИ "Полюс" им. М.Ф. Стельмаха" тел. отдела закупок 8-495-333-05-02</v>
      </c>
      <c r="D541" s="633" t="str">
        <f>РПЗ!$AB541</f>
        <v>Заказчик</v>
      </c>
      <c r="E541" s="96" t="s">
        <v>46</v>
      </c>
      <c r="F541" s="233" t="str">
        <f>РПЗ!Q541</f>
        <v>ОЗК</v>
      </c>
      <c r="G541" s="237"/>
      <c r="H541" s="237" t="str">
        <f>РПЗ!R541</f>
        <v>да</v>
      </c>
      <c r="I541" s="15">
        <f>РПЗ!W541</f>
        <v>0</v>
      </c>
      <c r="J541" s="233">
        <f>РПЗ!X541</f>
        <v>0</v>
      </c>
      <c r="K541" s="283">
        <f>РПЗ!Z541</f>
        <v>0</v>
      </c>
      <c r="L541" s="17"/>
      <c r="M541" s="18">
        <f>РПЗ!O541</f>
        <v>42736.5</v>
      </c>
      <c r="N541" s="238">
        <f>Таблица5[[#This Row],[10]]</f>
        <v>42736.5</v>
      </c>
      <c r="O541" s="17"/>
      <c r="P541" s="17"/>
      <c r="Q541" s="17"/>
      <c r="R541" s="17"/>
      <c r="S541" s="17"/>
      <c r="T541" s="686"/>
      <c r="U541" s="18">
        <f>РПЗ!P541</f>
        <v>43070.5</v>
      </c>
      <c r="V541" s="686"/>
      <c r="W541" s="236">
        <f>РПЗ!L541</f>
        <v>29197838.350000001</v>
      </c>
      <c r="X541" s="689"/>
      <c r="Y541" s="689"/>
      <c r="Z541" s="690"/>
      <c r="AA541" s="691"/>
      <c r="AB541" s="111"/>
      <c r="AC541" s="17"/>
      <c r="AD541" s="690"/>
      <c r="AE541" s="686"/>
      <c r="AF541" s="474"/>
      <c r="AG541" s="692"/>
      <c r="AH541" s="236" t="str">
        <f>IF(Таблица5[[#This Row],[30]]=0,"НД",Таблица5[[#This Row],[20]]-Таблица5[[#This Row],[30]])</f>
        <v>НД</v>
      </c>
      <c r="AI541" s="511" t="str">
        <f>IF(((1-Таблица5[[#This Row],[30]]/Таблица5[[#This Row],[20]])=1),"НД",(1-Таблица5[[#This Row],[30]]/Таблица5[[#This Row],[20]]))</f>
        <v>НД</v>
      </c>
      <c r="AJ541" s="111"/>
      <c r="AK541" s="111"/>
      <c r="AL541" s="512"/>
      <c r="AM541" s="513"/>
      <c r="AN541" s="465"/>
      <c r="AO541" s="468" t="str">
        <f>РПЗ!AD541</f>
        <v>Нет</v>
      </c>
      <c r="AP541" s="472">
        <f>РПЗ!V541</f>
        <v>0</v>
      </c>
      <c r="AQ541" s="470">
        <f>IF(Таблица5[[#This Row],[11]]=0,,MONTH(Таблица5[[#This Row],[11]]))</f>
        <v>1</v>
      </c>
    </row>
    <row r="542" spans="1:43" ht="90" thickBot="1" x14ac:dyDescent="0.3">
      <c r="A542" s="233" t="str">
        <f t="shared" si="8"/>
        <v>1004-2017-00527</v>
      </c>
      <c r="B542" s="233" t="str">
        <f>РПЗ!$D542</f>
        <v>1004-2017-00527Поставка Установка создания кольцевого He-Ne лазера на основе оптического резонатора лазерного гироскопа методом многоступенчатого технологического процесса с блоком сорбционной емкости в комплекте.</v>
      </c>
      <c r="C542" s="233" t="str">
        <f>РПЗ!$AA542</f>
        <v>АО "НИИ "Полюс" им. М.Ф. Стельмаха" тел. отдела закупок 8-495-333-05-02</v>
      </c>
      <c r="D542" s="633" t="str">
        <f>РПЗ!$AB542</f>
        <v>Заказчик</v>
      </c>
      <c r="E542" s="96" t="s">
        <v>46</v>
      </c>
      <c r="F542" s="233" t="str">
        <f>РПЗ!Q542</f>
        <v>ОЗК</v>
      </c>
      <c r="G542" s="237"/>
      <c r="H542" s="237" t="str">
        <f>РПЗ!R542</f>
        <v>да</v>
      </c>
      <c r="I542" s="15">
        <f>РПЗ!W542</f>
        <v>0</v>
      </c>
      <c r="J542" s="233">
        <f>РПЗ!X542</f>
        <v>0</v>
      </c>
      <c r="K542" s="283">
        <f>РПЗ!Z542</f>
        <v>0</v>
      </c>
      <c r="L542" s="17"/>
      <c r="M542" s="18">
        <f>РПЗ!O542</f>
        <v>42736.5</v>
      </c>
      <c r="N542" s="238">
        <f>Таблица5[[#This Row],[10]]</f>
        <v>42736.5</v>
      </c>
      <c r="O542" s="17"/>
      <c r="P542" s="17"/>
      <c r="Q542" s="17"/>
      <c r="R542" s="17"/>
      <c r="S542" s="17"/>
      <c r="T542" s="686"/>
      <c r="U542" s="18">
        <f>РПЗ!P542</f>
        <v>43070.5</v>
      </c>
      <c r="V542" s="686"/>
      <c r="W542" s="236">
        <f>РПЗ!L542</f>
        <v>30783937.02</v>
      </c>
      <c r="X542" s="689"/>
      <c r="Y542" s="689"/>
      <c r="Z542" s="690"/>
      <c r="AA542" s="691"/>
      <c r="AB542" s="111"/>
      <c r="AC542" s="17"/>
      <c r="AD542" s="690"/>
      <c r="AE542" s="686"/>
      <c r="AF542" s="474"/>
      <c r="AG542" s="692"/>
      <c r="AH542" s="236" t="str">
        <f>IF(Таблица5[[#This Row],[30]]=0,"НД",Таблица5[[#This Row],[20]]-Таблица5[[#This Row],[30]])</f>
        <v>НД</v>
      </c>
      <c r="AI542" s="511" t="str">
        <f>IF(((1-Таблица5[[#This Row],[30]]/Таблица5[[#This Row],[20]])=1),"НД",(1-Таблица5[[#This Row],[30]]/Таблица5[[#This Row],[20]]))</f>
        <v>НД</v>
      </c>
      <c r="AJ542" s="111"/>
      <c r="AK542" s="111"/>
      <c r="AL542" s="512"/>
      <c r="AM542" s="513"/>
      <c r="AN542" s="465"/>
      <c r="AO542" s="468" t="str">
        <f>РПЗ!AD542</f>
        <v>Нет</v>
      </c>
      <c r="AP542" s="472">
        <f>РПЗ!V542</f>
        <v>0</v>
      </c>
      <c r="AQ542" s="470">
        <f>IF(Таблица5[[#This Row],[11]]=0,,MONTH(Таблица5[[#This Row],[11]]))</f>
        <v>1</v>
      </c>
    </row>
    <row r="543" spans="1:43" ht="39" thickBot="1" x14ac:dyDescent="0.3">
      <c r="A543" s="233" t="str">
        <f t="shared" si="8"/>
        <v>1004-2017-00528</v>
      </c>
      <c r="B543" s="233" t="str">
        <f>РПЗ!$D543</f>
        <v>1004-2017-00528Поставка Устройство очистки воздуха УОВ-1200</v>
      </c>
      <c r="C543" s="233" t="str">
        <f>РПЗ!$AA543</f>
        <v>АО "НИИ "Полюс" им. М.Ф. Стельмаха" тел. отдела закупок 8-495-333-05-02</v>
      </c>
      <c r="D543" s="633" t="str">
        <f>РПЗ!$AB543</f>
        <v>Заказчик</v>
      </c>
      <c r="E543" s="96" t="s">
        <v>46</v>
      </c>
      <c r="F543" s="233" t="str">
        <f>РПЗ!Q543</f>
        <v>ОЗК</v>
      </c>
      <c r="G543" s="237"/>
      <c r="H543" s="237" t="str">
        <f>РПЗ!R543</f>
        <v>да</v>
      </c>
      <c r="I543" s="15">
        <f>РПЗ!W543</f>
        <v>0</v>
      </c>
      <c r="J543" s="233">
        <f>РПЗ!X543</f>
        <v>0</v>
      </c>
      <c r="K543" s="283">
        <f>РПЗ!Z543</f>
        <v>0</v>
      </c>
      <c r="L543" s="17"/>
      <c r="M543" s="18">
        <f>РПЗ!O543</f>
        <v>42736.5</v>
      </c>
      <c r="N543" s="238">
        <f>Таблица5[[#This Row],[10]]</f>
        <v>42736.5</v>
      </c>
      <c r="O543" s="17"/>
      <c r="P543" s="17"/>
      <c r="Q543" s="17"/>
      <c r="R543" s="17"/>
      <c r="S543" s="17"/>
      <c r="T543" s="686"/>
      <c r="U543" s="18">
        <f>РПЗ!P543</f>
        <v>43070.5</v>
      </c>
      <c r="V543" s="686"/>
      <c r="W543" s="236">
        <f>РПЗ!L543</f>
        <v>115640</v>
      </c>
      <c r="X543" s="689"/>
      <c r="Y543" s="689"/>
      <c r="Z543" s="690"/>
      <c r="AA543" s="691"/>
      <c r="AB543" s="111"/>
      <c r="AC543" s="17"/>
      <c r="AD543" s="690"/>
      <c r="AE543" s="686"/>
      <c r="AF543" s="474"/>
      <c r="AG543" s="692"/>
      <c r="AH543" s="236" t="str">
        <f>IF(Таблица5[[#This Row],[30]]=0,"НД",Таблица5[[#This Row],[20]]-Таблица5[[#This Row],[30]])</f>
        <v>НД</v>
      </c>
      <c r="AI543" s="511" t="str">
        <f>IF(((1-Таблица5[[#This Row],[30]]/Таблица5[[#This Row],[20]])=1),"НД",(1-Таблица5[[#This Row],[30]]/Таблица5[[#This Row],[20]]))</f>
        <v>НД</v>
      </c>
      <c r="AJ543" s="111"/>
      <c r="AK543" s="111"/>
      <c r="AL543" s="512"/>
      <c r="AM543" s="513"/>
      <c r="AN543" s="465"/>
      <c r="AO543" s="468" t="str">
        <f>РПЗ!AD543</f>
        <v>Нет</v>
      </c>
      <c r="AP543" s="472">
        <f>РПЗ!V543</f>
        <v>0</v>
      </c>
      <c r="AQ543" s="470">
        <f>IF(Таблица5[[#This Row],[11]]=0,,MONTH(Таблица5[[#This Row],[11]]))</f>
        <v>1</v>
      </c>
    </row>
    <row r="544" spans="1:43" ht="39" thickBot="1" x14ac:dyDescent="0.3">
      <c r="A544" s="233" t="str">
        <f t="shared" si="8"/>
        <v>1004-2017-00529</v>
      </c>
      <c r="B544" s="233" t="str">
        <f>РПЗ!$D544</f>
        <v>1004-2017-00529Поставка Шкаф - купе металлический  1800х450х2000 AL 2018</v>
      </c>
      <c r="C544" s="233" t="str">
        <f>РПЗ!$AA544</f>
        <v>АО "НИИ "Полюс" им. М.Ф. Стельмаха" тел. отдела закупок 8-495-333-05-02</v>
      </c>
      <c r="D544" s="633" t="str">
        <f>РПЗ!$AB544</f>
        <v>Заказчик</v>
      </c>
      <c r="E544" s="96" t="s">
        <v>46</v>
      </c>
      <c r="F544" s="233" t="str">
        <f>РПЗ!Q544</f>
        <v>ОЗК</v>
      </c>
      <c r="G544" s="237"/>
      <c r="H544" s="237" t="str">
        <f>РПЗ!R544</f>
        <v>да</v>
      </c>
      <c r="I544" s="15">
        <f>РПЗ!W544</f>
        <v>0</v>
      </c>
      <c r="J544" s="233">
        <f>РПЗ!X544</f>
        <v>0</v>
      </c>
      <c r="K544" s="283">
        <f>РПЗ!Z544</f>
        <v>0</v>
      </c>
      <c r="L544" s="17"/>
      <c r="M544" s="18">
        <f>РПЗ!O544</f>
        <v>42736.5</v>
      </c>
      <c r="N544" s="238">
        <f>Таблица5[[#This Row],[10]]</f>
        <v>42736.5</v>
      </c>
      <c r="O544" s="17"/>
      <c r="P544" s="17"/>
      <c r="Q544" s="17"/>
      <c r="R544" s="17"/>
      <c r="S544" s="17"/>
      <c r="T544" s="686"/>
      <c r="U544" s="18">
        <f>РПЗ!P544</f>
        <v>43070.5</v>
      </c>
      <c r="V544" s="686"/>
      <c r="W544" s="236">
        <f>РПЗ!L544</f>
        <v>107108</v>
      </c>
      <c r="X544" s="689"/>
      <c r="Y544" s="689"/>
      <c r="Z544" s="690"/>
      <c r="AA544" s="691"/>
      <c r="AB544" s="111"/>
      <c r="AC544" s="17"/>
      <c r="AD544" s="690"/>
      <c r="AE544" s="686"/>
      <c r="AF544" s="474"/>
      <c r="AG544" s="692"/>
      <c r="AH544" s="236" t="str">
        <f>IF(Таблица5[[#This Row],[30]]=0,"НД",Таблица5[[#This Row],[20]]-Таблица5[[#This Row],[30]])</f>
        <v>НД</v>
      </c>
      <c r="AI544" s="511" t="str">
        <f>IF(((1-Таблица5[[#This Row],[30]]/Таблица5[[#This Row],[20]])=1),"НД",(1-Таблица5[[#This Row],[30]]/Таблица5[[#This Row],[20]]))</f>
        <v>НД</v>
      </c>
      <c r="AJ544" s="111"/>
      <c r="AK544" s="111"/>
      <c r="AL544" s="512"/>
      <c r="AM544" s="513"/>
      <c r="AN544" s="465"/>
      <c r="AO544" s="468" t="str">
        <f>РПЗ!AD544</f>
        <v>Нет</v>
      </c>
      <c r="AP544" s="472">
        <f>РПЗ!V544</f>
        <v>0</v>
      </c>
      <c r="AQ544" s="470">
        <f>IF(Таблица5[[#This Row],[11]]=0,,MONTH(Таблица5[[#This Row],[11]]))</f>
        <v>1</v>
      </c>
    </row>
    <row r="545" spans="1:43" ht="51.75" thickBot="1" x14ac:dyDescent="0.3">
      <c r="A545" s="233" t="str">
        <f t="shared" si="8"/>
        <v>1004-2017-00530</v>
      </c>
      <c r="B545" s="233" t="str">
        <f>РПЗ!$D545</f>
        <v>1004-2017-00530Поставка Шкаф архивный металлический 1850*850*500 мм ШХА-850(50) в комплекте.</v>
      </c>
      <c r="C545" s="233" t="str">
        <f>РПЗ!$AA545</f>
        <v>АО "НИИ "Полюс" им. М.Ф. Стельмаха" тел. отдела закупок 8-495-333-05-02</v>
      </c>
      <c r="D545" s="633" t="str">
        <f>РПЗ!$AB545</f>
        <v>Заказчик</v>
      </c>
      <c r="E545" s="96" t="s">
        <v>46</v>
      </c>
      <c r="F545" s="233" t="str">
        <f>РПЗ!Q545</f>
        <v>ОЗК</v>
      </c>
      <c r="G545" s="237"/>
      <c r="H545" s="237" t="str">
        <f>РПЗ!R545</f>
        <v>да</v>
      </c>
      <c r="I545" s="15">
        <f>РПЗ!W545</f>
        <v>0</v>
      </c>
      <c r="J545" s="233">
        <f>РПЗ!X545</f>
        <v>0</v>
      </c>
      <c r="K545" s="283">
        <f>РПЗ!Z545</f>
        <v>0</v>
      </c>
      <c r="L545" s="17"/>
      <c r="M545" s="18">
        <f>РПЗ!O545</f>
        <v>42736.5</v>
      </c>
      <c r="N545" s="238">
        <f>Таблица5[[#This Row],[10]]</f>
        <v>42736.5</v>
      </c>
      <c r="O545" s="17"/>
      <c r="P545" s="17"/>
      <c r="Q545" s="17"/>
      <c r="R545" s="17"/>
      <c r="S545" s="17"/>
      <c r="T545" s="686"/>
      <c r="U545" s="18">
        <f>РПЗ!P545</f>
        <v>43070.5</v>
      </c>
      <c r="V545" s="686"/>
      <c r="W545" s="236">
        <f>РПЗ!L545</f>
        <v>275087.5</v>
      </c>
      <c r="X545" s="689"/>
      <c r="Y545" s="689"/>
      <c r="Z545" s="690"/>
      <c r="AA545" s="691"/>
      <c r="AB545" s="111"/>
      <c r="AC545" s="17"/>
      <c r="AD545" s="690"/>
      <c r="AE545" s="686"/>
      <c r="AF545" s="474"/>
      <c r="AG545" s="692"/>
      <c r="AH545" s="236" t="str">
        <f>IF(Таблица5[[#This Row],[30]]=0,"НД",Таблица5[[#This Row],[20]]-Таблица5[[#This Row],[30]])</f>
        <v>НД</v>
      </c>
      <c r="AI545" s="511" t="str">
        <f>IF(((1-Таблица5[[#This Row],[30]]/Таблица5[[#This Row],[20]])=1),"НД",(1-Таблица5[[#This Row],[30]]/Таблица5[[#This Row],[20]]))</f>
        <v>НД</v>
      </c>
      <c r="AJ545" s="111"/>
      <c r="AK545" s="111"/>
      <c r="AL545" s="512"/>
      <c r="AM545" s="513"/>
      <c r="AN545" s="465"/>
      <c r="AO545" s="468" t="str">
        <f>РПЗ!AD545</f>
        <v>Нет</v>
      </c>
      <c r="AP545" s="472">
        <f>РПЗ!V545</f>
        <v>0</v>
      </c>
      <c r="AQ545" s="470">
        <f>IF(Таблица5[[#This Row],[11]]=0,,MONTH(Таблица5[[#This Row],[11]]))</f>
        <v>1</v>
      </c>
    </row>
    <row r="546" spans="1:43" ht="51.75" thickBot="1" x14ac:dyDescent="0.3">
      <c r="A546" s="233" t="str">
        <f t="shared" si="8"/>
        <v>1004-2017-00531</v>
      </c>
      <c r="B546" s="233" t="str">
        <f>РПЗ!$D546</f>
        <v>1004-2017-00531Поставка Шкаф вытяжной для работы с ЛВЖ  1500х750х231мм ЛАБ-PRO ШВЛВЖ 150.75.231 KG</v>
      </c>
      <c r="C546" s="233" t="str">
        <f>РПЗ!$AA546</f>
        <v>АО "НИИ "Полюс" им. М.Ф. Стельмаха" тел. отдела закупок 8-495-333-05-02</v>
      </c>
      <c r="D546" s="633" t="str">
        <f>РПЗ!$AB546</f>
        <v>Заказчик</v>
      </c>
      <c r="E546" s="96" t="s">
        <v>46</v>
      </c>
      <c r="F546" s="233" t="str">
        <f>РПЗ!Q546</f>
        <v>ОК</v>
      </c>
      <c r="G546" s="237"/>
      <c r="H546" s="237" t="str">
        <f>РПЗ!R546</f>
        <v>да</v>
      </c>
      <c r="I546" s="15">
        <f>РПЗ!W546</f>
        <v>0</v>
      </c>
      <c r="J546" s="233">
        <f>РПЗ!X546</f>
        <v>0</v>
      </c>
      <c r="K546" s="283">
        <f>РПЗ!Z546</f>
        <v>0</v>
      </c>
      <c r="L546" s="17"/>
      <c r="M546" s="18">
        <f>РПЗ!O546</f>
        <v>42736.5</v>
      </c>
      <c r="N546" s="238">
        <f>Таблица5[[#This Row],[10]]</f>
        <v>42736.5</v>
      </c>
      <c r="O546" s="17"/>
      <c r="P546" s="17"/>
      <c r="Q546" s="17"/>
      <c r="R546" s="17"/>
      <c r="S546" s="17"/>
      <c r="T546" s="686"/>
      <c r="U546" s="18">
        <f>РПЗ!P546</f>
        <v>43070.5</v>
      </c>
      <c r="V546" s="686"/>
      <c r="W546" s="236">
        <f>РПЗ!L546</f>
        <v>110719</v>
      </c>
      <c r="X546" s="689"/>
      <c r="Y546" s="689"/>
      <c r="Z546" s="690"/>
      <c r="AA546" s="691"/>
      <c r="AB546" s="111"/>
      <c r="AC546" s="17"/>
      <c r="AD546" s="690"/>
      <c r="AE546" s="686"/>
      <c r="AF546" s="474"/>
      <c r="AG546" s="692"/>
      <c r="AH546" s="236" t="str">
        <f>IF(Таблица5[[#This Row],[30]]=0,"НД",Таблица5[[#This Row],[20]]-Таблица5[[#This Row],[30]])</f>
        <v>НД</v>
      </c>
      <c r="AI546" s="511" t="str">
        <f>IF(((1-Таблица5[[#This Row],[30]]/Таблица5[[#This Row],[20]])=1),"НД",(1-Таблица5[[#This Row],[30]]/Таблица5[[#This Row],[20]]))</f>
        <v>НД</v>
      </c>
      <c r="AJ546" s="111"/>
      <c r="AK546" s="111"/>
      <c r="AL546" s="512"/>
      <c r="AM546" s="513"/>
      <c r="AN546" s="465"/>
      <c r="AO546" s="468" t="str">
        <f>РПЗ!AD546</f>
        <v>Нет</v>
      </c>
      <c r="AP546" s="472">
        <f>РПЗ!V546</f>
        <v>0</v>
      </c>
      <c r="AQ546" s="470">
        <f>IF(Таблица5[[#This Row],[11]]=0,,MONTH(Таблица5[[#This Row],[11]]))</f>
        <v>1</v>
      </c>
    </row>
    <row r="547" spans="1:43" ht="39" thickBot="1" x14ac:dyDescent="0.3">
      <c r="A547" s="233" t="str">
        <f t="shared" si="8"/>
        <v>1004-2017-00532</v>
      </c>
      <c r="B547" s="233" t="str">
        <f>РПЗ!$D547</f>
        <v xml:space="preserve">1004-2017-00532Поставка Шкаф вытяжной ЛАБ- РRО ШВ  120.72.225 2П </v>
      </c>
      <c r="C547" s="233" t="str">
        <f>РПЗ!$AA547</f>
        <v>АО "НИИ "Полюс" им. М.Ф. Стельмаха" тел. отдела закупок 8-495-333-05-02</v>
      </c>
      <c r="D547" s="633" t="str">
        <f>РПЗ!$AB547</f>
        <v>Заказчик</v>
      </c>
      <c r="E547" s="96" t="s">
        <v>46</v>
      </c>
      <c r="F547" s="233" t="str">
        <f>РПЗ!Q547</f>
        <v>ОК</v>
      </c>
      <c r="G547" s="237"/>
      <c r="H547" s="237" t="str">
        <f>РПЗ!R547</f>
        <v>да</v>
      </c>
      <c r="I547" s="15">
        <f>РПЗ!W547</f>
        <v>0</v>
      </c>
      <c r="J547" s="233">
        <f>РПЗ!X547</f>
        <v>0</v>
      </c>
      <c r="K547" s="283">
        <f>РПЗ!Z547</f>
        <v>0</v>
      </c>
      <c r="L547" s="17"/>
      <c r="M547" s="18">
        <f>РПЗ!O547</f>
        <v>42736.5</v>
      </c>
      <c r="N547" s="238">
        <f>Таблица5[[#This Row],[10]]</f>
        <v>42736.5</v>
      </c>
      <c r="O547" s="17"/>
      <c r="P547" s="17"/>
      <c r="Q547" s="17"/>
      <c r="R547" s="17"/>
      <c r="S547" s="17"/>
      <c r="T547" s="686"/>
      <c r="U547" s="18">
        <f>РПЗ!P547</f>
        <v>43070.5</v>
      </c>
      <c r="V547" s="686"/>
      <c r="W547" s="236">
        <f>РПЗ!L547</f>
        <v>184332.05</v>
      </c>
      <c r="X547" s="689"/>
      <c r="Y547" s="689"/>
      <c r="Z547" s="690"/>
      <c r="AA547" s="691"/>
      <c r="AB547" s="111"/>
      <c r="AC547" s="17"/>
      <c r="AD547" s="690"/>
      <c r="AE547" s="686"/>
      <c r="AF547" s="474"/>
      <c r="AG547" s="692"/>
      <c r="AH547" s="236" t="str">
        <f>IF(Таблица5[[#This Row],[30]]=0,"НД",Таблица5[[#This Row],[20]]-Таблица5[[#This Row],[30]])</f>
        <v>НД</v>
      </c>
      <c r="AI547" s="511" t="str">
        <f>IF(((1-Таблица5[[#This Row],[30]]/Таблица5[[#This Row],[20]])=1),"НД",(1-Таблица5[[#This Row],[30]]/Таблица5[[#This Row],[20]]))</f>
        <v>НД</v>
      </c>
      <c r="AJ547" s="111"/>
      <c r="AK547" s="111"/>
      <c r="AL547" s="512"/>
      <c r="AM547" s="513"/>
      <c r="AN547" s="465"/>
      <c r="AO547" s="468" t="str">
        <f>РПЗ!AD547</f>
        <v>Нет</v>
      </c>
      <c r="AP547" s="472">
        <f>РПЗ!V547</f>
        <v>0</v>
      </c>
      <c r="AQ547" s="470">
        <f>IF(Таблица5[[#This Row],[11]]=0,,MONTH(Таблица5[[#This Row],[11]]))</f>
        <v>1</v>
      </c>
    </row>
    <row r="548" spans="1:43" ht="39" thickBot="1" x14ac:dyDescent="0.3">
      <c r="A548" s="233" t="str">
        <f t="shared" si="8"/>
        <v>1004-2017-00533</v>
      </c>
      <c r="B548" s="233" t="str">
        <f>РПЗ!$D548</f>
        <v>1004-2017-00533Поставка Шкаф вытяжной ЛАБ-PRO ШВ 180.80.225SS</v>
      </c>
      <c r="C548" s="233" t="str">
        <f>РПЗ!$AA548</f>
        <v>АО "НИИ "Полюс" им. М.Ф. Стельмаха" тел. отдела закупок 8-495-333-05-02</v>
      </c>
      <c r="D548" s="633" t="str">
        <f>РПЗ!$AB548</f>
        <v>Заказчик</v>
      </c>
      <c r="E548" s="96" t="s">
        <v>46</v>
      </c>
      <c r="F548" s="233" t="str">
        <f>РПЗ!Q548</f>
        <v>ОЗК</v>
      </c>
      <c r="G548" s="237"/>
      <c r="H548" s="237" t="str">
        <f>РПЗ!R548</f>
        <v>да</v>
      </c>
      <c r="I548" s="15">
        <f>РПЗ!W548</f>
        <v>0</v>
      </c>
      <c r="J548" s="233">
        <f>РПЗ!X548</f>
        <v>0</v>
      </c>
      <c r="K548" s="283">
        <f>РПЗ!Z548</f>
        <v>0</v>
      </c>
      <c r="L548" s="17"/>
      <c r="M548" s="18">
        <f>РПЗ!O548</f>
        <v>42736.5</v>
      </c>
      <c r="N548" s="238">
        <f>Таблица5[[#This Row],[10]]</f>
        <v>42736.5</v>
      </c>
      <c r="O548" s="17"/>
      <c r="P548" s="17"/>
      <c r="Q548" s="17"/>
      <c r="R548" s="17"/>
      <c r="S548" s="17"/>
      <c r="T548" s="686"/>
      <c r="U548" s="18">
        <f>РПЗ!P548</f>
        <v>43070.5</v>
      </c>
      <c r="V548" s="686"/>
      <c r="W548" s="236">
        <f>РПЗ!L548</f>
        <v>172980</v>
      </c>
      <c r="X548" s="689"/>
      <c r="Y548" s="689"/>
      <c r="Z548" s="690"/>
      <c r="AA548" s="691"/>
      <c r="AB548" s="111"/>
      <c r="AC548" s="17"/>
      <c r="AD548" s="690"/>
      <c r="AE548" s="686"/>
      <c r="AF548" s="474"/>
      <c r="AG548" s="692"/>
      <c r="AH548" s="236" t="str">
        <f>IF(Таблица5[[#This Row],[30]]=0,"НД",Таблица5[[#This Row],[20]]-Таблица5[[#This Row],[30]])</f>
        <v>НД</v>
      </c>
      <c r="AI548" s="511" t="str">
        <f>IF(((1-Таблица5[[#This Row],[30]]/Таблица5[[#This Row],[20]])=1),"НД",(1-Таблица5[[#This Row],[30]]/Таблица5[[#This Row],[20]]))</f>
        <v>НД</v>
      </c>
      <c r="AJ548" s="111"/>
      <c r="AK548" s="111"/>
      <c r="AL548" s="512"/>
      <c r="AM548" s="513"/>
      <c r="AN548" s="465"/>
      <c r="AO548" s="468" t="str">
        <f>РПЗ!AD548</f>
        <v>Нет</v>
      </c>
      <c r="AP548" s="472">
        <f>РПЗ!V548</f>
        <v>0</v>
      </c>
      <c r="AQ548" s="470">
        <f>IF(Таблица5[[#This Row],[11]]=0,,MONTH(Таблица5[[#This Row],[11]]))</f>
        <v>1</v>
      </c>
    </row>
    <row r="549" spans="1:43" ht="39" thickBot="1" x14ac:dyDescent="0.3">
      <c r="A549" s="233" t="str">
        <f t="shared" si="8"/>
        <v>1004-2017-00534</v>
      </c>
      <c r="B549" s="233" t="str">
        <f>РПЗ!$D549</f>
        <v>1004-2017-00534Поставка Шкаф для баллонов ЛАБ-PRO ШМБ 60.50.193</v>
      </c>
      <c r="C549" s="233" t="str">
        <f>РПЗ!$AA549</f>
        <v>АО "НИИ "Полюс" им. М.Ф. Стельмаха" тел. отдела закупок 8-495-333-05-02</v>
      </c>
      <c r="D549" s="633" t="str">
        <f>РПЗ!$AB549</f>
        <v>Заказчик</v>
      </c>
      <c r="E549" s="96" t="s">
        <v>46</v>
      </c>
      <c r="F549" s="233" t="str">
        <f>РПЗ!Q549</f>
        <v>ОЗК</v>
      </c>
      <c r="G549" s="237"/>
      <c r="H549" s="237" t="str">
        <f>РПЗ!R549</f>
        <v>да</v>
      </c>
      <c r="I549" s="15">
        <f>РПЗ!W549</f>
        <v>0</v>
      </c>
      <c r="J549" s="233">
        <f>РПЗ!X549</f>
        <v>0</v>
      </c>
      <c r="K549" s="283">
        <f>РПЗ!Z549</f>
        <v>0</v>
      </c>
      <c r="L549" s="17"/>
      <c r="M549" s="18">
        <f>РПЗ!O549</f>
        <v>42736.5</v>
      </c>
      <c r="N549" s="238">
        <f>Таблица5[[#This Row],[10]]</f>
        <v>42736.5</v>
      </c>
      <c r="O549" s="17"/>
      <c r="P549" s="17"/>
      <c r="Q549" s="17"/>
      <c r="R549" s="17"/>
      <c r="S549" s="17"/>
      <c r="T549" s="686"/>
      <c r="U549" s="18">
        <f>РПЗ!P549</f>
        <v>43070.5</v>
      </c>
      <c r="V549" s="686"/>
      <c r="W549" s="236">
        <f>РПЗ!L549</f>
        <v>274557.59999999998</v>
      </c>
      <c r="X549" s="689"/>
      <c r="Y549" s="689"/>
      <c r="Z549" s="690"/>
      <c r="AA549" s="691"/>
      <c r="AB549" s="111"/>
      <c r="AC549" s="17"/>
      <c r="AD549" s="690"/>
      <c r="AE549" s="686"/>
      <c r="AF549" s="474"/>
      <c r="AG549" s="692"/>
      <c r="AH549" s="236" t="str">
        <f>IF(Таблица5[[#This Row],[30]]=0,"НД",Таблица5[[#This Row],[20]]-Таблица5[[#This Row],[30]])</f>
        <v>НД</v>
      </c>
      <c r="AI549" s="511" t="str">
        <f>IF(((1-Таблица5[[#This Row],[30]]/Таблица5[[#This Row],[20]])=1),"НД",(1-Таблица5[[#This Row],[30]]/Таблица5[[#This Row],[20]]))</f>
        <v>НД</v>
      </c>
      <c r="AJ549" s="111"/>
      <c r="AK549" s="111"/>
      <c r="AL549" s="512"/>
      <c r="AM549" s="513"/>
      <c r="AN549" s="465"/>
      <c r="AO549" s="468" t="str">
        <f>РПЗ!AD549</f>
        <v>Нет</v>
      </c>
      <c r="AP549" s="472">
        <f>РПЗ!V549</f>
        <v>0</v>
      </c>
      <c r="AQ549" s="470">
        <f>IF(Таблица5[[#This Row],[11]]=0,,MONTH(Таблица5[[#This Row],[11]]))</f>
        <v>1</v>
      </c>
    </row>
    <row r="550" spans="1:43" ht="51.75" thickBot="1" x14ac:dyDescent="0.3">
      <c r="A550" s="233" t="str">
        <f t="shared" si="8"/>
        <v>1004-2017-00535</v>
      </c>
      <c r="B550" s="233" t="str">
        <f>РПЗ!$D550</f>
        <v>1004-2017-00535Поставка Шкаф металлический (1850x500x400) ШРМ-11(400) окраска RAL 7035, светло-серая</v>
      </c>
      <c r="C550" s="233" t="str">
        <f>РПЗ!$AA550</f>
        <v>АО "НИИ "Полюс" им. М.Ф. Стельмаха" тел. отдела закупок 8-495-333-05-02</v>
      </c>
      <c r="D550" s="633" t="str">
        <f>РПЗ!$AB550</f>
        <v>Заказчик</v>
      </c>
      <c r="E550" s="96" t="s">
        <v>46</v>
      </c>
      <c r="F550" s="233" t="str">
        <f>РПЗ!Q550</f>
        <v>ОЗК</v>
      </c>
      <c r="G550" s="237"/>
      <c r="H550" s="237" t="str">
        <f>РПЗ!R550</f>
        <v>да</v>
      </c>
      <c r="I550" s="15">
        <f>РПЗ!W550</f>
        <v>0</v>
      </c>
      <c r="J550" s="233">
        <f>РПЗ!X550</f>
        <v>0</v>
      </c>
      <c r="K550" s="283">
        <f>РПЗ!Z550</f>
        <v>0</v>
      </c>
      <c r="L550" s="17"/>
      <c r="M550" s="18">
        <f>РПЗ!O550</f>
        <v>42736.5</v>
      </c>
      <c r="N550" s="238">
        <f>Таблица5[[#This Row],[10]]</f>
        <v>42736.5</v>
      </c>
      <c r="O550" s="17"/>
      <c r="P550" s="17"/>
      <c r="Q550" s="17"/>
      <c r="R550" s="17"/>
      <c r="S550" s="17"/>
      <c r="T550" s="686"/>
      <c r="U550" s="18">
        <f>РПЗ!P550</f>
        <v>43070.5</v>
      </c>
      <c r="V550" s="686"/>
      <c r="W550" s="236">
        <f>РПЗ!L550</f>
        <v>225150</v>
      </c>
      <c r="X550" s="689"/>
      <c r="Y550" s="689"/>
      <c r="Z550" s="690"/>
      <c r="AA550" s="691"/>
      <c r="AB550" s="111"/>
      <c r="AC550" s="17"/>
      <c r="AD550" s="690"/>
      <c r="AE550" s="686"/>
      <c r="AF550" s="474"/>
      <c r="AG550" s="692"/>
      <c r="AH550" s="236" t="str">
        <f>IF(Таблица5[[#This Row],[30]]=0,"НД",Таблица5[[#This Row],[20]]-Таблица5[[#This Row],[30]])</f>
        <v>НД</v>
      </c>
      <c r="AI550" s="511" t="str">
        <f>IF(((1-Таблица5[[#This Row],[30]]/Таблица5[[#This Row],[20]])=1),"НД",(1-Таблица5[[#This Row],[30]]/Таблица5[[#This Row],[20]]))</f>
        <v>НД</v>
      </c>
      <c r="AJ550" s="111"/>
      <c r="AK550" s="111"/>
      <c r="AL550" s="512"/>
      <c r="AM550" s="513"/>
      <c r="AN550" s="465"/>
      <c r="AO550" s="468" t="str">
        <f>РПЗ!AD550</f>
        <v>Нет</v>
      </c>
      <c r="AP550" s="472">
        <f>РПЗ!V550</f>
        <v>0</v>
      </c>
      <c r="AQ550" s="470">
        <f>IF(Таблица5[[#This Row],[11]]=0,,MONTH(Таблица5[[#This Row],[11]]))</f>
        <v>1</v>
      </c>
    </row>
    <row r="551" spans="1:43" ht="51.75" thickBot="1" x14ac:dyDescent="0.3">
      <c r="A551" s="233" t="str">
        <f t="shared" si="8"/>
        <v>1004-2017-00536</v>
      </c>
      <c r="B551" s="233" t="str">
        <f>РПЗ!$D551</f>
        <v>1004-2017-00536Поставка Шкаф металлический (1850x600x490) ШР-22-60 окраска RAL 7035, светло-серая</v>
      </c>
      <c r="C551" s="233" t="str">
        <f>РПЗ!$AA551</f>
        <v>АО "НИИ "Полюс" им. М.Ф. Стельмаха" тел. отдела закупок 8-495-333-05-02</v>
      </c>
      <c r="D551" s="633" t="str">
        <f>РПЗ!$AB551</f>
        <v>Заказчик</v>
      </c>
      <c r="E551" s="96" t="s">
        <v>46</v>
      </c>
      <c r="F551" s="233" t="str">
        <f>РПЗ!Q551</f>
        <v>ОЗК</v>
      </c>
      <c r="G551" s="237"/>
      <c r="H551" s="237" t="str">
        <f>РПЗ!R551</f>
        <v>да</v>
      </c>
      <c r="I551" s="15">
        <f>РПЗ!W551</f>
        <v>0</v>
      </c>
      <c r="J551" s="233">
        <f>РПЗ!X551</f>
        <v>0</v>
      </c>
      <c r="K551" s="283">
        <f>РПЗ!Z551</f>
        <v>0</v>
      </c>
      <c r="L551" s="17"/>
      <c r="M551" s="18">
        <f>РПЗ!O551</f>
        <v>42736.5</v>
      </c>
      <c r="N551" s="238">
        <f>Таблица5[[#This Row],[10]]</f>
        <v>42736.5</v>
      </c>
      <c r="O551" s="17"/>
      <c r="P551" s="17"/>
      <c r="Q551" s="17"/>
      <c r="R551" s="17"/>
      <c r="S551" s="17"/>
      <c r="T551" s="686"/>
      <c r="U551" s="18">
        <f>РПЗ!P551</f>
        <v>43070.5</v>
      </c>
      <c r="V551" s="686"/>
      <c r="W551" s="236">
        <f>РПЗ!L551</f>
        <v>510185</v>
      </c>
      <c r="X551" s="689"/>
      <c r="Y551" s="689"/>
      <c r="Z551" s="690"/>
      <c r="AA551" s="691"/>
      <c r="AB551" s="111"/>
      <c r="AC551" s="17"/>
      <c r="AD551" s="690"/>
      <c r="AE551" s="686"/>
      <c r="AF551" s="474"/>
      <c r="AG551" s="692"/>
      <c r="AH551" s="236" t="str">
        <f>IF(Таблица5[[#This Row],[30]]=0,"НД",Таблица5[[#This Row],[20]]-Таблица5[[#This Row],[30]])</f>
        <v>НД</v>
      </c>
      <c r="AI551" s="511" t="str">
        <f>IF(((1-Таблица5[[#This Row],[30]]/Таблица5[[#This Row],[20]])=1),"НД",(1-Таблица5[[#This Row],[30]]/Таблица5[[#This Row],[20]]))</f>
        <v>НД</v>
      </c>
      <c r="AJ551" s="111"/>
      <c r="AK551" s="111"/>
      <c r="AL551" s="512"/>
      <c r="AM551" s="513"/>
      <c r="AN551" s="465"/>
      <c r="AO551" s="468" t="str">
        <f>РПЗ!AD551</f>
        <v>Нет</v>
      </c>
      <c r="AP551" s="472">
        <f>РПЗ!V551</f>
        <v>0</v>
      </c>
      <c r="AQ551" s="470">
        <f>IF(Таблица5[[#This Row],[11]]=0,,MONTH(Таблица5[[#This Row],[11]]))</f>
        <v>1</v>
      </c>
    </row>
    <row r="552" spans="1:43" ht="39" thickBot="1" x14ac:dyDescent="0.3">
      <c r="A552" s="233" t="str">
        <f t="shared" si="8"/>
        <v>1004-2017-00537</v>
      </c>
      <c r="B552" s="233" t="str">
        <f>РПЗ!$D552</f>
        <v>1004-2017-00537Поставка Шкаф общелабораторный металлический ЛАБ-PRO ШМЛ 60.50.195</v>
      </c>
      <c r="C552" s="233" t="str">
        <f>РПЗ!$AA552</f>
        <v>АО "НИИ "Полюс" им. М.Ф. Стельмаха" тел. отдела закупок 8-495-333-05-02</v>
      </c>
      <c r="D552" s="633" t="str">
        <f>РПЗ!$AB552</f>
        <v>Заказчик</v>
      </c>
      <c r="E552" s="96" t="s">
        <v>46</v>
      </c>
      <c r="F552" s="233" t="str">
        <f>РПЗ!Q552</f>
        <v>ОЗК</v>
      </c>
      <c r="G552" s="237"/>
      <c r="H552" s="237" t="str">
        <f>РПЗ!R552</f>
        <v>да</v>
      </c>
      <c r="I552" s="15">
        <f>РПЗ!W552</f>
        <v>0</v>
      </c>
      <c r="J552" s="233">
        <f>РПЗ!X552</f>
        <v>0</v>
      </c>
      <c r="K552" s="283">
        <f>РПЗ!Z552</f>
        <v>0</v>
      </c>
      <c r="L552" s="17"/>
      <c r="M552" s="18">
        <f>РПЗ!O552</f>
        <v>42736.5</v>
      </c>
      <c r="N552" s="238">
        <f>Таблица5[[#This Row],[10]]</f>
        <v>42736.5</v>
      </c>
      <c r="O552" s="17"/>
      <c r="P552" s="17"/>
      <c r="Q552" s="17"/>
      <c r="R552" s="17"/>
      <c r="S552" s="17"/>
      <c r="T552" s="686"/>
      <c r="U552" s="18">
        <f>РПЗ!P552</f>
        <v>43070.5</v>
      </c>
      <c r="V552" s="686"/>
      <c r="W552" s="236">
        <f>РПЗ!L552</f>
        <v>375028.13</v>
      </c>
      <c r="X552" s="689"/>
      <c r="Y552" s="689"/>
      <c r="Z552" s="690"/>
      <c r="AA552" s="691"/>
      <c r="AB552" s="111"/>
      <c r="AC552" s="17"/>
      <c r="AD552" s="690"/>
      <c r="AE552" s="686"/>
      <c r="AF552" s="474"/>
      <c r="AG552" s="692"/>
      <c r="AH552" s="236" t="str">
        <f>IF(Таблица5[[#This Row],[30]]=0,"НД",Таблица5[[#This Row],[20]]-Таблица5[[#This Row],[30]])</f>
        <v>НД</v>
      </c>
      <c r="AI552" s="511" t="str">
        <f>IF(((1-Таблица5[[#This Row],[30]]/Таблица5[[#This Row],[20]])=1),"НД",(1-Таблица5[[#This Row],[30]]/Таблица5[[#This Row],[20]]))</f>
        <v>НД</v>
      </c>
      <c r="AJ552" s="111"/>
      <c r="AK552" s="111"/>
      <c r="AL552" s="512"/>
      <c r="AM552" s="513"/>
      <c r="AN552" s="465"/>
      <c r="AO552" s="468" t="str">
        <f>РПЗ!AD552</f>
        <v>Нет</v>
      </c>
      <c r="AP552" s="472">
        <f>РПЗ!V552</f>
        <v>0</v>
      </c>
      <c r="AQ552" s="470">
        <f>IF(Таблица5[[#This Row],[11]]=0,,MONTH(Таблица5[[#This Row],[11]]))</f>
        <v>1</v>
      </c>
    </row>
    <row r="553" spans="1:43" ht="39" thickBot="1" x14ac:dyDescent="0.3">
      <c r="A553" s="233" t="str">
        <f t="shared" si="8"/>
        <v>1004-2017-00538</v>
      </c>
      <c r="B553" s="233" t="str">
        <f>РПЗ!$D553</f>
        <v>1004-2017-00538Поставка Шкаф общелабораторный металлический ЛАБ-PRO ШМЛ 60.50.195</v>
      </c>
      <c r="C553" s="233" t="str">
        <f>РПЗ!$AA553</f>
        <v>АО "НИИ "Полюс" им. М.Ф. Стельмаха" тел. отдела закупок 8-495-333-05-02</v>
      </c>
      <c r="D553" s="633" t="str">
        <f>РПЗ!$AB553</f>
        <v>Заказчик</v>
      </c>
      <c r="E553" s="96" t="s">
        <v>46</v>
      </c>
      <c r="F553" s="233" t="str">
        <f>РПЗ!Q553</f>
        <v>ОЗК</v>
      </c>
      <c r="G553" s="237"/>
      <c r="H553" s="237" t="str">
        <f>РПЗ!R553</f>
        <v>да</v>
      </c>
      <c r="I553" s="15">
        <f>РПЗ!W553</f>
        <v>0</v>
      </c>
      <c r="J553" s="233">
        <f>РПЗ!X553</f>
        <v>0</v>
      </c>
      <c r="K553" s="283">
        <f>РПЗ!Z553</f>
        <v>0</v>
      </c>
      <c r="L553" s="17"/>
      <c r="M553" s="18">
        <f>РПЗ!O553</f>
        <v>42736.5</v>
      </c>
      <c r="N553" s="238">
        <f>Таблица5[[#This Row],[10]]</f>
        <v>42736.5</v>
      </c>
      <c r="O553" s="17"/>
      <c r="P553" s="17"/>
      <c r="Q553" s="17"/>
      <c r="R553" s="17"/>
      <c r="S553" s="17"/>
      <c r="T553" s="686"/>
      <c r="U553" s="18">
        <f>РПЗ!P553</f>
        <v>43070.5</v>
      </c>
      <c r="V553" s="686"/>
      <c r="W553" s="236">
        <f>РПЗ!L553</f>
        <v>213430.1</v>
      </c>
      <c r="X553" s="689"/>
      <c r="Y553" s="689"/>
      <c r="Z553" s="690"/>
      <c r="AA553" s="691"/>
      <c r="AB553" s="111"/>
      <c r="AC553" s="17"/>
      <c r="AD553" s="690"/>
      <c r="AE553" s="686"/>
      <c r="AF553" s="474"/>
      <c r="AG553" s="692"/>
      <c r="AH553" s="236" t="str">
        <f>IF(Таблица5[[#This Row],[30]]=0,"НД",Таблица5[[#This Row],[20]]-Таблица5[[#This Row],[30]])</f>
        <v>НД</v>
      </c>
      <c r="AI553" s="511" t="str">
        <f>IF(((1-Таблица5[[#This Row],[30]]/Таблица5[[#This Row],[20]])=1),"НД",(1-Таблица5[[#This Row],[30]]/Таблица5[[#This Row],[20]]))</f>
        <v>НД</v>
      </c>
      <c r="AJ553" s="111"/>
      <c r="AK553" s="111"/>
      <c r="AL553" s="512"/>
      <c r="AM553" s="513"/>
      <c r="AN553" s="465"/>
      <c r="AO553" s="468" t="str">
        <f>РПЗ!AD553</f>
        <v>Нет</v>
      </c>
      <c r="AP553" s="472">
        <f>РПЗ!V553</f>
        <v>0</v>
      </c>
      <c r="AQ553" s="470">
        <f>IF(Таблица5[[#This Row],[11]]=0,,MONTH(Таблица5[[#This Row],[11]]))</f>
        <v>1</v>
      </c>
    </row>
    <row r="554" spans="1:43" ht="39" thickBot="1" x14ac:dyDescent="0.3">
      <c r="A554" s="233" t="str">
        <f t="shared" si="8"/>
        <v>1004-2017-00539</v>
      </c>
      <c r="B554" s="233" t="str">
        <f>РПЗ!$D554</f>
        <v>1004-2017-00539Поставка Интерферометр для контроля на плану Opto TL-250 пл</v>
      </c>
      <c r="C554" s="233" t="str">
        <f>РПЗ!$AA554</f>
        <v>АО "НИИ "Полюс" им. М.Ф. Стельмаха" тел. отдела закупок 8-495-333-05-02</v>
      </c>
      <c r="D554" s="633" t="str">
        <f>РПЗ!$AB554</f>
        <v>Заказчик</v>
      </c>
      <c r="E554" s="96" t="s">
        <v>46</v>
      </c>
      <c r="F554" s="233" t="str">
        <f>РПЗ!Q554</f>
        <v>ОЗК</v>
      </c>
      <c r="G554" s="237"/>
      <c r="H554" s="237" t="str">
        <f>РПЗ!R554</f>
        <v>да</v>
      </c>
      <c r="I554" s="15">
        <f>РПЗ!W554</f>
        <v>0</v>
      </c>
      <c r="J554" s="233">
        <f>РПЗ!X554</f>
        <v>0</v>
      </c>
      <c r="K554" s="283">
        <f>РПЗ!Z554</f>
        <v>0</v>
      </c>
      <c r="L554" s="17"/>
      <c r="M554" s="18">
        <f>РПЗ!O554</f>
        <v>42736.5</v>
      </c>
      <c r="N554" s="238">
        <f>Таблица5[[#This Row],[10]]</f>
        <v>42736.5</v>
      </c>
      <c r="O554" s="17"/>
      <c r="P554" s="17"/>
      <c r="Q554" s="17"/>
      <c r="R554" s="17"/>
      <c r="S554" s="17"/>
      <c r="T554" s="686"/>
      <c r="U554" s="18">
        <f>РПЗ!P554</f>
        <v>43070.5</v>
      </c>
      <c r="V554" s="686"/>
      <c r="W554" s="236">
        <f>РПЗ!L554</f>
        <v>3928707.27</v>
      </c>
      <c r="X554" s="689"/>
      <c r="Y554" s="689"/>
      <c r="Z554" s="690"/>
      <c r="AA554" s="691"/>
      <c r="AB554" s="111"/>
      <c r="AC554" s="17"/>
      <c r="AD554" s="690"/>
      <c r="AE554" s="686"/>
      <c r="AF554" s="474"/>
      <c r="AG554" s="692"/>
      <c r="AH554" s="236" t="str">
        <f>IF(Таблица5[[#This Row],[30]]=0,"НД",Таблица5[[#This Row],[20]]-Таблица5[[#This Row],[30]])</f>
        <v>НД</v>
      </c>
      <c r="AI554" s="511" t="str">
        <f>IF(((1-Таблица5[[#This Row],[30]]/Таблица5[[#This Row],[20]])=1),"НД",(1-Таблица5[[#This Row],[30]]/Таблица5[[#This Row],[20]]))</f>
        <v>НД</v>
      </c>
      <c r="AJ554" s="111"/>
      <c r="AK554" s="111"/>
      <c r="AL554" s="512"/>
      <c r="AM554" s="513"/>
      <c r="AN554" s="465"/>
      <c r="AO554" s="468" t="str">
        <f>РПЗ!AD554</f>
        <v>Нет</v>
      </c>
      <c r="AP554" s="472">
        <f>РПЗ!V554</f>
        <v>0</v>
      </c>
      <c r="AQ554" s="470">
        <f>IF(Таблица5[[#This Row],[11]]=0,,MONTH(Таблица5[[#This Row],[11]]))</f>
        <v>1</v>
      </c>
    </row>
    <row r="555" spans="1:43" ht="51.75" thickBot="1" x14ac:dyDescent="0.3">
      <c r="A555" s="233" t="str">
        <f t="shared" si="8"/>
        <v>1004-2017-00540</v>
      </c>
      <c r="B555" s="233" t="str">
        <f>РПЗ!$D555</f>
        <v>1004-2017-00540Поставка Контрольно-испытательное рабочее место КИС-20МТ модифицированное, (в комплекте.)</v>
      </c>
      <c r="C555" s="233" t="str">
        <f>РПЗ!$AA555</f>
        <v>АО "НИИ "Полюс" им. М.Ф. Стельмаха" тел. отдела закупок 8-495-333-05-02</v>
      </c>
      <c r="D555" s="633" t="str">
        <f>РПЗ!$AB555</f>
        <v>Заказчик</v>
      </c>
      <c r="E555" s="96" t="s">
        <v>46</v>
      </c>
      <c r="F555" s="233" t="str">
        <f>РПЗ!Q555</f>
        <v>ОЗК</v>
      </c>
      <c r="G555" s="237"/>
      <c r="H555" s="237" t="str">
        <f>РПЗ!R555</f>
        <v>да</v>
      </c>
      <c r="I555" s="15">
        <f>РПЗ!W555</f>
        <v>0</v>
      </c>
      <c r="J555" s="233">
        <f>РПЗ!X555</f>
        <v>0</v>
      </c>
      <c r="K555" s="283">
        <f>РПЗ!Z555</f>
        <v>0</v>
      </c>
      <c r="L555" s="17"/>
      <c r="M555" s="18">
        <f>РПЗ!O555</f>
        <v>42736.5</v>
      </c>
      <c r="N555" s="238">
        <f>Таблица5[[#This Row],[10]]</f>
        <v>42736.5</v>
      </c>
      <c r="O555" s="17"/>
      <c r="P555" s="17"/>
      <c r="Q555" s="17"/>
      <c r="R555" s="17"/>
      <c r="S555" s="17"/>
      <c r="T555" s="686"/>
      <c r="U555" s="18">
        <f>РПЗ!P555</f>
        <v>43070.5</v>
      </c>
      <c r="V555" s="686"/>
      <c r="W555" s="236">
        <f>РПЗ!L555</f>
        <v>9138758.75</v>
      </c>
      <c r="X555" s="689"/>
      <c r="Y555" s="689"/>
      <c r="Z555" s="690"/>
      <c r="AA555" s="691"/>
      <c r="AB555" s="111"/>
      <c r="AC555" s="17"/>
      <c r="AD555" s="690"/>
      <c r="AE555" s="686"/>
      <c r="AF555" s="474"/>
      <c r="AG555" s="692"/>
      <c r="AH555" s="236" t="str">
        <f>IF(Таблица5[[#This Row],[30]]=0,"НД",Таблица5[[#This Row],[20]]-Таблица5[[#This Row],[30]])</f>
        <v>НД</v>
      </c>
      <c r="AI555" s="511" t="str">
        <f>IF(((1-Таблица5[[#This Row],[30]]/Таблица5[[#This Row],[20]])=1),"НД",(1-Таблица5[[#This Row],[30]]/Таблица5[[#This Row],[20]]))</f>
        <v>НД</v>
      </c>
      <c r="AJ555" s="111"/>
      <c r="AK555" s="111"/>
      <c r="AL555" s="512"/>
      <c r="AM555" s="513"/>
      <c r="AN555" s="465"/>
      <c r="AO555" s="468" t="str">
        <f>РПЗ!AD555</f>
        <v>Нет</v>
      </c>
      <c r="AP555" s="472">
        <f>РПЗ!V555</f>
        <v>0</v>
      </c>
      <c r="AQ555" s="470">
        <f>IF(Таблица5[[#This Row],[11]]=0,,MONTH(Таблица5[[#This Row],[11]]))</f>
        <v>1</v>
      </c>
    </row>
    <row r="556" spans="1:43" ht="39" thickBot="1" x14ac:dyDescent="0.3">
      <c r="A556" s="233" t="str">
        <f t="shared" si="8"/>
        <v>1004-2017-00541</v>
      </c>
      <c r="B556" s="233" t="str">
        <f>РПЗ!$D556</f>
        <v>1004-2017-00541Поставка Печь вакуумная "Вега-7"</v>
      </c>
      <c r="C556" s="233" t="str">
        <f>РПЗ!$AA556</f>
        <v>АО "НИИ "Полюс" им. М.Ф. Стельмаха" тел. отдела закупок 8-495-333-05-02</v>
      </c>
      <c r="D556" s="633" t="str">
        <f>РПЗ!$AB556</f>
        <v>Заказчик</v>
      </c>
      <c r="E556" s="96" t="s">
        <v>46</v>
      </c>
      <c r="F556" s="233" t="str">
        <f>РПЗ!Q556</f>
        <v>ОЗК</v>
      </c>
      <c r="G556" s="237"/>
      <c r="H556" s="237" t="str">
        <f>РПЗ!R556</f>
        <v>да</v>
      </c>
      <c r="I556" s="15">
        <f>РПЗ!W556</f>
        <v>0</v>
      </c>
      <c r="J556" s="233">
        <f>РПЗ!X556</f>
        <v>0</v>
      </c>
      <c r="K556" s="283">
        <f>РПЗ!Z556</f>
        <v>0</v>
      </c>
      <c r="L556" s="17"/>
      <c r="M556" s="18">
        <f>РПЗ!O556</f>
        <v>42736.5</v>
      </c>
      <c r="N556" s="238">
        <f>Таблица5[[#This Row],[10]]</f>
        <v>42736.5</v>
      </c>
      <c r="O556" s="17"/>
      <c r="P556" s="17"/>
      <c r="Q556" s="17"/>
      <c r="R556" s="17"/>
      <c r="S556" s="17"/>
      <c r="T556" s="686"/>
      <c r="U556" s="18">
        <f>РПЗ!P556</f>
        <v>43070.5</v>
      </c>
      <c r="V556" s="686"/>
      <c r="W556" s="236">
        <f>РПЗ!L556</f>
        <v>13774405.460000001</v>
      </c>
      <c r="X556" s="689"/>
      <c r="Y556" s="689"/>
      <c r="Z556" s="690"/>
      <c r="AA556" s="691"/>
      <c r="AB556" s="111"/>
      <c r="AC556" s="17"/>
      <c r="AD556" s="690"/>
      <c r="AE556" s="686"/>
      <c r="AF556" s="474"/>
      <c r="AG556" s="692"/>
      <c r="AH556" s="236" t="str">
        <f>IF(Таблица5[[#This Row],[30]]=0,"НД",Таблица5[[#This Row],[20]]-Таблица5[[#This Row],[30]])</f>
        <v>НД</v>
      </c>
      <c r="AI556" s="511" t="str">
        <f>IF(((1-Таблица5[[#This Row],[30]]/Таблица5[[#This Row],[20]])=1),"НД",(1-Таблица5[[#This Row],[30]]/Таблица5[[#This Row],[20]]))</f>
        <v>НД</v>
      </c>
      <c r="AJ556" s="111"/>
      <c r="AK556" s="111"/>
      <c r="AL556" s="512"/>
      <c r="AM556" s="513"/>
      <c r="AN556" s="465"/>
      <c r="AO556" s="468" t="str">
        <f>РПЗ!AD556</f>
        <v>Нет</v>
      </c>
      <c r="AP556" s="472">
        <f>РПЗ!V556</f>
        <v>0</v>
      </c>
      <c r="AQ556" s="470">
        <f>IF(Таблица5[[#This Row],[11]]=0,,MONTH(Таблица5[[#This Row],[11]]))</f>
        <v>1</v>
      </c>
    </row>
    <row r="557" spans="1:43" ht="51.75" thickBot="1" x14ac:dyDescent="0.3">
      <c r="A557" s="233" t="str">
        <f t="shared" si="8"/>
        <v>1004-2017-00542</v>
      </c>
      <c r="B557" s="233" t="str">
        <f>РПЗ!$D557</f>
        <v>1004-2017-00542Поставка Рабочее место пайки и термической обработки "ножки" на основе вакуумной камерной печи</v>
      </c>
      <c r="C557" s="233" t="str">
        <f>РПЗ!$AA557</f>
        <v>АО "НИИ "Полюс" им. М.Ф. Стельмаха" тел. отдела закупок 8-495-333-05-02</v>
      </c>
      <c r="D557" s="633" t="str">
        <f>РПЗ!$AB557</f>
        <v>Заказчик</v>
      </c>
      <c r="E557" s="96" t="s">
        <v>46</v>
      </c>
      <c r="F557" s="233" t="str">
        <f>РПЗ!Q557</f>
        <v>ОЗК</v>
      </c>
      <c r="G557" s="237"/>
      <c r="H557" s="237" t="str">
        <f>РПЗ!R557</f>
        <v>да</v>
      </c>
      <c r="I557" s="15">
        <f>РПЗ!W557</f>
        <v>0</v>
      </c>
      <c r="J557" s="233">
        <f>РПЗ!X557</f>
        <v>0</v>
      </c>
      <c r="K557" s="283">
        <f>РПЗ!Z557</f>
        <v>0</v>
      </c>
      <c r="L557" s="17"/>
      <c r="M557" s="18">
        <f>РПЗ!O557</f>
        <v>42736.5</v>
      </c>
      <c r="N557" s="238">
        <f>Таблица5[[#This Row],[10]]</f>
        <v>42736.5</v>
      </c>
      <c r="O557" s="17"/>
      <c r="P557" s="17"/>
      <c r="Q557" s="17"/>
      <c r="R557" s="17"/>
      <c r="S557" s="17"/>
      <c r="T557" s="686"/>
      <c r="U557" s="18">
        <f>РПЗ!P557</f>
        <v>43070.5</v>
      </c>
      <c r="V557" s="686"/>
      <c r="W557" s="236">
        <f>РПЗ!L557</f>
        <v>12548979.029999999</v>
      </c>
      <c r="X557" s="689"/>
      <c r="Y557" s="689"/>
      <c r="Z557" s="690"/>
      <c r="AA557" s="691"/>
      <c r="AB557" s="111"/>
      <c r="AC557" s="17"/>
      <c r="AD557" s="690"/>
      <c r="AE557" s="686"/>
      <c r="AF557" s="474"/>
      <c r="AG557" s="692"/>
      <c r="AH557" s="236" t="str">
        <f>IF(Таблица5[[#This Row],[30]]=0,"НД",Таблица5[[#This Row],[20]]-Таблица5[[#This Row],[30]])</f>
        <v>НД</v>
      </c>
      <c r="AI557" s="511" t="str">
        <f>IF(((1-Таблица5[[#This Row],[30]]/Таблица5[[#This Row],[20]])=1),"НД",(1-Таблица5[[#This Row],[30]]/Таблица5[[#This Row],[20]]))</f>
        <v>НД</v>
      </c>
      <c r="AJ557" s="111"/>
      <c r="AK557" s="111"/>
      <c r="AL557" s="512"/>
      <c r="AM557" s="513"/>
      <c r="AN557" s="465"/>
      <c r="AO557" s="468" t="str">
        <f>РПЗ!AD557</f>
        <v>Нет</v>
      </c>
      <c r="AP557" s="472">
        <f>РПЗ!V557</f>
        <v>0</v>
      </c>
      <c r="AQ557" s="470">
        <f>IF(Таблица5[[#This Row],[11]]=0,,MONTH(Таблица5[[#This Row],[11]]))</f>
        <v>1</v>
      </c>
    </row>
    <row r="558" spans="1:43" ht="64.5" thickBot="1" x14ac:dyDescent="0.3">
      <c r="A558" s="233" t="str">
        <f t="shared" si="8"/>
        <v>1004-2017-00543</v>
      </c>
      <c r="B558" s="233" t="str">
        <f>РПЗ!$D558</f>
        <v xml:space="preserve">1004-2017-00543Поставка Специальный фрезерный станок с УЧПУ для обработки деталей из ситалла модели ФС-300-05 в комплекте </v>
      </c>
      <c r="C558" s="233" t="str">
        <f>РПЗ!$AA558</f>
        <v>АО "НИИ "Полюс" им. М.Ф. Стельмаха" тел. отдела закупок 8-495-333-05-02</v>
      </c>
      <c r="D558" s="633" t="str">
        <f>РПЗ!$AB558</f>
        <v>Заказчик</v>
      </c>
      <c r="E558" s="96" t="s">
        <v>46</v>
      </c>
      <c r="F558" s="233" t="str">
        <f>РПЗ!Q558</f>
        <v>ОЗК</v>
      </c>
      <c r="G558" s="237"/>
      <c r="H558" s="237" t="str">
        <f>РПЗ!R558</f>
        <v>да</v>
      </c>
      <c r="I558" s="15">
        <f>РПЗ!W558</f>
        <v>0</v>
      </c>
      <c r="J558" s="233">
        <f>РПЗ!X558</f>
        <v>0</v>
      </c>
      <c r="K558" s="283">
        <f>РПЗ!Z558</f>
        <v>0</v>
      </c>
      <c r="L558" s="17"/>
      <c r="M558" s="18">
        <f>РПЗ!O558</f>
        <v>42736.5</v>
      </c>
      <c r="N558" s="238">
        <f>Таблица5[[#This Row],[10]]</f>
        <v>42736.5</v>
      </c>
      <c r="O558" s="17"/>
      <c r="P558" s="17"/>
      <c r="Q558" s="17"/>
      <c r="R558" s="17"/>
      <c r="S558" s="17"/>
      <c r="T558" s="686"/>
      <c r="U558" s="18">
        <f>РПЗ!P558</f>
        <v>43070.5</v>
      </c>
      <c r="V558" s="686"/>
      <c r="W558" s="236">
        <f>РПЗ!L558</f>
        <v>80468838.709999993</v>
      </c>
      <c r="X558" s="689"/>
      <c r="Y558" s="689"/>
      <c r="Z558" s="690"/>
      <c r="AA558" s="691"/>
      <c r="AB558" s="111"/>
      <c r="AC558" s="17"/>
      <c r="AD558" s="690"/>
      <c r="AE558" s="686"/>
      <c r="AF558" s="474"/>
      <c r="AG558" s="692"/>
      <c r="AH558" s="236" t="str">
        <f>IF(Таблица5[[#This Row],[30]]=0,"НД",Таблица5[[#This Row],[20]]-Таблица5[[#This Row],[30]])</f>
        <v>НД</v>
      </c>
      <c r="AI558" s="511" t="str">
        <f>IF(((1-Таблица5[[#This Row],[30]]/Таблица5[[#This Row],[20]])=1),"НД",(1-Таблица5[[#This Row],[30]]/Таблица5[[#This Row],[20]]))</f>
        <v>НД</v>
      </c>
      <c r="AJ558" s="111"/>
      <c r="AK558" s="111"/>
      <c r="AL558" s="512"/>
      <c r="AM558" s="513"/>
      <c r="AN558" s="465"/>
      <c r="AO558" s="468" t="str">
        <f>РПЗ!AD558</f>
        <v>Нет</v>
      </c>
      <c r="AP558" s="472">
        <f>РПЗ!V558</f>
        <v>0</v>
      </c>
      <c r="AQ558" s="470">
        <f>IF(Таблица5[[#This Row],[11]]=0,,MONTH(Таблица5[[#This Row],[11]]))</f>
        <v>1</v>
      </c>
    </row>
    <row r="559" spans="1:43" ht="39" thickBot="1" x14ac:dyDescent="0.3">
      <c r="A559" s="233" t="str">
        <f t="shared" si="8"/>
        <v>1004-2017-00544</v>
      </c>
      <c r="B559" s="233" t="str">
        <f>РПЗ!$D559</f>
        <v>1004-2017-00544Поставка Статический гониометр СГ-1Ц</v>
      </c>
      <c r="C559" s="233" t="str">
        <f>РПЗ!$AA559</f>
        <v>АО "НИИ "Полюс" им. М.Ф. Стельмаха" тел. отдела закупок 8-495-333-05-02</v>
      </c>
      <c r="D559" s="633" t="str">
        <f>РПЗ!$AB559</f>
        <v>Заказчик</v>
      </c>
      <c r="E559" s="96" t="s">
        <v>46</v>
      </c>
      <c r="F559" s="233" t="str">
        <f>РПЗ!Q559</f>
        <v>ОЗК</v>
      </c>
      <c r="G559" s="237"/>
      <c r="H559" s="237" t="str">
        <f>РПЗ!R559</f>
        <v>да</v>
      </c>
      <c r="I559" s="15">
        <f>РПЗ!W559</f>
        <v>0</v>
      </c>
      <c r="J559" s="233">
        <f>РПЗ!X559</f>
        <v>0</v>
      </c>
      <c r="K559" s="283">
        <f>РПЗ!Z559</f>
        <v>0</v>
      </c>
      <c r="L559" s="17"/>
      <c r="M559" s="18">
        <f>РПЗ!O559</f>
        <v>42736.5</v>
      </c>
      <c r="N559" s="238">
        <f>Таблица5[[#This Row],[10]]</f>
        <v>42736.5</v>
      </c>
      <c r="O559" s="17"/>
      <c r="P559" s="17"/>
      <c r="Q559" s="17"/>
      <c r="R559" s="17"/>
      <c r="S559" s="17"/>
      <c r="T559" s="686"/>
      <c r="U559" s="18">
        <f>РПЗ!P559</f>
        <v>43070.5</v>
      </c>
      <c r="V559" s="686"/>
      <c r="W559" s="236">
        <f>РПЗ!L559</f>
        <v>5721588.0899999999</v>
      </c>
      <c r="X559" s="689"/>
      <c r="Y559" s="689"/>
      <c r="Z559" s="690"/>
      <c r="AA559" s="691"/>
      <c r="AB559" s="111"/>
      <c r="AC559" s="17"/>
      <c r="AD559" s="690"/>
      <c r="AE559" s="686"/>
      <c r="AF559" s="474"/>
      <c r="AG559" s="692"/>
      <c r="AH559" s="236" t="str">
        <f>IF(Таблица5[[#This Row],[30]]=0,"НД",Таблица5[[#This Row],[20]]-Таблица5[[#This Row],[30]])</f>
        <v>НД</v>
      </c>
      <c r="AI559" s="511" t="str">
        <f>IF(((1-Таблица5[[#This Row],[30]]/Таблица5[[#This Row],[20]])=1),"НД",(1-Таблица5[[#This Row],[30]]/Таблица5[[#This Row],[20]]))</f>
        <v>НД</v>
      </c>
      <c r="AJ559" s="111"/>
      <c r="AK559" s="111"/>
      <c r="AL559" s="512"/>
      <c r="AM559" s="513"/>
      <c r="AN559" s="465"/>
      <c r="AO559" s="468" t="str">
        <f>РПЗ!AD559</f>
        <v>Нет</v>
      </c>
      <c r="AP559" s="472">
        <f>РПЗ!V559</f>
        <v>0</v>
      </c>
      <c r="AQ559" s="470">
        <f>IF(Таблица5[[#This Row],[11]]=0,,MONTH(Таблица5[[#This Row],[11]]))</f>
        <v>1</v>
      </c>
    </row>
    <row r="560" spans="1:43" ht="51.75" thickBot="1" x14ac:dyDescent="0.3">
      <c r="A560" s="233" t="str">
        <f t="shared" si="8"/>
        <v>1004-2017-00545</v>
      </c>
      <c r="B560" s="233" t="str">
        <f>РПЗ!$D560</f>
        <v>1004-2017-00545Поставка Установка круглошлифовальная  КОЗ-100 для обработки оптического стекла и стеклокерамики (РФ)</v>
      </c>
      <c r="C560" s="233" t="str">
        <f>РПЗ!$AA560</f>
        <v>АО "НИИ "Полюс" им. М.Ф. Стельмаха" тел. отдела закупок 8-495-333-05-02</v>
      </c>
      <c r="D560" s="633" t="str">
        <f>РПЗ!$AB560</f>
        <v>Заказчик</v>
      </c>
      <c r="E560" s="96" t="s">
        <v>46</v>
      </c>
      <c r="F560" s="233" t="str">
        <f>РПЗ!Q560</f>
        <v>ОК</v>
      </c>
      <c r="G560" s="237"/>
      <c r="H560" s="237" t="str">
        <f>РПЗ!R560</f>
        <v>да</v>
      </c>
      <c r="I560" s="15">
        <f>РПЗ!W560</f>
        <v>0</v>
      </c>
      <c r="J560" s="233">
        <f>РПЗ!X560</f>
        <v>0</v>
      </c>
      <c r="K560" s="283">
        <f>РПЗ!Z560</f>
        <v>0</v>
      </c>
      <c r="L560" s="17"/>
      <c r="M560" s="18">
        <f>РПЗ!O560</f>
        <v>42736.5</v>
      </c>
      <c r="N560" s="238">
        <f>Таблица5[[#This Row],[10]]</f>
        <v>42736.5</v>
      </c>
      <c r="O560" s="17"/>
      <c r="P560" s="17"/>
      <c r="Q560" s="17"/>
      <c r="R560" s="17"/>
      <c r="S560" s="17"/>
      <c r="T560" s="686"/>
      <c r="U560" s="18">
        <f>РПЗ!P560</f>
        <v>43070.5</v>
      </c>
      <c r="V560" s="686"/>
      <c r="W560" s="236">
        <f>РПЗ!L560</f>
        <v>7204962.7800000003</v>
      </c>
      <c r="X560" s="689"/>
      <c r="Y560" s="689"/>
      <c r="Z560" s="690"/>
      <c r="AA560" s="691"/>
      <c r="AB560" s="111"/>
      <c r="AC560" s="17"/>
      <c r="AD560" s="690"/>
      <c r="AE560" s="686"/>
      <c r="AF560" s="474"/>
      <c r="AG560" s="692"/>
      <c r="AH560" s="236" t="str">
        <f>IF(Таблица5[[#This Row],[30]]=0,"НД",Таблица5[[#This Row],[20]]-Таблица5[[#This Row],[30]])</f>
        <v>НД</v>
      </c>
      <c r="AI560" s="511" t="str">
        <f>IF(((1-Таблица5[[#This Row],[30]]/Таблица5[[#This Row],[20]])=1),"НД",(1-Таблица5[[#This Row],[30]]/Таблица5[[#This Row],[20]]))</f>
        <v>НД</v>
      </c>
      <c r="AJ560" s="111"/>
      <c r="AK560" s="111"/>
      <c r="AL560" s="512"/>
      <c r="AM560" s="513"/>
      <c r="AN560" s="465"/>
      <c r="AO560" s="468" t="str">
        <f>РПЗ!AD560</f>
        <v>Нет</v>
      </c>
      <c r="AP560" s="472">
        <f>РПЗ!V560</f>
        <v>0</v>
      </c>
      <c r="AQ560" s="470">
        <f>IF(Таблица5[[#This Row],[11]]=0,,MONTH(Таблица5[[#This Row],[11]]))</f>
        <v>1</v>
      </c>
    </row>
    <row r="561" spans="1:43" ht="51.75" thickBot="1" x14ac:dyDescent="0.3">
      <c r="A561" s="233" t="str">
        <f t="shared" si="8"/>
        <v>1004-2017-00546</v>
      </c>
      <c r="B561" s="233" t="str">
        <f>РПЗ!$D561</f>
        <v>1004-2017-00546Поставка Установка распиловочная РОЗ-250 для обработки оптического стекла и стеклокерамики (РФ)</v>
      </c>
      <c r="C561" s="233" t="str">
        <f>РПЗ!$AA561</f>
        <v>АО "НИИ "Полюс" им. М.Ф. Стельмаха" тел. отдела закупок 8-495-333-05-02</v>
      </c>
      <c r="D561" s="633" t="str">
        <f>РПЗ!$AB561</f>
        <v>Заказчик</v>
      </c>
      <c r="E561" s="96" t="s">
        <v>46</v>
      </c>
      <c r="F561" s="233" t="str">
        <f>РПЗ!Q561</f>
        <v>ОК</v>
      </c>
      <c r="G561" s="237"/>
      <c r="H561" s="237" t="str">
        <f>РПЗ!R561</f>
        <v>да</v>
      </c>
      <c r="I561" s="15">
        <f>РПЗ!W561</f>
        <v>0</v>
      </c>
      <c r="J561" s="233">
        <f>РПЗ!X561</f>
        <v>0</v>
      </c>
      <c r="K561" s="283">
        <f>РПЗ!Z561</f>
        <v>0</v>
      </c>
      <c r="L561" s="17"/>
      <c r="M561" s="18">
        <f>РПЗ!O561</f>
        <v>42736.5</v>
      </c>
      <c r="N561" s="238">
        <f>Таблица5[[#This Row],[10]]</f>
        <v>42736.5</v>
      </c>
      <c r="O561" s="17"/>
      <c r="P561" s="17"/>
      <c r="Q561" s="17"/>
      <c r="R561" s="17"/>
      <c r="S561" s="17"/>
      <c r="T561" s="686"/>
      <c r="U561" s="18">
        <f>РПЗ!P561</f>
        <v>43070.5</v>
      </c>
      <c r="V561" s="686"/>
      <c r="W561" s="236">
        <f>РПЗ!L561</f>
        <v>5234193.55</v>
      </c>
      <c r="X561" s="689"/>
      <c r="Y561" s="689"/>
      <c r="Z561" s="690"/>
      <c r="AA561" s="691"/>
      <c r="AB561" s="111"/>
      <c r="AC561" s="17"/>
      <c r="AD561" s="690"/>
      <c r="AE561" s="686"/>
      <c r="AF561" s="474"/>
      <c r="AG561" s="692"/>
      <c r="AH561" s="236" t="str">
        <f>IF(Таблица5[[#This Row],[30]]=0,"НД",Таблица5[[#This Row],[20]]-Таблица5[[#This Row],[30]])</f>
        <v>НД</v>
      </c>
      <c r="AI561" s="511" t="str">
        <f>IF(((1-Таблица5[[#This Row],[30]]/Таблица5[[#This Row],[20]])=1),"НД",(1-Таблица5[[#This Row],[30]]/Таблица5[[#This Row],[20]]))</f>
        <v>НД</v>
      </c>
      <c r="AJ561" s="111"/>
      <c r="AK561" s="111"/>
      <c r="AL561" s="512"/>
      <c r="AM561" s="513"/>
      <c r="AN561" s="465"/>
      <c r="AO561" s="468" t="str">
        <f>РПЗ!AD561</f>
        <v>Нет</v>
      </c>
      <c r="AP561" s="472">
        <f>РПЗ!V561</f>
        <v>0</v>
      </c>
      <c r="AQ561" s="470">
        <f>IF(Таблица5[[#This Row],[11]]=0,,MONTH(Таблица5[[#This Row],[11]]))</f>
        <v>1</v>
      </c>
    </row>
    <row r="562" spans="1:43" ht="51.75" thickBot="1" x14ac:dyDescent="0.3">
      <c r="A562" s="233" t="str">
        <f t="shared" si="8"/>
        <v>1004-2017-00547</v>
      </c>
      <c r="B562" s="233" t="str">
        <f>РПЗ!$D562</f>
        <v>1004-2017-00547Поставка Четырёхканальный оптоволоконный спектрометр AvaSpec-ULS2048L-4-USB2, Нидерланды</v>
      </c>
      <c r="C562" s="233" t="str">
        <f>РПЗ!$AA562</f>
        <v>АО "НИИ "Полюс" им. М.Ф. Стельмаха" тел. отдела закупок 8-495-333-05-02</v>
      </c>
      <c r="D562" s="633" t="str">
        <f>РПЗ!$AB562</f>
        <v>Заказчик</v>
      </c>
      <c r="E562" s="96" t="s">
        <v>46</v>
      </c>
      <c r="F562" s="233" t="str">
        <f>РПЗ!Q562</f>
        <v>ОК</v>
      </c>
      <c r="G562" s="237"/>
      <c r="H562" s="237" t="str">
        <f>РПЗ!R562</f>
        <v>да</v>
      </c>
      <c r="I562" s="15">
        <f>РПЗ!W562</f>
        <v>0</v>
      </c>
      <c r="J562" s="233">
        <f>РПЗ!X562</f>
        <v>0</v>
      </c>
      <c r="K562" s="283">
        <f>РПЗ!Z562</f>
        <v>0</v>
      </c>
      <c r="L562" s="17"/>
      <c r="M562" s="18">
        <f>РПЗ!O562</f>
        <v>42736.5</v>
      </c>
      <c r="N562" s="238">
        <f>Таблица5[[#This Row],[10]]</f>
        <v>42736.5</v>
      </c>
      <c r="O562" s="17"/>
      <c r="P562" s="17"/>
      <c r="Q562" s="17"/>
      <c r="R562" s="17"/>
      <c r="S562" s="17"/>
      <c r="T562" s="686"/>
      <c r="U562" s="18">
        <f>РПЗ!P562</f>
        <v>43070.5</v>
      </c>
      <c r="V562" s="686"/>
      <c r="W562" s="236">
        <f>РПЗ!L562</f>
        <v>1349920</v>
      </c>
      <c r="X562" s="689"/>
      <c r="Y562" s="689"/>
      <c r="Z562" s="690"/>
      <c r="AA562" s="691"/>
      <c r="AB562" s="111"/>
      <c r="AC562" s="17"/>
      <c r="AD562" s="690"/>
      <c r="AE562" s="686"/>
      <c r="AF562" s="474"/>
      <c r="AG562" s="692"/>
      <c r="AH562" s="236" t="str">
        <f>IF(Таблица5[[#This Row],[30]]=0,"НД",Таблица5[[#This Row],[20]]-Таблица5[[#This Row],[30]])</f>
        <v>НД</v>
      </c>
      <c r="AI562" s="511" t="str">
        <f>IF(((1-Таблица5[[#This Row],[30]]/Таблица5[[#This Row],[20]])=1),"НД",(1-Таблица5[[#This Row],[30]]/Таблица5[[#This Row],[20]]))</f>
        <v>НД</v>
      </c>
      <c r="AJ562" s="111"/>
      <c r="AK562" s="111"/>
      <c r="AL562" s="512"/>
      <c r="AM562" s="513"/>
      <c r="AN562" s="465"/>
      <c r="AO562" s="468" t="str">
        <f>РПЗ!AD562</f>
        <v>Нет</v>
      </c>
      <c r="AP562" s="472">
        <f>РПЗ!V562</f>
        <v>0</v>
      </c>
      <c r="AQ562" s="470">
        <f>IF(Таблица5[[#This Row],[11]]=0,,MONTH(Таблица5[[#This Row],[11]]))</f>
        <v>1</v>
      </c>
    </row>
    <row r="563" spans="1:43" ht="51.75" thickBot="1" x14ac:dyDescent="0.3">
      <c r="A563" s="233" t="str">
        <f t="shared" ref="A563:A626" si="9">INDEX(Диапазон1,ROW(), COLUMN())</f>
        <v>1004-2017-00548</v>
      </c>
      <c r="B563" s="233" t="str">
        <f>РПЗ!$D563</f>
        <v>1004-2017-00548Поставка Автоматичсеский шкаф сухого хранения CATEC  DRY718ECD, Китай</v>
      </c>
      <c r="C563" s="233" t="str">
        <f>РПЗ!$AA563</f>
        <v>АО "НИИ "Полюс" им. М.Ф. Стельмаха" тел. отдела закупок 8-495-333-05-02</v>
      </c>
      <c r="D563" s="633" t="str">
        <f>РПЗ!$AB563</f>
        <v>Заказчик</v>
      </c>
      <c r="E563" s="96" t="s">
        <v>46</v>
      </c>
      <c r="F563" s="233" t="str">
        <f>РПЗ!Q563</f>
        <v>ОК</v>
      </c>
      <c r="G563" s="237"/>
      <c r="H563" s="237" t="str">
        <f>РПЗ!R563</f>
        <v>да</v>
      </c>
      <c r="I563" s="15">
        <f>РПЗ!W563</f>
        <v>0</v>
      </c>
      <c r="J563" s="233">
        <f>РПЗ!X563</f>
        <v>0</v>
      </c>
      <c r="K563" s="283">
        <f>РПЗ!Z563</f>
        <v>0</v>
      </c>
      <c r="L563" s="17"/>
      <c r="M563" s="18">
        <f>РПЗ!O563</f>
        <v>42736.5</v>
      </c>
      <c r="N563" s="238">
        <f>Таблица5[[#This Row],[10]]</f>
        <v>42736.5</v>
      </c>
      <c r="O563" s="17"/>
      <c r="P563" s="17"/>
      <c r="Q563" s="17"/>
      <c r="R563" s="17"/>
      <c r="S563" s="17"/>
      <c r="T563" s="686"/>
      <c r="U563" s="18">
        <f>РПЗ!P563</f>
        <v>43070.5</v>
      </c>
      <c r="V563" s="686"/>
      <c r="W563" s="236">
        <f>РПЗ!L563</f>
        <v>1947720</v>
      </c>
      <c r="X563" s="689"/>
      <c r="Y563" s="689"/>
      <c r="Z563" s="690"/>
      <c r="AA563" s="691"/>
      <c r="AB563" s="111"/>
      <c r="AC563" s="17"/>
      <c r="AD563" s="690"/>
      <c r="AE563" s="686"/>
      <c r="AF563" s="474"/>
      <c r="AG563" s="692"/>
      <c r="AH563" s="236" t="str">
        <f>IF(Таблица5[[#This Row],[30]]=0,"НД",Таблица5[[#This Row],[20]]-Таблица5[[#This Row],[30]])</f>
        <v>НД</v>
      </c>
      <c r="AI563" s="511" t="str">
        <f>IF(((1-Таблица5[[#This Row],[30]]/Таблица5[[#This Row],[20]])=1),"НД",(1-Таблица5[[#This Row],[30]]/Таблица5[[#This Row],[20]]))</f>
        <v>НД</v>
      </c>
      <c r="AJ563" s="111"/>
      <c r="AK563" s="111"/>
      <c r="AL563" s="512"/>
      <c r="AM563" s="513"/>
      <c r="AN563" s="465"/>
      <c r="AO563" s="468" t="str">
        <f>РПЗ!AD563</f>
        <v>Нет</v>
      </c>
      <c r="AP563" s="472">
        <f>РПЗ!V563</f>
        <v>0</v>
      </c>
      <c r="AQ563" s="470">
        <f>IF(Таблица5[[#This Row],[11]]=0,,MONTH(Таблица5[[#This Row],[11]]))</f>
        <v>1</v>
      </c>
    </row>
    <row r="564" spans="1:43" ht="39" thickBot="1" x14ac:dyDescent="0.3">
      <c r="A564" s="233" t="str">
        <f t="shared" si="9"/>
        <v>1004-2017-00549</v>
      </c>
      <c r="B564" s="233" t="str">
        <f>РПЗ!$D564</f>
        <v>1004-2017-00549Поставка Осцилограф цифровой TDS2014C, Китай</v>
      </c>
      <c r="C564" s="233" t="str">
        <f>РПЗ!$AA564</f>
        <v>АО "НИИ "Полюс" им. М.Ф. Стельмаха" тел. отдела закупок 8-495-333-05-02</v>
      </c>
      <c r="D564" s="633" t="str">
        <f>РПЗ!$AB564</f>
        <v>Заказчик</v>
      </c>
      <c r="E564" s="96" t="s">
        <v>46</v>
      </c>
      <c r="F564" s="233" t="str">
        <f>РПЗ!Q564</f>
        <v>ОК</v>
      </c>
      <c r="G564" s="237"/>
      <c r="H564" s="237" t="str">
        <f>РПЗ!R564</f>
        <v>да</v>
      </c>
      <c r="I564" s="15">
        <f>РПЗ!W564</f>
        <v>0</v>
      </c>
      <c r="J564" s="233">
        <f>РПЗ!X564</f>
        <v>0</v>
      </c>
      <c r="K564" s="283">
        <f>РПЗ!Z564</f>
        <v>0</v>
      </c>
      <c r="L564" s="17"/>
      <c r="M564" s="18">
        <f>РПЗ!O564</f>
        <v>42736.5</v>
      </c>
      <c r="N564" s="238">
        <f>Таблица5[[#This Row],[10]]</f>
        <v>42736.5</v>
      </c>
      <c r="O564" s="17"/>
      <c r="P564" s="17"/>
      <c r="Q564" s="17"/>
      <c r="R564" s="17"/>
      <c r="S564" s="17"/>
      <c r="T564" s="686"/>
      <c r="U564" s="18">
        <f>РПЗ!P564</f>
        <v>43070.5</v>
      </c>
      <c r="V564" s="686"/>
      <c r="W564" s="236">
        <f>РПЗ!L564</f>
        <v>273500</v>
      </c>
      <c r="X564" s="689"/>
      <c r="Y564" s="689"/>
      <c r="Z564" s="690"/>
      <c r="AA564" s="691"/>
      <c r="AB564" s="111"/>
      <c r="AC564" s="17"/>
      <c r="AD564" s="690"/>
      <c r="AE564" s="686"/>
      <c r="AF564" s="474"/>
      <c r="AG564" s="692"/>
      <c r="AH564" s="236" t="str">
        <f>IF(Таблица5[[#This Row],[30]]=0,"НД",Таблица5[[#This Row],[20]]-Таблица5[[#This Row],[30]])</f>
        <v>НД</v>
      </c>
      <c r="AI564" s="511" t="str">
        <f>IF(((1-Таблица5[[#This Row],[30]]/Таблица5[[#This Row],[20]])=1),"НД",(1-Таблица5[[#This Row],[30]]/Таблица5[[#This Row],[20]]))</f>
        <v>НД</v>
      </c>
      <c r="AJ564" s="111"/>
      <c r="AK564" s="111"/>
      <c r="AL564" s="512"/>
      <c r="AM564" s="513"/>
      <c r="AN564" s="465"/>
      <c r="AO564" s="468" t="str">
        <f>РПЗ!AD564</f>
        <v>Нет</v>
      </c>
      <c r="AP564" s="472">
        <f>РПЗ!V564</f>
        <v>0</v>
      </c>
      <c r="AQ564" s="470">
        <f>IF(Таблица5[[#This Row],[11]]=0,,MONTH(Таблица5[[#This Row],[11]]))</f>
        <v>1</v>
      </c>
    </row>
    <row r="565" spans="1:43" ht="39" thickBot="1" x14ac:dyDescent="0.3">
      <c r="A565" s="233" t="str">
        <f t="shared" si="9"/>
        <v>1004-2017-00550</v>
      </c>
      <c r="B565" s="233" t="str">
        <f>РПЗ!$D565</f>
        <v>1004-2017-00550Поставка Осцилограф цифровой TDS2014C, Китай</v>
      </c>
      <c r="C565" s="233" t="str">
        <f>РПЗ!$AA565</f>
        <v>АО "НИИ "Полюс" им. М.Ф. Стельмаха" тел. отдела закупок 8-495-333-05-02</v>
      </c>
      <c r="D565" s="633" t="str">
        <f>РПЗ!$AB565</f>
        <v>Заказчик</v>
      </c>
      <c r="E565" s="96" t="s">
        <v>46</v>
      </c>
      <c r="F565" s="233" t="str">
        <f>РПЗ!Q565</f>
        <v>ОК</v>
      </c>
      <c r="G565" s="237"/>
      <c r="H565" s="237" t="str">
        <f>РПЗ!R565</f>
        <v>да</v>
      </c>
      <c r="I565" s="15">
        <f>РПЗ!W565</f>
        <v>0</v>
      </c>
      <c r="J565" s="233">
        <f>РПЗ!X565</f>
        <v>0</v>
      </c>
      <c r="K565" s="283">
        <f>РПЗ!Z565</f>
        <v>0</v>
      </c>
      <c r="L565" s="17"/>
      <c r="M565" s="18">
        <f>РПЗ!O565</f>
        <v>42736.5</v>
      </c>
      <c r="N565" s="238">
        <f>Таблица5[[#This Row],[10]]</f>
        <v>42736.5</v>
      </c>
      <c r="O565" s="17"/>
      <c r="P565" s="17"/>
      <c r="Q565" s="17"/>
      <c r="R565" s="17"/>
      <c r="S565" s="17"/>
      <c r="T565" s="686"/>
      <c r="U565" s="18">
        <f>РПЗ!P565</f>
        <v>43070.5</v>
      </c>
      <c r="V565" s="686"/>
      <c r="W565" s="236">
        <f>РПЗ!L565</f>
        <v>136750</v>
      </c>
      <c r="X565" s="689"/>
      <c r="Y565" s="689"/>
      <c r="Z565" s="690"/>
      <c r="AA565" s="691"/>
      <c r="AB565" s="111"/>
      <c r="AC565" s="17"/>
      <c r="AD565" s="690"/>
      <c r="AE565" s="686"/>
      <c r="AF565" s="474"/>
      <c r="AG565" s="692"/>
      <c r="AH565" s="236" t="str">
        <f>IF(Таблица5[[#This Row],[30]]=0,"НД",Таблица5[[#This Row],[20]]-Таблица5[[#This Row],[30]])</f>
        <v>НД</v>
      </c>
      <c r="AI565" s="511" t="str">
        <f>IF(((1-Таблица5[[#This Row],[30]]/Таблица5[[#This Row],[20]])=1),"НД",(1-Таблица5[[#This Row],[30]]/Таблица5[[#This Row],[20]]))</f>
        <v>НД</v>
      </c>
      <c r="AJ565" s="111"/>
      <c r="AK565" s="111"/>
      <c r="AL565" s="512"/>
      <c r="AM565" s="513"/>
      <c r="AN565" s="465"/>
      <c r="AO565" s="468" t="str">
        <f>РПЗ!AD565</f>
        <v>Нет</v>
      </c>
      <c r="AP565" s="472">
        <f>РПЗ!V565</f>
        <v>0</v>
      </c>
      <c r="AQ565" s="470">
        <f>IF(Таблица5[[#This Row],[11]]=0,,MONTH(Таблица5[[#This Row],[11]]))</f>
        <v>1</v>
      </c>
    </row>
    <row r="566" spans="1:43" ht="39" thickBot="1" x14ac:dyDescent="0.3">
      <c r="A566" s="233" t="str">
        <f t="shared" si="9"/>
        <v>1004-2017-00551</v>
      </c>
      <c r="B566" s="233" t="str">
        <f>РПЗ!$D566</f>
        <v>1004-2017-00551Поставка Микроскоп  Stemi 508 в комплекте. Китай</v>
      </c>
      <c r="C566" s="233" t="str">
        <f>РПЗ!$AA566</f>
        <v>АО "НИИ "Полюс" им. М.Ф. Стельмаха" тел. отдела закупок 8-495-333-05-02</v>
      </c>
      <c r="D566" s="633" t="str">
        <f>РПЗ!$AB566</f>
        <v>Заказчик</v>
      </c>
      <c r="E566" s="96" t="s">
        <v>46</v>
      </c>
      <c r="F566" s="233" t="str">
        <f>РПЗ!Q566</f>
        <v>ОК</v>
      </c>
      <c r="G566" s="237"/>
      <c r="H566" s="237" t="str">
        <f>РПЗ!R566</f>
        <v>да</v>
      </c>
      <c r="I566" s="15">
        <f>РПЗ!W566</f>
        <v>0</v>
      </c>
      <c r="J566" s="233">
        <f>РПЗ!X566</f>
        <v>0</v>
      </c>
      <c r="K566" s="283">
        <f>РПЗ!Z566</f>
        <v>0</v>
      </c>
      <c r="L566" s="17"/>
      <c r="M566" s="18">
        <f>РПЗ!O566</f>
        <v>42736.5</v>
      </c>
      <c r="N566" s="238">
        <f>Таблица5[[#This Row],[10]]</f>
        <v>42736.5</v>
      </c>
      <c r="O566" s="17"/>
      <c r="P566" s="17"/>
      <c r="Q566" s="17"/>
      <c r="R566" s="17"/>
      <c r="S566" s="17"/>
      <c r="T566" s="686"/>
      <c r="U566" s="18">
        <f>РПЗ!P566</f>
        <v>43070.5</v>
      </c>
      <c r="V566" s="686"/>
      <c r="W566" s="236">
        <f>РПЗ!L566</f>
        <v>2378029.85</v>
      </c>
      <c r="X566" s="689"/>
      <c r="Y566" s="689"/>
      <c r="Z566" s="690"/>
      <c r="AA566" s="691"/>
      <c r="AB566" s="111"/>
      <c r="AC566" s="17"/>
      <c r="AD566" s="690"/>
      <c r="AE566" s="686"/>
      <c r="AF566" s="474"/>
      <c r="AG566" s="692"/>
      <c r="AH566" s="236" t="str">
        <f>IF(Таблица5[[#This Row],[30]]=0,"НД",Таблица5[[#This Row],[20]]-Таблица5[[#This Row],[30]])</f>
        <v>НД</v>
      </c>
      <c r="AI566" s="511" t="str">
        <f>IF(((1-Таблица5[[#This Row],[30]]/Таблица5[[#This Row],[20]])=1),"НД",(1-Таблица5[[#This Row],[30]]/Таблица5[[#This Row],[20]]))</f>
        <v>НД</v>
      </c>
      <c r="AJ566" s="111"/>
      <c r="AK566" s="111"/>
      <c r="AL566" s="512"/>
      <c r="AM566" s="513"/>
      <c r="AN566" s="465"/>
      <c r="AO566" s="468" t="str">
        <f>РПЗ!AD566</f>
        <v>Нет</v>
      </c>
      <c r="AP566" s="472">
        <f>РПЗ!V566</f>
        <v>0</v>
      </c>
      <c r="AQ566" s="470">
        <f>IF(Таблица5[[#This Row],[11]]=0,,MONTH(Таблица5[[#This Row],[11]]))</f>
        <v>1</v>
      </c>
    </row>
    <row r="567" spans="1:43" ht="39" thickBot="1" x14ac:dyDescent="0.3">
      <c r="A567" s="233" t="str">
        <f t="shared" si="9"/>
        <v>1004-2017-00552</v>
      </c>
      <c r="B567" s="233" t="str">
        <f>РПЗ!$D567</f>
        <v>1004-2017-00552Поставка Микроскоп  Stemi 508 в комплекте. Китай</v>
      </c>
      <c r="C567" s="233" t="str">
        <f>РПЗ!$AA567</f>
        <v>АО "НИИ "Полюс" им. М.Ф. Стельмаха" тел. отдела закупок 8-495-333-05-02</v>
      </c>
      <c r="D567" s="633" t="str">
        <f>РПЗ!$AB567</f>
        <v>Заказчик</v>
      </c>
      <c r="E567" s="96" t="s">
        <v>46</v>
      </c>
      <c r="F567" s="233" t="str">
        <f>РПЗ!Q567</f>
        <v>ОЗК</v>
      </c>
      <c r="G567" s="237"/>
      <c r="H567" s="237" t="str">
        <f>РПЗ!R567</f>
        <v>да</v>
      </c>
      <c r="I567" s="15">
        <f>РПЗ!W567</f>
        <v>0</v>
      </c>
      <c r="J567" s="233">
        <f>РПЗ!X567</f>
        <v>0</v>
      </c>
      <c r="K567" s="283">
        <f>РПЗ!Z567</f>
        <v>0</v>
      </c>
      <c r="L567" s="17"/>
      <c r="M567" s="18">
        <f>РПЗ!O567</f>
        <v>42736.5</v>
      </c>
      <c r="N567" s="238">
        <f>Таблица5[[#This Row],[10]]</f>
        <v>42736.5</v>
      </c>
      <c r="O567" s="17"/>
      <c r="P567" s="17"/>
      <c r="Q567" s="17"/>
      <c r="R567" s="17"/>
      <c r="S567" s="17"/>
      <c r="T567" s="686"/>
      <c r="U567" s="18">
        <f>РПЗ!P567</f>
        <v>43070.5</v>
      </c>
      <c r="V567" s="686"/>
      <c r="W567" s="236">
        <f>РПЗ!L567</f>
        <v>3117762.07</v>
      </c>
      <c r="X567" s="689"/>
      <c r="Y567" s="689"/>
      <c r="Z567" s="690"/>
      <c r="AA567" s="691"/>
      <c r="AB567" s="111"/>
      <c r="AC567" s="17"/>
      <c r="AD567" s="690"/>
      <c r="AE567" s="686"/>
      <c r="AF567" s="474"/>
      <c r="AG567" s="692"/>
      <c r="AH567" s="236" t="str">
        <f>IF(Таблица5[[#This Row],[30]]=0,"НД",Таблица5[[#This Row],[20]]-Таблица5[[#This Row],[30]])</f>
        <v>НД</v>
      </c>
      <c r="AI567" s="511" t="str">
        <f>IF(((1-Таблица5[[#This Row],[30]]/Таблица5[[#This Row],[20]])=1),"НД",(1-Таблица5[[#This Row],[30]]/Таблица5[[#This Row],[20]]))</f>
        <v>НД</v>
      </c>
      <c r="AJ567" s="111"/>
      <c r="AK567" s="111"/>
      <c r="AL567" s="512"/>
      <c r="AM567" s="513"/>
      <c r="AN567" s="465"/>
      <c r="AO567" s="468" t="str">
        <f>РПЗ!AD567</f>
        <v>Нет</v>
      </c>
      <c r="AP567" s="472">
        <f>РПЗ!V567</f>
        <v>0</v>
      </c>
      <c r="AQ567" s="470">
        <f>IF(Таблица5[[#This Row],[11]]=0,,MONTH(Таблица5[[#This Row],[11]]))</f>
        <v>1</v>
      </c>
    </row>
    <row r="568" spans="1:43" ht="51.75" thickBot="1" x14ac:dyDescent="0.3">
      <c r="A568" s="233" t="str">
        <f t="shared" si="9"/>
        <v>1004-2017-00553</v>
      </c>
      <c r="B568" s="233" t="str">
        <f>РПЗ!$D568</f>
        <v xml:space="preserve">1004-2017-00553Поставка Стереомикроскоп Stemi 508 в комплекте с рабочей станцией на базе ПК </v>
      </c>
      <c r="C568" s="233" t="str">
        <f>РПЗ!$AA568</f>
        <v>АО "НИИ "Полюс" им. М.Ф. Стельмаха" тел. отдела закупок 8-495-333-05-02</v>
      </c>
      <c r="D568" s="633" t="str">
        <f>РПЗ!$AB568</f>
        <v>Заказчик</v>
      </c>
      <c r="E568" s="96" t="s">
        <v>46</v>
      </c>
      <c r="F568" s="233" t="str">
        <f>РПЗ!Q568</f>
        <v>ОЗК</v>
      </c>
      <c r="G568" s="237"/>
      <c r="H568" s="237" t="str">
        <f>РПЗ!R568</f>
        <v>да</v>
      </c>
      <c r="I568" s="15">
        <f>РПЗ!W568</f>
        <v>0</v>
      </c>
      <c r="J568" s="233">
        <f>РПЗ!X568</f>
        <v>0</v>
      </c>
      <c r="K568" s="283">
        <f>РПЗ!Z568</f>
        <v>0</v>
      </c>
      <c r="L568" s="17"/>
      <c r="M568" s="18">
        <f>РПЗ!O568</f>
        <v>42736.5</v>
      </c>
      <c r="N568" s="238">
        <f>Таблица5[[#This Row],[10]]</f>
        <v>42736.5</v>
      </c>
      <c r="O568" s="17"/>
      <c r="P568" s="17"/>
      <c r="Q568" s="17"/>
      <c r="R568" s="17"/>
      <c r="S568" s="17"/>
      <c r="T568" s="686"/>
      <c r="U568" s="18">
        <f>РПЗ!P568</f>
        <v>43070.5</v>
      </c>
      <c r="V568" s="686"/>
      <c r="W568" s="236">
        <f>РПЗ!L568</f>
        <v>1764423.31</v>
      </c>
      <c r="X568" s="689"/>
      <c r="Y568" s="689"/>
      <c r="Z568" s="690"/>
      <c r="AA568" s="691"/>
      <c r="AB568" s="111"/>
      <c r="AC568" s="17"/>
      <c r="AD568" s="690"/>
      <c r="AE568" s="686"/>
      <c r="AF568" s="474"/>
      <c r="AG568" s="692"/>
      <c r="AH568" s="236" t="str">
        <f>IF(Таблица5[[#This Row],[30]]=0,"НД",Таблица5[[#This Row],[20]]-Таблица5[[#This Row],[30]])</f>
        <v>НД</v>
      </c>
      <c r="AI568" s="511" t="str">
        <f>IF(((1-Таблица5[[#This Row],[30]]/Таблица5[[#This Row],[20]])=1),"НД",(1-Таблица5[[#This Row],[30]]/Таблица5[[#This Row],[20]]))</f>
        <v>НД</v>
      </c>
      <c r="AJ568" s="111"/>
      <c r="AK568" s="111"/>
      <c r="AL568" s="512"/>
      <c r="AM568" s="513"/>
      <c r="AN568" s="465"/>
      <c r="AO568" s="468" t="str">
        <f>РПЗ!AD568</f>
        <v>Нет</v>
      </c>
      <c r="AP568" s="472">
        <f>РПЗ!V568</f>
        <v>0</v>
      </c>
      <c r="AQ568" s="470">
        <f>IF(Таблица5[[#This Row],[11]]=0,,MONTH(Таблица5[[#This Row],[11]]))</f>
        <v>1</v>
      </c>
    </row>
    <row r="569" spans="1:43" ht="39" thickBot="1" x14ac:dyDescent="0.3">
      <c r="A569" s="233" t="str">
        <f t="shared" si="9"/>
        <v>1004-2017-00554</v>
      </c>
      <c r="B569" s="233" t="str">
        <f>РПЗ!$D569</f>
        <v>1004-2017-00554Поставка Пылесос для чистых помещений Nilfisk IVT 1000CR, Дания</v>
      </c>
      <c r="C569" s="233" t="str">
        <f>РПЗ!$AA569</f>
        <v>АО "НИИ "Полюс" им. М.Ф. Стельмаха" тел. отдела закупок 8-495-333-05-02</v>
      </c>
      <c r="D569" s="633" t="str">
        <f>РПЗ!$AB569</f>
        <v>Заказчик</v>
      </c>
      <c r="E569" s="96" t="s">
        <v>46</v>
      </c>
      <c r="F569" s="233" t="str">
        <f>РПЗ!Q569</f>
        <v>ОЗК</v>
      </c>
      <c r="G569" s="237"/>
      <c r="H569" s="237" t="str">
        <f>РПЗ!R569</f>
        <v>да</v>
      </c>
      <c r="I569" s="15">
        <f>РПЗ!W569</f>
        <v>0</v>
      </c>
      <c r="J569" s="233">
        <f>РПЗ!X569</f>
        <v>0</v>
      </c>
      <c r="K569" s="283">
        <f>РПЗ!Z569</f>
        <v>0</v>
      </c>
      <c r="L569" s="17"/>
      <c r="M569" s="18">
        <f>РПЗ!O569</f>
        <v>42736.5</v>
      </c>
      <c r="N569" s="238">
        <f>Таблица5[[#This Row],[10]]</f>
        <v>42736.5</v>
      </c>
      <c r="O569" s="17"/>
      <c r="P569" s="17"/>
      <c r="Q569" s="17"/>
      <c r="R569" s="17"/>
      <c r="S569" s="17"/>
      <c r="T569" s="686"/>
      <c r="U569" s="18">
        <f>РПЗ!P569</f>
        <v>43070.5</v>
      </c>
      <c r="V569" s="686"/>
      <c r="W569" s="236">
        <f>РПЗ!L569</f>
        <v>217208.44</v>
      </c>
      <c r="X569" s="689"/>
      <c r="Y569" s="689"/>
      <c r="Z569" s="690"/>
      <c r="AA569" s="691"/>
      <c r="AB569" s="111"/>
      <c r="AC569" s="17"/>
      <c r="AD569" s="690"/>
      <c r="AE569" s="686"/>
      <c r="AF569" s="474"/>
      <c r="AG569" s="692"/>
      <c r="AH569" s="236" t="str">
        <f>IF(Таблица5[[#This Row],[30]]=0,"НД",Таблица5[[#This Row],[20]]-Таблица5[[#This Row],[30]])</f>
        <v>НД</v>
      </c>
      <c r="AI569" s="511" t="str">
        <f>IF(((1-Таблица5[[#This Row],[30]]/Таблица5[[#This Row],[20]])=1),"НД",(1-Таблица5[[#This Row],[30]]/Таблица5[[#This Row],[20]]))</f>
        <v>НД</v>
      </c>
      <c r="AJ569" s="111"/>
      <c r="AK569" s="111"/>
      <c r="AL569" s="512"/>
      <c r="AM569" s="513"/>
      <c r="AN569" s="465"/>
      <c r="AO569" s="468" t="str">
        <f>РПЗ!AD569</f>
        <v>Нет</v>
      </c>
      <c r="AP569" s="472">
        <f>РПЗ!V569</f>
        <v>0</v>
      </c>
      <c r="AQ569" s="470">
        <f>IF(Таблица5[[#This Row],[11]]=0,,MONTH(Таблица5[[#This Row],[11]]))</f>
        <v>1</v>
      </c>
    </row>
    <row r="570" spans="1:43" ht="51.75" thickBot="1" x14ac:dyDescent="0.3">
      <c r="A570" s="233" t="str">
        <f t="shared" si="9"/>
        <v>1004-2017-00555</v>
      </c>
      <c r="B570" s="233" t="str">
        <f>РПЗ!$D570</f>
        <v>1004-2017-00555Поставка Автоматическая установка микромонтажа FINEPLACER "micro", Германия</v>
      </c>
      <c r="C570" s="233" t="str">
        <f>РПЗ!$AA570</f>
        <v>АО "НИИ "Полюс" им. М.Ф. Стельмаха" тел. отдела закупок 8-495-333-05-02</v>
      </c>
      <c r="D570" s="633" t="str">
        <f>РПЗ!$AB570</f>
        <v>Заказчик</v>
      </c>
      <c r="E570" s="96" t="s">
        <v>46</v>
      </c>
      <c r="F570" s="233" t="str">
        <f>РПЗ!Q570</f>
        <v>ОЗК</v>
      </c>
      <c r="G570" s="237"/>
      <c r="H570" s="237" t="str">
        <f>РПЗ!R570</f>
        <v>да</v>
      </c>
      <c r="I570" s="15">
        <f>РПЗ!W570</f>
        <v>0</v>
      </c>
      <c r="J570" s="233">
        <f>РПЗ!X570</f>
        <v>0</v>
      </c>
      <c r="K570" s="283">
        <f>РПЗ!Z570</f>
        <v>0</v>
      </c>
      <c r="L570" s="17"/>
      <c r="M570" s="18">
        <f>РПЗ!O570</f>
        <v>42736.5</v>
      </c>
      <c r="N570" s="238">
        <f>Таблица5[[#This Row],[10]]</f>
        <v>42736.5</v>
      </c>
      <c r="O570" s="17"/>
      <c r="P570" s="17"/>
      <c r="Q570" s="17"/>
      <c r="R570" s="17"/>
      <c r="S570" s="17"/>
      <c r="T570" s="686"/>
      <c r="U570" s="18">
        <f>РПЗ!P570</f>
        <v>43070.5</v>
      </c>
      <c r="V570" s="686"/>
      <c r="W570" s="236">
        <f>РПЗ!L570</f>
        <v>22731625</v>
      </c>
      <c r="X570" s="689"/>
      <c r="Y570" s="689"/>
      <c r="Z570" s="690"/>
      <c r="AA570" s="691"/>
      <c r="AB570" s="111"/>
      <c r="AC570" s="17"/>
      <c r="AD570" s="690"/>
      <c r="AE570" s="686"/>
      <c r="AF570" s="474"/>
      <c r="AG570" s="692"/>
      <c r="AH570" s="236" t="str">
        <f>IF(Таблица5[[#This Row],[30]]=0,"НД",Таблица5[[#This Row],[20]]-Таблица5[[#This Row],[30]])</f>
        <v>НД</v>
      </c>
      <c r="AI570" s="511" t="str">
        <f>IF(((1-Таблица5[[#This Row],[30]]/Таблица5[[#This Row],[20]])=1),"НД",(1-Таблица5[[#This Row],[30]]/Таблица5[[#This Row],[20]]))</f>
        <v>НД</v>
      </c>
      <c r="AJ570" s="111"/>
      <c r="AK570" s="111"/>
      <c r="AL570" s="512"/>
      <c r="AM570" s="513"/>
      <c r="AN570" s="465"/>
      <c r="AO570" s="468" t="str">
        <f>РПЗ!AD570</f>
        <v>Нет</v>
      </c>
      <c r="AP570" s="472">
        <f>РПЗ!V570</f>
        <v>0</v>
      </c>
      <c r="AQ570" s="470">
        <f>IF(Таблица5[[#This Row],[11]]=0,,MONTH(Таблица5[[#This Row],[11]]))</f>
        <v>1</v>
      </c>
    </row>
    <row r="571" spans="1:43" ht="39" thickBot="1" x14ac:dyDescent="0.3">
      <c r="A571" s="233" t="str">
        <f t="shared" si="9"/>
        <v>1004-2017-00556</v>
      </c>
      <c r="B571" s="233" t="str">
        <f>РПЗ!$D571</f>
        <v>1004-2017-00556Поставка Вакуумный сушильный шкаф VD 53 в комплекте. Германия</v>
      </c>
      <c r="C571" s="233" t="str">
        <f>РПЗ!$AA571</f>
        <v>АО "НИИ "Полюс" им. М.Ф. Стельмаха" тел. отдела закупок 8-495-333-05-02</v>
      </c>
      <c r="D571" s="633" t="str">
        <f>РПЗ!$AB571</f>
        <v>Заказчик</v>
      </c>
      <c r="E571" s="96" t="s">
        <v>46</v>
      </c>
      <c r="F571" s="233" t="str">
        <f>РПЗ!Q571</f>
        <v>ОЗК</v>
      </c>
      <c r="G571" s="237"/>
      <c r="H571" s="237" t="str">
        <f>РПЗ!R571</f>
        <v>да</v>
      </c>
      <c r="I571" s="15">
        <f>РПЗ!W571</f>
        <v>0</v>
      </c>
      <c r="J571" s="233">
        <f>РПЗ!X571</f>
        <v>0</v>
      </c>
      <c r="K571" s="283">
        <f>РПЗ!Z571</f>
        <v>0</v>
      </c>
      <c r="L571" s="17"/>
      <c r="M571" s="18">
        <f>РПЗ!O571</f>
        <v>42736.5</v>
      </c>
      <c r="N571" s="238">
        <f>Таблица5[[#This Row],[10]]</f>
        <v>42736.5</v>
      </c>
      <c r="O571" s="17"/>
      <c r="P571" s="17"/>
      <c r="Q571" s="17"/>
      <c r="R571" s="17"/>
      <c r="S571" s="17"/>
      <c r="T571" s="686"/>
      <c r="U571" s="18">
        <f>РПЗ!P571</f>
        <v>43070.5</v>
      </c>
      <c r="V571" s="686"/>
      <c r="W571" s="236">
        <f>РПЗ!L571</f>
        <v>1641071.1</v>
      </c>
      <c r="X571" s="689"/>
      <c r="Y571" s="689"/>
      <c r="Z571" s="690"/>
      <c r="AA571" s="691"/>
      <c r="AB571" s="111"/>
      <c r="AC571" s="17"/>
      <c r="AD571" s="690"/>
      <c r="AE571" s="686"/>
      <c r="AF571" s="474"/>
      <c r="AG571" s="692"/>
      <c r="AH571" s="236" t="str">
        <f>IF(Таблица5[[#This Row],[30]]=0,"НД",Таблица5[[#This Row],[20]]-Таблица5[[#This Row],[30]])</f>
        <v>НД</v>
      </c>
      <c r="AI571" s="511" t="str">
        <f>IF(((1-Таблица5[[#This Row],[30]]/Таблица5[[#This Row],[20]])=1),"НД",(1-Таблица5[[#This Row],[30]]/Таблица5[[#This Row],[20]]))</f>
        <v>НД</v>
      </c>
      <c r="AJ571" s="111"/>
      <c r="AK571" s="111"/>
      <c r="AL571" s="512"/>
      <c r="AM571" s="513"/>
      <c r="AN571" s="465"/>
      <c r="AO571" s="468" t="str">
        <f>РПЗ!AD571</f>
        <v>Нет</v>
      </c>
      <c r="AP571" s="472">
        <f>РПЗ!V571</f>
        <v>0</v>
      </c>
      <c r="AQ571" s="470">
        <f>IF(Таблица5[[#This Row],[11]]=0,,MONTH(Таблица5[[#This Row],[11]]))</f>
        <v>1</v>
      </c>
    </row>
    <row r="572" spans="1:43" ht="39" thickBot="1" x14ac:dyDescent="0.3">
      <c r="A572" s="233" t="str">
        <f t="shared" si="9"/>
        <v>1004-2017-00557</v>
      </c>
      <c r="B572" s="233" t="str">
        <f>РПЗ!$D572</f>
        <v>1004-2017-00557Поставка Вольтметр универсальный (прецизионный мультиметр) HM8112-3, Германия</v>
      </c>
      <c r="C572" s="233" t="str">
        <f>РПЗ!$AA572</f>
        <v>АО "НИИ "Полюс" им. М.Ф. Стельмаха" тел. отдела закупок 8-495-333-05-02</v>
      </c>
      <c r="D572" s="633" t="str">
        <f>РПЗ!$AB572</f>
        <v>Заказчик</v>
      </c>
      <c r="E572" s="96" t="s">
        <v>46</v>
      </c>
      <c r="F572" s="233" t="str">
        <f>РПЗ!Q572</f>
        <v>ОЗК</v>
      </c>
      <c r="G572" s="237"/>
      <c r="H572" s="237" t="str">
        <f>РПЗ!R572</f>
        <v>да</v>
      </c>
      <c r="I572" s="15">
        <f>РПЗ!W572</f>
        <v>0</v>
      </c>
      <c r="J572" s="233">
        <f>РПЗ!X572</f>
        <v>0</v>
      </c>
      <c r="K572" s="283">
        <f>РПЗ!Z572</f>
        <v>0</v>
      </c>
      <c r="L572" s="17"/>
      <c r="M572" s="18">
        <f>РПЗ!O572</f>
        <v>42736.5</v>
      </c>
      <c r="N572" s="238">
        <f>Таблица5[[#This Row],[10]]</f>
        <v>42736.5</v>
      </c>
      <c r="O572" s="17"/>
      <c r="P572" s="17"/>
      <c r="Q572" s="17"/>
      <c r="R572" s="17"/>
      <c r="S572" s="17"/>
      <c r="T572" s="686"/>
      <c r="U572" s="18">
        <f>РПЗ!P572</f>
        <v>43070.5</v>
      </c>
      <c r="V572" s="686"/>
      <c r="W572" s="236">
        <f>РПЗ!L572</f>
        <v>3802356.74</v>
      </c>
      <c r="X572" s="689"/>
      <c r="Y572" s="689"/>
      <c r="Z572" s="690"/>
      <c r="AA572" s="691"/>
      <c r="AB572" s="111"/>
      <c r="AC572" s="17"/>
      <c r="AD572" s="690"/>
      <c r="AE572" s="686"/>
      <c r="AF572" s="474"/>
      <c r="AG572" s="692"/>
      <c r="AH572" s="236" t="str">
        <f>IF(Таблица5[[#This Row],[30]]=0,"НД",Таблица5[[#This Row],[20]]-Таблица5[[#This Row],[30]])</f>
        <v>НД</v>
      </c>
      <c r="AI572" s="511" t="str">
        <f>IF(((1-Таблица5[[#This Row],[30]]/Таблица5[[#This Row],[20]])=1),"НД",(1-Таблица5[[#This Row],[30]]/Таблица5[[#This Row],[20]]))</f>
        <v>НД</v>
      </c>
      <c r="AJ572" s="111"/>
      <c r="AK572" s="111"/>
      <c r="AL572" s="512"/>
      <c r="AM572" s="513"/>
      <c r="AN572" s="465"/>
      <c r="AO572" s="468" t="str">
        <f>РПЗ!AD572</f>
        <v>Нет</v>
      </c>
      <c r="AP572" s="472">
        <f>РПЗ!V572</f>
        <v>0</v>
      </c>
      <c r="AQ572" s="470">
        <f>IF(Таблица5[[#This Row],[11]]=0,,MONTH(Таблица5[[#This Row],[11]]))</f>
        <v>1</v>
      </c>
    </row>
    <row r="573" spans="1:43" ht="39" thickBot="1" x14ac:dyDescent="0.3">
      <c r="A573" s="233" t="str">
        <f t="shared" si="9"/>
        <v>1004-2017-00558</v>
      </c>
      <c r="B573" s="233" t="str">
        <f>РПЗ!$D573</f>
        <v>1004-2017-00558Поставка Измеритель иммитаннса (RLC-метр) НM 8118, Германия</v>
      </c>
      <c r="C573" s="233" t="str">
        <f>РПЗ!$AA573</f>
        <v>АО "НИИ "Полюс" им. М.Ф. Стельмаха" тел. отдела закупок 8-495-333-05-02</v>
      </c>
      <c r="D573" s="633" t="str">
        <f>РПЗ!$AB573</f>
        <v>Заказчик</v>
      </c>
      <c r="E573" s="96" t="s">
        <v>46</v>
      </c>
      <c r="F573" s="233" t="str">
        <f>РПЗ!Q573</f>
        <v>ОЗК</v>
      </c>
      <c r="G573" s="237"/>
      <c r="H573" s="237" t="str">
        <f>РПЗ!R573</f>
        <v>да</v>
      </c>
      <c r="I573" s="15">
        <f>РПЗ!W573</f>
        <v>0</v>
      </c>
      <c r="J573" s="233">
        <f>РПЗ!X573</f>
        <v>0</v>
      </c>
      <c r="K573" s="283">
        <f>РПЗ!Z573</f>
        <v>0</v>
      </c>
      <c r="L573" s="17"/>
      <c r="M573" s="18">
        <f>РПЗ!O573</f>
        <v>42736.5</v>
      </c>
      <c r="N573" s="238">
        <f>Таблица5[[#This Row],[10]]</f>
        <v>42736.5</v>
      </c>
      <c r="O573" s="17"/>
      <c r="P573" s="17"/>
      <c r="Q573" s="17"/>
      <c r="R573" s="17"/>
      <c r="S573" s="17"/>
      <c r="T573" s="686"/>
      <c r="U573" s="18">
        <f>РПЗ!P573</f>
        <v>43070.5</v>
      </c>
      <c r="V573" s="686"/>
      <c r="W573" s="236">
        <f>РПЗ!L573</f>
        <v>435919.9</v>
      </c>
      <c r="X573" s="689"/>
      <c r="Y573" s="689"/>
      <c r="Z573" s="690"/>
      <c r="AA573" s="691"/>
      <c r="AB573" s="111"/>
      <c r="AC573" s="17"/>
      <c r="AD573" s="690"/>
      <c r="AE573" s="686"/>
      <c r="AF573" s="474"/>
      <c r="AG573" s="692"/>
      <c r="AH573" s="236" t="str">
        <f>IF(Таблица5[[#This Row],[30]]=0,"НД",Таблица5[[#This Row],[20]]-Таблица5[[#This Row],[30]])</f>
        <v>НД</v>
      </c>
      <c r="AI573" s="511" t="str">
        <f>IF(((1-Таблица5[[#This Row],[30]]/Таблица5[[#This Row],[20]])=1),"НД",(1-Таблица5[[#This Row],[30]]/Таблица5[[#This Row],[20]]))</f>
        <v>НД</v>
      </c>
      <c r="AJ573" s="111"/>
      <c r="AK573" s="111"/>
      <c r="AL573" s="512"/>
      <c r="AM573" s="513"/>
      <c r="AN573" s="465"/>
      <c r="AO573" s="468" t="str">
        <f>РПЗ!AD573</f>
        <v>Нет</v>
      </c>
      <c r="AP573" s="472">
        <f>РПЗ!V573</f>
        <v>0</v>
      </c>
      <c r="AQ573" s="470">
        <f>IF(Таблица5[[#This Row],[11]]=0,,MONTH(Таблица5[[#This Row],[11]]))</f>
        <v>1</v>
      </c>
    </row>
    <row r="574" spans="1:43" ht="39" thickBot="1" x14ac:dyDescent="0.3">
      <c r="A574" s="233" t="str">
        <f t="shared" si="9"/>
        <v>1004-2017-00559</v>
      </c>
      <c r="B574" s="233" t="str">
        <f>РПЗ!$D574</f>
        <v xml:space="preserve">1004-2017-00559Поставка Источник питания HMP2020, Германия </v>
      </c>
      <c r="C574" s="233" t="str">
        <f>РПЗ!$AA574</f>
        <v>АО "НИИ "Полюс" им. М.Ф. Стельмаха" тел. отдела закупок 8-495-333-05-02</v>
      </c>
      <c r="D574" s="633" t="str">
        <f>РПЗ!$AB574</f>
        <v>Заказчик</v>
      </c>
      <c r="E574" s="96" t="s">
        <v>46</v>
      </c>
      <c r="F574" s="233" t="str">
        <f>РПЗ!Q574</f>
        <v>ОЗК</v>
      </c>
      <c r="G574" s="237"/>
      <c r="H574" s="237" t="str">
        <f>РПЗ!R574</f>
        <v>да</v>
      </c>
      <c r="I574" s="15">
        <f>РПЗ!W574</f>
        <v>0</v>
      </c>
      <c r="J574" s="233">
        <f>РПЗ!X574</f>
        <v>0</v>
      </c>
      <c r="K574" s="283">
        <f>РПЗ!Z574</f>
        <v>0</v>
      </c>
      <c r="L574" s="17"/>
      <c r="M574" s="18">
        <f>РПЗ!O574</f>
        <v>42736.5</v>
      </c>
      <c r="N574" s="238">
        <f>Таблица5[[#This Row],[10]]</f>
        <v>42736.5</v>
      </c>
      <c r="O574" s="17"/>
      <c r="P574" s="17"/>
      <c r="Q574" s="17"/>
      <c r="R574" s="17"/>
      <c r="S574" s="17"/>
      <c r="T574" s="686"/>
      <c r="U574" s="18">
        <f>РПЗ!P574</f>
        <v>43070.5</v>
      </c>
      <c r="V574" s="686"/>
      <c r="W574" s="236">
        <f>РПЗ!L574</f>
        <v>5946730.3499999996</v>
      </c>
      <c r="X574" s="689"/>
      <c r="Y574" s="689"/>
      <c r="Z574" s="690"/>
      <c r="AA574" s="691"/>
      <c r="AB574" s="111"/>
      <c r="AC574" s="17"/>
      <c r="AD574" s="690"/>
      <c r="AE574" s="686"/>
      <c r="AF574" s="474"/>
      <c r="AG574" s="692"/>
      <c r="AH574" s="236" t="str">
        <f>IF(Таблица5[[#This Row],[30]]=0,"НД",Таблица5[[#This Row],[20]]-Таблица5[[#This Row],[30]])</f>
        <v>НД</v>
      </c>
      <c r="AI574" s="511" t="str">
        <f>IF(((1-Таблица5[[#This Row],[30]]/Таблица5[[#This Row],[20]])=1),"НД",(1-Таблица5[[#This Row],[30]]/Таблица5[[#This Row],[20]]))</f>
        <v>НД</v>
      </c>
      <c r="AJ574" s="111"/>
      <c r="AK574" s="111"/>
      <c r="AL574" s="512"/>
      <c r="AM574" s="513"/>
      <c r="AN574" s="465"/>
      <c r="AO574" s="468" t="str">
        <f>РПЗ!AD574</f>
        <v>Нет</v>
      </c>
      <c r="AP574" s="472">
        <f>РПЗ!V574</f>
        <v>0</v>
      </c>
      <c r="AQ574" s="470">
        <f>IF(Таблица5[[#This Row],[11]]=0,,MONTH(Таблица5[[#This Row],[11]]))</f>
        <v>1</v>
      </c>
    </row>
    <row r="575" spans="1:43" ht="39" thickBot="1" x14ac:dyDescent="0.3">
      <c r="A575" s="233" t="str">
        <f t="shared" si="9"/>
        <v>1004-2017-00560</v>
      </c>
      <c r="B575" s="233" t="str">
        <f>РПЗ!$D575</f>
        <v>1004-2017-00560Поставка Источник питания NGMO2, Германия</v>
      </c>
      <c r="C575" s="233" t="str">
        <f>РПЗ!$AA575</f>
        <v>АО "НИИ "Полюс" им. М.Ф. Стельмаха" тел. отдела закупок 8-495-333-05-02</v>
      </c>
      <c r="D575" s="633" t="str">
        <f>РПЗ!$AB575</f>
        <v>Заказчик</v>
      </c>
      <c r="E575" s="96" t="s">
        <v>46</v>
      </c>
      <c r="F575" s="233" t="str">
        <f>РПЗ!Q575</f>
        <v>ОК</v>
      </c>
      <c r="G575" s="237"/>
      <c r="H575" s="237" t="str">
        <f>РПЗ!R575</f>
        <v>да</v>
      </c>
      <c r="I575" s="15">
        <f>РПЗ!W575</f>
        <v>0</v>
      </c>
      <c r="J575" s="233">
        <f>РПЗ!X575</f>
        <v>0</v>
      </c>
      <c r="K575" s="283">
        <f>РПЗ!Z575</f>
        <v>0</v>
      </c>
      <c r="L575" s="17"/>
      <c r="M575" s="18">
        <f>РПЗ!O575</f>
        <v>42736.5</v>
      </c>
      <c r="N575" s="238">
        <f>Таблица5[[#This Row],[10]]</f>
        <v>42736.5</v>
      </c>
      <c r="O575" s="17"/>
      <c r="P575" s="17"/>
      <c r="Q575" s="17"/>
      <c r="R575" s="17"/>
      <c r="S575" s="17"/>
      <c r="T575" s="686"/>
      <c r="U575" s="18">
        <f>РПЗ!P575</f>
        <v>43070.5</v>
      </c>
      <c r="V575" s="686"/>
      <c r="W575" s="236">
        <f>РПЗ!L575</f>
        <v>885271.6</v>
      </c>
      <c r="X575" s="689"/>
      <c r="Y575" s="689"/>
      <c r="Z575" s="690"/>
      <c r="AA575" s="691"/>
      <c r="AB575" s="111"/>
      <c r="AC575" s="17"/>
      <c r="AD575" s="690"/>
      <c r="AE575" s="686"/>
      <c r="AF575" s="474"/>
      <c r="AG575" s="692"/>
      <c r="AH575" s="236" t="str">
        <f>IF(Таблица5[[#This Row],[30]]=0,"НД",Таблица5[[#This Row],[20]]-Таблица5[[#This Row],[30]])</f>
        <v>НД</v>
      </c>
      <c r="AI575" s="511" t="str">
        <f>IF(((1-Таблица5[[#This Row],[30]]/Таблица5[[#This Row],[20]])=1),"НД",(1-Таблица5[[#This Row],[30]]/Таблица5[[#This Row],[20]]))</f>
        <v>НД</v>
      </c>
      <c r="AJ575" s="111"/>
      <c r="AK575" s="111"/>
      <c r="AL575" s="512"/>
      <c r="AM575" s="513"/>
      <c r="AN575" s="465"/>
      <c r="AO575" s="468" t="str">
        <f>РПЗ!AD575</f>
        <v>Нет</v>
      </c>
      <c r="AP575" s="472">
        <f>РПЗ!V575</f>
        <v>0</v>
      </c>
      <c r="AQ575" s="470">
        <f>IF(Таблица5[[#This Row],[11]]=0,,MONTH(Таблица5[[#This Row],[11]]))</f>
        <v>1</v>
      </c>
    </row>
    <row r="576" spans="1:43" ht="51.75" thickBot="1" x14ac:dyDescent="0.3">
      <c r="A576" s="233" t="str">
        <f t="shared" si="9"/>
        <v>1004-2017-00561</v>
      </c>
      <c r="B576" s="233" t="str">
        <f>РПЗ!$D576</f>
        <v>1004-2017-00561Поставка Комплекс видеоизмерительный на базе светового микроскопа AxioSkope.A 1m, Германия</v>
      </c>
      <c r="C576" s="233" t="str">
        <f>РПЗ!$AA576</f>
        <v>АО "НИИ "Полюс" им. М.Ф. Стельмаха" тел. отдела закупок 8-495-333-05-02</v>
      </c>
      <c r="D576" s="633" t="str">
        <f>РПЗ!$AB576</f>
        <v>Заказчик</v>
      </c>
      <c r="E576" s="96" t="s">
        <v>46</v>
      </c>
      <c r="F576" s="233" t="str">
        <f>РПЗ!Q576</f>
        <v>ОЗК</v>
      </c>
      <c r="G576" s="237"/>
      <c r="H576" s="237" t="str">
        <f>РПЗ!R576</f>
        <v>да</v>
      </c>
      <c r="I576" s="15">
        <f>РПЗ!W576</f>
        <v>0</v>
      </c>
      <c r="J576" s="233">
        <f>РПЗ!X576</f>
        <v>0</v>
      </c>
      <c r="K576" s="283">
        <f>РПЗ!Z576</f>
        <v>0</v>
      </c>
      <c r="L576" s="17"/>
      <c r="M576" s="18">
        <f>РПЗ!O576</f>
        <v>42736.5</v>
      </c>
      <c r="N576" s="238">
        <f>Таблица5[[#This Row],[10]]</f>
        <v>42736.5</v>
      </c>
      <c r="O576" s="17"/>
      <c r="P576" s="17"/>
      <c r="Q576" s="17"/>
      <c r="R576" s="17"/>
      <c r="S576" s="17"/>
      <c r="T576" s="686"/>
      <c r="U576" s="18">
        <f>РПЗ!P576</f>
        <v>43070.5</v>
      </c>
      <c r="V576" s="686"/>
      <c r="W576" s="236">
        <f>РПЗ!L576</f>
        <v>3718000</v>
      </c>
      <c r="X576" s="689"/>
      <c r="Y576" s="689"/>
      <c r="Z576" s="690"/>
      <c r="AA576" s="691"/>
      <c r="AB576" s="111"/>
      <c r="AC576" s="17"/>
      <c r="AD576" s="690"/>
      <c r="AE576" s="686"/>
      <c r="AF576" s="474"/>
      <c r="AG576" s="692"/>
      <c r="AH576" s="236" t="str">
        <f>IF(Таблица5[[#This Row],[30]]=0,"НД",Таблица5[[#This Row],[20]]-Таблица5[[#This Row],[30]])</f>
        <v>НД</v>
      </c>
      <c r="AI576" s="511" t="str">
        <f>IF(((1-Таблица5[[#This Row],[30]]/Таблица5[[#This Row],[20]])=1),"НД",(1-Таблица5[[#This Row],[30]]/Таблица5[[#This Row],[20]]))</f>
        <v>НД</v>
      </c>
      <c r="AJ576" s="111"/>
      <c r="AK576" s="111"/>
      <c r="AL576" s="512"/>
      <c r="AM576" s="513"/>
      <c r="AN576" s="465"/>
      <c r="AO576" s="468" t="str">
        <f>РПЗ!AD576</f>
        <v>Нет</v>
      </c>
      <c r="AP576" s="472">
        <f>РПЗ!V576</f>
        <v>0</v>
      </c>
      <c r="AQ576" s="470">
        <f>IF(Таблица5[[#This Row],[11]]=0,,MONTH(Таблица5[[#This Row],[11]]))</f>
        <v>1</v>
      </c>
    </row>
    <row r="577" spans="1:43" ht="51.75" thickBot="1" x14ac:dyDescent="0.3">
      <c r="A577" s="233" t="str">
        <f t="shared" si="9"/>
        <v>1004-2017-00562</v>
      </c>
      <c r="B577" s="233" t="str">
        <f>РПЗ!$D577</f>
        <v>1004-2017-00562Поставка Комплекс видеоизмерительный на базе стереоскопического микроскопа Stemi 508, Германия</v>
      </c>
      <c r="C577" s="233" t="str">
        <f>РПЗ!$AA577</f>
        <v>АО "НИИ "Полюс" им. М.Ф. Стельмаха" тел. отдела закупок 8-495-333-05-02</v>
      </c>
      <c r="D577" s="633" t="str">
        <f>РПЗ!$AB577</f>
        <v>Заказчик</v>
      </c>
      <c r="E577" s="96" t="s">
        <v>46</v>
      </c>
      <c r="F577" s="233" t="str">
        <f>РПЗ!Q577</f>
        <v>ОЗК</v>
      </c>
      <c r="G577" s="237"/>
      <c r="H577" s="237" t="str">
        <f>РПЗ!R577</f>
        <v>да</v>
      </c>
      <c r="I577" s="15">
        <f>РПЗ!W577</f>
        <v>0</v>
      </c>
      <c r="J577" s="233">
        <f>РПЗ!X577</f>
        <v>0</v>
      </c>
      <c r="K577" s="283">
        <f>РПЗ!Z577</f>
        <v>0</v>
      </c>
      <c r="L577" s="17"/>
      <c r="M577" s="18">
        <f>РПЗ!O577</f>
        <v>42736.5</v>
      </c>
      <c r="N577" s="238">
        <f>Таблица5[[#This Row],[10]]</f>
        <v>42736.5</v>
      </c>
      <c r="O577" s="17"/>
      <c r="P577" s="17"/>
      <c r="Q577" s="17"/>
      <c r="R577" s="17"/>
      <c r="S577" s="17"/>
      <c r="T577" s="686"/>
      <c r="U577" s="18">
        <f>РПЗ!P577</f>
        <v>43070.5</v>
      </c>
      <c r="V577" s="686"/>
      <c r="W577" s="236">
        <f>РПЗ!L577</f>
        <v>2658115.33</v>
      </c>
      <c r="X577" s="689"/>
      <c r="Y577" s="689"/>
      <c r="Z577" s="690"/>
      <c r="AA577" s="691"/>
      <c r="AB577" s="111"/>
      <c r="AC577" s="17"/>
      <c r="AD577" s="690"/>
      <c r="AE577" s="686"/>
      <c r="AF577" s="474"/>
      <c r="AG577" s="692"/>
      <c r="AH577" s="236" t="str">
        <f>IF(Таблица5[[#This Row],[30]]=0,"НД",Таблица5[[#This Row],[20]]-Таблица5[[#This Row],[30]])</f>
        <v>НД</v>
      </c>
      <c r="AI577" s="511" t="str">
        <f>IF(((1-Таблица5[[#This Row],[30]]/Таблица5[[#This Row],[20]])=1),"НД",(1-Таблица5[[#This Row],[30]]/Таблица5[[#This Row],[20]]))</f>
        <v>НД</v>
      </c>
      <c r="AJ577" s="111"/>
      <c r="AK577" s="111"/>
      <c r="AL577" s="512"/>
      <c r="AM577" s="513"/>
      <c r="AN577" s="465"/>
      <c r="AO577" s="468" t="str">
        <f>РПЗ!AD577</f>
        <v>Нет</v>
      </c>
      <c r="AP577" s="472">
        <f>РПЗ!V577</f>
        <v>0</v>
      </c>
      <c r="AQ577" s="470">
        <f>IF(Таблица5[[#This Row],[11]]=0,,MONTH(Таблица5[[#This Row],[11]]))</f>
        <v>1</v>
      </c>
    </row>
    <row r="578" spans="1:43" ht="39" thickBot="1" x14ac:dyDescent="0.3">
      <c r="A578" s="233" t="str">
        <f t="shared" si="9"/>
        <v>1004-2017-00563</v>
      </c>
      <c r="B578" s="233" t="str">
        <f>РПЗ!$D578</f>
        <v>1004-2017-00563Поставка Осциллограф цифровой RTM 2024, Германия</v>
      </c>
      <c r="C578" s="233" t="str">
        <f>РПЗ!$AA578</f>
        <v>АО "НИИ "Полюс" им. М.Ф. Стельмаха" тел. отдела закупок 8-495-333-05-02</v>
      </c>
      <c r="D578" s="633" t="str">
        <f>РПЗ!$AB578</f>
        <v>Заказчик</v>
      </c>
      <c r="E578" s="96" t="s">
        <v>46</v>
      </c>
      <c r="F578" s="233" t="str">
        <f>РПЗ!Q578</f>
        <v>ОЗК</v>
      </c>
      <c r="G578" s="237"/>
      <c r="H578" s="237" t="str">
        <f>РПЗ!R578</f>
        <v>да</v>
      </c>
      <c r="I578" s="15">
        <f>РПЗ!W578</f>
        <v>0</v>
      </c>
      <c r="J578" s="233">
        <f>РПЗ!X578</f>
        <v>0</v>
      </c>
      <c r="K578" s="283">
        <f>РПЗ!Z578</f>
        <v>0</v>
      </c>
      <c r="L578" s="17"/>
      <c r="M578" s="18">
        <f>РПЗ!O578</f>
        <v>42736.5</v>
      </c>
      <c r="N578" s="238">
        <f>Таблица5[[#This Row],[10]]</f>
        <v>42736.5</v>
      </c>
      <c r="O578" s="17"/>
      <c r="P578" s="17"/>
      <c r="Q578" s="17"/>
      <c r="R578" s="17"/>
      <c r="S578" s="17"/>
      <c r="T578" s="686"/>
      <c r="U578" s="18">
        <f>РПЗ!P578</f>
        <v>43070.5</v>
      </c>
      <c r="V578" s="686"/>
      <c r="W578" s="236">
        <f>РПЗ!L578</f>
        <v>883017.42</v>
      </c>
      <c r="X578" s="689"/>
      <c r="Y578" s="689"/>
      <c r="Z578" s="690"/>
      <c r="AA578" s="691"/>
      <c r="AB578" s="111"/>
      <c r="AC578" s="17"/>
      <c r="AD578" s="690"/>
      <c r="AE578" s="686"/>
      <c r="AF578" s="474"/>
      <c r="AG578" s="692"/>
      <c r="AH578" s="236" t="str">
        <f>IF(Таблица5[[#This Row],[30]]=0,"НД",Таблица5[[#This Row],[20]]-Таблица5[[#This Row],[30]])</f>
        <v>НД</v>
      </c>
      <c r="AI578" s="511" t="str">
        <f>IF(((1-Таблица5[[#This Row],[30]]/Таблица5[[#This Row],[20]])=1),"НД",(1-Таблица5[[#This Row],[30]]/Таблица5[[#This Row],[20]]))</f>
        <v>НД</v>
      </c>
      <c r="AJ578" s="111"/>
      <c r="AK578" s="111"/>
      <c r="AL578" s="512"/>
      <c r="AM578" s="513"/>
      <c r="AN578" s="465"/>
      <c r="AO578" s="468" t="str">
        <f>РПЗ!AD578</f>
        <v>Нет</v>
      </c>
      <c r="AP578" s="472">
        <f>РПЗ!V578</f>
        <v>0</v>
      </c>
      <c r="AQ578" s="470">
        <f>IF(Таблица5[[#This Row],[11]]=0,,MONTH(Таблица5[[#This Row],[11]]))</f>
        <v>1</v>
      </c>
    </row>
    <row r="579" spans="1:43" ht="39" thickBot="1" x14ac:dyDescent="0.3">
      <c r="A579" s="233" t="str">
        <f t="shared" si="9"/>
        <v>1004-2017-00564</v>
      </c>
      <c r="B579" s="233" t="str">
        <f>РПЗ!$D579</f>
        <v>1004-2017-00564Поставка Осцилограф цифровой HMO2024, Германия</v>
      </c>
      <c r="C579" s="233" t="str">
        <f>РПЗ!$AA579</f>
        <v>АО "НИИ "Полюс" им. М.Ф. Стельмаха" тел. отдела закупок 8-495-333-05-02</v>
      </c>
      <c r="D579" s="633" t="str">
        <f>РПЗ!$AB579</f>
        <v>Заказчик</v>
      </c>
      <c r="E579" s="96" t="s">
        <v>46</v>
      </c>
      <c r="F579" s="233" t="str">
        <f>РПЗ!Q579</f>
        <v>ОК</v>
      </c>
      <c r="G579" s="237"/>
      <c r="H579" s="237" t="str">
        <f>РПЗ!R579</f>
        <v>да</v>
      </c>
      <c r="I579" s="15">
        <f>РПЗ!W579</f>
        <v>0</v>
      </c>
      <c r="J579" s="233">
        <f>РПЗ!X579</f>
        <v>0</v>
      </c>
      <c r="K579" s="283">
        <f>РПЗ!Z579</f>
        <v>0</v>
      </c>
      <c r="L579" s="17"/>
      <c r="M579" s="18">
        <f>РПЗ!O579</f>
        <v>42736.5</v>
      </c>
      <c r="N579" s="238">
        <f>Таблица5[[#This Row],[10]]</f>
        <v>42736.5</v>
      </c>
      <c r="O579" s="17"/>
      <c r="P579" s="17"/>
      <c r="Q579" s="17"/>
      <c r="R579" s="17"/>
      <c r="S579" s="17"/>
      <c r="T579" s="686"/>
      <c r="U579" s="18">
        <f>РПЗ!P579</f>
        <v>43070.5</v>
      </c>
      <c r="V579" s="686"/>
      <c r="W579" s="236">
        <f>РПЗ!L579</f>
        <v>5233027.8899999997</v>
      </c>
      <c r="X579" s="689"/>
      <c r="Y579" s="689"/>
      <c r="Z579" s="690"/>
      <c r="AA579" s="691"/>
      <c r="AB579" s="111"/>
      <c r="AC579" s="17"/>
      <c r="AD579" s="690"/>
      <c r="AE579" s="686"/>
      <c r="AF579" s="474"/>
      <c r="AG579" s="692"/>
      <c r="AH579" s="236" t="str">
        <f>IF(Таблица5[[#This Row],[30]]=0,"НД",Таблица5[[#This Row],[20]]-Таблица5[[#This Row],[30]])</f>
        <v>НД</v>
      </c>
      <c r="AI579" s="511" t="str">
        <f>IF(((1-Таблица5[[#This Row],[30]]/Таблица5[[#This Row],[20]])=1),"НД",(1-Таблица5[[#This Row],[30]]/Таблица5[[#This Row],[20]]))</f>
        <v>НД</v>
      </c>
      <c r="AJ579" s="111"/>
      <c r="AK579" s="111"/>
      <c r="AL579" s="512"/>
      <c r="AM579" s="513"/>
      <c r="AN579" s="465"/>
      <c r="AO579" s="468" t="str">
        <f>РПЗ!AD579</f>
        <v>Нет</v>
      </c>
      <c r="AP579" s="472">
        <f>РПЗ!V579</f>
        <v>0</v>
      </c>
      <c r="AQ579" s="470">
        <f>IF(Таблица5[[#This Row],[11]]=0,,MONTH(Таблица5[[#This Row],[11]]))</f>
        <v>1</v>
      </c>
    </row>
    <row r="580" spans="1:43" ht="39" thickBot="1" x14ac:dyDescent="0.3">
      <c r="A580" s="233" t="str">
        <f t="shared" si="9"/>
        <v>1004-2017-00565</v>
      </c>
      <c r="B580" s="233" t="str">
        <f>РПЗ!$D580</f>
        <v>1004-2017-00565Поставка Прибор для измерения краевого угла DSA 25E, Германия</v>
      </c>
      <c r="C580" s="233" t="str">
        <f>РПЗ!$AA580</f>
        <v>АО "НИИ "Полюс" им. М.Ф. Стельмаха" тел. отдела закупок 8-495-333-05-02</v>
      </c>
      <c r="D580" s="633" t="str">
        <f>РПЗ!$AB580</f>
        <v>Заказчик</v>
      </c>
      <c r="E580" s="96" t="s">
        <v>46</v>
      </c>
      <c r="F580" s="233" t="str">
        <f>РПЗ!Q580</f>
        <v>ОЗК</v>
      </c>
      <c r="G580" s="237"/>
      <c r="H580" s="237" t="str">
        <f>РПЗ!R580</f>
        <v>да</v>
      </c>
      <c r="I580" s="15">
        <f>РПЗ!W580</f>
        <v>0</v>
      </c>
      <c r="J580" s="233">
        <f>РПЗ!X580</f>
        <v>0</v>
      </c>
      <c r="K580" s="283">
        <f>РПЗ!Z580</f>
        <v>0</v>
      </c>
      <c r="L580" s="17"/>
      <c r="M580" s="18">
        <f>РПЗ!O580</f>
        <v>42736.5</v>
      </c>
      <c r="N580" s="238">
        <f>Таблица5[[#This Row],[10]]</f>
        <v>42736.5</v>
      </c>
      <c r="O580" s="17"/>
      <c r="P580" s="17"/>
      <c r="Q580" s="17"/>
      <c r="R580" s="17"/>
      <c r="S580" s="17"/>
      <c r="T580" s="686"/>
      <c r="U580" s="18">
        <f>РПЗ!P580</f>
        <v>43070.5</v>
      </c>
      <c r="V580" s="686"/>
      <c r="W580" s="236">
        <f>РПЗ!L580</f>
        <v>1622509.26</v>
      </c>
      <c r="X580" s="689"/>
      <c r="Y580" s="689"/>
      <c r="Z580" s="690"/>
      <c r="AA580" s="691"/>
      <c r="AB580" s="111"/>
      <c r="AC580" s="17"/>
      <c r="AD580" s="690"/>
      <c r="AE580" s="686"/>
      <c r="AF580" s="474"/>
      <c r="AG580" s="692"/>
      <c r="AH580" s="236" t="str">
        <f>IF(Таблица5[[#This Row],[30]]=0,"НД",Таблица5[[#This Row],[20]]-Таблица5[[#This Row],[30]])</f>
        <v>НД</v>
      </c>
      <c r="AI580" s="511" t="str">
        <f>IF(((1-Таблица5[[#This Row],[30]]/Таблица5[[#This Row],[20]])=1),"НД",(1-Таблица5[[#This Row],[30]]/Таблица5[[#This Row],[20]]))</f>
        <v>НД</v>
      </c>
      <c r="AJ580" s="111"/>
      <c r="AK580" s="111"/>
      <c r="AL580" s="512"/>
      <c r="AM580" s="513"/>
      <c r="AN580" s="465"/>
      <c r="AO580" s="468" t="str">
        <f>РПЗ!AD580</f>
        <v>Нет</v>
      </c>
      <c r="AP580" s="472">
        <f>РПЗ!V580</f>
        <v>0</v>
      </c>
      <c r="AQ580" s="470">
        <f>IF(Таблица5[[#This Row],[11]]=0,,MONTH(Таблица5[[#This Row],[11]]))</f>
        <v>1</v>
      </c>
    </row>
    <row r="581" spans="1:43" ht="39" thickBot="1" x14ac:dyDescent="0.3">
      <c r="A581" s="233" t="str">
        <f t="shared" si="9"/>
        <v>1004-2017-00566</v>
      </c>
      <c r="B581" s="233" t="str">
        <f>РПЗ!$D581</f>
        <v>1004-2017-00566Поставка Прибор для измерения краевого угла DSA 25E, Германия</v>
      </c>
      <c r="C581" s="233" t="str">
        <f>РПЗ!$AA581</f>
        <v>АО "НИИ "Полюс" им. М.Ф. Стельмаха" тел. отдела закупок 8-495-333-05-02</v>
      </c>
      <c r="D581" s="633" t="str">
        <f>РПЗ!$AB581</f>
        <v>Заказчик</v>
      </c>
      <c r="E581" s="96" t="s">
        <v>46</v>
      </c>
      <c r="F581" s="233" t="str">
        <f>РПЗ!Q581</f>
        <v>ОЗК</v>
      </c>
      <c r="G581" s="237"/>
      <c r="H581" s="237" t="str">
        <f>РПЗ!R581</f>
        <v>да</v>
      </c>
      <c r="I581" s="15">
        <f>РПЗ!W581</f>
        <v>0</v>
      </c>
      <c r="J581" s="233">
        <f>РПЗ!X581</f>
        <v>0</v>
      </c>
      <c r="K581" s="283">
        <f>РПЗ!Z581</f>
        <v>0</v>
      </c>
      <c r="L581" s="17"/>
      <c r="M581" s="18">
        <f>РПЗ!O581</f>
        <v>42736.5</v>
      </c>
      <c r="N581" s="238">
        <f>Таблица5[[#This Row],[10]]</f>
        <v>42736.5</v>
      </c>
      <c r="O581" s="17"/>
      <c r="P581" s="17"/>
      <c r="Q581" s="17"/>
      <c r="R581" s="17"/>
      <c r="S581" s="17"/>
      <c r="T581" s="686"/>
      <c r="U581" s="18">
        <f>РПЗ!P581</f>
        <v>43070.5</v>
      </c>
      <c r="V581" s="686"/>
      <c r="W581" s="236">
        <f>РПЗ!L581</f>
        <v>1619889.96</v>
      </c>
      <c r="X581" s="689"/>
      <c r="Y581" s="689"/>
      <c r="Z581" s="690"/>
      <c r="AA581" s="691"/>
      <c r="AB581" s="111"/>
      <c r="AC581" s="17"/>
      <c r="AD581" s="690"/>
      <c r="AE581" s="686"/>
      <c r="AF581" s="474"/>
      <c r="AG581" s="692"/>
      <c r="AH581" s="236" t="str">
        <f>IF(Таблица5[[#This Row],[30]]=0,"НД",Таблица5[[#This Row],[20]]-Таблица5[[#This Row],[30]])</f>
        <v>НД</v>
      </c>
      <c r="AI581" s="511" t="str">
        <f>IF(((1-Таблица5[[#This Row],[30]]/Таблица5[[#This Row],[20]])=1),"НД",(1-Таблица5[[#This Row],[30]]/Таблица5[[#This Row],[20]]))</f>
        <v>НД</v>
      </c>
      <c r="AJ581" s="111"/>
      <c r="AK581" s="111"/>
      <c r="AL581" s="512"/>
      <c r="AM581" s="513"/>
      <c r="AN581" s="465"/>
      <c r="AO581" s="468" t="str">
        <f>РПЗ!AD581</f>
        <v>Нет</v>
      </c>
      <c r="AP581" s="472">
        <f>РПЗ!V581</f>
        <v>0</v>
      </c>
      <c r="AQ581" s="470">
        <f>IF(Таблица5[[#This Row],[11]]=0,,MONTH(Таблица5[[#This Row],[11]]))</f>
        <v>1</v>
      </c>
    </row>
    <row r="582" spans="1:43" ht="39" thickBot="1" x14ac:dyDescent="0.3">
      <c r="A582" s="233" t="str">
        <f t="shared" si="9"/>
        <v>1004-2017-00567</v>
      </c>
      <c r="B582" s="233" t="str">
        <f>РПЗ!$D582</f>
        <v>1004-2017-00567Поставка Сушильный шкаф с естественной конвекцией ED 115, Германия</v>
      </c>
      <c r="C582" s="233" t="str">
        <f>РПЗ!$AA582</f>
        <v>АО "НИИ "Полюс" им. М.Ф. Стельмаха" тел. отдела закупок 8-495-333-05-02</v>
      </c>
      <c r="D582" s="633" t="str">
        <f>РПЗ!$AB582</f>
        <v>Заказчик</v>
      </c>
      <c r="E582" s="96" t="s">
        <v>46</v>
      </c>
      <c r="F582" s="233" t="str">
        <f>РПЗ!Q582</f>
        <v>ОЗК</v>
      </c>
      <c r="G582" s="237"/>
      <c r="H582" s="237" t="str">
        <f>РПЗ!R582</f>
        <v>да</v>
      </c>
      <c r="I582" s="15">
        <f>РПЗ!W582</f>
        <v>0</v>
      </c>
      <c r="J582" s="233">
        <f>РПЗ!X582</f>
        <v>0</v>
      </c>
      <c r="K582" s="283">
        <f>РПЗ!Z582</f>
        <v>0</v>
      </c>
      <c r="L582" s="17"/>
      <c r="M582" s="18">
        <f>РПЗ!O582</f>
        <v>42736.5</v>
      </c>
      <c r="N582" s="238">
        <f>Таблица5[[#This Row],[10]]</f>
        <v>42736.5</v>
      </c>
      <c r="O582" s="17"/>
      <c r="P582" s="17"/>
      <c r="Q582" s="17"/>
      <c r="R582" s="17"/>
      <c r="S582" s="17"/>
      <c r="T582" s="686"/>
      <c r="U582" s="18">
        <f>РПЗ!P582</f>
        <v>43070.5</v>
      </c>
      <c r="V582" s="686"/>
      <c r="W582" s="236">
        <f>РПЗ!L582</f>
        <v>159135.98000000001</v>
      </c>
      <c r="X582" s="689"/>
      <c r="Y582" s="689"/>
      <c r="Z582" s="690"/>
      <c r="AA582" s="691"/>
      <c r="AB582" s="111"/>
      <c r="AC582" s="17"/>
      <c r="AD582" s="690"/>
      <c r="AE582" s="686"/>
      <c r="AF582" s="474"/>
      <c r="AG582" s="692"/>
      <c r="AH582" s="236" t="str">
        <f>IF(Таблица5[[#This Row],[30]]=0,"НД",Таблица5[[#This Row],[20]]-Таблица5[[#This Row],[30]])</f>
        <v>НД</v>
      </c>
      <c r="AI582" s="511" t="str">
        <f>IF(((1-Таблица5[[#This Row],[30]]/Таблица5[[#This Row],[20]])=1),"НД",(1-Таблица5[[#This Row],[30]]/Таблица5[[#This Row],[20]]))</f>
        <v>НД</v>
      </c>
      <c r="AJ582" s="111"/>
      <c r="AK582" s="111"/>
      <c r="AL582" s="512"/>
      <c r="AM582" s="513"/>
      <c r="AN582" s="465"/>
      <c r="AO582" s="468" t="str">
        <f>РПЗ!AD582</f>
        <v>Нет</v>
      </c>
      <c r="AP582" s="472">
        <f>РПЗ!V582</f>
        <v>0</v>
      </c>
      <c r="AQ582" s="470">
        <f>IF(Таблица5[[#This Row],[11]]=0,,MONTH(Таблица5[[#This Row],[11]]))</f>
        <v>1</v>
      </c>
    </row>
    <row r="583" spans="1:43" ht="39" thickBot="1" x14ac:dyDescent="0.3">
      <c r="A583" s="233" t="str">
        <f t="shared" si="9"/>
        <v>1004-2017-00568</v>
      </c>
      <c r="B583" s="233" t="str">
        <f>РПЗ!$D583</f>
        <v>1004-2017-00568Поставка Универсальный  отрезной станок Brillant 200, Германия</v>
      </c>
      <c r="C583" s="233" t="str">
        <f>РПЗ!$AA583</f>
        <v>АО "НИИ "Полюс" им. М.Ф. Стельмаха" тел. отдела закупок 8-495-333-05-02</v>
      </c>
      <c r="D583" s="633" t="str">
        <f>РПЗ!$AB583</f>
        <v>Заказчик</v>
      </c>
      <c r="E583" s="96" t="s">
        <v>46</v>
      </c>
      <c r="F583" s="233" t="str">
        <f>РПЗ!Q583</f>
        <v>ОЗК</v>
      </c>
      <c r="G583" s="237"/>
      <c r="H583" s="237" t="str">
        <f>РПЗ!R583</f>
        <v>да</v>
      </c>
      <c r="I583" s="15">
        <f>РПЗ!W583</f>
        <v>0</v>
      </c>
      <c r="J583" s="233">
        <f>РПЗ!X583</f>
        <v>0</v>
      </c>
      <c r="K583" s="283">
        <f>РПЗ!Z583</f>
        <v>0</v>
      </c>
      <c r="L583" s="17"/>
      <c r="M583" s="18">
        <f>РПЗ!O583</f>
        <v>42736.5</v>
      </c>
      <c r="N583" s="238">
        <f>Таблица5[[#This Row],[10]]</f>
        <v>42736.5</v>
      </c>
      <c r="O583" s="17"/>
      <c r="P583" s="17"/>
      <c r="Q583" s="17"/>
      <c r="R583" s="17"/>
      <c r="S583" s="17"/>
      <c r="T583" s="686"/>
      <c r="U583" s="18">
        <f>РПЗ!P583</f>
        <v>43070.5</v>
      </c>
      <c r="V583" s="686"/>
      <c r="W583" s="236">
        <f>РПЗ!L583</f>
        <v>1498425.2</v>
      </c>
      <c r="X583" s="689"/>
      <c r="Y583" s="689"/>
      <c r="Z583" s="690"/>
      <c r="AA583" s="691"/>
      <c r="AB583" s="111"/>
      <c r="AC583" s="17"/>
      <c r="AD583" s="690"/>
      <c r="AE583" s="686"/>
      <c r="AF583" s="474"/>
      <c r="AG583" s="692"/>
      <c r="AH583" s="236" t="str">
        <f>IF(Таблица5[[#This Row],[30]]=0,"НД",Таблица5[[#This Row],[20]]-Таблица5[[#This Row],[30]])</f>
        <v>НД</v>
      </c>
      <c r="AI583" s="511" t="str">
        <f>IF(((1-Таблица5[[#This Row],[30]]/Таблица5[[#This Row],[20]])=1),"НД",(1-Таблица5[[#This Row],[30]]/Таблица5[[#This Row],[20]]))</f>
        <v>НД</v>
      </c>
      <c r="AJ583" s="111"/>
      <c r="AK583" s="111"/>
      <c r="AL583" s="512"/>
      <c r="AM583" s="513"/>
      <c r="AN583" s="465"/>
      <c r="AO583" s="468" t="str">
        <f>РПЗ!AD583</f>
        <v>Нет</v>
      </c>
      <c r="AP583" s="472">
        <f>РПЗ!V583</f>
        <v>0</v>
      </c>
      <c r="AQ583" s="470">
        <f>IF(Таблица5[[#This Row],[11]]=0,,MONTH(Таблица5[[#This Row],[11]]))</f>
        <v>1</v>
      </c>
    </row>
    <row r="584" spans="1:43" ht="39" thickBot="1" x14ac:dyDescent="0.3">
      <c r="A584" s="233" t="str">
        <f t="shared" si="9"/>
        <v>1004-2017-00569</v>
      </c>
      <c r="B584" s="233" t="str">
        <f>РПЗ!$D584</f>
        <v>1004-2017-00569Поставка  Стереомикроскоп LynxS9, Великобритания</v>
      </c>
      <c r="C584" s="233" t="str">
        <f>РПЗ!$AA584</f>
        <v>АО "НИИ "Полюс" им. М.Ф. Стельмаха" тел. отдела закупок 8-495-333-05-02</v>
      </c>
      <c r="D584" s="633" t="str">
        <f>РПЗ!$AB584</f>
        <v>Заказчик</v>
      </c>
      <c r="E584" s="96" t="s">
        <v>46</v>
      </c>
      <c r="F584" s="233" t="str">
        <f>РПЗ!Q584</f>
        <v>ОК</v>
      </c>
      <c r="G584" s="237"/>
      <c r="H584" s="237" t="str">
        <f>РПЗ!R584</f>
        <v>да</v>
      </c>
      <c r="I584" s="15">
        <f>РПЗ!W584</f>
        <v>0</v>
      </c>
      <c r="J584" s="233">
        <f>РПЗ!X584</f>
        <v>0</v>
      </c>
      <c r="K584" s="283">
        <f>РПЗ!Z584</f>
        <v>0</v>
      </c>
      <c r="L584" s="17"/>
      <c r="M584" s="18">
        <f>РПЗ!O584</f>
        <v>42736.5</v>
      </c>
      <c r="N584" s="238">
        <f>Таблица5[[#This Row],[10]]</f>
        <v>42736.5</v>
      </c>
      <c r="O584" s="17"/>
      <c r="P584" s="17"/>
      <c r="Q584" s="17"/>
      <c r="R584" s="17"/>
      <c r="S584" s="17"/>
      <c r="T584" s="686"/>
      <c r="U584" s="18">
        <f>РПЗ!P584</f>
        <v>43070.5</v>
      </c>
      <c r="V584" s="686"/>
      <c r="W584" s="236">
        <f>РПЗ!L584</f>
        <v>824600.04</v>
      </c>
      <c r="X584" s="689"/>
      <c r="Y584" s="689"/>
      <c r="Z584" s="690"/>
      <c r="AA584" s="691"/>
      <c r="AB584" s="111"/>
      <c r="AC584" s="17"/>
      <c r="AD584" s="690"/>
      <c r="AE584" s="686"/>
      <c r="AF584" s="474"/>
      <c r="AG584" s="692"/>
      <c r="AH584" s="236" t="str">
        <f>IF(Таблица5[[#This Row],[30]]=0,"НД",Таблица5[[#This Row],[20]]-Таблица5[[#This Row],[30]])</f>
        <v>НД</v>
      </c>
      <c r="AI584" s="511" t="str">
        <f>IF(((1-Таблица5[[#This Row],[30]]/Таблица5[[#This Row],[20]])=1),"НД",(1-Таблица5[[#This Row],[30]]/Таблица5[[#This Row],[20]]))</f>
        <v>НД</v>
      </c>
      <c r="AJ584" s="111"/>
      <c r="AK584" s="111"/>
      <c r="AL584" s="512"/>
      <c r="AM584" s="513"/>
      <c r="AN584" s="465"/>
      <c r="AO584" s="468" t="str">
        <f>РПЗ!AD584</f>
        <v>Нет</v>
      </c>
      <c r="AP584" s="472">
        <f>РПЗ!V584</f>
        <v>0</v>
      </c>
      <c r="AQ584" s="470">
        <f>IF(Таблица5[[#This Row],[11]]=0,,MONTH(Таблица5[[#This Row],[11]]))</f>
        <v>1</v>
      </c>
    </row>
    <row r="585" spans="1:43" ht="39" thickBot="1" x14ac:dyDescent="0.3">
      <c r="A585" s="233" t="str">
        <f t="shared" si="9"/>
        <v>1004-2017-00570</v>
      </c>
      <c r="B585" s="233" t="str">
        <f>РПЗ!$D585</f>
        <v>1004-2017-00570Поставка  Цифровой полярископ StrainScope S3/180, Германия</v>
      </c>
      <c r="C585" s="233" t="str">
        <f>РПЗ!$AA585</f>
        <v>АО "НИИ "Полюс" им. М.Ф. Стельмаха" тел. отдела закупок 8-495-333-05-02</v>
      </c>
      <c r="D585" s="633" t="str">
        <f>РПЗ!$AB585</f>
        <v>Заказчик</v>
      </c>
      <c r="E585" s="96" t="s">
        <v>46</v>
      </c>
      <c r="F585" s="233" t="str">
        <f>РПЗ!Q585</f>
        <v>ОЗК</v>
      </c>
      <c r="G585" s="237"/>
      <c r="H585" s="237" t="str">
        <f>РПЗ!R585</f>
        <v>да</v>
      </c>
      <c r="I585" s="15">
        <f>РПЗ!W585</f>
        <v>0</v>
      </c>
      <c r="J585" s="233">
        <f>РПЗ!X585</f>
        <v>0</v>
      </c>
      <c r="K585" s="283">
        <f>РПЗ!Z585</f>
        <v>0</v>
      </c>
      <c r="L585" s="17"/>
      <c r="M585" s="18">
        <f>РПЗ!O585</f>
        <v>42736.5</v>
      </c>
      <c r="N585" s="238">
        <f>Таблица5[[#This Row],[10]]</f>
        <v>42736.5</v>
      </c>
      <c r="O585" s="17"/>
      <c r="P585" s="17"/>
      <c r="Q585" s="17"/>
      <c r="R585" s="17"/>
      <c r="S585" s="17"/>
      <c r="T585" s="686"/>
      <c r="U585" s="18">
        <f>РПЗ!P585</f>
        <v>43070.5</v>
      </c>
      <c r="V585" s="686"/>
      <c r="W585" s="236">
        <f>РПЗ!L585</f>
        <v>4828488.5999999996</v>
      </c>
      <c r="X585" s="689"/>
      <c r="Y585" s="689"/>
      <c r="Z585" s="690"/>
      <c r="AA585" s="691"/>
      <c r="AB585" s="111"/>
      <c r="AC585" s="17"/>
      <c r="AD585" s="690"/>
      <c r="AE585" s="686"/>
      <c r="AF585" s="474"/>
      <c r="AG585" s="692"/>
      <c r="AH585" s="236" t="str">
        <f>IF(Таблица5[[#This Row],[30]]=0,"НД",Таблица5[[#This Row],[20]]-Таблица5[[#This Row],[30]])</f>
        <v>НД</v>
      </c>
      <c r="AI585" s="511" t="str">
        <f>IF(((1-Таблица5[[#This Row],[30]]/Таблица5[[#This Row],[20]])=1),"НД",(1-Таблица5[[#This Row],[30]]/Таблица5[[#This Row],[20]]))</f>
        <v>НД</v>
      </c>
      <c r="AJ585" s="111"/>
      <c r="AK585" s="111"/>
      <c r="AL585" s="512"/>
      <c r="AM585" s="513"/>
      <c r="AN585" s="465"/>
      <c r="AO585" s="468" t="str">
        <f>РПЗ!AD585</f>
        <v>Нет</v>
      </c>
      <c r="AP585" s="472">
        <f>РПЗ!V585</f>
        <v>0</v>
      </c>
      <c r="AQ585" s="470">
        <f>IF(Таблица5[[#This Row],[11]]=0,,MONTH(Таблица5[[#This Row],[11]]))</f>
        <v>1</v>
      </c>
    </row>
    <row r="586" spans="1:43" ht="39" thickBot="1" x14ac:dyDescent="0.3">
      <c r="A586" s="233" t="str">
        <f t="shared" si="9"/>
        <v>1004-2017-00571</v>
      </c>
      <c r="B586" s="233" t="str">
        <f>РПЗ!$D586</f>
        <v>1004-2017-00571Поставка Комплект строительных и отделочных материалов</v>
      </c>
      <c r="C586" s="233" t="str">
        <f>РПЗ!$AA586</f>
        <v>АО "НИИ "Полюс" им. М.Ф. Стельмаха" тел. отдела закупок 8-495-333-05-02</v>
      </c>
      <c r="D586" s="633" t="str">
        <f>РПЗ!$AB586</f>
        <v>Заказчик</v>
      </c>
      <c r="E586" s="96" t="s">
        <v>46</v>
      </c>
      <c r="F586" s="233" t="str">
        <f>РПЗ!Q586</f>
        <v>ОЗК</v>
      </c>
      <c r="G586" s="237"/>
      <c r="H586" s="237" t="str">
        <f>РПЗ!R586</f>
        <v>да</v>
      </c>
      <c r="I586" s="15">
        <f>РПЗ!W586</f>
        <v>0</v>
      </c>
      <c r="J586" s="233">
        <f>РПЗ!X586</f>
        <v>0</v>
      </c>
      <c r="K586" s="283">
        <f>РПЗ!Z586</f>
        <v>0</v>
      </c>
      <c r="L586" s="17"/>
      <c r="M586" s="18">
        <f>РПЗ!O586</f>
        <v>42767.5</v>
      </c>
      <c r="N586" s="238">
        <f>Таблица5[[#This Row],[10]]</f>
        <v>42767.5</v>
      </c>
      <c r="O586" s="17"/>
      <c r="P586" s="17"/>
      <c r="Q586" s="17"/>
      <c r="R586" s="17"/>
      <c r="S586" s="17"/>
      <c r="T586" s="686"/>
      <c r="U586" s="18">
        <f>РПЗ!P586</f>
        <v>43070.5</v>
      </c>
      <c r="V586" s="686"/>
      <c r="W586" s="236">
        <f>РПЗ!L586</f>
        <v>14500000</v>
      </c>
      <c r="X586" s="689"/>
      <c r="Y586" s="689"/>
      <c r="Z586" s="690"/>
      <c r="AA586" s="691"/>
      <c r="AB586" s="111"/>
      <c r="AC586" s="17"/>
      <c r="AD586" s="690"/>
      <c r="AE586" s="686"/>
      <c r="AF586" s="474"/>
      <c r="AG586" s="692"/>
      <c r="AH586" s="236" t="str">
        <f>IF(Таблица5[[#This Row],[30]]=0,"НД",Таблица5[[#This Row],[20]]-Таблица5[[#This Row],[30]])</f>
        <v>НД</v>
      </c>
      <c r="AI586" s="511" t="str">
        <f>IF(((1-Таблица5[[#This Row],[30]]/Таблица5[[#This Row],[20]])=1),"НД",(1-Таблица5[[#This Row],[30]]/Таблица5[[#This Row],[20]]))</f>
        <v>НД</v>
      </c>
      <c r="AJ586" s="111"/>
      <c r="AK586" s="111"/>
      <c r="AL586" s="512"/>
      <c r="AM586" s="513"/>
      <c r="AN586" s="465"/>
      <c r="AO586" s="468" t="str">
        <f>РПЗ!AD586</f>
        <v>Нет</v>
      </c>
      <c r="AP586" s="472">
        <f>РПЗ!V586</f>
        <v>0</v>
      </c>
      <c r="AQ586" s="470">
        <f>IF(Таблица5[[#This Row],[11]]=0,,MONTH(Таблица5[[#This Row],[11]]))</f>
        <v>2</v>
      </c>
    </row>
    <row r="587" spans="1:43" ht="39" thickBot="1" x14ac:dyDescent="0.3">
      <c r="A587" s="233" t="str">
        <f t="shared" si="9"/>
        <v>1004-2017-00572</v>
      </c>
      <c r="B587" s="233" t="str">
        <f>РПЗ!$D587</f>
        <v>1004-2017-00572Поставка Комплект строительных и отделочных материалов</v>
      </c>
      <c r="C587" s="233" t="str">
        <f>РПЗ!$AA587</f>
        <v>АО "НИИ "Полюс" им. М.Ф. Стельмаха" тел. отдела закупок 8-495-333-05-02</v>
      </c>
      <c r="D587" s="633" t="str">
        <f>РПЗ!$AB587</f>
        <v>Заказчик</v>
      </c>
      <c r="E587" s="96" t="s">
        <v>46</v>
      </c>
      <c r="F587" s="233" t="str">
        <f>РПЗ!Q587</f>
        <v>ОЗК</v>
      </c>
      <c r="G587" s="237"/>
      <c r="H587" s="237" t="str">
        <f>РПЗ!R587</f>
        <v>да</v>
      </c>
      <c r="I587" s="15">
        <f>РПЗ!W587</f>
        <v>0</v>
      </c>
      <c r="J587" s="233">
        <f>РПЗ!X587</f>
        <v>0</v>
      </c>
      <c r="K587" s="283">
        <f>РПЗ!Z587</f>
        <v>0</v>
      </c>
      <c r="L587" s="17"/>
      <c r="M587" s="18">
        <f>РПЗ!O587</f>
        <v>42856.5</v>
      </c>
      <c r="N587" s="238">
        <f>Таблица5[[#This Row],[10]]</f>
        <v>42856.5</v>
      </c>
      <c r="O587" s="17"/>
      <c r="P587" s="17"/>
      <c r="Q587" s="17"/>
      <c r="R587" s="17"/>
      <c r="S587" s="17"/>
      <c r="T587" s="686"/>
      <c r="U587" s="18">
        <f>РПЗ!P587</f>
        <v>43070.5</v>
      </c>
      <c r="V587" s="686"/>
      <c r="W587" s="236">
        <f>РПЗ!L587</f>
        <v>13500000</v>
      </c>
      <c r="X587" s="689"/>
      <c r="Y587" s="689"/>
      <c r="Z587" s="690"/>
      <c r="AA587" s="691"/>
      <c r="AB587" s="111"/>
      <c r="AC587" s="17"/>
      <c r="AD587" s="690"/>
      <c r="AE587" s="686"/>
      <c r="AF587" s="474"/>
      <c r="AG587" s="692"/>
      <c r="AH587" s="236" t="str">
        <f>IF(Таблица5[[#This Row],[30]]=0,"НД",Таблица5[[#This Row],[20]]-Таблица5[[#This Row],[30]])</f>
        <v>НД</v>
      </c>
      <c r="AI587" s="511" t="str">
        <f>IF(((1-Таблица5[[#This Row],[30]]/Таблица5[[#This Row],[20]])=1),"НД",(1-Таблица5[[#This Row],[30]]/Таблица5[[#This Row],[20]]))</f>
        <v>НД</v>
      </c>
      <c r="AJ587" s="111"/>
      <c r="AK587" s="111"/>
      <c r="AL587" s="512"/>
      <c r="AM587" s="513"/>
      <c r="AN587" s="465"/>
      <c r="AO587" s="468" t="str">
        <f>РПЗ!AD587</f>
        <v>Нет</v>
      </c>
      <c r="AP587" s="472">
        <f>РПЗ!V587</f>
        <v>0</v>
      </c>
      <c r="AQ587" s="470">
        <f>IF(Таблица5[[#This Row],[11]]=0,,MONTH(Таблица5[[#This Row],[11]]))</f>
        <v>5</v>
      </c>
    </row>
    <row r="588" spans="1:43" ht="39" thickBot="1" x14ac:dyDescent="0.3">
      <c r="A588" s="233" t="str">
        <f t="shared" si="9"/>
        <v>1004-2017-00573</v>
      </c>
      <c r="B588" s="233" t="str">
        <f>РПЗ!$D588</f>
        <v>1004-2017-00573Поставка Комплект строительных и отделочных материалов</v>
      </c>
      <c r="C588" s="233" t="str">
        <f>РПЗ!$AA588</f>
        <v>АО "НИИ "Полюс" им. М.Ф. Стельмаха" тел. отдела закупок 8-495-333-05-02</v>
      </c>
      <c r="D588" s="633" t="str">
        <f>РПЗ!$AB588</f>
        <v>Заказчик</v>
      </c>
      <c r="E588" s="96" t="s">
        <v>46</v>
      </c>
      <c r="F588" s="233" t="str">
        <f>РПЗ!Q588</f>
        <v>ОЗК</v>
      </c>
      <c r="G588" s="237"/>
      <c r="H588" s="237" t="str">
        <f>РПЗ!R588</f>
        <v>да</v>
      </c>
      <c r="I588" s="15">
        <f>РПЗ!W588</f>
        <v>0</v>
      </c>
      <c r="J588" s="233">
        <f>РПЗ!X588</f>
        <v>0</v>
      </c>
      <c r="K588" s="283">
        <f>РПЗ!Z588</f>
        <v>0</v>
      </c>
      <c r="L588" s="17"/>
      <c r="M588" s="18">
        <f>РПЗ!O588</f>
        <v>42917.5</v>
      </c>
      <c r="N588" s="238">
        <f>Таблица5[[#This Row],[10]]</f>
        <v>42917.5</v>
      </c>
      <c r="O588" s="17"/>
      <c r="P588" s="17"/>
      <c r="Q588" s="17"/>
      <c r="R588" s="17"/>
      <c r="S588" s="17"/>
      <c r="T588" s="686"/>
      <c r="U588" s="18">
        <f>РПЗ!P588</f>
        <v>43070.5</v>
      </c>
      <c r="V588" s="686"/>
      <c r="W588" s="236">
        <f>РПЗ!L588</f>
        <v>21850000</v>
      </c>
      <c r="X588" s="689"/>
      <c r="Y588" s="689"/>
      <c r="Z588" s="690"/>
      <c r="AA588" s="691"/>
      <c r="AB588" s="111"/>
      <c r="AC588" s="17"/>
      <c r="AD588" s="690"/>
      <c r="AE588" s="686"/>
      <c r="AF588" s="474"/>
      <c r="AG588" s="692"/>
      <c r="AH588" s="236" t="str">
        <f>IF(Таблица5[[#This Row],[30]]=0,"НД",Таблица5[[#This Row],[20]]-Таблица5[[#This Row],[30]])</f>
        <v>НД</v>
      </c>
      <c r="AI588" s="511" t="str">
        <f>IF(((1-Таблица5[[#This Row],[30]]/Таблица5[[#This Row],[20]])=1),"НД",(1-Таблица5[[#This Row],[30]]/Таблица5[[#This Row],[20]]))</f>
        <v>НД</v>
      </c>
      <c r="AJ588" s="111"/>
      <c r="AK588" s="111"/>
      <c r="AL588" s="512"/>
      <c r="AM588" s="513"/>
      <c r="AN588" s="465"/>
      <c r="AO588" s="468" t="str">
        <f>РПЗ!AD588</f>
        <v>Нет</v>
      </c>
      <c r="AP588" s="472">
        <f>РПЗ!V588</f>
        <v>0</v>
      </c>
      <c r="AQ588" s="470">
        <f>IF(Таблица5[[#This Row],[11]]=0,,MONTH(Таблица5[[#This Row],[11]]))</f>
        <v>7</v>
      </c>
    </row>
    <row r="589" spans="1:43" ht="39" thickBot="1" x14ac:dyDescent="0.3">
      <c r="A589" s="233" t="str">
        <f t="shared" si="9"/>
        <v>1004-2017-00574</v>
      </c>
      <c r="B589" s="233" t="str">
        <f>РПЗ!$D589</f>
        <v>1004-2017-00574Поставка Комплект строительных и отделочных материалов</v>
      </c>
      <c r="C589" s="233" t="str">
        <f>РПЗ!$AA589</f>
        <v>АО "НИИ "Полюс" им. М.Ф. Стельмаха" тел. отдела закупок 8-495-333-05-02</v>
      </c>
      <c r="D589" s="633" t="str">
        <f>РПЗ!$AB589</f>
        <v>Заказчик</v>
      </c>
      <c r="E589" s="96" t="s">
        <v>46</v>
      </c>
      <c r="F589" s="233" t="str">
        <f>РПЗ!Q589</f>
        <v>ОЗК</v>
      </c>
      <c r="G589" s="237"/>
      <c r="H589" s="237" t="str">
        <f>РПЗ!R589</f>
        <v>да</v>
      </c>
      <c r="I589" s="15">
        <f>РПЗ!W589</f>
        <v>0</v>
      </c>
      <c r="J589" s="233">
        <f>РПЗ!X589</f>
        <v>0</v>
      </c>
      <c r="K589" s="283">
        <f>РПЗ!Z589</f>
        <v>0</v>
      </c>
      <c r="L589" s="17"/>
      <c r="M589" s="18">
        <f>РПЗ!O589</f>
        <v>42979.5</v>
      </c>
      <c r="N589" s="238">
        <f>Таблица5[[#This Row],[10]]</f>
        <v>42979.5</v>
      </c>
      <c r="O589" s="17"/>
      <c r="P589" s="17"/>
      <c r="Q589" s="17"/>
      <c r="R589" s="17"/>
      <c r="S589" s="17"/>
      <c r="T589" s="686"/>
      <c r="U589" s="18">
        <f>РПЗ!P589</f>
        <v>43070.5</v>
      </c>
      <c r="V589" s="686"/>
      <c r="W589" s="236">
        <f>РПЗ!L589</f>
        <v>3960000</v>
      </c>
      <c r="X589" s="689"/>
      <c r="Y589" s="689"/>
      <c r="Z589" s="690"/>
      <c r="AA589" s="691"/>
      <c r="AB589" s="111"/>
      <c r="AC589" s="17"/>
      <c r="AD589" s="690"/>
      <c r="AE589" s="686"/>
      <c r="AF589" s="474"/>
      <c r="AG589" s="692"/>
      <c r="AH589" s="236" t="str">
        <f>IF(Таблица5[[#This Row],[30]]=0,"НД",Таблица5[[#This Row],[20]]-Таблица5[[#This Row],[30]])</f>
        <v>НД</v>
      </c>
      <c r="AI589" s="511" t="str">
        <f>IF(((1-Таблица5[[#This Row],[30]]/Таблица5[[#This Row],[20]])=1),"НД",(1-Таблица5[[#This Row],[30]]/Таблица5[[#This Row],[20]]))</f>
        <v>НД</v>
      </c>
      <c r="AJ589" s="111"/>
      <c r="AK589" s="111"/>
      <c r="AL589" s="512"/>
      <c r="AM589" s="513"/>
      <c r="AN589" s="465"/>
      <c r="AO589" s="468" t="str">
        <f>РПЗ!AD589</f>
        <v>Нет</v>
      </c>
      <c r="AP589" s="472">
        <f>РПЗ!V589</f>
        <v>0</v>
      </c>
      <c r="AQ589" s="470">
        <f>IF(Таблица5[[#This Row],[11]]=0,,MONTH(Таблица5[[#This Row],[11]]))</f>
        <v>9</v>
      </c>
    </row>
    <row r="590" spans="1:43" ht="39" thickBot="1" x14ac:dyDescent="0.3">
      <c r="A590" s="233" t="str">
        <f t="shared" si="9"/>
        <v>1004-2017-00575</v>
      </c>
      <c r="B590" s="233" t="str">
        <f>РПЗ!$D590</f>
        <v>1004-2017-00575Поставка Комплект труб для трубопровода</v>
      </c>
      <c r="C590" s="233" t="str">
        <f>РПЗ!$AA590</f>
        <v>АО "НИИ "Полюс" им. М.Ф. Стельмаха" тел. отдела закупок 8-495-333-05-02</v>
      </c>
      <c r="D590" s="633" t="str">
        <f>РПЗ!$AB590</f>
        <v>Заказчик</v>
      </c>
      <c r="E590" s="96" t="s">
        <v>46</v>
      </c>
      <c r="F590" s="233" t="str">
        <f>РПЗ!Q590</f>
        <v>ОЗК</v>
      </c>
      <c r="G590" s="237"/>
      <c r="H590" s="237" t="str">
        <f>РПЗ!R590</f>
        <v>да</v>
      </c>
      <c r="I590" s="15">
        <f>РПЗ!W590</f>
        <v>0</v>
      </c>
      <c r="J590" s="233">
        <f>РПЗ!X590</f>
        <v>0</v>
      </c>
      <c r="K590" s="283">
        <f>РПЗ!Z590</f>
        <v>0</v>
      </c>
      <c r="L590" s="17"/>
      <c r="M590" s="18">
        <f>РПЗ!O590</f>
        <v>42856.5</v>
      </c>
      <c r="N590" s="238">
        <f>Таблица5[[#This Row],[10]]</f>
        <v>42856.5</v>
      </c>
      <c r="O590" s="17"/>
      <c r="P590" s="17"/>
      <c r="Q590" s="17"/>
      <c r="R590" s="17"/>
      <c r="S590" s="17"/>
      <c r="T590" s="686"/>
      <c r="U590" s="18">
        <f>РПЗ!P590</f>
        <v>43070.5</v>
      </c>
      <c r="V590" s="686"/>
      <c r="W590" s="236">
        <f>РПЗ!L590</f>
        <v>5000000</v>
      </c>
      <c r="X590" s="689"/>
      <c r="Y590" s="689"/>
      <c r="Z590" s="690"/>
      <c r="AA590" s="691"/>
      <c r="AB590" s="111"/>
      <c r="AC590" s="17"/>
      <c r="AD590" s="690"/>
      <c r="AE590" s="686"/>
      <c r="AF590" s="474"/>
      <c r="AG590" s="692"/>
      <c r="AH590" s="236" t="str">
        <f>IF(Таблица5[[#This Row],[30]]=0,"НД",Таблица5[[#This Row],[20]]-Таблица5[[#This Row],[30]])</f>
        <v>НД</v>
      </c>
      <c r="AI590" s="511" t="str">
        <f>IF(((1-Таблица5[[#This Row],[30]]/Таблица5[[#This Row],[20]])=1),"НД",(1-Таблица5[[#This Row],[30]]/Таблица5[[#This Row],[20]]))</f>
        <v>НД</v>
      </c>
      <c r="AJ590" s="111"/>
      <c r="AK590" s="111"/>
      <c r="AL590" s="512"/>
      <c r="AM590" s="513"/>
      <c r="AN590" s="465"/>
      <c r="AO590" s="468" t="str">
        <f>РПЗ!AD590</f>
        <v>Нет</v>
      </c>
      <c r="AP590" s="472">
        <f>РПЗ!V590</f>
        <v>0</v>
      </c>
      <c r="AQ590" s="470">
        <f>IF(Таблица5[[#This Row],[11]]=0,,MONTH(Таблица5[[#This Row],[11]]))</f>
        <v>5</v>
      </c>
    </row>
    <row r="591" spans="1:43" ht="39" thickBot="1" x14ac:dyDescent="0.3">
      <c r="A591" s="233" t="str">
        <f t="shared" si="9"/>
        <v>1004-2017-00576</v>
      </c>
      <c r="B591" s="233" t="str">
        <f>РПЗ!$D591</f>
        <v>1004-2017-00576Поставка Комплект пластиковых труб и фитингов</v>
      </c>
      <c r="C591" s="233" t="str">
        <f>РПЗ!$AA591</f>
        <v>АО "НИИ "Полюс" им. М.Ф. Стельмаха" тел. отдела закупок 8-495-333-05-02</v>
      </c>
      <c r="D591" s="633" t="str">
        <f>РПЗ!$AB591</f>
        <v>Заказчик</v>
      </c>
      <c r="E591" s="96" t="s">
        <v>46</v>
      </c>
      <c r="F591" s="233" t="str">
        <f>РПЗ!Q591</f>
        <v>ОК</v>
      </c>
      <c r="G591" s="237"/>
      <c r="H591" s="237" t="str">
        <f>РПЗ!R591</f>
        <v>да</v>
      </c>
      <c r="I591" s="15">
        <f>РПЗ!W591</f>
        <v>0</v>
      </c>
      <c r="J591" s="233">
        <f>РПЗ!X591</f>
        <v>0</v>
      </c>
      <c r="K591" s="283">
        <f>РПЗ!Z591</f>
        <v>0</v>
      </c>
      <c r="L591" s="17"/>
      <c r="M591" s="18">
        <f>РПЗ!O591</f>
        <v>42795.5</v>
      </c>
      <c r="N591" s="238">
        <f>Таблица5[[#This Row],[10]]</f>
        <v>42795.5</v>
      </c>
      <c r="O591" s="17"/>
      <c r="P591" s="17"/>
      <c r="Q591" s="17"/>
      <c r="R591" s="17"/>
      <c r="S591" s="17"/>
      <c r="T591" s="686"/>
      <c r="U591" s="18">
        <f>РПЗ!P591</f>
        <v>43070.5</v>
      </c>
      <c r="V591" s="686"/>
      <c r="W591" s="236">
        <f>РПЗ!L591</f>
        <v>2500000</v>
      </c>
      <c r="X591" s="689"/>
      <c r="Y591" s="689"/>
      <c r="Z591" s="690"/>
      <c r="AA591" s="691"/>
      <c r="AB591" s="111"/>
      <c r="AC591" s="17"/>
      <c r="AD591" s="690"/>
      <c r="AE591" s="686"/>
      <c r="AF591" s="474"/>
      <c r="AG591" s="692"/>
      <c r="AH591" s="236" t="str">
        <f>IF(Таблица5[[#This Row],[30]]=0,"НД",Таблица5[[#This Row],[20]]-Таблица5[[#This Row],[30]])</f>
        <v>НД</v>
      </c>
      <c r="AI591" s="511" t="str">
        <f>IF(((1-Таблица5[[#This Row],[30]]/Таблица5[[#This Row],[20]])=1),"НД",(1-Таблица5[[#This Row],[30]]/Таблица5[[#This Row],[20]]))</f>
        <v>НД</v>
      </c>
      <c r="AJ591" s="111"/>
      <c r="AK591" s="111"/>
      <c r="AL591" s="512"/>
      <c r="AM591" s="513"/>
      <c r="AN591" s="465"/>
      <c r="AO591" s="468" t="str">
        <f>РПЗ!AD591</f>
        <v>Нет</v>
      </c>
      <c r="AP591" s="472">
        <f>РПЗ!V591</f>
        <v>0</v>
      </c>
      <c r="AQ591" s="470">
        <f>IF(Таблица5[[#This Row],[11]]=0,,MONTH(Таблица5[[#This Row],[11]]))</f>
        <v>3</v>
      </c>
    </row>
    <row r="592" spans="1:43" ht="39" thickBot="1" x14ac:dyDescent="0.3">
      <c r="A592" s="233" t="str">
        <f t="shared" si="9"/>
        <v>1004-2017-00577</v>
      </c>
      <c r="B592" s="233" t="str">
        <f>РПЗ!$D592</f>
        <v>1004-2017-00577Поставка Комплект пластиковых труб и фитингов</v>
      </c>
      <c r="C592" s="233" t="str">
        <f>РПЗ!$AA592</f>
        <v>АО "НИИ "Полюс" им. М.Ф. Стельмаха" тел. отдела закупок 8-495-333-05-02</v>
      </c>
      <c r="D592" s="633" t="str">
        <f>РПЗ!$AB592</f>
        <v>Заказчик</v>
      </c>
      <c r="E592" s="96" t="s">
        <v>46</v>
      </c>
      <c r="F592" s="233" t="str">
        <f>РПЗ!Q592</f>
        <v>ОК</v>
      </c>
      <c r="G592" s="237"/>
      <c r="H592" s="237" t="str">
        <f>РПЗ!R592</f>
        <v>да</v>
      </c>
      <c r="I592" s="15">
        <f>РПЗ!W592</f>
        <v>0</v>
      </c>
      <c r="J592" s="233">
        <f>РПЗ!X592</f>
        <v>0</v>
      </c>
      <c r="K592" s="283">
        <f>РПЗ!Z592</f>
        <v>0</v>
      </c>
      <c r="L592" s="17"/>
      <c r="M592" s="18">
        <f>РПЗ!O592</f>
        <v>42887.5</v>
      </c>
      <c r="N592" s="238">
        <f>Таблица5[[#This Row],[10]]</f>
        <v>42887.5</v>
      </c>
      <c r="O592" s="17"/>
      <c r="P592" s="17"/>
      <c r="Q592" s="17"/>
      <c r="R592" s="17"/>
      <c r="S592" s="17"/>
      <c r="T592" s="686"/>
      <c r="U592" s="18">
        <f>РПЗ!P592</f>
        <v>43070.5</v>
      </c>
      <c r="V592" s="686"/>
      <c r="W592" s="236">
        <f>РПЗ!L592</f>
        <v>2500000</v>
      </c>
      <c r="X592" s="689"/>
      <c r="Y592" s="689"/>
      <c r="Z592" s="690"/>
      <c r="AA592" s="691"/>
      <c r="AB592" s="111"/>
      <c r="AC592" s="17"/>
      <c r="AD592" s="690"/>
      <c r="AE592" s="686"/>
      <c r="AF592" s="474"/>
      <c r="AG592" s="692"/>
      <c r="AH592" s="236" t="str">
        <f>IF(Таблица5[[#This Row],[30]]=0,"НД",Таблица5[[#This Row],[20]]-Таблица5[[#This Row],[30]])</f>
        <v>НД</v>
      </c>
      <c r="AI592" s="511" t="str">
        <f>IF(((1-Таблица5[[#This Row],[30]]/Таблица5[[#This Row],[20]])=1),"НД",(1-Таблица5[[#This Row],[30]]/Таблица5[[#This Row],[20]]))</f>
        <v>НД</v>
      </c>
      <c r="AJ592" s="111"/>
      <c r="AK592" s="111"/>
      <c r="AL592" s="512"/>
      <c r="AM592" s="513"/>
      <c r="AN592" s="465"/>
      <c r="AO592" s="468" t="str">
        <f>РПЗ!AD592</f>
        <v>Нет</v>
      </c>
      <c r="AP592" s="472">
        <f>РПЗ!V592</f>
        <v>0</v>
      </c>
      <c r="AQ592" s="470">
        <f>IF(Таблица5[[#This Row],[11]]=0,,MONTH(Таблица5[[#This Row],[11]]))</f>
        <v>6</v>
      </c>
    </row>
    <row r="593" spans="1:43" ht="39" thickBot="1" x14ac:dyDescent="0.3">
      <c r="A593" s="233" t="str">
        <f t="shared" si="9"/>
        <v>1004-2017-00578</v>
      </c>
      <c r="B593" s="233" t="str">
        <f>РПЗ!$D593</f>
        <v>1004-2017-00578Поставка Электротехнические изделия</v>
      </c>
      <c r="C593" s="233" t="str">
        <f>РПЗ!$AA593</f>
        <v>АО "НИИ "Полюс" им. М.Ф. Стельмаха" тел. отдела закупок 8-495-333-05-02</v>
      </c>
      <c r="D593" s="633" t="str">
        <f>РПЗ!$AB593</f>
        <v>Заказчик</v>
      </c>
      <c r="E593" s="96" t="s">
        <v>46</v>
      </c>
      <c r="F593" s="233" t="str">
        <f>РПЗ!Q593</f>
        <v>ОК</v>
      </c>
      <c r="G593" s="237"/>
      <c r="H593" s="237" t="str">
        <f>РПЗ!R593</f>
        <v>да</v>
      </c>
      <c r="I593" s="15">
        <f>РПЗ!W593</f>
        <v>0</v>
      </c>
      <c r="J593" s="233">
        <f>РПЗ!X593</f>
        <v>0</v>
      </c>
      <c r="K593" s="283">
        <f>РПЗ!Z593</f>
        <v>0</v>
      </c>
      <c r="L593" s="17"/>
      <c r="M593" s="18">
        <f>РПЗ!O593</f>
        <v>42767.5</v>
      </c>
      <c r="N593" s="238">
        <f>Таблица5[[#This Row],[10]]</f>
        <v>42767.5</v>
      </c>
      <c r="O593" s="17"/>
      <c r="P593" s="17"/>
      <c r="Q593" s="17"/>
      <c r="R593" s="17"/>
      <c r="S593" s="17"/>
      <c r="T593" s="686"/>
      <c r="U593" s="18">
        <f>РПЗ!P593</f>
        <v>43070.5</v>
      </c>
      <c r="V593" s="686"/>
      <c r="W593" s="236">
        <f>РПЗ!L593</f>
        <v>15000000</v>
      </c>
      <c r="X593" s="689"/>
      <c r="Y593" s="689"/>
      <c r="Z593" s="690"/>
      <c r="AA593" s="691"/>
      <c r="AB593" s="111"/>
      <c r="AC593" s="17"/>
      <c r="AD593" s="690"/>
      <c r="AE593" s="686"/>
      <c r="AF593" s="474"/>
      <c r="AG593" s="692"/>
      <c r="AH593" s="236" t="str">
        <f>IF(Таблица5[[#This Row],[30]]=0,"НД",Таблица5[[#This Row],[20]]-Таблица5[[#This Row],[30]])</f>
        <v>НД</v>
      </c>
      <c r="AI593" s="511" t="str">
        <f>IF(((1-Таблица5[[#This Row],[30]]/Таблица5[[#This Row],[20]])=1),"НД",(1-Таблица5[[#This Row],[30]]/Таблица5[[#This Row],[20]]))</f>
        <v>НД</v>
      </c>
      <c r="AJ593" s="111"/>
      <c r="AK593" s="111"/>
      <c r="AL593" s="512"/>
      <c r="AM593" s="513"/>
      <c r="AN593" s="465"/>
      <c r="AO593" s="468" t="str">
        <f>РПЗ!AD593</f>
        <v>Нет</v>
      </c>
      <c r="AP593" s="472">
        <f>РПЗ!V593</f>
        <v>0</v>
      </c>
      <c r="AQ593" s="470">
        <f>IF(Таблица5[[#This Row],[11]]=0,,MONTH(Таблица5[[#This Row],[11]]))</f>
        <v>2</v>
      </c>
    </row>
    <row r="594" spans="1:43" ht="39" thickBot="1" x14ac:dyDescent="0.3">
      <c r="A594" s="233" t="str">
        <f t="shared" si="9"/>
        <v>1004-2017-00579</v>
      </c>
      <c r="B594" s="233" t="str">
        <f>РПЗ!$D594</f>
        <v>1004-2017-00579Поставка Электротехнические изделия</v>
      </c>
      <c r="C594" s="233" t="str">
        <f>РПЗ!$AA594</f>
        <v>АО "НИИ "Полюс" им. М.Ф. Стельмаха" тел. отдела закупок 8-495-333-05-02</v>
      </c>
      <c r="D594" s="633" t="str">
        <f>РПЗ!$AB594</f>
        <v>Заказчик</v>
      </c>
      <c r="E594" s="96" t="s">
        <v>46</v>
      </c>
      <c r="F594" s="233" t="str">
        <f>РПЗ!Q594</f>
        <v>ОЗК</v>
      </c>
      <c r="G594" s="237"/>
      <c r="H594" s="237" t="str">
        <f>РПЗ!R594</f>
        <v>да</v>
      </c>
      <c r="I594" s="15">
        <f>РПЗ!W594</f>
        <v>0</v>
      </c>
      <c r="J594" s="233">
        <f>РПЗ!X594</f>
        <v>0</v>
      </c>
      <c r="K594" s="283">
        <f>РПЗ!Z594</f>
        <v>0</v>
      </c>
      <c r="L594" s="17"/>
      <c r="M594" s="18">
        <f>РПЗ!O594</f>
        <v>42826.5</v>
      </c>
      <c r="N594" s="238">
        <f>Таблица5[[#This Row],[10]]</f>
        <v>42826.5</v>
      </c>
      <c r="O594" s="17"/>
      <c r="P594" s="17"/>
      <c r="Q594" s="17"/>
      <c r="R594" s="17"/>
      <c r="S594" s="17"/>
      <c r="T594" s="686"/>
      <c r="U594" s="18">
        <f>РПЗ!P594</f>
        <v>43070.5</v>
      </c>
      <c r="V594" s="686"/>
      <c r="W594" s="236">
        <f>РПЗ!L594</f>
        <v>14300000</v>
      </c>
      <c r="X594" s="689"/>
      <c r="Y594" s="689"/>
      <c r="Z594" s="690"/>
      <c r="AA594" s="691"/>
      <c r="AB594" s="111"/>
      <c r="AC594" s="17"/>
      <c r="AD594" s="690"/>
      <c r="AE594" s="686"/>
      <c r="AF594" s="474"/>
      <c r="AG594" s="692"/>
      <c r="AH594" s="236" t="str">
        <f>IF(Таблица5[[#This Row],[30]]=0,"НД",Таблица5[[#This Row],[20]]-Таблица5[[#This Row],[30]])</f>
        <v>НД</v>
      </c>
      <c r="AI594" s="511" t="str">
        <f>IF(((1-Таблица5[[#This Row],[30]]/Таблица5[[#This Row],[20]])=1),"НД",(1-Таблица5[[#This Row],[30]]/Таблица5[[#This Row],[20]]))</f>
        <v>НД</v>
      </c>
      <c r="AJ594" s="111"/>
      <c r="AK594" s="111"/>
      <c r="AL594" s="512"/>
      <c r="AM594" s="513"/>
      <c r="AN594" s="465"/>
      <c r="AO594" s="468" t="str">
        <f>РПЗ!AD594</f>
        <v>Нет</v>
      </c>
      <c r="AP594" s="472">
        <f>РПЗ!V594</f>
        <v>0</v>
      </c>
      <c r="AQ594" s="470">
        <f>IF(Таблица5[[#This Row],[11]]=0,,MONTH(Таблица5[[#This Row],[11]]))</f>
        <v>4</v>
      </c>
    </row>
    <row r="595" spans="1:43" ht="39" thickBot="1" x14ac:dyDescent="0.3">
      <c r="A595" s="233" t="str">
        <f t="shared" si="9"/>
        <v>1004-2017-00580</v>
      </c>
      <c r="B595" s="233" t="str">
        <f>РПЗ!$D595</f>
        <v>1004-2017-00580Поставка Электротехнические изделия</v>
      </c>
      <c r="C595" s="233" t="str">
        <f>РПЗ!$AA595</f>
        <v>АО "НИИ "Полюс" им. М.Ф. Стельмаха" тел. отдела закупок 8-495-333-05-02</v>
      </c>
      <c r="D595" s="633" t="str">
        <f>РПЗ!$AB595</f>
        <v>Заказчик</v>
      </c>
      <c r="E595" s="96" t="s">
        <v>46</v>
      </c>
      <c r="F595" s="233" t="str">
        <f>РПЗ!Q595</f>
        <v>ОК</v>
      </c>
      <c r="G595" s="237"/>
      <c r="H595" s="237" t="str">
        <f>РПЗ!R595</f>
        <v>да</v>
      </c>
      <c r="I595" s="15">
        <f>РПЗ!W595</f>
        <v>0</v>
      </c>
      <c r="J595" s="233">
        <f>РПЗ!X595</f>
        <v>0</v>
      </c>
      <c r="K595" s="283">
        <f>РПЗ!Z595</f>
        <v>0</v>
      </c>
      <c r="L595" s="17"/>
      <c r="M595" s="18">
        <f>РПЗ!O595</f>
        <v>42917.5</v>
      </c>
      <c r="N595" s="238">
        <f>Таблица5[[#This Row],[10]]</f>
        <v>42917.5</v>
      </c>
      <c r="O595" s="17"/>
      <c r="P595" s="17"/>
      <c r="Q595" s="17"/>
      <c r="R595" s="17"/>
      <c r="S595" s="17"/>
      <c r="T595" s="686"/>
      <c r="U595" s="18">
        <f>РПЗ!P595</f>
        <v>43070.5</v>
      </c>
      <c r="V595" s="686"/>
      <c r="W595" s="236">
        <f>РПЗ!L595</f>
        <v>1500000</v>
      </c>
      <c r="X595" s="689"/>
      <c r="Y595" s="689"/>
      <c r="Z595" s="690"/>
      <c r="AA595" s="691"/>
      <c r="AB595" s="111"/>
      <c r="AC595" s="17"/>
      <c r="AD595" s="690"/>
      <c r="AE595" s="686"/>
      <c r="AF595" s="474"/>
      <c r="AG595" s="692"/>
      <c r="AH595" s="236" t="str">
        <f>IF(Таблица5[[#This Row],[30]]=0,"НД",Таблица5[[#This Row],[20]]-Таблица5[[#This Row],[30]])</f>
        <v>НД</v>
      </c>
      <c r="AI595" s="511" t="str">
        <f>IF(((1-Таблица5[[#This Row],[30]]/Таблица5[[#This Row],[20]])=1),"НД",(1-Таблица5[[#This Row],[30]]/Таблица5[[#This Row],[20]]))</f>
        <v>НД</v>
      </c>
      <c r="AJ595" s="111"/>
      <c r="AK595" s="111"/>
      <c r="AL595" s="512"/>
      <c r="AM595" s="513"/>
      <c r="AN595" s="465"/>
      <c r="AO595" s="468" t="str">
        <f>РПЗ!AD595</f>
        <v>Нет</v>
      </c>
      <c r="AP595" s="472">
        <f>РПЗ!V595</f>
        <v>0</v>
      </c>
      <c r="AQ595" s="470">
        <f>IF(Таблица5[[#This Row],[11]]=0,,MONTH(Таблица5[[#This Row],[11]]))</f>
        <v>7</v>
      </c>
    </row>
    <row r="596" spans="1:43" ht="39" thickBot="1" x14ac:dyDescent="0.3">
      <c r="A596" s="233" t="str">
        <f t="shared" si="9"/>
        <v>1004-2017-00581</v>
      </c>
      <c r="B596" s="233" t="str">
        <f>РПЗ!$D596</f>
        <v>1004-2017-00581Поставка Электротехнические изделия</v>
      </c>
      <c r="C596" s="233" t="str">
        <f>РПЗ!$AA596</f>
        <v>АО "НИИ "Полюс" им. М.Ф. Стельмаха" тел. отдела закупок 8-495-333-05-02</v>
      </c>
      <c r="D596" s="633" t="str">
        <f>РПЗ!$AB596</f>
        <v>Заказчик</v>
      </c>
      <c r="E596" s="96" t="s">
        <v>46</v>
      </c>
      <c r="F596" s="233" t="str">
        <f>РПЗ!Q596</f>
        <v>ОЗК</v>
      </c>
      <c r="G596" s="237"/>
      <c r="H596" s="237" t="str">
        <f>РПЗ!R596</f>
        <v>да</v>
      </c>
      <c r="I596" s="15">
        <f>РПЗ!W596</f>
        <v>0</v>
      </c>
      <c r="J596" s="233">
        <f>РПЗ!X596</f>
        <v>0</v>
      </c>
      <c r="K596" s="283">
        <f>РПЗ!Z596</f>
        <v>0</v>
      </c>
      <c r="L596" s="17"/>
      <c r="M596" s="18">
        <f>РПЗ!O596</f>
        <v>43009.5</v>
      </c>
      <c r="N596" s="238">
        <f>Таблица5[[#This Row],[10]]</f>
        <v>43009.5</v>
      </c>
      <c r="O596" s="17"/>
      <c r="P596" s="17"/>
      <c r="Q596" s="17"/>
      <c r="R596" s="17"/>
      <c r="S596" s="17"/>
      <c r="T596" s="686"/>
      <c r="U596" s="18">
        <f>РПЗ!P596</f>
        <v>43070.5</v>
      </c>
      <c r="V596" s="686"/>
      <c r="W596" s="236">
        <f>РПЗ!L596</f>
        <v>1500000</v>
      </c>
      <c r="X596" s="689"/>
      <c r="Y596" s="689"/>
      <c r="Z596" s="690"/>
      <c r="AA596" s="691"/>
      <c r="AB596" s="111"/>
      <c r="AC596" s="17"/>
      <c r="AD596" s="690"/>
      <c r="AE596" s="686"/>
      <c r="AF596" s="474"/>
      <c r="AG596" s="692"/>
      <c r="AH596" s="236" t="str">
        <f>IF(Таблица5[[#This Row],[30]]=0,"НД",Таблица5[[#This Row],[20]]-Таблица5[[#This Row],[30]])</f>
        <v>НД</v>
      </c>
      <c r="AI596" s="511" t="str">
        <f>IF(((1-Таблица5[[#This Row],[30]]/Таблица5[[#This Row],[20]])=1),"НД",(1-Таблица5[[#This Row],[30]]/Таблица5[[#This Row],[20]]))</f>
        <v>НД</v>
      </c>
      <c r="AJ596" s="111"/>
      <c r="AK596" s="111"/>
      <c r="AL596" s="512"/>
      <c r="AM596" s="513"/>
      <c r="AN596" s="465"/>
      <c r="AO596" s="468" t="str">
        <f>РПЗ!AD596</f>
        <v>Нет</v>
      </c>
      <c r="AP596" s="472">
        <f>РПЗ!V596</f>
        <v>0</v>
      </c>
      <c r="AQ596" s="470">
        <f>IF(Таблица5[[#This Row],[11]]=0,,MONTH(Таблица5[[#This Row],[11]]))</f>
        <v>10</v>
      </c>
    </row>
    <row r="597" spans="1:43" ht="39" thickBot="1" x14ac:dyDescent="0.3">
      <c r="A597" s="233" t="str">
        <f t="shared" si="9"/>
        <v>1004-2017-00582</v>
      </c>
      <c r="B597" s="233" t="str">
        <f>РПЗ!$D597</f>
        <v>1004-2017-00582Поставка Комплект источников света</v>
      </c>
      <c r="C597" s="233" t="str">
        <f>РПЗ!$AA597</f>
        <v>АО "НИИ "Полюс" им. М.Ф. Стельмаха" тел. отдела закупок 8-495-333-05-02</v>
      </c>
      <c r="D597" s="633" t="str">
        <f>РПЗ!$AB597</f>
        <v>Заказчик</v>
      </c>
      <c r="E597" s="96" t="s">
        <v>46</v>
      </c>
      <c r="F597" s="233" t="str">
        <f>РПЗ!Q597</f>
        <v>ОЗК</v>
      </c>
      <c r="G597" s="237"/>
      <c r="H597" s="237" t="str">
        <f>РПЗ!R597</f>
        <v>да</v>
      </c>
      <c r="I597" s="15">
        <f>РПЗ!W597</f>
        <v>0</v>
      </c>
      <c r="J597" s="233">
        <f>РПЗ!X597</f>
        <v>0</v>
      </c>
      <c r="K597" s="283">
        <f>РПЗ!Z597</f>
        <v>0</v>
      </c>
      <c r="L597" s="17"/>
      <c r="M597" s="18">
        <f>РПЗ!O597</f>
        <v>42767.5</v>
      </c>
      <c r="N597" s="238">
        <f>Таблица5[[#This Row],[10]]</f>
        <v>42767.5</v>
      </c>
      <c r="O597" s="17"/>
      <c r="P597" s="17"/>
      <c r="Q597" s="17"/>
      <c r="R597" s="17"/>
      <c r="S597" s="17"/>
      <c r="T597" s="686"/>
      <c r="U597" s="18">
        <f>РПЗ!P597</f>
        <v>43070.5</v>
      </c>
      <c r="V597" s="686"/>
      <c r="W597" s="236">
        <f>РПЗ!L597</f>
        <v>650000</v>
      </c>
      <c r="X597" s="689"/>
      <c r="Y597" s="689"/>
      <c r="Z597" s="690"/>
      <c r="AA597" s="691"/>
      <c r="AB597" s="111"/>
      <c r="AC597" s="17"/>
      <c r="AD597" s="690"/>
      <c r="AE597" s="686"/>
      <c r="AF597" s="474"/>
      <c r="AG597" s="692"/>
      <c r="AH597" s="236" t="str">
        <f>IF(Таблица5[[#This Row],[30]]=0,"НД",Таблица5[[#This Row],[20]]-Таблица5[[#This Row],[30]])</f>
        <v>НД</v>
      </c>
      <c r="AI597" s="511" t="str">
        <f>IF(((1-Таблица5[[#This Row],[30]]/Таблица5[[#This Row],[20]])=1),"НД",(1-Таблица5[[#This Row],[30]]/Таблица5[[#This Row],[20]]))</f>
        <v>НД</v>
      </c>
      <c r="AJ597" s="111"/>
      <c r="AK597" s="111"/>
      <c r="AL597" s="512"/>
      <c r="AM597" s="513"/>
      <c r="AN597" s="465"/>
      <c r="AO597" s="468" t="str">
        <f>РПЗ!AD597</f>
        <v>Нет</v>
      </c>
      <c r="AP597" s="472">
        <f>РПЗ!V597</f>
        <v>0</v>
      </c>
      <c r="AQ597" s="470">
        <f>IF(Таблица5[[#This Row],[11]]=0,,MONTH(Таблица5[[#This Row],[11]]))</f>
        <v>2</v>
      </c>
    </row>
    <row r="598" spans="1:43" ht="39" thickBot="1" x14ac:dyDescent="0.3">
      <c r="A598" s="233" t="str">
        <f t="shared" si="9"/>
        <v>1004-2017-00583</v>
      </c>
      <c r="B598" s="233" t="str">
        <f>РПЗ!$D598</f>
        <v>1004-2017-00583Поставка Комплект светодиодных светильников</v>
      </c>
      <c r="C598" s="233" t="str">
        <f>РПЗ!$AA598</f>
        <v>АО "НИИ "Полюс" им. М.Ф. Стельмаха" тел. отдела закупок 8-495-333-05-02</v>
      </c>
      <c r="D598" s="633" t="str">
        <f>РПЗ!$AB598</f>
        <v>Заказчик</v>
      </c>
      <c r="E598" s="96" t="s">
        <v>46</v>
      </c>
      <c r="F598" s="233" t="str">
        <f>РПЗ!Q598</f>
        <v>ОК</v>
      </c>
      <c r="G598" s="237"/>
      <c r="H598" s="237" t="str">
        <f>РПЗ!R598</f>
        <v>да</v>
      </c>
      <c r="I598" s="15">
        <f>РПЗ!W598</f>
        <v>0</v>
      </c>
      <c r="J598" s="233">
        <f>РПЗ!X598</f>
        <v>0</v>
      </c>
      <c r="K598" s="283">
        <f>РПЗ!Z598</f>
        <v>0</v>
      </c>
      <c r="L598" s="17"/>
      <c r="M598" s="18">
        <f>РПЗ!O598</f>
        <v>42887.5</v>
      </c>
      <c r="N598" s="238">
        <f>Таблица5[[#This Row],[10]]</f>
        <v>42887.5</v>
      </c>
      <c r="O598" s="17"/>
      <c r="P598" s="17"/>
      <c r="Q598" s="17"/>
      <c r="R598" s="17"/>
      <c r="S598" s="17"/>
      <c r="T598" s="686"/>
      <c r="U598" s="18">
        <f>РПЗ!P598</f>
        <v>43070.5</v>
      </c>
      <c r="V598" s="686"/>
      <c r="W598" s="236">
        <f>РПЗ!L598</f>
        <v>6158989</v>
      </c>
      <c r="X598" s="689"/>
      <c r="Y598" s="689"/>
      <c r="Z598" s="690"/>
      <c r="AA598" s="691"/>
      <c r="AB598" s="111"/>
      <c r="AC598" s="17"/>
      <c r="AD598" s="690"/>
      <c r="AE598" s="686"/>
      <c r="AF598" s="474"/>
      <c r="AG598" s="692"/>
      <c r="AH598" s="236" t="str">
        <f>IF(Таблица5[[#This Row],[30]]=0,"НД",Таблица5[[#This Row],[20]]-Таблица5[[#This Row],[30]])</f>
        <v>НД</v>
      </c>
      <c r="AI598" s="511" t="str">
        <f>IF(((1-Таблица5[[#This Row],[30]]/Таблица5[[#This Row],[20]])=1),"НД",(1-Таблица5[[#This Row],[30]]/Таблица5[[#This Row],[20]]))</f>
        <v>НД</v>
      </c>
      <c r="AJ598" s="111"/>
      <c r="AK598" s="111"/>
      <c r="AL598" s="512"/>
      <c r="AM598" s="513"/>
      <c r="AN598" s="465"/>
      <c r="AO598" s="468" t="str">
        <f>РПЗ!AD598</f>
        <v>Нет</v>
      </c>
      <c r="AP598" s="472">
        <f>РПЗ!V598</f>
        <v>0</v>
      </c>
      <c r="AQ598" s="470">
        <f>IF(Таблица5[[#This Row],[11]]=0,,MONTH(Таблица5[[#This Row],[11]]))</f>
        <v>6</v>
      </c>
    </row>
    <row r="599" spans="1:43" ht="39" thickBot="1" x14ac:dyDescent="0.3">
      <c r="A599" s="233" t="str">
        <f t="shared" si="9"/>
        <v>1004-2017-00584</v>
      </c>
      <c r="B599" s="233" t="str">
        <f>РПЗ!$D599</f>
        <v>1004-2017-00584Комплект светодиодных светильников</v>
      </c>
      <c r="C599" s="233" t="str">
        <f>РПЗ!$AA599</f>
        <v>АО "НИИ "Полюс" им. М.Ф. Стельмаха" тел. отдела закупок 8-495-333-05-02</v>
      </c>
      <c r="D599" s="633" t="str">
        <f>РПЗ!$AB599</f>
        <v>Заказчик</v>
      </c>
      <c r="E599" s="96" t="s">
        <v>46</v>
      </c>
      <c r="F599" s="233" t="str">
        <f>РПЗ!Q599</f>
        <v>ОК</v>
      </c>
      <c r="G599" s="237"/>
      <c r="H599" s="237" t="str">
        <f>РПЗ!R599</f>
        <v>да</v>
      </c>
      <c r="I599" s="15">
        <f>РПЗ!W599</f>
        <v>0</v>
      </c>
      <c r="J599" s="233">
        <f>РПЗ!X599</f>
        <v>0</v>
      </c>
      <c r="K599" s="283">
        <f>РПЗ!Z599</f>
        <v>0</v>
      </c>
      <c r="L599" s="17"/>
      <c r="M599" s="18">
        <f>РПЗ!O599</f>
        <v>42887.5</v>
      </c>
      <c r="N599" s="238">
        <f>Таблица5[[#This Row],[10]]</f>
        <v>42887.5</v>
      </c>
      <c r="O599" s="17"/>
      <c r="P599" s="17"/>
      <c r="Q599" s="17"/>
      <c r="R599" s="17"/>
      <c r="S599" s="17"/>
      <c r="T599" s="686"/>
      <c r="U599" s="18">
        <f>РПЗ!P599</f>
        <v>43070.5</v>
      </c>
      <c r="V599" s="686"/>
      <c r="W599" s="236">
        <f>РПЗ!L599</f>
        <v>3600000</v>
      </c>
      <c r="X599" s="689"/>
      <c r="Y599" s="689"/>
      <c r="Z599" s="690"/>
      <c r="AA599" s="691"/>
      <c r="AB599" s="111"/>
      <c r="AC599" s="17"/>
      <c r="AD599" s="690"/>
      <c r="AE599" s="686"/>
      <c r="AF599" s="474"/>
      <c r="AG599" s="692"/>
      <c r="AH599" s="236" t="str">
        <f>IF(Таблица5[[#This Row],[30]]=0,"НД",Таблица5[[#This Row],[20]]-Таблица5[[#This Row],[30]])</f>
        <v>НД</v>
      </c>
      <c r="AI599" s="511" t="str">
        <f>IF(((1-Таблица5[[#This Row],[30]]/Таблица5[[#This Row],[20]])=1),"НД",(1-Таблица5[[#This Row],[30]]/Таблица5[[#This Row],[20]]))</f>
        <v>НД</v>
      </c>
      <c r="AJ599" s="111"/>
      <c r="AK599" s="111"/>
      <c r="AL599" s="512"/>
      <c r="AM599" s="513"/>
      <c r="AN599" s="465"/>
      <c r="AO599" s="468" t="str">
        <f>РПЗ!AD599</f>
        <v>Нет</v>
      </c>
      <c r="AP599" s="472">
        <f>РПЗ!V599</f>
        <v>0</v>
      </c>
      <c r="AQ599" s="470">
        <f>IF(Таблица5[[#This Row],[11]]=0,,MONTH(Таблица5[[#This Row],[11]]))</f>
        <v>6</v>
      </c>
    </row>
    <row r="600" spans="1:43" ht="39" thickBot="1" x14ac:dyDescent="0.3">
      <c r="A600" s="233" t="str">
        <f t="shared" si="9"/>
        <v>1004-2017-00585</v>
      </c>
      <c r="B600" s="233" t="str">
        <f>РПЗ!$D600</f>
        <v>1004-2017-00585Поставка Прокат стальной</v>
      </c>
      <c r="C600" s="233" t="str">
        <f>РПЗ!$AA600</f>
        <v>АО "НИИ "Полюс" им. М.Ф. Стельмаха" тел. отдела закупок 8-495-333-05-02</v>
      </c>
      <c r="D600" s="633" t="str">
        <f>РПЗ!$AB600</f>
        <v>Заказчик</v>
      </c>
      <c r="E600" s="96" t="s">
        <v>46</v>
      </c>
      <c r="F600" s="233" t="str">
        <f>РПЗ!Q600</f>
        <v>ОЗК</v>
      </c>
      <c r="G600" s="237"/>
      <c r="H600" s="237" t="str">
        <f>РПЗ!R600</f>
        <v>да</v>
      </c>
      <c r="I600" s="15">
        <f>РПЗ!W600</f>
        <v>0</v>
      </c>
      <c r="J600" s="233">
        <f>РПЗ!X600</f>
        <v>0</v>
      </c>
      <c r="K600" s="283">
        <f>РПЗ!Z600</f>
        <v>0</v>
      </c>
      <c r="L600" s="17"/>
      <c r="M600" s="18">
        <f>РПЗ!O600</f>
        <v>42887.5</v>
      </c>
      <c r="N600" s="238">
        <f>Таблица5[[#This Row],[10]]</f>
        <v>42887.5</v>
      </c>
      <c r="O600" s="17"/>
      <c r="P600" s="17"/>
      <c r="Q600" s="17"/>
      <c r="R600" s="17"/>
      <c r="S600" s="17"/>
      <c r="T600" s="686"/>
      <c r="U600" s="18">
        <f>РПЗ!P600</f>
        <v>43070.5</v>
      </c>
      <c r="V600" s="686"/>
      <c r="W600" s="236">
        <f>РПЗ!L600</f>
        <v>4000000</v>
      </c>
      <c r="X600" s="689"/>
      <c r="Y600" s="689"/>
      <c r="Z600" s="690"/>
      <c r="AA600" s="691"/>
      <c r="AB600" s="111"/>
      <c r="AC600" s="17"/>
      <c r="AD600" s="690"/>
      <c r="AE600" s="686"/>
      <c r="AF600" s="474"/>
      <c r="AG600" s="692"/>
      <c r="AH600" s="236" t="str">
        <f>IF(Таблица5[[#This Row],[30]]=0,"НД",Таблица5[[#This Row],[20]]-Таблица5[[#This Row],[30]])</f>
        <v>НД</v>
      </c>
      <c r="AI600" s="511" t="str">
        <f>IF(((1-Таблица5[[#This Row],[30]]/Таблица5[[#This Row],[20]])=1),"НД",(1-Таблица5[[#This Row],[30]]/Таблица5[[#This Row],[20]]))</f>
        <v>НД</v>
      </c>
      <c r="AJ600" s="111"/>
      <c r="AK600" s="111"/>
      <c r="AL600" s="512"/>
      <c r="AM600" s="513"/>
      <c r="AN600" s="465"/>
      <c r="AO600" s="468" t="str">
        <f>РПЗ!AD600</f>
        <v>Нет</v>
      </c>
      <c r="AP600" s="472">
        <f>РПЗ!V600</f>
        <v>0</v>
      </c>
      <c r="AQ600" s="470">
        <f>IF(Таблица5[[#This Row],[11]]=0,,MONTH(Таблица5[[#This Row],[11]]))</f>
        <v>6</v>
      </c>
    </row>
    <row r="601" spans="1:43" ht="39" thickBot="1" x14ac:dyDescent="0.3">
      <c r="A601" s="233" t="str">
        <f t="shared" si="9"/>
        <v>1004-2017-00586</v>
      </c>
      <c r="B601" s="233" t="str">
        <f>РПЗ!$D601</f>
        <v>1004-2017-00586Поставка Алюминиевые сплавы</v>
      </c>
      <c r="C601" s="233" t="str">
        <f>РПЗ!$AA601</f>
        <v>АО "НИИ "Полюс" им. М.Ф. Стельмаха" тел. отдела закупок 8-495-333-05-02</v>
      </c>
      <c r="D601" s="633" t="str">
        <f>РПЗ!$AB601</f>
        <v>Заказчик</v>
      </c>
      <c r="E601" s="96" t="s">
        <v>46</v>
      </c>
      <c r="F601" s="233" t="str">
        <f>РПЗ!Q601</f>
        <v>ОЗК</v>
      </c>
      <c r="G601" s="237"/>
      <c r="H601" s="237" t="str">
        <f>РПЗ!R601</f>
        <v>да</v>
      </c>
      <c r="I601" s="15">
        <f>РПЗ!W601</f>
        <v>0</v>
      </c>
      <c r="J601" s="233">
        <f>РПЗ!X601</f>
        <v>0</v>
      </c>
      <c r="K601" s="283">
        <f>РПЗ!Z601</f>
        <v>0</v>
      </c>
      <c r="L601" s="17"/>
      <c r="M601" s="18">
        <f>РПЗ!O601</f>
        <v>42887.5</v>
      </c>
      <c r="N601" s="238">
        <f>Таблица5[[#This Row],[10]]</f>
        <v>42887.5</v>
      </c>
      <c r="O601" s="17"/>
      <c r="P601" s="17"/>
      <c r="Q601" s="17"/>
      <c r="R601" s="17"/>
      <c r="S601" s="17"/>
      <c r="T601" s="686"/>
      <c r="U601" s="18">
        <f>РПЗ!P601</f>
        <v>43070.5</v>
      </c>
      <c r="V601" s="686"/>
      <c r="W601" s="236">
        <f>РПЗ!L601</f>
        <v>2600000</v>
      </c>
      <c r="X601" s="689"/>
      <c r="Y601" s="689"/>
      <c r="Z601" s="690"/>
      <c r="AA601" s="691"/>
      <c r="AB601" s="111"/>
      <c r="AC601" s="17"/>
      <c r="AD601" s="690"/>
      <c r="AE601" s="686"/>
      <c r="AF601" s="474"/>
      <c r="AG601" s="692"/>
      <c r="AH601" s="236" t="str">
        <f>IF(Таблица5[[#This Row],[30]]=0,"НД",Таблица5[[#This Row],[20]]-Таблица5[[#This Row],[30]])</f>
        <v>НД</v>
      </c>
      <c r="AI601" s="511" t="str">
        <f>IF(((1-Таблица5[[#This Row],[30]]/Таблица5[[#This Row],[20]])=1),"НД",(1-Таблица5[[#This Row],[30]]/Таблица5[[#This Row],[20]]))</f>
        <v>НД</v>
      </c>
      <c r="AJ601" s="111"/>
      <c r="AK601" s="111"/>
      <c r="AL601" s="512"/>
      <c r="AM601" s="513"/>
      <c r="AN601" s="465"/>
      <c r="AO601" s="468" t="str">
        <f>РПЗ!AD601</f>
        <v>Нет</v>
      </c>
      <c r="AP601" s="472">
        <f>РПЗ!V601</f>
        <v>0</v>
      </c>
      <c r="AQ601" s="470">
        <f>IF(Таблица5[[#This Row],[11]]=0,,MONTH(Таблица5[[#This Row],[11]]))</f>
        <v>6</v>
      </c>
    </row>
    <row r="602" spans="1:43" ht="39" thickBot="1" x14ac:dyDescent="0.3">
      <c r="A602" s="233" t="str">
        <f t="shared" si="9"/>
        <v>1004-2017-00587</v>
      </c>
      <c r="B602" s="233" t="str">
        <f>РПЗ!$D602</f>
        <v>1004-2017-00587Поставка Титановые сплавы</v>
      </c>
      <c r="C602" s="233" t="str">
        <f>РПЗ!$AA602</f>
        <v>АО "НИИ "Полюс" им. М.Ф. Стельмаха" тел. отдела закупок 8-495-333-05-02</v>
      </c>
      <c r="D602" s="633" t="str">
        <f>РПЗ!$AB602</f>
        <v>Заказчик</v>
      </c>
      <c r="E602" s="96" t="s">
        <v>46</v>
      </c>
      <c r="F602" s="233" t="str">
        <f>РПЗ!Q602</f>
        <v>ОЗК</v>
      </c>
      <c r="G602" s="237"/>
      <c r="H602" s="237" t="str">
        <f>РПЗ!R602</f>
        <v>да</v>
      </c>
      <c r="I602" s="15">
        <f>РПЗ!W602</f>
        <v>0</v>
      </c>
      <c r="J602" s="233">
        <f>РПЗ!X602</f>
        <v>0</v>
      </c>
      <c r="K602" s="283">
        <f>РПЗ!Z602</f>
        <v>0</v>
      </c>
      <c r="L602" s="17"/>
      <c r="M602" s="18">
        <f>РПЗ!O602</f>
        <v>42887.5</v>
      </c>
      <c r="N602" s="238">
        <f>Таблица5[[#This Row],[10]]</f>
        <v>42887.5</v>
      </c>
      <c r="O602" s="17"/>
      <c r="P602" s="17"/>
      <c r="Q602" s="17"/>
      <c r="R602" s="17"/>
      <c r="S602" s="17"/>
      <c r="T602" s="686"/>
      <c r="U602" s="18">
        <f>РПЗ!P602</f>
        <v>43070.5</v>
      </c>
      <c r="V602" s="686"/>
      <c r="W602" s="236">
        <f>РПЗ!L602</f>
        <v>1600000</v>
      </c>
      <c r="X602" s="689"/>
      <c r="Y602" s="689"/>
      <c r="Z602" s="690"/>
      <c r="AA602" s="691"/>
      <c r="AB602" s="111"/>
      <c r="AC602" s="17"/>
      <c r="AD602" s="690"/>
      <c r="AE602" s="686"/>
      <c r="AF602" s="474"/>
      <c r="AG602" s="692"/>
      <c r="AH602" s="236" t="str">
        <f>IF(Таблица5[[#This Row],[30]]=0,"НД",Таблица5[[#This Row],[20]]-Таблица5[[#This Row],[30]])</f>
        <v>НД</v>
      </c>
      <c r="AI602" s="511" t="str">
        <f>IF(((1-Таблица5[[#This Row],[30]]/Таблица5[[#This Row],[20]])=1),"НД",(1-Таблица5[[#This Row],[30]]/Таблица5[[#This Row],[20]]))</f>
        <v>НД</v>
      </c>
      <c r="AJ602" s="111"/>
      <c r="AK602" s="111"/>
      <c r="AL602" s="512"/>
      <c r="AM602" s="513"/>
      <c r="AN602" s="465"/>
      <c r="AO602" s="468" t="str">
        <f>РПЗ!AD602</f>
        <v>Нет</v>
      </c>
      <c r="AP602" s="472">
        <f>РПЗ!V602</f>
        <v>0</v>
      </c>
      <c r="AQ602" s="470">
        <f>IF(Таблица5[[#This Row],[11]]=0,,MONTH(Таблица5[[#This Row],[11]]))</f>
        <v>6</v>
      </c>
    </row>
    <row r="603" spans="1:43" ht="39" thickBot="1" x14ac:dyDescent="0.3">
      <c r="A603" s="233" t="str">
        <f t="shared" si="9"/>
        <v>1004-2017-00588</v>
      </c>
      <c r="B603" s="233" t="str">
        <f>РПЗ!$D603</f>
        <v>1004-2017-00588Поставка  Универсальный стандарт-частоты Ц Ч1-81/3</v>
      </c>
      <c r="C603" s="233" t="str">
        <f>РПЗ!$AA603</f>
        <v>АО "НИИ "Полюс" им. М.Ф. Стельмаха" тел. отдела закупок 8-495-333-05-02</v>
      </c>
      <c r="D603" s="633" t="str">
        <f>РПЗ!$AB603</f>
        <v>Заказчик</v>
      </c>
      <c r="E603" s="96" t="s">
        <v>46</v>
      </c>
      <c r="F603" s="233" t="str">
        <f>РПЗ!Q603</f>
        <v>ОК</v>
      </c>
      <c r="G603" s="237"/>
      <c r="H603" s="237" t="str">
        <f>РПЗ!R603</f>
        <v>да</v>
      </c>
      <c r="I603" s="15">
        <f>РПЗ!W603</f>
        <v>0</v>
      </c>
      <c r="J603" s="233">
        <f>РПЗ!X603</f>
        <v>0</v>
      </c>
      <c r="K603" s="283">
        <f>РПЗ!Z603</f>
        <v>0</v>
      </c>
      <c r="L603" s="17"/>
      <c r="M603" s="18">
        <f>РПЗ!O603</f>
        <v>42887.5</v>
      </c>
      <c r="N603" s="238">
        <f>Таблица5[[#This Row],[10]]</f>
        <v>42887.5</v>
      </c>
      <c r="O603" s="17"/>
      <c r="P603" s="17"/>
      <c r="Q603" s="17"/>
      <c r="R603" s="17"/>
      <c r="S603" s="17"/>
      <c r="T603" s="686"/>
      <c r="U603" s="18">
        <f>РПЗ!P603</f>
        <v>43070.5</v>
      </c>
      <c r="V603" s="686"/>
      <c r="W603" s="236">
        <f>РПЗ!L603</f>
        <v>240000</v>
      </c>
      <c r="X603" s="689"/>
      <c r="Y603" s="689"/>
      <c r="Z603" s="690"/>
      <c r="AA603" s="691"/>
      <c r="AB603" s="111"/>
      <c r="AC603" s="17"/>
      <c r="AD603" s="690"/>
      <c r="AE603" s="686"/>
      <c r="AF603" s="474"/>
      <c r="AG603" s="692"/>
      <c r="AH603" s="236" t="str">
        <f>IF(Таблица5[[#This Row],[30]]=0,"НД",Таблица5[[#This Row],[20]]-Таблица5[[#This Row],[30]])</f>
        <v>НД</v>
      </c>
      <c r="AI603" s="511" t="str">
        <f>IF(((1-Таблица5[[#This Row],[30]]/Таблица5[[#This Row],[20]])=1),"НД",(1-Таблица5[[#This Row],[30]]/Таблица5[[#This Row],[20]]))</f>
        <v>НД</v>
      </c>
      <c r="AJ603" s="111"/>
      <c r="AK603" s="111"/>
      <c r="AL603" s="512"/>
      <c r="AM603" s="513"/>
      <c r="AN603" s="465"/>
      <c r="AO603" s="468" t="str">
        <f>РПЗ!AD603</f>
        <v>Нет</v>
      </c>
      <c r="AP603" s="472">
        <f>РПЗ!V603</f>
        <v>0</v>
      </c>
      <c r="AQ603" s="470">
        <f>IF(Таблица5[[#This Row],[11]]=0,,MONTH(Таблица5[[#This Row],[11]]))</f>
        <v>6</v>
      </c>
    </row>
    <row r="604" spans="1:43" ht="39" thickBot="1" x14ac:dyDescent="0.3">
      <c r="A604" s="233" t="str">
        <f t="shared" si="9"/>
        <v>1004-2017-00589</v>
      </c>
      <c r="B604" s="233" t="str">
        <f>РПЗ!$D604</f>
        <v>1004-2017-00589Поставка  Осцилограф цифровой Tektronics TDS-2022</v>
      </c>
      <c r="C604" s="233" t="str">
        <f>РПЗ!$AA604</f>
        <v>АО "НИИ "Полюс" им. М.Ф. Стельмаха" тел. отдела закупок 8-495-333-05-02</v>
      </c>
      <c r="D604" s="633" t="str">
        <f>РПЗ!$AB604</f>
        <v>Заказчик</v>
      </c>
      <c r="E604" s="96" t="s">
        <v>46</v>
      </c>
      <c r="F604" s="233" t="str">
        <f>РПЗ!Q604</f>
        <v>ОЗК</v>
      </c>
      <c r="G604" s="237"/>
      <c r="H604" s="237" t="str">
        <f>РПЗ!R604</f>
        <v>да</v>
      </c>
      <c r="I604" s="15">
        <f>РПЗ!W604</f>
        <v>0</v>
      </c>
      <c r="J604" s="233">
        <f>РПЗ!X604</f>
        <v>0</v>
      </c>
      <c r="K604" s="283">
        <f>РПЗ!Z604</f>
        <v>0</v>
      </c>
      <c r="L604" s="17"/>
      <c r="M604" s="18">
        <f>РПЗ!O604</f>
        <v>42887.5</v>
      </c>
      <c r="N604" s="238">
        <f>Таблица5[[#This Row],[10]]</f>
        <v>42887.5</v>
      </c>
      <c r="O604" s="17"/>
      <c r="P604" s="17"/>
      <c r="Q604" s="17"/>
      <c r="R604" s="17"/>
      <c r="S604" s="17"/>
      <c r="T604" s="686"/>
      <c r="U604" s="18">
        <f>РПЗ!P604</f>
        <v>43071.5</v>
      </c>
      <c r="V604" s="686"/>
      <c r="W604" s="236">
        <f>РПЗ!L604</f>
        <v>250000</v>
      </c>
      <c r="X604" s="689"/>
      <c r="Y604" s="689"/>
      <c r="Z604" s="690"/>
      <c r="AA604" s="691"/>
      <c r="AB604" s="111"/>
      <c r="AC604" s="17"/>
      <c r="AD604" s="690"/>
      <c r="AE604" s="686"/>
      <c r="AF604" s="474"/>
      <c r="AG604" s="692"/>
      <c r="AH604" s="236" t="str">
        <f>IF(Таблица5[[#This Row],[30]]=0,"НД",Таблица5[[#This Row],[20]]-Таблица5[[#This Row],[30]])</f>
        <v>НД</v>
      </c>
      <c r="AI604" s="511" t="str">
        <f>IF(((1-Таблица5[[#This Row],[30]]/Таблица5[[#This Row],[20]])=1),"НД",(1-Таблица5[[#This Row],[30]]/Таблица5[[#This Row],[20]]))</f>
        <v>НД</v>
      </c>
      <c r="AJ604" s="111"/>
      <c r="AK604" s="111"/>
      <c r="AL604" s="512"/>
      <c r="AM604" s="513"/>
      <c r="AN604" s="465"/>
      <c r="AO604" s="468" t="str">
        <f>РПЗ!AD604</f>
        <v>Нет</v>
      </c>
      <c r="AP604" s="472">
        <f>РПЗ!V604</f>
        <v>0</v>
      </c>
      <c r="AQ604" s="470">
        <f>IF(Таблица5[[#This Row],[11]]=0,,MONTH(Таблица5[[#This Row],[11]]))</f>
        <v>6</v>
      </c>
    </row>
    <row r="605" spans="1:43" ht="39" thickBot="1" x14ac:dyDescent="0.3">
      <c r="A605" s="233" t="str">
        <f t="shared" si="9"/>
        <v>1004-2017-00590</v>
      </c>
      <c r="B605" s="233" t="str">
        <f>РПЗ!$D605</f>
        <v>1004-2017-00590Поставка Комплект осцилографов и измерительного оборудования</v>
      </c>
      <c r="C605" s="233" t="str">
        <f>РПЗ!$AA605</f>
        <v>АО "НИИ "Полюс" им. М.Ф. Стельмаха" тел. отдела закупок 8-495-333-05-02</v>
      </c>
      <c r="D605" s="633" t="str">
        <f>РПЗ!$AB605</f>
        <v>Заказчик</v>
      </c>
      <c r="E605" s="96" t="s">
        <v>46</v>
      </c>
      <c r="F605" s="233" t="str">
        <f>РПЗ!Q605</f>
        <v>ОЗК</v>
      </c>
      <c r="G605" s="237"/>
      <c r="H605" s="237" t="str">
        <f>РПЗ!R605</f>
        <v>да</v>
      </c>
      <c r="I605" s="15">
        <f>РПЗ!W605</f>
        <v>0</v>
      </c>
      <c r="J605" s="233">
        <f>РПЗ!X605</f>
        <v>0</v>
      </c>
      <c r="K605" s="283">
        <f>РПЗ!Z605</f>
        <v>0</v>
      </c>
      <c r="L605" s="17"/>
      <c r="M605" s="18">
        <f>РПЗ!O605</f>
        <v>42887.5</v>
      </c>
      <c r="N605" s="238">
        <f>Таблица5[[#This Row],[10]]</f>
        <v>42887.5</v>
      </c>
      <c r="O605" s="17"/>
      <c r="P605" s="17"/>
      <c r="Q605" s="17"/>
      <c r="R605" s="17"/>
      <c r="S605" s="17"/>
      <c r="T605" s="686"/>
      <c r="U605" s="18">
        <f>РПЗ!P605</f>
        <v>43071.5</v>
      </c>
      <c r="V605" s="686"/>
      <c r="W605" s="236">
        <f>РПЗ!L605</f>
        <v>37950000</v>
      </c>
      <c r="X605" s="689"/>
      <c r="Y605" s="689"/>
      <c r="Z605" s="690"/>
      <c r="AA605" s="691"/>
      <c r="AB605" s="111"/>
      <c r="AC605" s="17"/>
      <c r="AD605" s="690"/>
      <c r="AE605" s="686"/>
      <c r="AF605" s="474"/>
      <c r="AG605" s="692"/>
      <c r="AH605" s="236" t="str">
        <f>IF(Таблица5[[#This Row],[30]]=0,"НД",Таблица5[[#This Row],[20]]-Таблица5[[#This Row],[30]])</f>
        <v>НД</v>
      </c>
      <c r="AI605" s="511" t="str">
        <f>IF(((1-Таблица5[[#This Row],[30]]/Таблица5[[#This Row],[20]])=1),"НД",(1-Таблица5[[#This Row],[30]]/Таблица5[[#This Row],[20]]))</f>
        <v>НД</v>
      </c>
      <c r="AJ605" s="111"/>
      <c r="AK605" s="111"/>
      <c r="AL605" s="512"/>
      <c r="AM605" s="513"/>
      <c r="AN605" s="465"/>
      <c r="AO605" s="468" t="str">
        <f>РПЗ!AD605</f>
        <v>Нет</v>
      </c>
      <c r="AP605" s="472">
        <f>РПЗ!V605</f>
        <v>0</v>
      </c>
      <c r="AQ605" s="470">
        <f>IF(Таблица5[[#This Row],[11]]=0,,MONTH(Таблица5[[#This Row],[11]]))</f>
        <v>6</v>
      </c>
    </row>
    <row r="606" spans="1:43" ht="39" thickBot="1" x14ac:dyDescent="0.3">
      <c r="A606" s="233" t="str">
        <f t="shared" si="9"/>
        <v>1004-2017-00591</v>
      </c>
      <c r="B606" s="233" t="str">
        <f>РПЗ!$D606</f>
        <v>1004-2017-00591Поставка Комплект осцилографов и измерительного оборудования</v>
      </c>
      <c r="C606" s="233" t="str">
        <f>РПЗ!$AA606</f>
        <v>АО "НИИ "Полюс" им. М.Ф. Стельмаха" тел. отдела закупок 8-495-333-05-02</v>
      </c>
      <c r="D606" s="633" t="str">
        <f>РПЗ!$AB606</f>
        <v>Заказчик</v>
      </c>
      <c r="E606" s="96" t="s">
        <v>46</v>
      </c>
      <c r="F606" s="233" t="str">
        <f>РПЗ!Q606</f>
        <v>ОЗК</v>
      </c>
      <c r="G606" s="237"/>
      <c r="H606" s="237" t="str">
        <f>РПЗ!R606</f>
        <v>да</v>
      </c>
      <c r="I606" s="15">
        <f>РПЗ!W606</f>
        <v>0</v>
      </c>
      <c r="J606" s="233">
        <f>РПЗ!X606</f>
        <v>0</v>
      </c>
      <c r="K606" s="283">
        <f>РПЗ!Z606</f>
        <v>0</v>
      </c>
      <c r="L606" s="17"/>
      <c r="M606" s="18">
        <f>РПЗ!O606</f>
        <v>42887.5</v>
      </c>
      <c r="N606" s="238">
        <f>Таблица5[[#This Row],[10]]</f>
        <v>42887.5</v>
      </c>
      <c r="O606" s="17"/>
      <c r="P606" s="17"/>
      <c r="Q606" s="17"/>
      <c r="R606" s="17"/>
      <c r="S606" s="17"/>
      <c r="T606" s="686"/>
      <c r="U606" s="18">
        <f>РПЗ!P606</f>
        <v>43071.5</v>
      </c>
      <c r="V606" s="686"/>
      <c r="W606" s="236">
        <f>РПЗ!L606</f>
        <v>14896000</v>
      </c>
      <c r="X606" s="689"/>
      <c r="Y606" s="689"/>
      <c r="Z606" s="690"/>
      <c r="AA606" s="691"/>
      <c r="AB606" s="111"/>
      <c r="AC606" s="17"/>
      <c r="AD606" s="690"/>
      <c r="AE606" s="686"/>
      <c r="AF606" s="474"/>
      <c r="AG606" s="692"/>
      <c r="AH606" s="236" t="str">
        <f>IF(Таблица5[[#This Row],[30]]=0,"НД",Таблица5[[#This Row],[20]]-Таблица5[[#This Row],[30]])</f>
        <v>НД</v>
      </c>
      <c r="AI606" s="511" t="str">
        <f>IF(((1-Таблица5[[#This Row],[30]]/Таблица5[[#This Row],[20]])=1),"НД",(1-Таблица5[[#This Row],[30]]/Таблица5[[#This Row],[20]]))</f>
        <v>НД</v>
      </c>
      <c r="AJ606" s="111"/>
      <c r="AK606" s="111"/>
      <c r="AL606" s="512"/>
      <c r="AM606" s="513"/>
      <c r="AN606" s="465"/>
      <c r="AO606" s="468" t="str">
        <f>РПЗ!AD606</f>
        <v>Нет</v>
      </c>
      <c r="AP606" s="472">
        <f>РПЗ!V606</f>
        <v>0</v>
      </c>
      <c r="AQ606" s="470">
        <f>IF(Таблица5[[#This Row],[11]]=0,,MONTH(Таблица5[[#This Row],[11]]))</f>
        <v>6</v>
      </c>
    </row>
    <row r="607" spans="1:43" ht="39" thickBot="1" x14ac:dyDescent="0.3">
      <c r="A607" s="233" t="str">
        <f t="shared" si="9"/>
        <v>1004-2017-00592</v>
      </c>
      <c r="B607" s="233" t="str">
        <f>РПЗ!$D607</f>
        <v>1004-2017-00592Поставка Комплект осцилографов и измерительного оборудования</v>
      </c>
      <c r="C607" s="233" t="str">
        <f>РПЗ!$AA607</f>
        <v>АО "НИИ "Полюс" им. М.Ф. Стельмаха" тел. отдела закупок 8-495-333-05-02</v>
      </c>
      <c r="D607" s="633" t="str">
        <f>РПЗ!$AB607</f>
        <v>Заказчик</v>
      </c>
      <c r="E607" s="96" t="s">
        <v>46</v>
      </c>
      <c r="F607" s="233" t="str">
        <f>РПЗ!Q607</f>
        <v>ОЗК</v>
      </c>
      <c r="G607" s="237"/>
      <c r="H607" s="237" t="str">
        <f>РПЗ!R607</f>
        <v>да</v>
      </c>
      <c r="I607" s="15">
        <f>РПЗ!W607</f>
        <v>0</v>
      </c>
      <c r="J607" s="233">
        <f>РПЗ!X607</f>
        <v>0</v>
      </c>
      <c r="K607" s="283">
        <f>РПЗ!Z607</f>
        <v>0</v>
      </c>
      <c r="L607" s="17"/>
      <c r="M607" s="18">
        <f>РПЗ!O607</f>
        <v>42887.5</v>
      </c>
      <c r="N607" s="238">
        <f>Таблица5[[#This Row],[10]]</f>
        <v>42887.5</v>
      </c>
      <c r="O607" s="17"/>
      <c r="P607" s="17"/>
      <c r="Q607" s="17"/>
      <c r="R607" s="17"/>
      <c r="S607" s="17"/>
      <c r="T607" s="686"/>
      <c r="U607" s="18">
        <f>РПЗ!P607</f>
        <v>43071.5</v>
      </c>
      <c r="V607" s="686"/>
      <c r="W607" s="236">
        <f>РПЗ!L607</f>
        <v>56950000</v>
      </c>
      <c r="X607" s="689"/>
      <c r="Y607" s="689"/>
      <c r="Z607" s="690"/>
      <c r="AA607" s="691"/>
      <c r="AB607" s="111"/>
      <c r="AC607" s="17"/>
      <c r="AD607" s="690"/>
      <c r="AE607" s="686"/>
      <c r="AF607" s="474"/>
      <c r="AG607" s="692"/>
      <c r="AH607" s="236" t="str">
        <f>IF(Таблица5[[#This Row],[30]]=0,"НД",Таблица5[[#This Row],[20]]-Таблица5[[#This Row],[30]])</f>
        <v>НД</v>
      </c>
      <c r="AI607" s="511" t="str">
        <f>IF(((1-Таблица5[[#This Row],[30]]/Таблица5[[#This Row],[20]])=1),"НД",(1-Таблица5[[#This Row],[30]]/Таблица5[[#This Row],[20]]))</f>
        <v>НД</v>
      </c>
      <c r="AJ607" s="111"/>
      <c r="AK607" s="111"/>
      <c r="AL607" s="512"/>
      <c r="AM607" s="513"/>
      <c r="AN607" s="465"/>
      <c r="AO607" s="468" t="str">
        <f>РПЗ!AD607</f>
        <v>Нет</v>
      </c>
      <c r="AP607" s="472">
        <f>РПЗ!V607</f>
        <v>0</v>
      </c>
      <c r="AQ607" s="470">
        <f>IF(Таблица5[[#This Row],[11]]=0,,MONTH(Таблица5[[#This Row],[11]]))</f>
        <v>6</v>
      </c>
    </row>
    <row r="608" spans="1:43" ht="39" thickBot="1" x14ac:dyDescent="0.3">
      <c r="A608" s="233" t="str">
        <f t="shared" si="9"/>
        <v>1004-2017-00593</v>
      </c>
      <c r="B608" s="233" t="str">
        <f>РПЗ!$D608</f>
        <v>1004-2017-00593Поставка Комплект промышленной мебели</v>
      </c>
      <c r="C608" s="233" t="str">
        <f>РПЗ!$AA608</f>
        <v>АО "НИИ "Полюс" им. М.Ф. Стельмаха" тел. отдела закупок 8-495-333-05-02</v>
      </c>
      <c r="D608" s="633" t="str">
        <f>РПЗ!$AB608</f>
        <v>Заказчик</v>
      </c>
      <c r="E608" s="96" t="s">
        <v>46</v>
      </c>
      <c r="F608" s="233" t="str">
        <f>РПЗ!Q608</f>
        <v>ОЗК</v>
      </c>
      <c r="G608" s="237"/>
      <c r="H608" s="237" t="str">
        <f>РПЗ!R608</f>
        <v>да</v>
      </c>
      <c r="I608" s="15">
        <f>РПЗ!W608</f>
        <v>0</v>
      </c>
      <c r="J608" s="233">
        <f>РПЗ!X608</f>
        <v>0</v>
      </c>
      <c r="K608" s="283">
        <f>РПЗ!Z608</f>
        <v>0</v>
      </c>
      <c r="L608" s="17"/>
      <c r="M608" s="18">
        <f>РПЗ!O608</f>
        <v>42887.5</v>
      </c>
      <c r="N608" s="238">
        <f>Таблица5[[#This Row],[10]]</f>
        <v>42887.5</v>
      </c>
      <c r="O608" s="17"/>
      <c r="P608" s="17"/>
      <c r="Q608" s="17"/>
      <c r="R608" s="17"/>
      <c r="S608" s="17"/>
      <c r="T608" s="686"/>
      <c r="U608" s="18">
        <f>РПЗ!P608</f>
        <v>43071.5</v>
      </c>
      <c r="V608" s="686"/>
      <c r="W608" s="236">
        <f>РПЗ!L608</f>
        <v>3000000</v>
      </c>
      <c r="X608" s="689"/>
      <c r="Y608" s="689"/>
      <c r="Z608" s="690"/>
      <c r="AA608" s="691"/>
      <c r="AB608" s="111"/>
      <c r="AC608" s="17"/>
      <c r="AD608" s="690"/>
      <c r="AE608" s="686"/>
      <c r="AF608" s="474"/>
      <c r="AG608" s="692"/>
      <c r="AH608" s="236" t="str">
        <f>IF(Таблица5[[#This Row],[30]]=0,"НД",Таблица5[[#This Row],[20]]-Таблица5[[#This Row],[30]])</f>
        <v>НД</v>
      </c>
      <c r="AI608" s="511" t="str">
        <f>IF(((1-Таблица5[[#This Row],[30]]/Таблица5[[#This Row],[20]])=1),"НД",(1-Таблица5[[#This Row],[30]]/Таблица5[[#This Row],[20]]))</f>
        <v>НД</v>
      </c>
      <c r="AJ608" s="111"/>
      <c r="AK608" s="111"/>
      <c r="AL608" s="512"/>
      <c r="AM608" s="513"/>
      <c r="AN608" s="465"/>
      <c r="AO608" s="468" t="str">
        <f>РПЗ!AD608</f>
        <v>Нет</v>
      </c>
      <c r="AP608" s="472">
        <f>РПЗ!V608</f>
        <v>0</v>
      </c>
      <c r="AQ608" s="470">
        <f>IF(Таблица5[[#This Row],[11]]=0,,MONTH(Таблица5[[#This Row],[11]]))</f>
        <v>6</v>
      </c>
    </row>
    <row r="609" spans="1:43" ht="39" thickBot="1" x14ac:dyDescent="0.3">
      <c r="A609" s="233" t="str">
        <f t="shared" si="9"/>
        <v>1004-2017-00594</v>
      </c>
      <c r="B609" s="233" t="str">
        <f>РПЗ!$D609</f>
        <v>1004-2017-00594Поставка Комплект промышленной мебели</v>
      </c>
      <c r="C609" s="233" t="str">
        <f>РПЗ!$AA609</f>
        <v>АО "НИИ "Полюс" им. М.Ф. Стельмаха" тел. отдела закупок 8-495-333-05-02</v>
      </c>
      <c r="D609" s="633" t="str">
        <f>РПЗ!$AB609</f>
        <v>Заказчик</v>
      </c>
      <c r="E609" s="96" t="s">
        <v>46</v>
      </c>
      <c r="F609" s="233" t="str">
        <f>РПЗ!Q609</f>
        <v>ОЗК</v>
      </c>
      <c r="G609" s="237"/>
      <c r="H609" s="237" t="str">
        <f>РПЗ!R609</f>
        <v>да</v>
      </c>
      <c r="I609" s="15">
        <f>РПЗ!W609</f>
        <v>0</v>
      </c>
      <c r="J609" s="233">
        <f>РПЗ!X609</f>
        <v>0</v>
      </c>
      <c r="K609" s="283">
        <f>РПЗ!Z609</f>
        <v>0</v>
      </c>
      <c r="L609" s="17"/>
      <c r="M609" s="18">
        <f>РПЗ!O609</f>
        <v>42887.5</v>
      </c>
      <c r="N609" s="238">
        <f>Таблица5[[#This Row],[10]]</f>
        <v>42887.5</v>
      </c>
      <c r="O609" s="17"/>
      <c r="P609" s="17"/>
      <c r="Q609" s="17"/>
      <c r="R609" s="17"/>
      <c r="S609" s="17"/>
      <c r="T609" s="686"/>
      <c r="U609" s="18">
        <f>РПЗ!P609</f>
        <v>43071.5</v>
      </c>
      <c r="V609" s="686"/>
      <c r="W609" s="236">
        <f>РПЗ!L609</f>
        <v>3000000</v>
      </c>
      <c r="X609" s="689"/>
      <c r="Y609" s="689"/>
      <c r="Z609" s="690"/>
      <c r="AA609" s="691"/>
      <c r="AB609" s="111"/>
      <c r="AC609" s="17"/>
      <c r="AD609" s="690"/>
      <c r="AE609" s="686"/>
      <c r="AF609" s="474"/>
      <c r="AG609" s="692"/>
      <c r="AH609" s="236" t="str">
        <f>IF(Таблица5[[#This Row],[30]]=0,"НД",Таблица5[[#This Row],[20]]-Таблица5[[#This Row],[30]])</f>
        <v>НД</v>
      </c>
      <c r="AI609" s="511" t="str">
        <f>IF(((1-Таблица5[[#This Row],[30]]/Таблица5[[#This Row],[20]])=1),"НД",(1-Таблица5[[#This Row],[30]]/Таблица5[[#This Row],[20]]))</f>
        <v>НД</v>
      </c>
      <c r="AJ609" s="111"/>
      <c r="AK609" s="111"/>
      <c r="AL609" s="512"/>
      <c r="AM609" s="513"/>
      <c r="AN609" s="465"/>
      <c r="AO609" s="468" t="str">
        <f>РПЗ!AD609</f>
        <v>Нет</v>
      </c>
      <c r="AP609" s="472">
        <f>РПЗ!V609</f>
        <v>0</v>
      </c>
      <c r="AQ609" s="470">
        <f>IF(Таблица5[[#This Row],[11]]=0,,MONTH(Таблица5[[#This Row],[11]]))</f>
        <v>6</v>
      </c>
    </row>
    <row r="610" spans="1:43" ht="39" thickBot="1" x14ac:dyDescent="0.3">
      <c r="A610" s="233" t="str">
        <f t="shared" si="9"/>
        <v>1004-2017-00595</v>
      </c>
      <c r="B610" s="233" t="str">
        <f>РПЗ!$D610</f>
        <v>1004-2017-00595Поставка Комплект промышленной мебели</v>
      </c>
      <c r="C610" s="233" t="str">
        <f>РПЗ!$AA610</f>
        <v>АО "НИИ "Полюс" им. М.Ф. Стельмаха" тел. отдела закупок 8-495-333-05-02</v>
      </c>
      <c r="D610" s="633" t="str">
        <f>РПЗ!$AB610</f>
        <v>Заказчик</v>
      </c>
      <c r="E610" s="96" t="s">
        <v>46</v>
      </c>
      <c r="F610" s="233" t="str">
        <f>РПЗ!Q610</f>
        <v>ОК</v>
      </c>
      <c r="G610" s="237"/>
      <c r="H610" s="237" t="str">
        <f>РПЗ!R610</f>
        <v>да</v>
      </c>
      <c r="I610" s="15">
        <f>РПЗ!W610</f>
        <v>0</v>
      </c>
      <c r="J610" s="233">
        <f>РПЗ!X610</f>
        <v>0</v>
      </c>
      <c r="K610" s="283">
        <f>РПЗ!Z610</f>
        <v>0</v>
      </c>
      <c r="L610" s="17"/>
      <c r="M610" s="18">
        <f>РПЗ!O610</f>
        <v>42887.5</v>
      </c>
      <c r="N610" s="238">
        <f>Таблица5[[#This Row],[10]]</f>
        <v>42887.5</v>
      </c>
      <c r="O610" s="17"/>
      <c r="P610" s="17"/>
      <c r="Q610" s="17"/>
      <c r="R610" s="17"/>
      <c r="S610" s="17"/>
      <c r="T610" s="686"/>
      <c r="U610" s="18">
        <f>РПЗ!P610</f>
        <v>43071.5</v>
      </c>
      <c r="V610" s="686"/>
      <c r="W610" s="236">
        <f>РПЗ!L610</f>
        <v>3000000</v>
      </c>
      <c r="X610" s="689"/>
      <c r="Y610" s="689"/>
      <c r="Z610" s="690"/>
      <c r="AA610" s="691"/>
      <c r="AB610" s="111"/>
      <c r="AC610" s="17"/>
      <c r="AD610" s="690"/>
      <c r="AE610" s="686"/>
      <c r="AF610" s="474"/>
      <c r="AG610" s="692"/>
      <c r="AH610" s="236" t="str">
        <f>IF(Таблица5[[#This Row],[30]]=0,"НД",Таблица5[[#This Row],[20]]-Таблица5[[#This Row],[30]])</f>
        <v>НД</v>
      </c>
      <c r="AI610" s="511" t="str">
        <f>IF(((1-Таблица5[[#This Row],[30]]/Таблица5[[#This Row],[20]])=1),"НД",(1-Таблица5[[#This Row],[30]]/Таблица5[[#This Row],[20]]))</f>
        <v>НД</v>
      </c>
      <c r="AJ610" s="111"/>
      <c r="AK610" s="111"/>
      <c r="AL610" s="512"/>
      <c r="AM610" s="513"/>
      <c r="AN610" s="465"/>
      <c r="AO610" s="468" t="str">
        <f>РПЗ!AD610</f>
        <v>Нет</v>
      </c>
      <c r="AP610" s="472">
        <f>РПЗ!V610</f>
        <v>0</v>
      </c>
      <c r="AQ610" s="470">
        <f>IF(Таблица5[[#This Row],[11]]=0,,MONTH(Таблица5[[#This Row],[11]]))</f>
        <v>6</v>
      </c>
    </row>
    <row r="611" spans="1:43" ht="39" thickBot="1" x14ac:dyDescent="0.3">
      <c r="A611" s="233" t="str">
        <f t="shared" si="9"/>
        <v>1004-2017-00596</v>
      </c>
      <c r="B611" s="233" t="str">
        <f>РПЗ!$D611</f>
        <v>1004-2017-00596Поставка Комплект промышленной мебели</v>
      </c>
      <c r="C611" s="233" t="str">
        <f>РПЗ!$AA611</f>
        <v>АО "НИИ "Полюс" им. М.Ф. Стельмаха" тел. отдела закупок 8-495-333-05-02</v>
      </c>
      <c r="D611" s="633" t="str">
        <f>РПЗ!$AB611</f>
        <v>Заказчик</v>
      </c>
      <c r="E611" s="96" t="s">
        <v>46</v>
      </c>
      <c r="F611" s="233" t="str">
        <f>РПЗ!Q611</f>
        <v>ОК</v>
      </c>
      <c r="G611" s="237"/>
      <c r="H611" s="237" t="str">
        <f>РПЗ!R611</f>
        <v>да</v>
      </c>
      <c r="I611" s="15">
        <f>РПЗ!W611</f>
        <v>0</v>
      </c>
      <c r="J611" s="233">
        <f>РПЗ!X611</f>
        <v>0</v>
      </c>
      <c r="K611" s="283">
        <f>РПЗ!Z611</f>
        <v>0</v>
      </c>
      <c r="L611" s="17"/>
      <c r="M611" s="18">
        <f>РПЗ!O611</f>
        <v>42887.5</v>
      </c>
      <c r="N611" s="238">
        <f>Таблица5[[#This Row],[10]]</f>
        <v>42887.5</v>
      </c>
      <c r="O611" s="17"/>
      <c r="P611" s="17"/>
      <c r="Q611" s="17"/>
      <c r="R611" s="17"/>
      <c r="S611" s="17"/>
      <c r="T611" s="686"/>
      <c r="U611" s="18">
        <f>РПЗ!P611</f>
        <v>43071.5</v>
      </c>
      <c r="V611" s="686"/>
      <c r="W611" s="236">
        <f>РПЗ!L611</f>
        <v>3000000</v>
      </c>
      <c r="X611" s="689"/>
      <c r="Y611" s="689"/>
      <c r="Z611" s="690"/>
      <c r="AA611" s="691"/>
      <c r="AB611" s="111"/>
      <c r="AC611" s="17"/>
      <c r="AD611" s="690"/>
      <c r="AE611" s="686"/>
      <c r="AF611" s="474"/>
      <c r="AG611" s="692"/>
      <c r="AH611" s="236" t="str">
        <f>IF(Таблица5[[#This Row],[30]]=0,"НД",Таблица5[[#This Row],[20]]-Таблица5[[#This Row],[30]])</f>
        <v>НД</v>
      </c>
      <c r="AI611" s="511" t="str">
        <f>IF(((1-Таблица5[[#This Row],[30]]/Таблица5[[#This Row],[20]])=1),"НД",(1-Таблица5[[#This Row],[30]]/Таблица5[[#This Row],[20]]))</f>
        <v>НД</v>
      </c>
      <c r="AJ611" s="111"/>
      <c r="AK611" s="111"/>
      <c r="AL611" s="512"/>
      <c r="AM611" s="513"/>
      <c r="AN611" s="465"/>
      <c r="AO611" s="468" t="str">
        <f>РПЗ!AD611</f>
        <v>Нет</v>
      </c>
      <c r="AP611" s="472">
        <f>РПЗ!V611</f>
        <v>0</v>
      </c>
      <c r="AQ611" s="470">
        <f>IF(Таблица5[[#This Row],[11]]=0,,MONTH(Таблица5[[#This Row],[11]]))</f>
        <v>6</v>
      </c>
    </row>
    <row r="612" spans="1:43" ht="51.75" thickBot="1" x14ac:dyDescent="0.3">
      <c r="A612" s="233" t="str">
        <f t="shared" si="9"/>
        <v>1004-2017-00597</v>
      </c>
      <c r="B612" s="233" t="str">
        <f>РПЗ!$D612</f>
        <v>1004-2017-00597Поставка Коллиматор внеосевой параболический зеркальный ВК-2000 или аналог</v>
      </c>
      <c r="C612" s="233" t="str">
        <f>РПЗ!$AA612</f>
        <v>АО "НИИ "Полюс" им. М.Ф. Стельмаха" тел. отдела закупок 8-495-333-05-02</v>
      </c>
      <c r="D612" s="633" t="str">
        <f>РПЗ!$AB612</f>
        <v>Заказчик</v>
      </c>
      <c r="E612" s="96" t="s">
        <v>46</v>
      </c>
      <c r="F612" s="233" t="str">
        <f>РПЗ!Q612</f>
        <v>ОК</v>
      </c>
      <c r="G612" s="237"/>
      <c r="H612" s="237" t="str">
        <f>РПЗ!R612</f>
        <v>да</v>
      </c>
      <c r="I612" s="15">
        <f>РПЗ!W612</f>
        <v>0</v>
      </c>
      <c r="J612" s="233">
        <f>РПЗ!X612</f>
        <v>0</v>
      </c>
      <c r="K612" s="283">
        <f>РПЗ!Z612</f>
        <v>0</v>
      </c>
      <c r="L612" s="17"/>
      <c r="M612" s="18">
        <f>РПЗ!O612</f>
        <v>42887.5</v>
      </c>
      <c r="N612" s="238">
        <f>Таблица5[[#This Row],[10]]</f>
        <v>42887.5</v>
      </c>
      <c r="O612" s="17"/>
      <c r="P612" s="17"/>
      <c r="Q612" s="17"/>
      <c r="R612" s="17"/>
      <c r="S612" s="17"/>
      <c r="T612" s="686"/>
      <c r="U612" s="18">
        <f>РПЗ!P612</f>
        <v>43070.5</v>
      </c>
      <c r="V612" s="686"/>
      <c r="W612" s="236">
        <f>РПЗ!L612</f>
        <v>150000000</v>
      </c>
      <c r="X612" s="689"/>
      <c r="Y612" s="689"/>
      <c r="Z612" s="690"/>
      <c r="AA612" s="691"/>
      <c r="AB612" s="111"/>
      <c r="AC612" s="17"/>
      <c r="AD612" s="690"/>
      <c r="AE612" s="686"/>
      <c r="AF612" s="474"/>
      <c r="AG612" s="692"/>
      <c r="AH612" s="236" t="str">
        <f>IF(Таблица5[[#This Row],[30]]=0,"НД",Таблица5[[#This Row],[20]]-Таблица5[[#This Row],[30]])</f>
        <v>НД</v>
      </c>
      <c r="AI612" s="511" t="str">
        <f>IF(((1-Таблица5[[#This Row],[30]]/Таблица5[[#This Row],[20]])=1),"НД",(1-Таблица5[[#This Row],[30]]/Таблица5[[#This Row],[20]]))</f>
        <v>НД</v>
      </c>
      <c r="AJ612" s="111"/>
      <c r="AK612" s="111"/>
      <c r="AL612" s="512"/>
      <c r="AM612" s="513"/>
      <c r="AN612" s="465"/>
      <c r="AO612" s="468" t="str">
        <f>РПЗ!AD612</f>
        <v>Нет</v>
      </c>
      <c r="AP612" s="472">
        <f>РПЗ!V612</f>
        <v>0</v>
      </c>
      <c r="AQ612" s="470">
        <f>IF(Таблица5[[#This Row],[11]]=0,,MONTH(Таблица5[[#This Row],[11]]))</f>
        <v>6</v>
      </c>
    </row>
    <row r="613" spans="1:43" ht="39" thickBot="1" x14ac:dyDescent="0.3">
      <c r="A613" s="233" t="str">
        <f t="shared" si="9"/>
        <v>1004-2017-00598</v>
      </c>
      <c r="B613" s="233" t="str">
        <f>РПЗ!$D613</f>
        <v>1004-2017-00598Поставка  Камера Мини Сабзеро MC 712R Фирма Espec Corp</v>
      </c>
      <c r="C613" s="233" t="str">
        <f>РПЗ!$AA613</f>
        <v>АО "НИИ "Полюс" им. М.Ф. Стельмаха" тел. отдела закупок 8-495-333-05-02</v>
      </c>
      <c r="D613" s="633" t="str">
        <f>РПЗ!$AB613</f>
        <v>Заказчик</v>
      </c>
      <c r="E613" s="96" t="s">
        <v>46</v>
      </c>
      <c r="F613" s="233" t="str">
        <f>РПЗ!Q613</f>
        <v>ОЗК</v>
      </c>
      <c r="G613" s="237"/>
      <c r="H613" s="237" t="str">
        <f>РПЗ!R613</f>
        <v>да</v>
      </c>
      <c r="I613" s="15">
        <f>РПЗ!W613</f>
        <v>0</v>
      </c>
      <c r="J613" s="233">
        <f>РПЗ!X613</f>
        <v>0</v>
      </c>
      <c r="K613" s="283">
        <f>РПЗ!Z613</f>
        <v>0</v>
      </c>
      <c r="L613" s="17"/>
      <c r="M613" s="18">
        <f>РПЗ!O613</f>
        <v>42887.5</v>
      </c>
      <c r="N613" s="238">
        <f>Таблица5[[#This Row],[10]]</f>
        <v>42887.5</v>
      </c>
      <c r="O613" s="17"/>
      <c r="P613" s="17"/>
      <c r="Q613" s="17"/>
      <c r="R613" s="17"/>
      <c r="S613" s="17"/>
      <c r="T613" s="686"/>
      <c r="U613" s="18">
        <f>РПЗ!P613</f>
        <v>43079.5</v>
      </c>
      <c r="V613" s="686"/>
      <c r="W613" s="236">
        <f>РПЗ!L613</f>
        <v>24520000</v>
      </c>
      <c r="X613" s="689"/>
      <c r="Y613" s="689"/>
      <c r="Z613" s="690"/>
      <c r="AA613" s="691"/>
      <c r="AB613" s="111"/>
      <c r="AC613" s="17"/>
      <c r="AD613" s="690"/>
      <c r="AE613" s="686"/>
      <c r="AF613" s="474"/>
      <c r="AG613" s="692"/>
      <c r="AH613" s="236" t="str">
        <f>IF(Таблица5[[#This Row],[30]]=0,"НД",Таблица5[[#This Row],[20]]-Таблица5[[#This Row],[30]])</f>
        <v>НД</v>
      </c>
      <c r="AI613" s="511" t="str">
        <f>IF(((1-Таблица5[[#This Row],[30]]/Таблица5[[#This Row],[20]])=1),"НД",(1-Таблица5[[#This Row],[30]]/Таблица5[[#This Row],[20]]))</f>
        <v>НД</v>
      </c>
      <c r="AJ613" s="111"/>
      <c r="AK613" s="111"/>
      <c r="AL613" s="512"/>
      <c r="AM613" s="513"/>
      <c r="AN613" s="465"/>
      <c r="AO613" s="468" t="str">
        <f>РПЗ!AD613</f>
        <v>Нет</v>
      </c>
      <c r="AP613" s="472">
        <f>РПЗ!V613</f>
        <v>0</v>
      </c>
      <c r="AQ613" s="470">
        <f>IF(Таблица5[[#This Row],[11]]=0,,MONTH(Таблица5[[#This Row],[11]]))</f>
        <v>6</v>
      </c>
    </row>
    <row r="614" spans="1:43" ht="39" thickBot="1" x14ac:dyDescent="0.3">
      <c r="A614" s="233" t="str">
        <f t="shared" si="9"/>
        <v>1004-2017-00599</v>
      </c>
      <c r="B614" s="233" t="str">
        <f>РПЗ!$D614</f>
        <v>1004-2017-00599Поставка  Камера Мини Сабзеро MC 712R Фирма Espec Corp</v>
      </c>
      <c r="C614" s="233" t="str">
        <f>РПЗ!$AA614</f>
        <v>АО "НИИ "Полюс" им. М.Ф. Стельмаха" тел. отдела закупок 8-495-333-05-02</v>
      </c>
      <c r="D614" s="633" t="str">
        <f>РПЗ!$AB614</f>
        <v>Заказчик</v>
      </c>
      <c r="E614" s="96" t="s">
        <v>46</v>
      </c>
      <c r="F614" s="233" t="str">
        <f>РПЗ!Q614</f>
        <v>ОЗК</v>
      </c>
      <c r="G614" s="237"/>
      <c r="H614" s="237" t="str">
        <f>РПЗ!R614</f>
        <v>да</v>
      </c>
      <c r="I614" s="15">
        <f>РПЗ!W614</f>
        <v>0</v>
      </c>
      <c r="J614" s="233">
        <f>РПЗ!X614</f>
        <v>0</v>
      </c>
      <c r="K614" s="283">
        <f>РПЗ!Z614</f>
        <v>0</v>
      </c>
      <c r="L614" s="17"/>
      <c r="M614" s="18">
        <f>РПЗ!O614</f>
        <v>42887.5</v>
      </c>
      <c r="N614" s="238">
        <f>Таблица5[[#This Row],[10]]</f>
        <v>42887.5</v>
      </c>
      <c r="O614" s="17"/>
      <c r="P614" s="17"/>
      <c r="Q614" s="17"/>
      <c r="R614" s="17"/>
      <c r="S614" s="17"/>
      <c r="T614" s="686"/>
      <c r="U614" s="18">
        <f>РПЗ!P614</f>
        <v>43079.5</v>
      </c>
      <c r="V614" s="686"/>
      <c r="W614" s="236">
        <f>РПЗ!L614</f>
        <v>36780000</v>
      </c>
      <c r="X614" s="689"/>
      <c r="Y614" s="689"/>
      <c r="Z614" s="690"/>
      <c r="AA614" s="691"/>
      <c r="AB614" s="111"/>
      <c r="AC614" s="17"/>
      <c r="AD614" s="690"/>
      <c r="AE614" s="686"/>
      <c r="AF614" s="474"/>
      <c r="AG614" s="692"/>
      <c r="AH614" s="236" t="str">
        <f>IF(Таблица5[[#This Row],[30]]=0,"НД",Таблица5[[#This Row],[20]]-Таблица5[[#This Row],[30]])</f>
        <v>НД</v>
      </c>
      <c r="AI614" s="511" t="str">
        <f>IF(((1-Таблица5[[#This Row],[30]]/Таблица5[[#This Row],[20]])=1),"НД",(1-Таблица5[[#This Row],[30]]/Таблица5[[#This Row],[20]]))</f>
        <v>НД</v>
      </c>
      <c r="AJ614" s="111"/>
      <c r="AK614" s="111"/>
      <c r="AL614" s="512"/>
      <c r="AM614" s="513"/>
      <c r="AN614" s="465"/>
      <c r="AO614" s="468" t="str">
        <f>РПЗ!AD614</f>
        <v>Нет</v>
      </c>
      <c r="AP614" s="472">
        <f>РПЗ!V614</f>
        <v>0</v>
      </c>
      <c r="AQ614" s="470">
        <f>IF(Таблица5[[#This Row],[11]]=0,,MONTH(Таблица5[[#This Row],[11]]))</f>
        <v>6</v>
      </c>
    </row>
    <row r="615" spans="1:43" ht="39" thickBot="1" x14ac:dyDescent="0.3">
      <c r="A615" s="233" t="str">
        <f t="shared" si="9"/>
        <v>1004-2017-00600</v>
      </c>
      <c r="B615" s="233" t="str">
        <f>РПЗ!$D615</f>
        <v>1004-2017-00600Поставка  Камера Мини Сабзеро MC 712R Фирма Espec Corp</v>
      </c>
      <c r="C615" s="233" t="str">
        <f>РПЗ!$AA615</f>
        <v>АО "НИИ "Полюс" им. М.Ф. Стельмаха" тел. отдела закупок 8-495-333-05-02</v>
      </c>
      <c r="D615" s="633" t="str">
        <f>РПЗ!$AB615</f>
        <v>Заказчик</v>
      </c>
      <c r="E615" s="96" t="s">
        <v>46</v>
      </c>
      <c r="F615" s="233" t="str">
        <f>РПЗ!Q615</f>
        <v>ОЗК</v>
      </c>
      <c r="G615" s="237"/>
      <c r="H615" s="237" t="str">
        <f>РПЗ!R615</f>
        <v>да</v>
      </c>
      <c r="I615" s="15">
        <f>РПЗ!W615</f>
        <v>0</v>
      </c>
      <c r="J615" s="233">
        <f>РПЗ!X615</f>
        <v>0</v>
      </c>
      <c r="K615" s="283">
        <f>РПЗ!Z615</f>
        <v>0</v>
      </c>
      <c r="L615" s="17"/>
      <c r="M615" s="18">
        <f>РПЗ!O615</f>
        <v>42887.5</v>
      </c>
      <c r="N615" s="238">
        <f>Таблица5[[#This Row],[10]]</f>
        <v>42887.5</v>
      </c>
      <c r="O615" s="17"/>
      <c r="P615" s="17"/>
      <c r="Q615" s="17"/>
      <c r="R615" s="17"/>
      <c r="S615" s="17"/>
      <c r="T615" s="686"/>
      <c r="U615" s="18">
        <f>РПЗ!P615</f>
        <v>43079.5</v>
      </c>
      <c r="V615" s="686"/>
      <c r="W615" s="236">
        <f>РПЗ!L615</f>
        <v>61300000</v>
      </c>
      <c r="X615" s="689"/>
      <c r="Y615" s="689"/>
      <c r="Z615" s="690"/>
      <c r="AA615" s="691"/>
      <c r="AB615" s="111"/>
      <c r="AC615" s="17"/>
      <c r="AD615" s="690"/>
      <c r="AE615" s="686"/>
      <c r="AF615" s="474"/>
      <c r="AG615" s="692"/>
      <c r="AH615" s="236" t="str">
        <f>IF(Таблица5[[#This Row],[30]]=0,"НД",Таблица5[[#This Row],[20]]-Таблица5[[#This Row],[30]])</f>
        <v>НД</v>
      </c>
      <c r="AI615" s="511" t="str">
        <f>IF(((1-Таблица5[[#This Row],[30]]/Таблица5[[#This Row],[20]])=1),"НД",(1-Таблица5[[#This Row],[30]]/Таблица5[[#This Row],[20]]))</f>
        <v>НД</v>
      </c>
      <c r="AJ615" s="111"/>
      <c r="AK615" s="111"/>
      <c r="AL615" s="512"/>
      <c r="AM615" s="513"/>
      <c r="AN615" s="465"/>
      <c r="AO615" s="468" t="str">
        <f>РПЗ!AD615</f>
        <v>Нет</v>
      </c>
      <c r="AP615" s="472">
        <f>РПЗ!V615</f>
        <v>0</v>
      </c>
      <c r="AQ615" s="470">
        <f>IF(Таблица5[[#This Row],[11]]=0,,MONTH(Таблица5[[#This Row],[11]]))</f>
        <v>6</v>
      </c>
    </row>
    <row r="616" spans="1:43" ht="39" thickBot="1" x14ac:dyDescent="0.3">
      <c r="A616" s="233" t="str">
        <f t="shared" si="9"/>
        <v>1004-2017-00601</v>
      </c>
      <c r="B616" s="233" t="str">
        <f>РПЗ!$D616</f>
        <v>1004-2017-00601Поставка  Камера Мини Сабзеро MC 712R Фирма Espec Corp</v>
      </c>
      <c r="C616" s="233" t="str">
        <f>РПЗ!$AA616</f>
        <v>АО "НИИ "Полюс" им. М.Ф. Стельмаха" тел. отдела закупок 8-495-333-05-02</v>
      </c>
      <c r="D616" s="633" t="str">
        <f>РПЗ!$AB616</f>
        <v>Заказчик</v>
      </c>
      <c r="E616" s="96" t="s">
        <v>46</v>
      </c>
      <c r="F616" s="233" t="str">
        <f>РПЗ!Q616</f>
        <v>ОЗК</v>
      </c>
      <c r="G616" s="237"/>
      <c r="H616" s="237" t="str">
        <f>РПЗ!R616</f>
        <v>да</v>
      </c>
      <c r="I616" s="15">
        <f>РПЗ!W616</f>
        <v>0</v>
      </c>
      <c r="J616" s="233">
        <f>РПЗ!X616</f>
        <v>0</v>
      </c>
      <c r="K616" s="283">
        <f>РПЗ!Z616</f>
        <v>0</v>
      </c>
      <c r="L616" s="17"/>
      <c r="M616" s="18">
        <f>РПЗ!O616</f>
        <v>42887.5</v>
      </c>
      <c r="N616" s="238">
        <f>Таблица5[[#This Row],[10]]</f>
        <v>42887.5</v>
      </c>
      <c r="O616" s="17"/>
      <c r="P616" s="17"/>
      <c r="Q616" s="17"/>
      <c r="R616" s="17"/>
      <c r="S616" s="17"/>
      <c r="T616" s="686"/>
      <c r="U616" s="18">
        <f>РПЗ!P616</f>
        <v>43079.5</v>
      </c>
      <c r="V616" s="686"/>
      <c r="W616" s="236">
        <f>РПЗ!L616</f>
        <v>1226000</v>
      </c>
      <c r="X616" s="689"/>
      <c r="Y616" s="689"/>
      <c r="Z616" s="690"/>
      <c r="AA616" s="691"/>
      <c r="AB616" s="111"/>
      <c r="AC616" s="17"/>
      <c r="AD616" s="690"/>
      <c r="AE616" s="686"/>
      <c r="AF616" s="474"/>
      <c r="AG616" s="692"/>
      <c r="AH616" s="236" t="str">
        <f>IF(Таблица5[[#This Row],[30]]=0,"НД",Таблица5[[#This Row],[20]]-Таблица5[[#This Row],[30]])</f>
        <v>НД</v>
      </c>
      <c r="AI616" s="511" t="str">
        <f>IF(((1-Таблица5[[#This Row],[30]]/Таблица5[[#This Row],[20]])=1),"НД",(1-Таблица5[[#This Row],[30]]/Таблица5[[#This Row],[20]]))</f>
        <v>НД</v>
      </c>
      <c r="AJ616" s="111"/>
      <c r="AK616" s="111"/>
      <c r="AL616" s="512"/>
      <c r="AM616" s="513"/>
      <c r="AN616" s="465"/>
      <c r="AO616" s="468" t="str">
        <f>РПЗ!AD616</f>
        <v>Нет</v>
      </c>
      <c r="AP616" s="472">
        <f>РПЗ!V616</f>
        <v>0</v>
      </c>
      <c r="AQ616" s="470">
        <f>IF(Таблица5[[#This Row],[11]]=0,,MONTH(Таблица5[[#This Row],[11]]))</f>
        <v>6</v>
      </c>
    </row>
    <row r="617" spans="1:43" ht="39" thickBot="1" x14ac:dyDescent="0.3">
      <c r="A617" s="233" t="str">
        <f t="shared" si="9"/>
        <v>1004-2017-00602</v>
      </c>
      <c r="B617" s="233" t="str">
        <f>РПЗ!$D617</f>
        <v>1004-2017-00602Поставка Вибростенд VSH-100-1 или аналог</v>
      </c>
      <c r="C617" s="233" t="str">
        <f>РПЗ!$AA617</f>
        <v>АО "НИИ "Полюс" им. М.Ф. Стельмаха" тел. отдела закупок 8-495-333-05-02</v>
      </c>
      <c r="D617" s="633" t="str">
        <f>РПЗ!$AB617</f>
        <v>Заказчик</v>
      </c>
      <c r="E617" s="96" t="s">
        <v>46</v>
      </c>
      <c r="F617" s="233" t="str">
        <f>РПЗ!Q617</f>
        <v>ОК</v>
      </c>
      <c r="G617" s="237"/>
      <c r="H617" s="237" t="str">
        <f>РПЗ!R617</f>
        <v>да</v>
      </c>
      <c r="I617" s="15">
        <f>РПЗ!W617</f>
        <v>0</v>
      </c>
      <c r="J617" s="233">
        <f>РПЗ!X617</f>
        <v>0</v>
      </c>
      <c r="K617" s="283">
        <f>РПЗ!Z617</f>
        <v>0</v>
      </c>
      <c r="L617" s="17"/>
      <c r="M617" s="18">
        <f>РПЗ!O617</f>
        <v>42887.5</v>
      </c>
      <c r="N617" s="238">
        <f>Таблица5[[#This Row],[10]]</f>
        <v>42887.5</v>
      </c>
      <c r="O617" s="17"/>
      <c r="P617" s="17"/>
      <c r="Q617" s="17"/>
      <c r="R617" s="17"/>
      <c r="S617" s="17"/>
      <c r="T617" s="686"/>
      <c r="U617" s="18">
        <f>РПЗ!P617</f>
        <v>43079.5</v>
      </c>
      <c r="V617" s="686"/>
      <c r="W617" s="236">
        <f>РПЗ!L617</f>
        <v>7000000</v>
      </c>
      <c r="X617" s="689"/>
      <c r="Y617" s="689"/>
      <c r="Z617" s="690"/>
      <c r="AA617" s="691"/>
      <c r="AB617" s="111"/>
      <c r="AC617" s="17"/>
      <c r="AD617" s="690"/>
      <c r="AE617" s="686"/>
      <c r="AF617" s="474"/>
      <c r="AG617" s="692"/>
      <c r="AH617" s="236" t="str">
        <f>IF(Таблица5[[#This Row],[30]]=0,"НД",Таблица5[[#This Row],[20]]-Таблица5[[#This Row],[30]])</f>
        <v>НД</v>
      </c>
      <c r="AI617" s="511" t="str">
        <f>IF(((1-Таблица5[[#This Row],[30]]/Таблица5[[#This Row],[20]])=1),"НД",(1-Таблица5[[#This Row],[30]]/Таблица5[[#This Row],[20]]))</f>
        <v>НД</v>
      </c>
      <c r="AJ617" s="111"/>
      <c r="AK617" s="111"/>
      <c r="AL617" s="512"/>
      <c r="AM617" s="513"/>
      <c r="AN617" s="465"/>
      <c r="AO617" s="468" t="str">
        <f>РПЗ!AD617</f>
        <v>Нет</v>
      </c>
      <c r="AP617" s="472">
        <f>РПЗ!V617</f>
        <v>0</v>
      </c>
      <c r="AQ617" s="470">
        <f>IF(Таблица5[[#This Row],[11]]=0,,MONTH(Таблица5[[#This Row],[11]]))</f>
        <v>6</v>
      </c>
    </row>
    <row r="618" spans="1:43" ht="39" thickBot="1" x14ac:dyDescent="0.3">
      <c r="A618" s="233" t="str">
        <f t="shared" si="9"/>
        <v>1004-2017-00603</v>
      </c>
      <c r="B618" s="233" t="str">
        <f>РПЗ!$D618</f>
        <v>1004-2017-00603Поставка Вибростенд VSH-100-1 или аналог</v>
      </c>
      <c r="C618" s="233" t="str">
        <f>РПЗ!$AA618</f>
        <v>АО "НИИ "Полюс" им. М.Ф. Стельмаха" тел. отдела закупок 8-495-333-05-02</v>
      </c>
      <c r="D618" s="633" t="str">
        <f>РПЗ!$AB618</f>
        <v>Заказчик</v>
      </c>
      <c r="E618" s="96" t="s">
        <v>46</v>
      </c>
      <c r="F618" s="233" t="str">
        <f>РПЗ!Q618</f>
        <v>ОК</v>
      </c>
      <c r="G618" s="237"/>
      <c r="H618" s="237" t="str">
        <f>РПЗ!R618</f>
        <v>да</v>
      </c>
      <c r="I618" s="15">
        <f>РПЗ!W618</f>
        <v>0</v>
      </c>
      <c r="J618" s="233">
        <f>РПЗ!X618</f>
        <v>0</v>
      </c>
      <c r="K618" s="283">
        <f>РПЗ!Z618</f>
        <v>0</v>
      </c>
      <c r="L618" s="17"/>
      <c r="M618" s="18">
        <f>РПЗ!O618</f>
        <v>42887.5</v>
      </c>
      <c r="N618" s="238">
        <f>Таблица5[[#This Row],[10]]</f>
        <v>42887.5</v>
      </c>
      <c r="O618" s="17"/>
      <c r="P618" s="17"/>
      <c r="Q618" s="17"/>
      <c r="R618" s="17"/>
      <c r="S618" s="17"/>
      <c r="T618" s="686"/>
      <c r="U618" s="18">
        <f>РПЗ!P618</f>
        <v>43079.5</v>
      </c>
      <c r="V618" s="686"/>
      <c r="W618" s="236">
        <f>РПЗ!L618</f>
        <v>14000000</v>
      </c>
      <c r="X618" s="689"/>
      <c r="Y618" s="689"/>
      <c r="Z618" s="690"/>
      <c r="AA618" s="691"/>
      <c r="AB618" s="111"/>
      <c r="AC618" s="17"/>
      <c r="AD618" s="690"/>
      <c r="AE618" s="686"/>
      <c r="AF618" s="474"/>
      <c r="AG618" s="692"/>
      <c r="AH618" s="236" t="str">
        <f>IF(Таблица5[[#This Row],[30]]=0,"НД",Таблица5[[#This Row],[20]]-Таблица5[[#This Row],[30]])</f>
        <v>НД</v>
      </c>
      <c r="AI618" s="511" t="str">
        <f>IF(((1-Таблица5[[#This Row],[30]]/Таблица5[[#This Row],[20]])=1),"НД",(1-Таблица5[[#This Row],[30]]/Таблица5[[#This Row],[20]]))</f>
        <v>НД</v>
      </c>
      <c r="AJ618" s="111"/>
      <c r="AK618" s="111"/>
      <c r="AL618" s="512"/>
      <c r="AM618" s="513"/>
      <c r="AN618" s="465"/>
      <c r="AO618" s="468" t="str">
        <f>РПЗ!AD618</f>
        <v>Нет</v>
      </c>
      <c r="AP618" s="472">
        <f>РПЗ!V618</f>
        <v>0</v>
      </c>
      <c r="AQ618" s="470">
        <f>IF(Таблица5[[#This Row],[11]]=0,,MONTH(Таблица5[[#This Row],[11]]))</f>
        <v>6</v>
      </c>
    </row>
    <row r="619" spans="1:43" ht="39" thickBot="1" x14ac:dyDescent="0.3">
      <c r="A619" s="233" t="str">
        <f t="shared" si="9"/>
        <v>1004-2017-00604</v>
      </c>
      <c r="B619" s="233" t="str">
        <f>РПЗ!$D619</f>
        <v>1004-2017-00604Поставка Вибростенд VSH-100-1 или аналог</v>
      </c>
      <c r="C619" s="233" t="str">
        <f>РПЗ!$AA619</f>
        <v>АО "НИИ "Полюс" им. М.Ф. Стельмаха" тел. отдела закупок 8-495-333-05-02</v>
      </c>
      <c r="D619" s="633" t="str">
        <f>РПЗ!$AB619</f>
        <v>Заказчик</v>
      </c>
      <c r="E619" s="96" t="s">
        <v>46</v>
      </c>
      <c r="F619" s="233" t="str">
        <f>РПЗ!Q619</f>
        <v>ОК</v>
      </c>
      <c r="G619" s="237"/>
      <c r="H619" s="237" t="str">
        <f>РПЗ!R619</f>
        <v>да</v>
      </c>
      <c r="I619" s="15">
        <f>РПЗ!W619</f>
        <v>0</v>
      </c>
      <c r="J619" s="233">
        <f>РПЗ!X619</f>
        <v>0</v>
      </c>
      <c r="K619" s="283">
        <f>РПЗ!Z619</f>
        <v>0</v>
      </c>
      <c r="L619" s="17"/>
      <c r="M619" s="18">
        <f>РПЗ!O619</f>
        <v>42887.5</v>
      </c>
      <c r="N619" s="238">
        <f>Таблица5[[#This Row],[10]]</f>
        <v>42887.5</v>
      </c>
      <c r="O619" s="17"/>
      <c r="P619" s="17"/>
      <c r="Q619" s="17"/>
      <c r="R619" s="17"/>
      <c r="S619" s="17"/>
      <c r="T619" s="686"/>
      <c r="U619" s="18">
        <f>РПЗ!P619</f>
        <v>43079.5</v>
      </c>
      <c r="V619" s="686"/>
      <c r="W619" s="236">
        <f>РПЗ!L619</f>
        <v>17500000</v>
      </c>
      <c r="X619" s="689"/>
      <c r="Y619" s="689"/>
      <c r="Z619" s="690"/>
      <c r="AA619" s="691"/>
      <c r="AB619" s="111"/>
      <c r="AC619" s="17"/>
      <c r="AD619" s="690"/>
      <c r="AE619" s="686"/>
      <c r="AF619" s="474"/>
      <c r="AG619" s="692"/>
      <c r="AH619" s="236" t="str">
        <f>IF(Таблица5[[#This Row],[30]]=0,"НД",Таблица5[[#This Row],[20]]-Таблица5[[#This Row],[30]])</f>
        <v>НД</v>
      </c>
      <c r="AI619" s="511" t="str">
        <f>IF(((1-Таблица5[[#This Row],[30]]/Таблица5[[#This Row],[20]])=1),"НД",(1-Таблица5[[#This Row],[30]]/Таблица5[[#This Row],[20]]))</f>
        <v>НД</v>
      </c>
      <c r="AJ619" s="111"/>
      <c r="AK619" s="111"/>
      <c r="AL619" s="512"/>
      <c r="AM619" s="513"/>
      <c r="AN619" s="465"/>
      <c r="AO619" s="468" t="str">
        <f>РПЗ!AD619</f>
        <v>Нет</v>
      </c>
      <c r="AP619" s="472">
        <f>РПЗ!V619</f>
        <v>0</v>
      </c>
      <c r="AQ619" s="470">
        <f>IF(Таблица5[[#This Row],[11]]=0,,MONTH(Таблица5[[#This Row],[11]]))</f>
        <v>6</v>
      </c>
    </row>
    <row r="620" spans="1:43" ht="39" thickBot="1" x14ac:dyDescent="0.3">
      <c r="A620" s="233" t="str">
        <f t="shared" si="9"/>
        <v>1004-2017-00605</v>
      </c>
      <c r="B620" s="233" t="str">
        <f>РПЗ!$D620</f>
        <v>1004-2017-00605Поставка Вибростенд VSH-100-1 или аналог</v>
      </c>
      <c r="C620" s="233" t="str">
        <f>РПЗ!$AA620</f>
        <v>АО "НИИ "Полюс" им. М.Ф. Стельмаха" тел. отдела закупок 8-495-333-05-02</v>
      </c>
      <c r="D620" s="633" t="str">
        <f>РПЗ!$AB620</f>
        <v>Заказчик</v>
      </c>
      <c r="E620" s="96" t="s">
        <v>46</v>
      </c>
      <c r="F620" s="233" t="str">
        <f>РПЗ!Q620</f>
        <v>ОК</v>
      </c>
      <c r="G620" s="237"/>
      <c r="H620" s="237" t="str">
        <f>РПЗ!R620</f>
        <v>да</v>
      </c>
      <c r="I620" s="15">
        <f>РПЗ!W620</f>
        <v>0</v>
      </c>
      <c r="J620" s="233">
        <f>РПЗ!X620</f>
        <v>0</v>
      </c>
      <c r="K620" s="283">
        <f>РПЗ!Z620</f>
        <v>0</v>
      </c>
      <c r="L620" s="17"/>
      <c r="M620" s="18">
        <f>РПЗ!O620</f>
        <v>42887.5</v>
      </c>
      <c r="N620" s="238">
        <f>Таблица5[[#This Row],[10]]</f>
        <v>42887.5</v>
      </c>
      <c r="O620" s="17"/>
      <c r="P620" s="17"/>
      <c r="Q620" s="17"/>
      <c r="R620" s="17"/>
      <c r="S620" s="17"/>
      <c r="T620" s="686"/>
      <c r="U620" s="18">
        <f>РПЗ!P620</f>
        <v>43079.5</v>
      </c>
      <c r="V620" s="686"/>
      <c r="W620" s="236">
        <f>РПЗ!L620</f>
        <v>3500000</v>
      </c>
      <c r="X620" s="689"/>
      <c r="Y620" s="689"/>
      <c r="Z620" s="690"/>
      <c r="AA620" s="691"/>
      <c r="AB620" s="111"/>
      <c r="AC620" s="17"/>
      <c r="AD620" s="690"/>
      <c r="AE620" s="686"/>
      <c r="AF620" s="474"/>
      <c r="AG620" s="692"/>
      <c r="AH620" s="236" t="str">
        <f>IF(Таблица5[[#This Row],[30]]=0,"НД",Таблица5[[#This Row],[20]]-Таблица5[[#This Row],[30]])</f>
        <v>НД</v>
      </c>
      <c r="AI620" s="511" t="str">
        <f>IF(((1-Таблица5[[#This Row],[30]]/Таблица5[[#This Row],[20]])=1),"НД",(1-Таблица5[[#This Row],[30]]/Таблица5[[#This Row],[20]]))</f>
        <v>НД</v>
      </c>
      <c r="AJ620" s="111"/>
      <c r="AK620" s="111"/>
      <c r="AL620" s="512"/>
      <c r="AM620" s="513"/>
      <c r="AN620" s="465"/>
      <c r="AO620" s="468" t="str">
        <f>РПЗ!AD620</f>
        <v>Нет</v>
      </c>
      <c r="AP620" s="472">
        <f>РПЗ!V620</f>
        <v>0</v>
      </c>
      <c r="AQ620" s="470">
        <f>IF(Таблица5[[#This Row],[11]]=0,,MONTH(Таблица5[[#This Row],[11]]))</f>
        <v>6</v>
      </c>
    </row>
    <row r="621" spans="1:43" ht="39" thickBot="1" x14ac:dyDescent="0.3">
      <c r="A621" s="233" t="str">
        <f t="shared" si="9"/>
        <v>1004-2017-00606</v>
      </c>
      <c r="B621" s="233" t="str">
        <f>РПЗ!$D621</f>
        <v>1004-2017-00606Поставка Мультимер</v>
      </c>
      <c r="C621" s="233" t="str">
        <f>РПЗ!$AA621</f>
        <v>АО "НИИ "Полюс" им. М.Ф. Стельмаха" тел. отдела закупок 8-495-333-05-02</v>
      </c>
      <c r="D621" s="633" t="str">
        <f>РПЗ!$AB621</f>
        <v>Заказчик</v>
      </c>
      <c r="E621" s="96" t="s">
        <v>46</v>
      </c>
      <c r="F621" s="233" t="str">
        <f>РПЗ!Q621</f>
        <v>ОЗК</v>
      </c>
      <c r="G621" s="237"/>
      <c r="H621" s="237" t="str">
        <f>РПЗ!R621</f>
        <v>да</v>
      </c>
      <c r="I621" s="15">
        <f>РПЗ!W621</f>
        <v>0</v>
      </c>
      <c r="J621" s="233">
        <f>РПЗ!X621</f>
        <v>0</v>
      </c>
      <c r="K621" s="283">
        <f>РПЗ!Z621</f>
        <v>0</v>
      </c>
      <c r="L621" s="17"/>
      <c r="M621" s="18">
        <f>РПЗ!O621</f>
        <v>42887.5</v>
      </c>
      <c r="N621" s="238">
        <f>Таблица5[[#This Row],[10]]</f>
        <v>42887.5</v>
      </c>
      <c r="O621" s="17"/>
      <c r="P621" s="17"/>
      <c r="Q621" s="17"/>
      <c r="R621" s="17"/>
      <c r="S621" s="17"/>
      <c r="T621" s="686"/>
      <c r="U621" s="18">
        <f>РПЗ!P621</f>
        <v>43071.5</v>
      </c>
      <c r="V621" s="686"/>
      <c r="W621" s="236">
        <f>РПЗ!L621</f>
        <v>14000000</v>
      </c>
      <c r="X621" s="689"/>
      <c r="Y621" s="689"/>
      <c r="Z621" s="690"/>
      <c r="AA621" s="691"/>
      <c r="AB621" s="111"/>
      <c r="AC621" s="17"/>
      <c r="AD621" s="690"/>
      <c r="AE621" s="686"/>
      <c r="AF621" s="474"/>
      <c r="AG621" s="692"/>
      <c r="AH621" s="236" t="str">
        <f>IF(Таблица5[[#This Row],[30]]=0,"НД",Таблица5[[#This Row],[20]]-Таблица5[[#This Row],[30]])</f>
        <v>НД</v>
      </c>
      <c r="AI621" s="511" t="str">
        <f>IF(((1-Таблица5[[#This Row],[30]]/Таблица5[[#This Row],[20]])=1),"НД",(1-Таблица5[[#This Row],[30]]/Таблица5[[#This Row],[20]]))</f>
        <v>НД</v>
      </c>
      <c r="AJ621" s="111"/>
      <c r="AK621" s="111"/>
      <c r="AL621" s="512"/>
      <c r="AM621" s="513"/>
      <c r="AN621" s="465"/>
      <c r="AO621" s="468" t="str">
        <f>РПЗ!AD621</f>
        <v>Нет</v>
      </c>
      <c r="AP621" s="472">
        <f>РПЗ!V621</f>
        <v>0</v>
      </c>
      <c r="AQ621" s="470">
        <f>IF(Таблица5[[#This Row],[11]]=0,,MONTH(Таблица5[[#This Row],[11]]))</f>
        <v>6</v>
      </c>
    </row>
    <row r="622" spans="1:43" ht="39" thickBot="1" x14ac:dyDescent="0.3">
      <c r="A622" s="233" t="str">
        <f t="shared" si="9"/>
        <v>1004-2017-00607</v>
      </c>
      <c r="B622" s="233" t="str">
        <f>РПЗ!$D622</f>
        <v>1004-2017-00607Поставка Мультимер</v>
      </c>
      <c r="C622" s="233" t="str">
        <f>РПЗ!$AA622</f>
        <v>АО "НИИ "Полюс" им. М.Ф. Стельмаха" тел. отдела закупок 8-495-333-05-02</v>
      </c>
      <c r="D622" s="633" t="str">
        <f>РПЗ!$AB622</f>
        <v>Заказчик</v>
      </c>
      <c r="E622" s="96" t="s">
        <v>46</v>
      </c>
      <c r="F622" s="233" t="str">
        <f>РПЗ!Q622</f>
        <v>ОК</v>
      </c>
      <c r="G622" s="237"/>
      <c r="H622" s="237" t="str">
        <f>РПЗ!R622</f>
        <v>да</v>
      </c>
      <c r="I622" s="15">
        <f>РПЗ!W622</f>
        <v>0</v>
      </c>
      <c r="J622" s="233">
        <f>РПЗ!X622</f>
        <v>0</v>
      </c>
      <c r="K622" s="283">
        <f>РПЗ!Z622</f>
        <v>0</v>
      </c>
      <c r="L622" s="17"/>
      <c r="M622" s="18">
        <f>РПЗ!O622</f>
        <v>42887.5</v>
      </c>
      <c r="N622" s="238">
        <f>Таблица5[[#This Row],[10]]</f>
        <v>42887.5</v>
      </c>
      <c r="O622" s="17"/>
      <c r="P622" s="17"/>
      <c r="Q622" s="17"/>
      <c r="R622" s="17"/>
      <c r="S622" s="17"/>
      <c r="T622" s="686"/>
      <c r="U622" s="18">
        <f>РПЗ!P622</f>
        <v>43071.5</v>
      </c>
      <c r="V622" s="686"/>
      <c r="W622" s="236">
        <f>РПЗ!L622</f>
        <v>7000000</v>
      </c>
      <c r="X622" s="689"/>
      <c r="Y622" s="689"/>
      <c r="Z622" s="690"/>
      <c r="AA622" s="691"/>
      <c r="AB622" s="111"/>
      <c r="AC622" s="17"/>
      <c r="AD622" s="690"/>
      <c r="AE622" s="686"/>
      <c r="AF622" s="474"/>
      <c r="AG622" s="692"/>
      <c r="AH622" s="236" t="str">
        <f>IF(Таблица5[[#This Row],[30]]=0,"НД",Таблица5[[#This Row],[20]]-Таблица5[[#This Row],[30]])</f>
        <v>НД</v>
      </c>
      <c r="AI622" s="511" t="str">
        <f>IF(((1-Таблица5[[#This Row],[30]]/Таблица5[[#This Row],[20]])=1),"НД",(1-Таблица5[[#This Row],[30]]/Таблица5[[#This Row],[20]]))</f>
        <v>НД</v>
      </c>
      <c r="AJ622" s="111"/>
      <c r="AK622" s="111"/>
      <c r="AL622" s="512"/>
      <c r="AM622" s="513"/>
      <c r="AN622" s="465"/>
      <c r="AO622" s="468" t="str">
        <f>РПЗ!AD622</f>
        <v>Нет</v>
      </c>
      <c r="AP622" s="472">
        <f>РПЗ!V622</f>
        <v>0</v>
      </c>
      <c r="AQ622" s="470">
        <f>IF(Таблица5[[#This Row],[11]]=0,,MONTH(Таблица5[[#This Row],[11]]))</f>
        <v>6</v>
      </c>
    </row>
    <row r="623" spans="1:43" ht="39" thickBot="1" x14ac:dyDescent="0.3">
      <c r="A623" s="233" t="str">
        <f t="shared" si="9"/>
        <v>1004-2017-00608</v>
      </c>
      <c r="B623" s="233" t="str">
        <f>РПЗ!$D623</f>
        <v>1004-2017-00608Поставка ЭРИ</v>
      </c>
      <c r="C623" s="233" t="str">
        <f>РПЗ!$AA623</f>
        <v>АО "НИИ "Полюс" им. М.Ф. Стельмаха" тел. отдела закупок 8-495-333-05-02</v>
      </c>
      <c r="D623" s="633" t="str">
        <f>РПЗ!$AB623</f>
        <v>Заказчик</v>
      </c>
      <c r="E623" s="96" t="s">
        <v>46</v>
      </c>
      <c r="F623" s="233" t="str">
        <f>РПЗ!Q623</f>
        <v>ОК</v>
      </c>
      <c r="G623" s="237"/>
      <c r="H623" s="237" t="str">
        <f>РПЗ!R623</f>
        <v>да</v>
      </c>
      <c r="I623" s="15">
        <f>РПЗ!W623</f>
        <v>0</v>
      </c>
      <c r="J623" s="233">
        <f>РПЗ!X623</f>
        <v>0</v>
      </c>
      <c r="K623" s="283">
        <f>РПЗ!Z623</f>
        <v>0</v>
      </c>
      <c r="L623" s="17"/>
      <c r="M623" s="18">
        <f>РПЗ!O623</f>
        <v>42887.5</v>
      </c>
      <c r="N623" s="238">
        <f>Таблица5[[#This Row],[10]]</f>
        <v>42887.5</v>
      </c>
      <c r="O623" s="17"/>
      <c r="P623" s="17"/>
      <c r="Q623" s="17"/>
      <c r="R623" s="17"/>
      <c r="S623" s="17"/>
      <c r="T623" s="686"/>
      <c r="U623" s="18">
        <f>РПЗ!P623</f>
        <v>43071.5</v>
      </c>
      <c r="V623" s="686"/>
      <c r="W623" s="236">
        <f>РПЗ!L623</f>
        <v>40000000</v>
      </c>
      <c r="X623" s="689"/>
      <c r="Y623" s="689"/>
      <c r="Z623" s="690"/>
      <c r="AA623" s="691"/>
      <c r="AB623" s="111"/>
      <c r="AC623" s="17"/>
      <c r="AD623" s="690"/>
      <c r="AE623" s="686"/>
      <c r="AF623" s="474"/>
      <c r="AG623" s="692"/>
      <c r="AH623" s="236" t="str">
        <f>IF(Таблица5[[#This Row],[30]]=0,"НД",Таблица5[[#This Row],[20]]-Таблица5[[#This Row],[30]])</f>
        <v>НД</v>
      </c>
      <c r="AI623" s="511" t="str">
        <f>IF(((1-Таблица5[[#This Row],[30]]/Таблица5[[#This Row],[20]])=1),"НД",(1-Таблица5[[#This Row],[30]]/Таблица5[[#This Row],[20]]))</f>
        <v>НД</v>
      </c>
      <c r="AJ623" s="111"/>
      <c r="AK623" s="111"/>
      <c r="AL623" s="512"/>
      <c r="AM623" s="513"/>
      <c r="AN623" s="465"/>
      <c r="AO623" s="468" t="str">
        <f>РПЗ!AD623</f>
        <v>Нет</v>
      </c>
      <c r="AP623" s="472">
        <f>РПЗ!V623</f>
        <v>0</v>
      </c>
      <c r="AQ623" s="470">
        <f>IF(Таблица5[[#This Row],[11]]=0,,MONTH(Таблица5[[#This Row],[11]]))</f>
        <v>6</v>
      </c>
    </row>
    <row r="624" spans="1:43" ht="38.25" x14ac:dyDescent="0.25">
      <c r="A624" s="233" t="str">
        <f t="shared" si="9"/>
        <v>1004-2017-00609</v>
      </c>
      <c r="B624" s="233" t="str">
        <f>РПЗ!$D624</f>
        <v>1004-2017-00609Поставка ЭРИ</v>
      </c>
      <c r="C624" s="233" t="str">
        <f>РПЗ!$AA624</f>
        <v>АО "НИИ "Полюс" им. М.Ф. Стельмаха" тел. отдела закупок 8-495-333-05-02</v>
      </c>
      <c r="D624" s="633" t="str">
        <f>РПЗ!$AB624</f>
        <v>Заказчик</v>
      </c>
      <c r="E624" s="96" t="s">
        <v>46</v>
      </c>
      <c r="F624" s="233" t="str">
        <f>РПЗ!Q624</f>
        <v>ОК</v>
      </c>
      <c r="G624" s="237"/>
      <c r="H624" s="237" t="str">
        <f>РПЗ!R624</f>
        <v>да</v>
      </c>
      <c r="I624" s="15">
        <f>РПЗ!W624</f>
        <v>0</v>
      </c>
      <c r="J624" s="233">
        <f>РПЗ!X624</f>
        <v>0</v>
      </c>
      <c r="K624" s="283">
        <f>РПЗ!Z624</f>
        <v>0</v>
      </c>
      <c r="L624" s="17"/>
      <c r="M624" s="18">
        <f>РПЗ!O624</f>
        <v>42887.5</v>
      </c>
      <c r="N624" s="238">
        <f>Таблица5[[#This Row],[10]]</f>
        <v>42887.5</v>
      </c>
      <c r="O624" s="17"/>
      <c r="P624" s="17"/>
      <c r="Q624" s="17"/>
      <c r="R624" s="17"/>
      <c r="S624" s="17"/>
      <c r="T624" s="686"/>
      <c r="U624" s="18">
        <f>РПЗ!P624</f>
        <v>43071.5</v>
      </c>
      <c r="V624" s="686"/>
      <c r="W624" s="236">
        <f>РПЗ!L624</f>
        <v>40000000</v>
      </c>
      <c r="X624" s="689"/>
      <c r="Y624" s="689"/>
      <c r="Z624" s="690"/>
      <c r="AA624" s="691"/>
      <c r="AB624" s="111"/>
      <c r="AC624" s="17"/>
      <c r="AD624" s="690"/>
      <c r="AE624" s="686"/>
      <c r="AF624" s="474"/>
      <c r="AG624" s="692"/>
      <c r="AH624" s="236" t="str">
        <f>IF(Таблица5[[#This Row],[30]]=0,"НД",Таблица5[[#This Row],[20]]-Таблица5[[#This Row],[30]])</f>
        <v>НД</v>
      </c>
      <c r="AI624" s="511" t="str">
        <f>IF(((1-Таблица5[[#This Row],[30]]/Таблица5[[#This Row],[20]])=1),"НД",(1-Таблица5[[#This Row],[30]]/Таблица5[[#This Row],[20]]))</f>
        <v>НД</v>
      </c>
      <c r="AJ624" s="111"/>
      <c r="AK624" s="111"/>
      <c r="AL624" s="512"/>
      <c r="AM624" s="513"/>
      <c r="AN624" s="465"/>
      <c r="AO624" s="468" t="str">
        <f>РПЗ!AD624</f>
        <v>Нет</v>
      </c>
      <c r="AP624" s="472">
        <f>РПЗ!V624</f>
        <v>0</v>
      </c>
      <c r="AQ624" s="470">
        <f>IF(Таблица5[[#This Row],[11]]=0,,MONTH(Таблица5[[#This Row],[11]]))</f>
        <v>6</v>
      </c>
    </row>
    <row r="625" spans="1:43" s="681" customFormat="1" ht="38.25" x14ac:dyDescent="0.25">
      <c r="A625" s="691" t="str">
        <f t="shared" si="9"/>
        <v>1004-2017-00610</v>
      </c>
      <c r="B625" s="691" t="str">
        <f>РПЗ!$D625</f>
        <v xml:space="preserve">1004-2017-00610Поставка изделия оптические из кристаллов ниобата лития </v>
      </c>
      <c r="C625" s="691" t="str">
        <f>РПЗ!$AA625</f>
        <v>АО "НИИ "Полюс" им. М.Ф. Стельмаха" тел. отдела закупок 8-495-333-05-02</v>
      </c>
      <c r="D625" s="706" t="str">
        <f>РПЗ!$AB625</f>
        <v>Заказчик</v>
      </c>
      <c r="E625" s="510" t="s">
        <v>62</v>
      </c>
      <c r="F625" s="691" t="str">
        <f>РПЗ!Q625</f>
        <v>ОЗК</v>
      </c>
      <c r="G625" s="691" t="str">
        <f>Таблица5[[#This Row],[6]]</f>
        <v>ОЗК</v>
      </c>
      <c r="H625" s="691" t="str">
        <f>РПЗ!R625</f>
        <v>да</v>
      </c>
      <c r="I625" s="707">
        <f>РПЗ!W625</f>
        <v>0</v>
      </c>
      <c r="J625" s="691">
        <f>РПЗ!X625</f>
        <v>0</v>
      </c>
      <c r="K625" s="708">
        <f>РПЗ!Z625</f>
        <v>0</v>
      </c>
      <c r="L625" s="686">
        <v>42832</v>
      </c>
      <c r="M625" s="687">
        <f>РПЗ!O625</f>
        <v>42826</v>
      </c>
      <c r="N625" s="687">
        <f>Таблица5[[#This Row],[10]]</f>
        <v>42826</v>
      </c>
      <c r="O625" s="686">
        <v>42838</v>
      </c>
      <c r="P625" s="686">
        <v>42843</v>
      </c>
      <c r="Q625" s="686">
        <v>42843</v>
      </c>
      <c r="R625" s="686">
        <v>42839</v>
      </c>
      <c r="S625" s="686">
        <v>42839</v>
      </c>
      <c r="T625" s="686"/>
      <c r="U625" s="687">
        <f>РПЗ!P625</f>
        <v>42887.5</v>
      </c>
      <c r="V625" s="761"/>
      <c r="W625" s="692">
        <f>РПЗ!L625</f>
        <v>3435452</v>
      </c>
      <c r="X625" s="689">
        <v>1</v>
      </c>
      <c r="Y625" s="689">
        <v>0</v>
      </c>
      <c r="Z625" s="691">
        <v>5044066978</v>
      </c>
      <c r="AA625" s="691" t="s">
        <v>3325</v>
      </c>
      <c r="AB625" s="692">
        <v>2356696</v>
      </c>
      <c r="AC625" s="686"/>
      <c r="AD625" s="690"/>
      <c r="AE625" s="686"/>
      <c r="AF625" s="690"/>
      <c r="AG625" s="691">
        <v>2356696</v>
      </c>
      <c r="AH625" s="692">
        <f>IF(Таблица5[[#This Row],[30]]=0,"НД",Таблица5[[#This Row],[20]]-Таблица5[[#This Row],[30]])</f>
        <v>1078756</v>
      </c>
      <c r="AI625" s="709">
        <f>IF(((1-Таблица5[[#This Row],[30]]/Таблица5[[#This Row],[20]])=1),"НД",(1-Таблица5[[#This Row],[30]]/Таблица5[[#This Row],[20]]))</f>
        <v>0.31400700693824279</v>
      </c>
      <c r="AJ625" s="692">
        <v>2356696</v>
      </c>
      <c r="AK625" s="692"/>
      <c r="AL625" s="710"/>
      <c r="AM625" s="788" t="s">
        <v>113</v>
      </c>
      <c r="AN625" s="800">
        <v>31704989772</v>
      </c>
      <c r="AO625" s="712" t="str">
        <f>РПЗ!AD625</f>
        <v>Нет</v>
      </c>
      <c r="AP625" s="713">
        <f>РПЗ!V625</f>
        <v>0</v>
      </c>
      <c r="AQ625" s="714">
        <f>IF(Таблица5[[#This Row],[11]]=0,,MONTH(Таблица5[[#This Row],[11]]))</f>
        <v>4</v>
      </c>
    </row>
    <row r="626" spans="1:43" ht="63.75" x14ac:dyDescent="0.25">
      <c r="A626" s="233" t="str">
        <f t="shared" si="9"/>
        <v>1004-2017-00611</v>
      </c>
      <c r="B626" s="233" t="str">
        <f>РПЗ!$D626</f>
        <v>1004-2017-00611Поставка канцелярских товаров</v>
      </c>
      <c r="C626" s="233" t="str">
        <f>РПЗ!$AA626</f>
        <v>АО "НИИ "Полюс" им. М.Ф. Стельмаха" тел. отдела закупок 8-495-333-05-02</v>
      </c>
      <c r="D626" s="633" t="str">
        <f>РПЗ!$AB626</f>
        <v>Заказчик</v>
      </c>
      <c r="E626" s="510" t="s">
        <v>62</v>
      </c>
      <c r="F626" s="233" t="str">
        <f>РПЗ!Q626</f>
        <v>ОЗК</v>
      </c>
      <c r="G626" s="237" t="str">
        <f>Таблица5[[#This Row],[6]]</f>
        <v>ОЗК</v>
      </c>
      <c r="H626" s="237" t="str">
        <f>РПЗ!R626</f>
        <v>да</v>
      </c>
      <c r="I626" s="15">
        <f>РПЗ!W626</f>
        <v>0</v>
      </c>
      <c r="J626" s="233">
        <f>РПЗ!X626</f>
        <v>0</v>
      </c>
      <c r="K626" s="283">
        <f>РПЗ!Z626</f>
        <v>0</v>
      </c>
      <c r="L626" s="17">
        <v>42992</v>
      </c>
      <c r="M626" s="18">
        <f>РПЗ!O626</f>
        <v>42979</v>
      </c>
      <c r="N626" s="238">
        <f>Таблица5[[#This Row],[10]]</f>
        <v>42979</v>
      </c>
      <c r="O626" s="17">
        <v>42998</v>
      </c>
      <c r="P626" s="17">
        <v>43004</v>
      </c>
      <c r="Q626" s="17">
        <v>43004</v>
      </c>
      <c r="R626" s="17">
        <v>43004</v>
      </c>
      <c r="S626" s="17">
        <v>43004</v>
      </c>
      <c r="T626" s="686">
        <v>43019</v>
      </c>
      <c r="U626" s="18">
        <f>РПЗ!P626</f>
        <v>42979</v>
      </c>
      <c r="V626" s="686">
        <v>43100</v>
      </c>
      <c r="W626" s="236">
        <f>РПЗ!L626</f>
        <v>2168173.61</v>
      </c>
      <c r="X626" s="689">
        <v>4</v>
      </c>
      <c r="Y626" s="689">
        <v>0</v>
      </c>
      <c r="Z626" s="691">
        <v>7723716712</v>
      </c>
      <c r="AA626" s="691" t="s">
        <v>6881</v>
      </c>
      <c r="AB626" s="111">
        <v>1210297.29</v>
      </c>
      <c r="AC626" s="17">
        <v>43100</v>
      </c>
      <c r="AD626" s="690" t="s">
        <v>7700</v>
      </c>
      <c r="AE626" s="686">
        <v>43019</v>
      </c>
      <c r="AF626" s="474"/>
      <c r="AG626" s="692">
        <v>1210297.29</v>
      </c>
      <c r="AH626" s="236">
        <f>IF(Таблица5[[#This Row],[30]]=0,"НД",Таблица5[[#This Row],[20]]-Таблица5[[#This Row],[30]])</f>
        <v>957876.31999999983</v>
      </c>
      <c r="AI626" s="511">
        <f>IF(((1-Таблица5[[#This Row],[30]]/Таблица5[[#This Row],[20]])=1),"НД",(1-Таблица5[[#This Row],[30]]/Таблица5[[#This Row],[20]]))</f>
        <v>0.44178949304709958</v>
      </c>
      <c r="AJ626" s="111">
        <v>1210297.29</v>
      </c>
      <c r="AK626" s="111"/>
      <c r="AL626" s="512"/>
      <c r="AM626" s="513" t="s">
        <v>113</v>
      </c>
      <c r="AN626" s="801">
        <v>31705520452</v>
      </c>
      <c r="AO626" s="468" t="str">
        <f>РПЗ!AD626</f>
        <v>Нет</v>
      </c>
      <c r="AP626" s="472">
        <f>РПЗ!V626</f>
        <v>0</v>
      </c>
      <c r="AQ626" s="470">
        <f>IF(Таблица5[[#This Row],[11]]=0,,MONTH(Таблица5[[#This Row],[11]]))</f>
        <v>9</v>
      </c>
    </row>
    <row r="627" spans="1:43" ht="38.25" x14ac:dyDescent="0.25">
      <c r="A627" s="233" t="str">
        <f t="shared" ref="A627:A690" si="10">INDEX(Диапазон1,ROW(), COLUMN())</f>
        <v>1004-2017-00612</v>
      </c>
      <c r="B627" s="233" t="str">
        <f>РПЗ!$D627</f>
        <v>1004-2017-00612Поставка календарей, планингов, ежедневников</v>
      </c>
      <c r="C627" s="233" t="str">
        <f>РПЗ!$AA627</f>
        <v>АО "НИИ "Полюс" им. М.Ф. Стельмаха" тел. отдела закупок 8-495-333-05-02</v>
      </c>
      <c r="D627" s="633" t="str">
        <f>РПЗ!$AB627</f>
        <v>Заказчик</v>
      </c>
      <c r="E627" s="510" t="s">
        <v>62</v>
      </c>
      <c r="F627" s="233" t="str">
        <f>РПЗ!Q627</f>
        <v>ОК</v>
      </c>
      <c r="G627" s="237" t="str">
        <f>Таблица5[[#This Row],[6]]</f>
        <v>ОК</v>
      </c>
      <c r="H627" s="237" t="str">
        <f>РПЗ!R627</f>
        <v>да</v>
      </c>
      <c r="I627" s="15">
        <f>РПЗ!W627</f>
        <v>0</v>
      </c>
      <c r="J627" s="233">
        <f>РПЗ!X627</f>
        <v>0</v>
      </c>
      <c r="K627" s="283">
        <f>РПЗ!Z627</f>
        <v>0</v>
      </c>
      <c r="L627" s="17">
        <v>43055</v>
      </c>
      <c r="M627" s="18">
        <f>РПЗ!O627</f>
        <v>43040.5</v>
      </c>
      <c r="N627" s="238">
        <f>Таблица5[[#This Row],[10]]</f>
        <v>43040.5</v>
      </c>
      <c r="O627" s="17">
        <v>43062</v>
      </c>
      <c r="P627" s="17">
        <v>43067</v>
      </c>
      <c r="Q627" s="17">
        <v>43067</v>
      </c>
      <c r="R627" s="17">
        <v>43062</v>
      </c>
      <c r="S627" s="17">
        <v>43062</v>
      </c>
      <c r="T627" s="686">
        <v>43073</v>
      </c>
      <c r="U627" s="18">
        <f>РПЗ!P627</f>
        <v>43070.5</v>
      </c>
      <c r="V627" s="686">
        <v>43100</v>
      </c>
      <c r="W627" s="236">
        <f>РПЗ!L627</f>
        <v>305332.51</v>
      </c>
      <c r="X627" s="689">
        <v>3</v>
      </c>
      <c r="Y627" s="689">
        <v>0</v>
      </c>
      <c r="Z627" s="691">
        <v>6950156487</v>
      </c>
      <c r="AA627" s="691" t="s">
        <v>8116</v>
      </c>
      <c r="AB627" s="111">
        <v>205053</v>
      </c>
      <c r="AC627" s="17">
        <v>43100</v>
      </c>
      <c r="AD627" s="690" t="s">
        <v>8117</v>
      </c>
      <c r="AE627" s="686">
        <v>43073</v>
      </c>
      <c r="AF627" s="474"/>
      <c r="AG627" s="692">
        <v>205053</v>
      </c>
      <c r="AH627" s="236">
        <f>IF(Таблица5[[#This Row],[30]]=0,"НД",Таблица5[[#This Row],[20]]-Таблица5[[#This Row],[30]])</f>
        <v>100279.51000000001</v>
      </c>
      <c r="AI627" s="511">
        <f>IF(((1-Таблица5[[#This Row],[30]]/Таблица5[[#This Row],[20]])=1),"НД",(1-Таблица5[[#This Row],[30]]/Таблица5[[#This Row],[20]]))</f>
        <v>0.32842722840093252</v>
      </c>
      <c r="AJ627" s="111"/>
      <c r="AK627" s="111">
        <v>205053</v>
      </c>
      <c r="AL627" s="512"/>
      <c r="AM627" s="513" t="s">
        <v>113</v>
      </c>
      <c r="AN627" s="801">
        <v>31705747067</v>
      </c>
      <c r="AO627" s="468" t="str">
        <f>РПЗ!AD627</f>
        <v>Нет</v>
      </c>
      <c r="AP627" s="472">
        <f>РПЗ!V627</f>
        <v>0</v>
      </c>
      <c r="AQ627" s="470">
        <f>IF(Таблица5[[#This Row],[11]]=0,,MONTH(Таблица5[[#This Row],[11]]))</f>
        <v>11</v>
      </c>
    </row>
    <row r="628" spans="1:43" ht="39" thickBot="1" x14ac:dyDescent="0.3">
      <c r="A628" s="233" t="str">
        <f t="shared" si="10"/>
        <v>1004-2017-00613</v>
      </c>
      <c r="B628" s="233" t="str">
        <f>РПЗ!$D628</f>
        <v>1004-2017-00613Поставка бумажной продукции</v>
      </c>
      <c r="C628" s="233" t="str">
        <f>РПЗ!$AA628</f>
        <v>АО "НИИ "Полюс" им. М.Ф. Стельмаха" тел. отдела закупок 8-495-333-05-02</v>
      </c>
      <c r="D628" s="633" t="str">
        <f>РПЗ!$AB628</f>
        <v>Заказчик</v>
      </c>
      <c r="E628" s="510" t="s">
        <v>62</v>
      </c>
      <c r="F628" s="233" t="str">
        <f>РПЗ!Q628</f>
        <v>ОЗК</v>
      </c>
      <c r="G628" s="237" t="str">
        <f>Таблица5[[#This Row],[6]]</f>
        <v>ОЗК</v>
      </c>
      <c r="H628" s="237" t="str">
        <f>РПЗ!R628</f>
        <v>да</v>
      </c>
      <c r="I628" s="15">
        <f>РПЗ!W628</f>
        <v>0</v>
      </c>
      <c r="J628" s="233">
        <f>РПЗ!X628</f>
        <v>0</v>
      </c>
      <c r="K628" s="283">
        <f>РПЗ!Z628</f>
        <v>0</v>
      </c>
      <c r="L628" s="17">
        <v>42976</v>
      </c>
      <c r="M628" s="18">
        <f>РПЗ!O628</f>
        <v>42948</v>
      </c>
      <c r="N628" s="238">
        <f>Таблица5[[#This Row],[10]]</f>
        <v>42948</v>
      </c>
      <c r="O628" s="17">
        <v>42982</v>
      </c>
      <c r="P628" s="17">
        <v>42985</v>
      </c>
      <c r="Q628" s="17">
        <v>42985</v>
      </c>
      <c r="R628" s="17">
        <v>42983</v>
      </c>
      <c r="S628" s="17">
        <v>42983</v>
      </c>
      <c r="T628" s="686">
        <v>42993</v>
      </c>
      <c r="U628" s="18">
        <f>РПЗ!P628</f>
        <v>43070.5</v>
      </c>
      <c r="V628" s="686">
        <v>43070</v>
      </c>
      <c r="W628" s="236">
        <f>РПЗ!L628</f>
        <v>1779277.62</v>
      </c>
      <c r="X628" s="689">
        <v>2</v>
      </c>
      <c r="Y628" s="689">
        <v>0</v>
      </c>
      <c r="Z628" s="691">
        <v>7705579703</v>
      </c>
      <c r="AA628" s="691" t="s">
        <v>3287</v>
      </c>
      <c r="AB628" s="111">
        <v>1558214.65</v>
      </c>
      <c r="AC628" s="17">
        <v>43070</v>
      </c>
      <c r="AD628" s="690" t="s">
        <v>7187</v>
      </c>
      <c r="AE628" s="686">
        <v>42993</v>
      </c>
      <c r="AF628" s="474"/>
      <c r="AG628" s="692">
        <v>1558214.65</v>
      </c>
      <c r="AH628" s="236">
        <f>IF(Таблица5[[#This Row],[30]]=0,"НД",Таблица5[[#This Row],[20]]-Таблица5[[#This Row],[30]])</f>
        <v>221062.9700000002</v>
      </c>
      <c r="AI628" s="511">
        <f>IF(((1-Таблица5[[#This Row],[30]]/Таблица5[[#This Row],[20]])=1),"НД",(1-Таблица5[[#This Row],[30]]/Таблица5[[#This Row],[20]]))</f>
        <v>0.12424310153465545</v>
      </c>
      <c r="AJ628" s="111">
        <v>1558214.65</v>
      </c>
      <c r="AK628" s="111"/>
      <c r="AL628" s="512"/>
      <c r="AM628" s="513" t="s">
        <v>113</v>
      </c>
      <c r="AN628" s="801">
        <v>31705466221</v>
      </c>
      <c r="AO628" s="468" t="str">
        <f>РПЗ!AD628</f>
        <v>Нет</v>
      </c>
      <c r="AP628" s="472">
        <f>РПЗ!V628</f>
        <v>0</v>
      </c>
      <c r="AQ628" s="470">
        <f>IF(Таблица5[[#This Row],[11]]=0,,MONTH(Таблица5[[#This Row],[11]]))</f>
        <v>8</v>
      </c>
    </row>
    <row r="629" spans="1:43" ht="38.25" x14ac:dyDescent="0.25">
      <c r="A629" s="233" t="str">
        <f t="shared" si="10"/>
        <v>1004-2017-00614</v>
      </c>
      <c r="B629" s="233" t="str">
        <f>РПЗ!$D629</f>
        <v>1004-2017-00614Поставка товаров общехозяйственного назначения</v>
      </c>
      <c r="C629" s="233" t="str">
        <f>РПЗ!$AA629</f>
        <v>АО "НИИ "Полюс" им. М.Ф. Стельмаха" тел. отдела закупок 8-495-333-05-02</v>
      </c>
      <c r="D629" s="633" t="str">
        <f>РПЗ!$AB629</f>
        <v>Заказчик</v>
      </c>
      <c r="E629" s="96" t="s">
        <v>46</v>
      </c>
      <c r="F629" s="233" t="str">
        <f>РПЗ!Q629</f>
        <v>ОК</v>
      </c>
      <c r="G629" s="237"/>
      <c r="H629" s="237" t="str">
        <f>РПЗ!R629</f>
        <v>да</v>
      </c>
      <c r="I629" s="15">
        <f>РПЗ!W629</f>
        <v>0</v>
      </c>
      <c r="J629" s="233">
        <f>РПЗ!X629</f>
        <v>0</v>
      </c>
      <c r="K629" s="283">
        <f>РПЗ!Z629</f>
        <v>0</v>
      </c>
      <c r="L629" s="17"/>
      <c r="M629" s="18">
        <f>РПЗ!O629</f>
        <v>42736.5</v>
      </c>
      <c r="N629" s="238">
        <f>Таблица5[[#This Row],[10]]</f>
        <v>42736.5</v>
      </c>
      <c r="O629" s="17"/>
      <c r="P629" s="17"/>
      <c r="Q629" s="17"/>
      <c r="R629" s="17"/>
      <c r="S629" s="17"/>
      <c r="T629" s="686"/>
      <c r="U629" s="18">
        <f>РПЗ!P629</f>
        <v>43070.5</v>
      </c>
      <c r="V629" s="686"/>
      <c r="W629" s="236">
        <f>РПЗ!L629</f>
        <v>1500000</v>
      </c>
      <c r="X629" s="689"/>
      <c r="Y629" s="689"/>
      <c r="Z629" s="690"/>
      <c r="AA629" s="691"/>
      <c r="AB629" s="111"/>
      <c r="AC629" s="17"/>
      <c r="AD629" s="690"/>
      <c r="AE629" s="686"/>
      <c r="AF629" s="474"/>
      <c r="AG629" s="692"/>
      <c r="AH629" s="236" t="str">
        <f>IF(Таблица5[[#This Row],[30]]=0,"НД",Таблица5[[#This Row],[20]]-Таблица5[[#This Row],[30]])</f>
        <v>НД</v>
      </c>
      <c r="AI629" s="511" t="str">
        <f>IF(((1-Таблица5[[#This Row],[30]]/Таблица5[[#This Row],[20]])=1),"НД",(1-Таблица5[[#This Row],[30]]/Таблица5[[#This Row],[20]]))</f>
        <v>НД</v>
      </c>
      <c r="AJ629" s="111"/>
      <c r="AK629" s="111"/>
      <c r="AL629" s="512"/>
      <c r="AM629" s="513"/>
      <c r="AN629" s="465"/>
      <c r="AO629" s="468" t="str">
        <f>РПЗ!AD629</f>
        <v>Нет</v>
      </c>
      <c r="AP629" s="472">
        <f>РПЗ!V629</f>
        <v>0</v>
      </c>
      <c r="AQ629" s="470">
        <f>IF(Таблица5[[#This Row],[11]]=0,,MONTH(Таблица5[[#This Row],[11]]))</f>
        <v>1</v>
      </c>
    </row>
    <row r="630" spans="1:43" ht="38.25" x14ac:dyDescent="0.25">
      <c r="A630" s="233" t="str">
        <f t="shared" si="10"/>
        <v>1004-2017-00615</v>
      </c>
      <c r="B630" s="233" t="str">
        <f>РПЗ!$D630</f>
        <v>1004-2017-00615Поставка хозяйственных товаров</v>
      </c>
      <c r="C630" s="233" t="str">
        <f>РПЗ!$AA630</f>
        <v>АО "НИИ "Полюс" им. М.Ф. Стельмаха" тел. отдела закупок 8-495-333-05-02</v>
      </c>
      <c r="D630" s="633" t="str">
        <f>РПЗ!$AB630</f>
        <v>Заказчик</v>
      </c>
      <c r="E630" s="510" t="s">
        <v>62</v>
      </c>
      <c r="F630" s="233" t="str">
        <f>РПЗ!Q630</f>
        <v>ОЗК</v>
      </c>
      <c r="G630" s="237" t="str">
        <f>Таблица5[[#This Row],[6]]</f>
        <v>ОЗК</v>
      </c>
      <c r="H630" s="237" t="str">
        <f>РПЗ!R630</f>
        <v>да</v>
      </c>
      <c r="I630" s="15">
        <f>РПЗ!W630</f>
        <v>0</v>
      </c>
      <c r="J630" s="233">
        <f>РПЗ!X630</f>
        <v>0</v>
      </c>
      <c r="K630" s="283">
        <f>РПЗ!Z630</f>
        <v>0</v>
      </c>
      <c r="L630" s="17">
        <v>42992</v>
      </c>
      <c r="M630" s="18">
        <f>РПЗ!O630</f>
        <v>42979</v>
      </c>
      <c r="N630" s="238">
        <f>Таблица5[[#This Row],[10]]</f>
        <v>42979</v>
      </c>
      <c r="O630" s="17">
        <v>42998</v>
      </c>
      <c r="P630" s="17">
        <v>43004</v>
      </c>
      <c r="Q630" s="17">
        <v>43004</v>
      </c>
      <c r="R630" s="17">
        <v>43004</v>
      </c>
      <c r="S630" s="17">
        <v>43004</v>
      </c>
      <c r="T630" s="686">
        <v>43018</v>
      </c>
      <c r="U630" s="18">
        <f>РПЗ!P630</f>
        <v>43070.5</v>
      </c>
      <c r="V630" s="686">
        <v>43070</v>
      </c>
      <c r="W630" s="236">
        <f>РПЗ!L630</f>
        <v>1593278.49</v>
      </c>
      <c r="X630" s="689">
        <v>7</v>
      </c>
      <c r="Y630" s="689">
        <v>0</v>
      </c>
      <c r="Z630" s="691">
        <v>7810445787</v>
      </c>
      <c r="AA630" s="691" t="s">
        <v>6883</v>
      </c>
      <c r="AB630" s="111">
        <v>924563.98</v>
      </c>
      <c r="AC630" s="17">
        <v>43070</v>
      </c>
      <c r="AD630" s="690" t="s">
        <v>6884</v>
      </c>
      <c r="AE630" s="686">
        <v>43018</v>
      </c>
      <c r="AF630" s="474"/>
      <c r="AG630" s="692">
        <v>924563.98</v>
      </c>
      <c r="AH630" s="236">
        <f>IF(Таблица5[[#This Row],[30]]=0,"НД",Таблица5[[#This Row],[20]]-Таблица5[[#This Row],[30]])</f>
        <v>668714.51</v>
      </c>
      <c r="AI630" s="511">
        <f>IF(((1-Таблица5[[#This Row],[30]]/Таблица5[[#This Row],[20]])=1),"НД",(1-Таблица5[[#This Row],[30]]/Таблица5[[#This Row],[20]]))</f>
        <v>0.41970974578336273</v>
      </c>
      <c r="AJ630" s="111">
        <v>924563.98</v>
      </c>
      <c r="AK630" s="111"/>
      <c r="AL630" s="512"/>
      <c r="AM630" s="513" t="s">
        <v>113</v>
      </c>
      <c r="AN630" s="801">
        <v>31705520432</v>
      </c>
      <c r="AO630" s="468" t="str">
        <f>РПЗ!AD630</f>
        <v>Нет</v>
      </c>
      <c r="AP630" s="472">
        <f>РПЗ!V630</f>
        <v>0</v>
      </c>
      <c r="AQ630" s="470">
        <f>IF(Таблица5[[#This Row],[11]]=0,,MONTH(Таблица5[[#This Row],[11]]))</f>
        <v>9</v>
      </c>
    </row>
    <row r="631" spans="1:43" ht="39" thickBot="1" x14ac:dyDescent="0.3">
      <c r="A631" s="233" t="str">
        <f t="shared" si="10"/>
        <v>1004-2017-00616</v>
      </c>
      <c r="B631" s="233" t="str">
        <f>РПЗ!$D631</f>
        <v>1004-2017-00616Поставка и сборка мебели</v>
      </c>
      <c r="C631" s="233" t="str">
        <f>РПЗ!$AA631</f>
        <v>АО "НИИ "Полюс" им. М.Ф. Стельмаха" тел. отдела закупок 8-495-333-05-02</v>
      </c>
      <c r="D631" s="633" t="str">
        <f>РПЗ!$AB631</f>
        <v>Заказчик</v>
      </c>
      <c r="E631" s="510" t="s">
        <v>62</v>
      </c>
      <c r="F631" s="233" t="str">
        <f>РПЗ!Q631</f>
        <v>ОЗК</v>
      </c>
      <c r="G631" s="237" t="str">
        <f>Таблица5[[#This Row],[6]]</f>
        <v>ОЗК</v>
      </c>
      <c r="H631" s="237" t="str">
        <f>РПЗ!R631</f>
        <v>да</v>
      </c>
      <c r="I631" s="15">
        <f>РПЗ!W631</f>
        <v>0</v>
      </c>
      <c r="J631" s="233">
        <f>РПЗ!X631</f>
        <v>0</v>
      </c>
      <c r="K631" s="283">
        <f>РПЗ!Z631</f>
        <v>0</v>
      </c>
      <c r="L631" s="17"/>
      <c r="M631" s="18">
        <f>РПЗ!O631</f>
        <v>42767.5</v>
      </c>
      <c r="N631" s="238">
        <f>Таблица5[[#This Row],[10]]</f>
        <v>42767.5</v>
      </c>
      <c r="O631" s="17">
        <v>42782</v>
      </c>
      <c r="P631" s="17">
        <v>42787</v>
      </c>
      <c r="Q631" s="17">
        <v>42787</v>
      </c>
      <c r="R631" s="17">
        <v>42783</v>
      </c>
      <c r="S631" s="17">
        <v>42783</v>
      </c>
      <c r="T631" s="808" t="s">
        <v>2379</v>
      </c>
      <c r="U631" s="18">
        <f>РПЗ!P631</f>
        <v>43070.5</v>
      </c>
      <c r="V631" s="760">
        <v>43160</v>
      </c>
      <c r="W631" s="236">
        <f>РПЗ!L631</f>
        <v>1036868.47</v>
      </c>
      <c r="X631" s="689">
        <v>10</v>
      </c>
      <c r="Y631" s="689">
        <v>0</v>
      </c>
      <c r="Z631" s="1055">
        <v>7728893306</v>
      </c>
      <c r="AA631" s="810" t="s">
        <v>3277</v>
      </c>
      <c r="AB631" s="111">
        <v>776254</v>
      </c>
      <c r="AC631" s="17">
        <v>43160</v>
      </c>
      <c r="AD631" s="810" t="s">
        <v>3278</v>
      </c>
      <c r="AE631" s="694" t="s">
        <v>2379</v>
      </c>
      <c r="AF631" s="474"/>
      <c r="AG631" s="827">
        <v>776254</v>
      </c>
      <c r="AH631" s="236">
        <f>IF(Таблица5[[#This Row],[30]]=0,"НД",Таблица5[[#This Row],[20]]-Таблица5[[#This Row],[30]])</f>
        <v>260614.46999999997</v>
      </c>
      <c r="AI631" s="511">
        <f>IF(((1-Таблица5[[#This Row],[30]]/Таблица5[[#This Row],[20]])=1),"НД",(1-Таблица5[[#This Row],[30]]/Таблица5[[#This Row],[20]]))</f>
        <v>0.25134766611236614</v>
      </c>
      <c r="AJ631" s="111">
        <v>776254</v>
      </c>
      <c r="AK631" s="111"/>
      <c r="AL631" s="512"/>
      <c r="AM631" s="788" t="s">
        <v>113</v>
      </c>
      <c r="AN631" s="801">
        <v>31704774882</v>
      </c>
      <c r="AO631" s="468" t="str">
        <f>РПЗ!AD631</f>
        <v>Нет</v>
      </c>
      <c r="AP631" s="472">
        <f>РПЗ!V631</f>
        <v>0</v>
      </c>
      <c r="AQ631" s="470">
        <f>IF(Таблица5[[#This Row],[11]]=0,,MONTH(Таблица5[[#This Row],[11]]))</f>
        <v>2</v>
      </c>
    </row>
    <row r="632" spans="1:43" ht="38.25" x14ac:dyDescent="0.25">
      <c r="A632" s="233" t="str">
        <f t="shared" si="10"/>
        <v>1004-2017-00617</v>
      </c>
      <c r="B632" s="233" t="str">
        <f>РПЗ!$D632</f>
        <v>1004-2017-00617Поставка и сборка мебели(шкафы архивные)</v>
      </c>
      <c r="C632" s="233" t="str">
        <f>РПЗ!$AA632</f>
        <v>АО "НИИ "Полюс" им. М.Ф. Стельмаха" тел. отдела закупок 8-495-333-05-02</v>
      </c>
      <c r="D632" s="633" t="str">
        <f>РПЗ!$AB632</f>
        <v>Заказчик</v>
      </c>
      <c r="E632" s="96" t="s">
        <v>46</v>
      </c>
      <c r="F632" s="233" t="str">
        <f>РПЗ!Q632</f>
        <v>ОЗК</v>
      </c>
      <c r="G632" s="237"/>
      <c r="H632" s="237" t="str">
        <f>РПЗ!R632</f>
        <v>да</v>
      </c>
      <c r="I632" s="15">
        <f>РПЗ!W632</f>
        <v>0</v>
      </c>
      <c r="J632" s="233">
        <f>РПЗ!X632</f>
        <v>0</v>
      </c>
      <c r="K632" s="283">
        <f>РПЗ!Z632</f>
        <v>0</v>
      </c>
      <c r="L632" s="17"/>
      <c r="M632" s="18">
        <f>РПЗ!O632</f>
        <v>42767.5</v>
      </c>
      <c r="N632" s="238">
        <f>Таблица5[[#This Row],[10]]</f>
        <v>42767.5</v>
      </c>
      <c r="O632" s="17"/>
      <c r="P632" s="17"/>
      <c r="Q632" s="17"/>
      <c r="R632" s="17"/>
      <c r="S632" s="17"/>
      <c r="T632" s="686"/>
      <c r="U632" s="18">
        <f>РПЗ!P632</f>
        <v>42795.5</v>
      </c>
      <c r="V632" s="686"/>
      <c r="W632" s="236">
        <f>РПЗ!L632</f>
        <v>1000000</v>
      </c>
      <c r="X632" s="689"/>
      <c r="Y632" s="689"/>
      <c r="Z632" s="690"/>
      <c r="AA632" s="691"/>
      <c r="AB632" s="111"/>
      <c r="AC632" s="17"/>
      <c r="AD632" s="690"/>
      <c r="AE632" s="686"/>
      <c r="AF632" s="474"/>
      <c r="AG632" s="692"/>
      <c r="AH632" s="236" t="str">
        <f>IF(Таблица5[[#This Row],[30]]=0,"НД",Таблица5[[#This Row],[20]]-Таблица5[[#This Row],[30]])</f>
        <v>НД</v>
      </c>
      <c r="AI632" s="511" t="str">
        <f>IF(((1-Таблица5[[#This Row],[30]]/Таблица5[[#This Row],[20]])=1),"НД",(1-Таблица5[[#This Row],[30]]/Таблица5[[#This Row],[20]]))</f>
        <v>НД</v>
      </c>
      <c r="AJ632" s="111"/>
      <c r="AK632" s="111"/>
      <c r="AL632" s="512"/>
      <c r="AM632" s="513"/>
      <c r="AN632" s="465"/>
      <c r="AO632" s="468" t="str">
        <f>РПЗ!AD632</f>
        <v>Нет</v>
      </c>
      <c r="AP632" s="472">
        <f>РПЗ!V632</f>
        <v>0</v>
      </c>
      <c r="AQ632" s="470">
        <f>IF(Таблица5[[#This Row],[11]]=0,,MONTH(Таблица5[[#This Row],[11]]))</f>
        <v>2</v>
      </c>
    </row>
    <row r="633" spans="1:43" ht="140.25" x14ac:dyDescent="0.25">
      <c r="A633" s="233" t="str">
        <f t="shared" si="10"/>
        <v>1004-2017-00618</v>
      </c>
      <c r="B633" s="233" t="str">
        <f>РПЗ!$D633</f>
        <v>1004-00618Работы (услуги) по техническому обслуживанию и ремонту противопожарных систем, речевого оповещения, мероприятий по обеспечению пожарной безопасности объекта, систем диспетчеризации приточно-вытяжной вентиляции, пожарных клапанов, спринклерного тушения в АО "НИИ "Полюс" имени М.Ф. Стельмаха" и на спортивной базе "Узкое"</v>
      </c>
      <c r="C633" s="233" t="str">
        <f>РПЗ!$AA633</f>
        <v>АО "НИИ "Полюс" им. М.Ф. Стельмаха" тел. отдела закупок 8-495-333-05-02</v>
      </c>
      <c r="D633" s="633" t="str">
        <f>РПЗ!$AB633</f>
        <v>Заказчик</v>
      </c>
      <c r="E633" s="510" t="s">
        <v>62</v>
      </c>
      <c r="F633" s="233" t="str">
        <f>РПЗ!Q633</f>
        <v>ОЗП</v>
      </c>
      <c r="G633" s="237" t="s">
        <v>106</v>
      </c>
      <c r="H633" s="237" t="str">
        <f>РПЗ!R633</f>
        <v>да</v>
      </c>
      <c r="I633" s="15">
        <f>РПЗ!W633</f>
        <v>0</v>
      </c>
      <c r="J633" s="233">
        <f>РПЗ!X633</f>
        <v>0</v>
      </c>
      <c r="K633" s="283">
        <f>РПЗ!Z633</f>
        <v>0</v>
      </c>
      <c r="L633" s="17">
        <v>42853</v>
      </c>
      <c r="M633" s="18">
        <f>РПЗ!O633</f>
        <v>42826</v>
      </c>
      <c r="N633" s="238">
        <f>Таблица5[[#This Row],[10]]</f>
        <v>42826</v>
      </c>
      <c r="O633" s="17">
        <v>42866</v>
      </c>
      <c r="P633" s="17">
        <v>42872</v>
      </c>
      <c r="Q633" s="17">
        <v>42872</v>
      </c>
      <c r="R633" s="17">
        <v>42877</v>
      </c>
      <c r="S633" s="17">
        <v>42877</v>
      </c>
      <c r="T633" s="686">
        <v>42880</v>
      </c>
      <c r="U633" s="18">
        <f>РПЗ!P633</f>
        <v>43466.5</v>
      </c>
      <c r="V633" s="686">
        <v>43252</v>
      </c>
      <c r="W633" s="236">
        <f>РПЗ!L633</f>
        <v>2700000</v>
      </c>
      <c r="X633" s="689">
        <v>3</v>
      </c>
      <c r="Y633" s="689">
        <v>0</v>
      </c>
      <c r="Z633" s="691">
        <v>7704841193</v>
      </c>
      <c r="AA633" s="691" t="s">
        <v>8212</v>
      </c>
      <c r="AB633" s="111">
        <v>2660000</v>
      </c>
      <c r="AC633" s="17">
        <v>43252</v>
      </c>
      <c r="AD633" s="690" t="s">
        <v>8213</v>
      </c>
      <c r="AE633" s="686">
        <v>42880</v>
      </c>
      <c r="AF633" s="474"/>
      <c r="AG633" s="692">
        <v>2660000</v>
      </c>
      <c r="AH633" s="236">
        <f>IF(Таблица5[[#This Row],[30]]=0,"НД",Таблица5[[#This Row],[20]]-Таблица5[[#This Row],[30]])</f>
        <v>40000</v>
      </c>
      <c r="AI633" s="511">
        <f>IF(((1-Таблица5[[#This Row],[30]]/Таблица5[[#This Row],[20]])=1),"НД",(1-Таблица5[[#This Row],[30]]/Таблица5[[#This Row],[20]]))</f>
        <v>1.4814814814814836E-2</v>
      </c>
      <c r="AJ633" s="111">
        <v>2660000</v>
      </c>
      <c r="AK633" s="111"/>
      <c r="AL633" s="512"/>
      <c r="AM633" s="513" t="s">
        <v>113</v>
      </c>
      <c r="AN633" s="801">
        <v>31705067561</v>
      </c>
      <c r="AO633" s="468" t="str">
        <f>РПЗ!AD633</f>
        <v>Нет</v>
      </c>
      <c r="AP633" s="472">
        <f>РПЗ!V633</f>
        <v>0</v>
      </c>
      <c r="AQ633" s="470">
        <f>IF(Таблица5[[#This Row],[11]]=0,,MONTH(Таблица5[[#This Row],[11]]))</f>
        <v>4</v>
      </c>
    </row>
    <row r="634" spans="1:43" ht="38.25" x14ac:dyDescent="0.25">
      <c r="A634" s="233" t="s">
        <v>2166</v>
      </c>
      <c r="B634" s="233" t="str">
        <f>РПЗ!$D634</f>
        <v>1004-2017-00619Поставка Металлические сплавы</v>
      </c>
      <c r="C634" s="233" t="s">
        <v>1458</v>
      </c>
      <c r="D634" s="633" t="str">
        <f>РПЗ!$AB634</f>
        <v>Заказчик</v>
      </c>
      <c r="E634" s="510" t="s">
        <v>62</v>
      </c>
      <c r="F634" s="233" t="s">
        <v>108</v>
      </c>
      <c r="G634" s="237" t="s">
        <v>108</v>
      </c>
      <c r="H634" s="237" t="s">
        <v>1456</v>
      </c>
      <c r="I634" s="15" t="s">
        <v>1455</v>
      </c>
      <c r="J634" s="233" t="s">
        <v>1455</v>
      </c>
      <c r="K634" s="283" t="s">
        <v>1455</v>
      </c>
      <c r="L634" s="17">
        <v>42744</v>
      </c>
      <c r="M634" s="18">
        <v>42736.5</v>
      </c>
      <c r="N634" s="238">
        <v>42767.5</v>
      </c>
      <c r="O634" s="17" t="s">
        <v>2188</v>
      </c>
      <c r="P634" s="17" t="s">
        <v>2189</v>
      </c>
      <c r="Q634" s="17" t="s">
        <v>2189</v>
      </c>
      <c r="R634" s="17" t="s">
        <v>2189</v>
      </c>
      <c r="S634" s="17" t="s">
        <v>2189</v>
      </c>
      <c r="T634" s="809">
        <v>42762</v>
      </c>
      <c r="U634" s="18">
        <v>42767.5</v>
      </c>
      <c r="V634" s="761">
        <v>43070</v>
      </c>
      <c r="W634" s="236">
        <v>707240.4</v>
      </c>
      <c r="X634" s="689">
        <v>5</v>
      </c>
      <c r="Y634" s="689">
        <v>0</v>
      </c>
      <c r="Z634" s="1056">
        <v>9718007640</v>
      </c>
      <c r="AA634" s="691" t="s">
        <v>3338</v>
      </c>
      <c r="AB634" s="111">
        <v>473530</v>
      </c>
      <c r="AC634" s="17">
        <v>43070</v>
      </c>
      <c r="AD634" s="690" t="s">
        <v>3339</v>
      </c>
      <c r="AE634" s="686">
        <v>42762</v>
      </c>
      <c r="AF634" s="474"/>
      <c r="AG634" s="829">
        <v>473530</v>
      </c>
      <c r="AH634" s="236">
        <f>IF(Таблица5[[#This Row],[30]]=0,"НД",Таблица5[[#This Row],[20]]-Таблица5[[#This Row],[30]])</f>
        <v>233710.40000000002</v>
      </c>
      <c r="AI634" s="511">
        <f>IF(((1-Таблица5[[#This Row],[30]]/Таблица5[[#This Row],[20]])=1),"НД",(1-Таблица5[[#This Row],[30]]/Таблица5[[#This Row],[20]]))</f>
        <v>0.33045397293480405</v>
      </c>
      <c r="AJ634" s="111">
        <v>473530</v>
      </c>
      <c r="AK634" s="111"/>
      <c r="AL634" s="512"/>
      <c r="AM634" s="788" t="s">
        <v>113</v>
      </c>
      <c r="AN634" s="801">
        <v>31704662963</v>
      </c>
      <c r="AO634" s="468">
        <v>2</v>
      </c>
      <c r="AP634" s="472"/>
      <c r="AQ634" s="470"/>
    </row>
    <row r="635" spans="1:43" ht="38.25" x14ac:dyDescent="0.25">
      <c r="A635" s="233" t="s">
        <v>2170</v>
      </c>
      <c r="B635" s="233" t="str">
        <f>РПЗ!$D635</f>
        <v>1004-2017-00620Услуги спецсвязи</v>
      </c>
      <c r="C635" s="233" t="s">
        <v>1458</v>
      </c>
      <c r="D635" s="633" t="str">
        <f>РПЗ!$AB635</f>
        <v>Заказчик</v>
      </c>
      <c r="E635" s="510" t="s">
        <v>62</v>
      </c>
      <c r="F635" s="233" t="s">
        <v>110</v>
      </c>
      <c r="G635" s="237" t="s">
        <v>110</v>
      </c>
      <c r="H635" s="237" t="s">
        <v>2174</v>
      </c>
      <c r="I635" s="15" t="s">
        <v>67</v>
      </c>
      <c r="J635" s="233">
        <v>7717043113</v>
      </c>
      <c r="K635" s="283">
        <v>543275.67000000004</v>
      </c>
      <c r="L635" s="17">
        <v>42747</v>
      </c>
      <c r="M635" s="18">
        <v>42736.5</v>
      </c>
      <c r="N635" s="238">
        <v>43070.5</v>
      </c>
      <c r="O635" s="17"/>
      <c r="P635" s="17"/>
      <c r="Q635" s="17"/>
      <c r="R635" s="17"/>
      <c r="S635" s="17"/>
      <c r="T635" s="686">
        <v>42731</v>
      </c>
      <c r="U635" s="18">
        <v>43070.5</v>
      </c>
      <c r="V635" s="761">
        <v>43070</v>
      </c>
      <c r="W635" s="236">
        <f>РПЗ!L635</f>
        <v>543275.67000000004</v>
      </c>
      <c r="X635" s="689">
        <v>1</v>
      </c>
      <c r="Y635" s="689">
        <v>0</v>
      </c>
      <c r="Z635" s="690">
        <v>7717043113</v>
      </c>
      <c r="AA635" s="691" t="s">
        <v>2185</v>
      </c>
      <c r="AB635" s="111">
        <v>543275.67000000004</v>
      </c>
      <c r="AC635" s="686">
        <v>43070</v>
      </c>
      <c r="AD635" s="690" t="s">
        <v>2186</v>
      </c>
      <c r="AE635" s="686" t="s">
        <v>2187</v>
      </c>
      <c r="AF635" s="474"/>
      <c r="AG635" s="803">
        <v>543275.67000000004</v>
      </c>
      <c r="AH635" s="236">
        <f>IF(Таблица5[[#This Row],[30]]=0,"НД",Таблица5[[#This Row],[20]]-Таблица5[[#This Row],[30]])</f>
        <v>0</v>
      </c>
      <c r="AI635" s="511">
        <f>IF(((1-Таблица5[[#This Row],[30]]/Таблица5[[#This Row],[20]])=1),"НД",(1-Таблица5[[#This Row],[30]]/Таблица5[[#This Row],[20]]))</f>
        <v>0</v>
      </c>
      <c r="AJ635" s="111"/>
      <c r="AK635" s="111"/>
      <c r="AL635" s="512"/>
      <c r="AM635" s="513" t="s">
        <v>113</v>
      </c>
      <c r="AN635" s="801">
        <v>31704659797</v>
      </c>
      <c r="AO635" s="468">
        <v>12</v>
      </c>
      <c r="AP635" s="472"/>
      <c r="AQ635" s="470"/>
    </row>
    <row r="636" spans="1:43" s="681" customFormat="1" ht="38.25" x14ac:dyDescent="0.25">
      <c r="A636" s="691" t="str">
        <f>INDEX(Диапазон1,ROW(), COLUMN())</f>
        <v>1004-2017-00621</v>
      </c>
      <c r="B636" s="691" t="str">
        <f>РПЗ!$D636</f>
        <v>1004-2017-00621Поставка  Система управления виброиспытаниями ВС-301</v>
      </c>
      <c r="C636" s="691" t="str">
        <f>РПЗ!$AA636</f>
        <v>АО "НИИ "Полюс" им. М.Ф. Стельмаха" тел. отдела закупок 8-495-333-05-02</v>
      </c>
      <c r="D636" s="706" t="str">
        <f>РПЗ!$AB636</f>
        <v>Заказчик</v>
      </c>
      <c r="E636" s="691" t="s">
        <v>62</v>
      </c>
      <c r="F636" s="691" t="str">
        <f>РПЗ!Q636</f>
        <v>ОЗК</v>
      </c>
      <c r="G636" s="691" t="str">
        <f>Таблица5[[#This Row],[6]]</f>
        <v>ОЗК</v>
      </c>
      <c r="H636" s="691" t="str">
        <f>РПЗ!R636</f>
        <v>да</v>
      </c>
      <c r="I636" s="707">
        <f>РПЗ!W636</f>
        <v>0</v>
      </c>
      <c r="J636" s="691">
        <f>РПЗ!X636</f>
        <v>0</v>
      </c>
      <c r="K636" s="708">
        <f>РПЗ!Z636</f>
        <v>0</v>
      </c>
      <c r="L636" s="693" t="s">
        <v>3060</v>
      </c>
      <c r="M636" s="687">
        <f>РПЗ!O636</f>
        <v>42736.5</v>
      </c>
      <c r="N636" s="687">
        <f>Таблица5[[#This Row],[10]]</f>
        <v>42736.5</v>
      </c>
      <c r="O636" s="818" t="s">
        <v>3061</v>
      </c>
      <c r="P636" s="818" t="s">
        <v>3062</v>
      </c>
      <c r="Q636" s="818" t="s">
        <v>3062</v>
      </c>
      <c r="R636" s="818" t="s">
        <v>3063</v>
      </c>
      <c r="S636" s="818" t="s">
        <v>3063</v>
      </c>
      <c r="T636" s="808" t="s">
        <v>3064</v>
      </c>
      <c r="U636" s="687">
        <f>РПЗ!P636</f>
        <v>43070.5</v>
      </c>
      <c r="V636" s="760">
        <v>42826</v>
      </c>
      <c r="W636" s="692">
        <f>РПЗ!L636</f>
        <v>922566.67</v>
      </c>
      <c r="X636" s="689">
        <v>1</v>
      </c>
      <c r="Y636" s="689">
        <v>0</v>
      </c>
      <c r="Z636" s="1055">
        <v>6732059733</v>
      </c>
      <c r="AA636" s="810" t="s">
        <v>3065</v>
      </c>
      <c r="AB636" s="702">
        <v>922000</v>
      </c>
      <c r="AC636" s="808">
        <v>42826</v>
      </c>
      <c r="AD636" s="810" t="s">
        <v>3066</v>
      </c>
      <c r="AE636" s="694" t="s">
        <v>3064</v>
      </c>
      <c r="AF636" s="690"/>
      <c r="AG636" s="827">
        <v>922000</v>
      </c>
      <c r="AH636" s="692">
        <f>IF(Таблица5[[#This Row],[30]]=0,"НД",Таблица5[[#This Row],[20]]-Таблица5[[#This Row],[30]])</f>
        <v>566.67000000004191</v>
      </c>
      <c r="AI636" s="709">
        <f>IF(((1-Таблица5[[#This Row],[30]]/Таблица5[[#This Row],[20]])=1),"НД",(1-Таблица5[[#This Row],[30]]/Таблица5[[#This Row],[20]]))</f>
        <v>6.1423203159949313E-4</v>
      </c>
      <c r="AJ636" s="692">
        <v>922000</v>
      </c>
      <c r="AK636" s="692"/>
      <c r="AL636" s="710"/>
      <c r="AM636" s="788" t="s">
        <v>113</v>
      </c>
      <c r="AN636" s="800">
        <v>31704674241</v>
      </c>
      <c r="AO636" s="712" t="str">
        <f>РПЗ!AD636</f>
        <v>Нет</v>
      </c>
      <c r="AP636" s="713">
        <f>РПЗ!V636</f>
        <v>0</v>
      </c>
      <c r="AQ636" s="714">
        <f>IF(Таблица5[[#This Row],[11]]=0,,MONTH(Таблица5[[#This Row],[11]]))</f>
        <v>1</v>
      </c>
    </row>
    <row r="637" spans="1:43" ht="38.25" x14ac:dyDescent="0.25">
      <c r="A637" s="233" t="str">
        <f t="shared" si="10"/>
        <v>1004-2017-00622</v>
      </c>
      <c r="B637" s="233" t="str">
        <f>РПЗ!$D637</f>
        <v>1004-2017-00622Поставка Строительные материалы</v>
      </c>
      <c r="C637" s="233" t="str">
        <f>РПЗ!$AA637</f>
        <v>АО "НИИ "Полюс" им. М.Ф. Стельмаха" тел. отдела закупок 8-495-333-05-02</v>
      </c>
      <c r="D637" s="633" t="str">
        <f>РПЗ!$AB637</f>
        <v>Заказчик</v>
      </c>
      <c r="E637" s="510" t="s">
        <v>62</v>
      </c>
      <c r="F637" s="233" t="str">
        <f>РПЗ!Q637</f>
        <v>ОЗК</v>
      </c>
      <c r="G637" s="237" t="str">
        <f>Таблица5[[#This Row],[6]]</f>
        <v>ОЗК</v>
      </c>
      <c r="H637" s="237" t="str">
        <f>РПЗ!R637</f>
        <v>да</v>
      </c>
      <c r="I637" s="15">
        <f>РПЗ!W637</f>
        <v>0</v>
      </c>
      <c r="J637" s="233">
        <f>РПЗ!X637</f>
        <v>0</v>
      </c>
      <c r="K637" s="283">
        <f>РПЗ!Z637</f>
        <v>0</v>
      </c>
      <c r="L637" s="17"/>
      <c r="M637" s="18">
        <f>РПЗ!O637</f>
        <v>42736.5</v>
      </c>
      <c r="N637" s="238">
        <f>Таблица5[[#This Row],[10]]</f>
        <v>42736.5</v>
      </c>
      <c r="O637" s="17">
        <v>42761</v>
      </c>
      <c r="P637" s="17">
        <v>42766</v>
      </c>
      <c r="Q637" s="17">
        <v>42766</v>
      </c>
      <c r="R637" s="17">
        <v>42762</v>
      </c>
      <c r="S637" s="17">
        <v>42762</v>
      </c>
      <c r="T637" s="808" t="s">
        <v>2359</v>
      </c>
      <c r="U637" s="18">
        <f>РПЗ!P637</f>
        <v>43070.5</v>
      </c>
      <c r="V637" s="760">
        <v>42795</v>
      </c>
      <c r="W637" s="236">
        <f>РПЗ!L637</f>
        <v>211597.3</v>
      </c>
      <c r="X637" s="689">
        <v>6</v>
      </c>
      <c r="Y637" s="689">
        <v>0</v>
      </c>
      <c r="Z637" s="1055">
        <v>7721338310</v>
      </c>
      <c r="AA637" s="810" t="s">
        <v>3273</v>
      </c>
      <c r="AB637" s="111">
        <v>169448</v>
      </c>
      <c r="AC637" s="17">
        <v>42795</v>
      </c>
      <c r="AD637" s="810" t="s">
        <v>3274</v>
      </c>
      <c r="AE637" s="694" t="s">
        <v>2359</v>
      </c>
      <c r="AF637" s="474"/>
      <c r="AG637" s="827">
        <v>169448</v>
      </c>
      <c r="AH637" s="236">
        <f>IF(Таблица5[[#This Row],[30]]=0,"НД",Таблица5[[#This Row],[20]]-Таблица5[[#This Row],[30]])</f>
        <v>42149.299999999988</v>
      </c>
      <c r="AI637" s="511">
        <f>IF(((1-Таблица5[[#This Row],[30]]/Таблица5[[#This Row],[20]])=1),"НД",(1-Таблица5[[#This Row],[30]]/Таблица5[[#This Row],[20]]))</f>
        <v>0.19919583094869353</v>
      </c>
      <c r="AJ637" s="111">
        <v>169448</v>
      </c>
      <c r="AK637" s="111"/>
      <c r="AL637" s="512"/>
      <c r="AM637" s="513" t="s">
        <v>113</v>
      </c>
      <c r="AN637" s="801">
        <v>31704683206</v>
      </c>
      <c r="AO637" s="468" t="str">
        <f>РПЗ!AD637</f>
        <v>Нет</v>
      </c>
      <c r="AP637" s="472">
        <f>РПЗ!V637</f>
        <v>0</v>
      </c>
      <c r="AQ637" s="470">
        <f>IF(Таблица5[[#This Row],[11]]=0,,MONTH(Таблица5[[#This Row],[11]]))</f>
        <v>1</v>
      </c>
    </row>
    <row r="638" spans="1:43" ht="39" thickBot="1" x14ac:dyDescent="0.3">
      <c r="A638" s="233" t="str">
        <f t="shared" si="10"/>
        <v>1004-2017-00623</v>
      </c>
      <c r="B638" s="233" t="str">
        <f>РПЗ!$D638</f>
        <v>1004-2017-00623Поставка Строительные материалы</v>
      </c>
      <c r="C638" s="233" t="str">
        <f>РПЗ!$AA638</f>
        <v>АО "НИИ "Полюс" им. М.Ф. Стельмаха" тел. отдела закупок 8-495-333-05-02</v>
      </c>
      <c r="D638" s="633" t="str">
        <f>РПЗ!$AB638</f>
        <v>Заказчик</v>
      </c>
      <c r="E638" s="510" t="s">
        <v>62</v>
      </c>
      <c r="F638" s="233" t="str">
        <f>РПЗ!Q638</f>
        <v>ОЗК</v>
      </c>
      <c r="G638" s="237" t="str">
        <f>Таблица5[[#This Row],[6]]</f>
        <v>ОЗК</v>
      </c>
      <c r="H638" s="237" t="str">
        <f>РПЗ!R638</f>
        <v>да</v>
      </c>
      <c r="I638" s="15">
        <f>РПЗ!W638</f>
        <v>0</v>
      </c>
      <c r="J638" s="233">
        <f>РПЗ!X638</f>
        <v>0</v>
      </c>
      <c r="K638" s="283">
        <f>РПЗ!Z638</f>
        <v>0</v>
      </c>
      <c r="L638" s="17"/>
      <c r="M638" s="18">
        <f>РПЗ!O638</f>
        <v>42736.5</v>
      </c>
      <c r="N638" s="238">
        <f>Таблица5[[#This Row],[10]]</f>
        <v>42736.5</v>
      </c>
      <c r="O638" s="819" t="s">
        <v>2339</v>
      </c>
      <c r="P638" s="819" t="s">
        <v>3270</v>
      </c>
      <c r="Q638" s="819" t="s">
        <v>3270</v>
      </c>
      <c r="R638" s="819" t="s">
        <v>2360</v>
      </c>
      <c r="S638" s="819" t="s">
        <v>2360</v>
      </c>
      <c r="T638" s="808" t="s">
        <v>2359</v>
      </c>
      <c r="U638" s="18">
        <f>РПЗ!P638</f>
        <v>43070.5</v>
      </c>
      <c r="V638" s="760">
        <v>43070</v>
      </c>
      <c r="W638" s="236">
        <f>РПЗ!L638</f>
        <v>316546.93</v>
      </c>
      <c r="X638" s="689">
        <v>9</v>
      </c>
      <c r="Y638" s="689">
        <v>0</v>
      </c>
      <c r="Z638" s="1055">
        <v>6165161586</v>
      </c>
      <c r="AA638" s="810" t="s">
        <v>3271</v>
      </c>
      <c r="AB638" s="701">
        <v>252000</v>
      </c>
      <c r="AC638" s="809">
        <v>43070</v>
      </c>
      <c r="AD638" s="810" t="s">
        <v>3272</v>
      </c>
      <c r="AE638" s="694" t="s">
        <v>2359</v>
      </c>
      <c r="AF638" s="474"/>
      <c r="AG638" s="827">
        <v>252000</v>
      </c>
      <c r="AH638" s="236">
        <f>IF(Таблица5[[#This Row],[30]]=0,"НД",Таблица5[[#This Row],[20]]-Таблица5[[#This Row],[30]])</f>
        <v>64546.929999999993</v>
      </c>
      <c r="AI638" s="511">
        <f>IF(((1-Таблица5[[#This Row],[30]]/Таблица5[[#This Row],[20]])=1),"НД",(1-Таблица5[[#This Row],[30]]/Таблица5[[#This Row],[20]]))</f>
        <v>0.20390951193240126</v>
      </c>
      <c r="AJ638" s="111">
        <v>252000</v>
      </c>
      <c r="AK638" s="111"/>
      <c r="AL638" s="512"/>
      <c r="AM638" s="513" t="s">
        <v>113</v>
      </c>
      <c r="AN638" s="801">
        <v>31704683209</v>
      </c>
      <c r="AO638" s="468" t="str">
        <f>РПЗ!AD638</f>
        <v>Нет</v>
      </c>
      <c r="AP638" s="472">
        <f>РПЗ!V638</f>
        <v>0</v>
      </c>
      <c r="AQ638" s="470">
        <f>IF(Таблица5[[#This Row],[11]]=0,,MONTH(Таблица5[[#This Row],[11]]))</f>
        <v>1</v>
      </c>
    </row>
    <row r="639" spans="1:43" ht="39" thickBot="1" x14ac:dyDescent="0.3">
      <c r="A639" s="233" t="str">
        <f t="shared" si="10"/>
        <v>1004-2017-00624</v>
      </c>
      <c r="B639" s="233" t="str">
        <f>РПЗ!$D639</f>
        <v>1004-00624Изготовление и поставка печатных плат для изд. МТ-401</v>
      </c>
      <c r="C639" s="233" t="str">
        <f>РПЗ!$AA639</f>
        <v>АО "НИИ "Полюс" им. М.Ф. Стельмаха" тел. отдела закупок 8-495-333-05-02</v>
      </c>
      <c r="D639" s="633" t="str">
        <f>РПЗ!$AB639</f>
        <v>Заказчик</v>
      </c>
      <c r="E639" s="96" t="s">
        <v>46</v>
      </c>
      <c r="F639" s="233" t="str">
        <f>РПЗ!Q639</f>
        <v>ЕП</v>
      </c>
      <c r="G639" s="237"/>
      <c r="H639" s="237" t="str">
        <f>РПЗ!R639</f>
        <v>нет</v>
      </c>
      <c r="I639" s="15" t="str">
        <f>РПЗ!W639</f>
        <v>6.6.2(11)</v>
      </c>
      <c r="J639" s="233" t="str">
        <f>РПЗ!X639</f>
        <v>7735127006</v>
      </c>
      <c r="K639" s="283">
        <f>РПЗ!Z639</f>
        <v>264753.31</v>
      </c>
      <c r="L639" s="17"/>
      <c r="M639" s="18">
        <f>РПЗ!O639</f>
        <v>42736.5</v>
      </c>
      <c r="N639" s="238">
        <f>Таблица5[[#This Row],[10]]</f>
        <v>42736.5</v>
      </c>
      <c r="O639" s="17"/>
      <c r="P639" s="17"/>
      <c r="Q639" s="17"/>
      <c r="R639" s="17"/>
      <c r="S639" s="17"/>
      <c r="T639" s="686"/>
      <c r="U639" s="18">
        <f>РПЗ!P639</f>
        <v>42826</v>
      </c>
      <c r="V639" s="686"/>
      <c r="W639" s="236">
        <f>РПЗ!L639</f>
        <v>264753.31</v>
      </c>
      <c r="X639" s="689"/>
      <c r="Y639" s="689"/>
      <c r="Z639" s="690"/>
      <c r="AA639" s="691"/>
      <c r="AB639" s="111"/>
      <c r="AC639" s="17"/>
      <c r="AD639" s="690"/>
      <c r="AE639" s="686"/>
      <c r="AF639" s="474"/>
      <c r="AG639" s="692"/>
      <c r="AH639" s="236" t="str">
        <f>IF(Таблица5[[#This Row],[30]]=0,"НД",Таблица5[[#This Row],[20]]-Таблица5[[#This Row],[30]])</f>
        <v>НД</v>
      </c>
      <c r="AI639" s="511" t="str">
        <f>IF(((1-Таблица5[[#This Row],[30]]/Таблица5[[#This Row],[20]])=1),"НД",(1-Таблица5[[#This Row],[30]]/Таблица5[[#This Row],[20]]))</f>
        <v>НД</v>
      </c>
      <c r="AJ639" s="111"/>
      <c r="AK639" s="111"/>
      <c r="AL639" s="512"/>
      <c r="AM639" s="513"/>
      <c r="AN639" s="465"/>
      <c r="AO639" s="468" t="str">
        <f>РПЗ!AD639</f>
        <v>Нет</v>
      </c>
      <c r="AP639" s="472">
        <f>РПЗ!V639</f>
        <v>0</v>
      </c>
      <c r="AQ639" s="470">
        <f>IF(Таблица5[[#This Row],[11]]=0,,MONTH(Таблица5[[#This Row],[11]]))</f>
        <v>1</v>
      </c>
    </row>
    <row r="640" spans="1:43" ht="39" thickBot="1" x14ac:dyDescent="0.3">
      <c r="A640" s="233" t="str">
        <f t="shared" si="10"/>
        <v>1004-2017-00625</v>
      </c>
      <c r="B640" s="233" t="str">
        <f>РПЗ!$D640</f>
        <v>1004-2017-00625Поставка Катушка ЖГДК.671128.034</v>
      </c>
      <c r="C640" s="233" t="str">
        <f>РПЗ!$AA640</f>
        <v>АО "НИИ "Полюс" им. М.Ф. Стельмаха" тел. отдела закупок 8-495-333-05-02</v>
      </c>
      <c r="D640" s="633" t="str">
        <f>РПЗ!$AB640</f>
        <v>Заказчик</v>
      </c>
      <c r="E640" s="96" t="s">
        <v>46</v>
      </c>
      <c r="F640" s="233" t="str">
        <f>РПЗ!Q640</f>
        <v>ЕП</v>
      </c>
      <c r="G640" s="237"/>
      <c r="H640" s="237" t="str">
        <f>РПЗ!R640</f>
        <v>нет</v>
      </c>
      <c r="I640" s="15" t="str">
        <f>РПЗ!W640</f>
        <v>6.6.2(11)</v>
      </c>
      <c r="J640" s="233" t="str">
        <f>РПЗ!X640</f>
        <v>6829000109</v>
      </c>
      <c r="K640" s="283">
        <f>РПЗ!Z640</f>
        <v>0</v>
      </c>
      <c r="L640" s="17"/>
      <c r="M640" s="18">
        <f>РПЗ!O640</f>
        <v>42767.5</v>
      </c>
      <c r="N640" s="238">
        <f>Таблица5[[#This Row],[10]]</f>
        <v>42767.5</v>
      </c>
      <c r="O640" s="17"/>
      <c r="P640" s="17"/>
      <c r="Q640" s="17"/>
      <c r="R640" s="17"/>
      <c r="S640" s="17"/>
      <c r="T640" s="686"/>
      <c r="U640" s="18">
        <f>РПЗ!P640</f>
        <v>42795</v>
      </c>
      <c r="V640" s="686"/>
      <c r="W640" s="236">
        <f>РПЗ!L640</f>
        <v>180304</v>
      </c>
      <c r="X640" s="689"/>
      <c r="Y640" s="689"/>
      <c r="Z640" s="690"/>
      <c r="AA640" s="691"/>
      <c r="AB640" s="111"/>
      <c r="AC640" s="17"/>
      <c r="AD640" s="690"/>
      <c r="AE640" s="686"/>
      <c r="AF640" s="474"/>
      <c r="AG640" s="692"/>
      <c r="AH640" s="236" t="str">
        <f>IF(Таблица5[[#This Row],[30]]=0,"НД",Таблица5[[#This Row],[20]]-Таблица5[[#This Row],[30]])</f>
        <v>НД</v>
      </c>
      <c r="AI640" s="511" t="str">
        <f>IF(((1-Таблица5[[#This Row],[30]]/Таблица5[[#This Row],[20]])=1),"НД",(1-Таблица5[[#This Row],[30]]/Таблица5[[#This Row],[20]]))</f>
        <v>НД</v>
      </c>
      <c r="AJ640" s="111"/>
      <c r="AK640" s="111"/>
      <c r="AL640" s="512"/>
      <c r="AM640" s="513"/>
      <c r="AN640" s="465"/>
      <c r="AO640" s="468" t="str">
        <f>РПЗ!AD640</f>
        <v>Нет</v>
      </c>
      <c r="AP640" s="472">
        <f>РПЗ!V640</f>
        <v>0</v>
      </c>
      <c r="AQ640" s="470">
        <f>IF(Таблица5[[#This Row],[11]]=0,,MONTH(Таблица5[[#This Row],[11]]))</f>
        <v>2</v>
      </c>
    </row>
    <row r="641" spans="1:43" ht="38.25" x14ac:dyDescent="0.25">
      <c r="A641" s="233" t="str">
        <f t="shared" si="10"/>
        <v>1004-2017-00626</v>
      </c>
      <c r="B641" s="233" t="str">
        <f>РПЗ!$D641</f>
        <v>1004-2017-00626Поставка БУД-25</v>
      </c>
      <c r="C641" s="233" t="str">
        <f>РПЗ!$AA641</f>
        <v>АО "НИИ "Полюс" им. М.Ф. Стельмаха" тел. отдела закупок 8-495-333-05-02</v>
      </c>
      <c r="D641" s="633" t="str">
        <f>РПЗ!$AB641</f>
        <v>Заказчик</v>
      </c>
      <c r="E641" s="96" t="s">
        <v>46</v>
      </c>
      <c r="F641" s="233" t="str">
        <f>РПЗ!Q641</f>
        <v>ЕП</v>
      </c>
      <c r="G641" s="237"/>
      <c r="H641" s="237" t="str">
        <f>РПЗ!R641</f>
        <v>нет</v>
      </c>
      <c r="I641" s="15" t="str">
        <f>РПЗ!W641</f>
        <v>6.6.2(11)</v>
      </c>
      <c r="J641" s="233" t="str">
        <f>РПЗ!X641</f>
        <v>7728512529</v>
      </c>
      <c r="K641" s="283">
        <f>РПЗ!Z641</f>
        <v>0</v>
      </c>
      <c r="L641" s="17"/>
      <c r="M641" s="18">
        <f>РПЗ!O641</f>
        <v>42767.5</v>
      </c>
      <c r="N641" s="238">
        <f>Таблица5[[#This Row],[10]]</f>
        <v>42767.5</v>
      </c>
      <c r="O641" s="17"/>
      <c r="P641" s="17"/>
      <c r="Q641" s="17"/>
      <c r="R641" s="17"/>
      <c r="S641" s="17"/>
      <c r="T641" s="686"/>
      <c r="U641" s="18">
        <f>РПЗ!P641</f>
        <v>42795</v>
      </c>
      <c r="V641" s="686"/>
      <c r="W641" s="236">
        <f>РПЗ!L641</f>
        <v>98208</v>
      </c>
      <c r="X641" s="689"/>
      <c r="Y641" s="689"/>
      <c r="Z641" s="690"/>
      <c r="AA641" s="691"/>
      <c r="AB641" s="111"/>
      <c r="AC641" s="17"/>
      <c r="AD641" s="690"/>
      <c r="AE641" s="686"/>
      <c r="AF641" s="474"/>
      <c r="AG641" s="692"/>
      <c r="AH641" s="236" t="str">
        <f>IF(Таблица5[[#This Row],[30]]=0,"НД",Таблица5[[#This Row],[20]]-Таблица5[[#This Row],[30]])</f>
        <v>НД</v>
      </c>
      <c r="AI641" s="511" t="str">
        <f>IF(((1-Таблица5[[#This Row],[30]]/Таблица5[[#This Row],[20]])=1),"НД",(1-Таблица5[[#This Row],[30]]/Таблица5[[#This Row],[20]]))</f>
        <v>НД</v>
      </c>
      <c r="AJ641" s="111"/>
      <c r="AK641" s="111"/>
      <c r="AL641" s="512"/>
      <c r="AM641" s="513"/>
      <c r="AN641" s="465"/>
      <c r="AO641" s="468" t="str">
        <f>РПЗ!AD641</f>
        <v>Нет</v>
      </c>
      <c r="AP641" s="472">
        <f>РПЗ!V641</f>
        <v>0</v>
      </c>
      <c r="AQ641" s="470">
        <f>IF(Таблица5[[#This Row],[11]]=0,,MONTH(Таблица5[[#This Row],[11]]))</f>
        <v>2</v>
      </c>
    </row>
    <row r="642" spans="1:43" ht="51" x14ac:dyDescent="0.25">
      <c r="A642" s="233" t="str">
        <f t="shared" si="10"/>
        <v>1004-2017-00627</v>
      </c>
      <c r="B642" s="233" t="str">
        <f>РПЗ!$D642</f>
        <v>1004-2017-00627Изготовление колодкиБЛ.6.673.166 и трансформатора ет4.720.436</v>
      </c>
      <c r="C642" s="233" t="str">
        <f>РПЗ!$AA642</f>
        <v>АО "НИИ "Полюс" им. М.Ф. Стельмаха" тел. отдела закупок 8-495-333-05-02</v>
      </c>
      <c r="D642" s="633" t="str">
        <f>РПЗ!$AB642</f>
        <v>Заказчик</v>
      </c>
      <c r="E642" s="510" t="s">
        <v>62</v>
      </c>
      <c r="F642" s="233" t="str">
        <f>РПЗ!Q642</f>
        <v>ЕП</v>
      </c>
      <c r="G642" s="237" t="str">
        <f>Таблица5[[#This Row],[6]]</f>
        <v>ЕП</v>
      </c>
      <c r="H642" s="237" t="str">
        <f>РПЗ!R642</f>
        <v>нет</v>
      </c>
      <c r="I642" s="15" t="str">
        <f>РПЗ!W642</f>
        <v>6.6.2(11)</v>
      </c>
      <c r="J642" s="233">
        <f>РПЗ!X642</f>
        <v>5024022965</v>
      </c>
      <c r="K642" s="283">
        <f>РПЗ!Z642</f>
        <v>212146.48</v>
      </c>
      <c r="L642" s="661" t="s">
        <v>2358</v>
      </c>
      <c r="M642" s="18">
        <f>РПЗ!O642</f>
        <v>42767.5</v>
      </c>
      <c r="N642" s="238">
        <f>Таблица5[[#This Row],[10]]</f>
        <v>42767.5</v>
      </c>
      <c r="O642" s="17"/>
      <c r="P642" s="17"/>
      <c r="Q642" s="17"/>
      <c r="R642" s="17"/>
      <c r="S642" s="17"/>
      <c r="T642" s="695" t="s">
        <v>2359</v>
      </c>
      <c r="U642" s="18">
        <f>РПЗ!P642</f>
        <v>42795</v>
      </c>
      <c r="V642" s="760">
        <v>42736</v>
      </c>
      <c r="W642" s="236">
        <f>РПЗ!L642</f>
        <v>212146.48</v>
      </c>
      <c r="X642" s="689">
        <v>1</v>
      </c>
      <c r="Y642" s="689">
        <v>0</v>
      </c>
      <c r="Z642" s="691">
        <v>5024022965</v>
      </c>
      <c r="AA642" s="691" t="s">
        <v>2357</v>
      </c>
      <c r="AB642" s="111">
        <v>212146.33</v>
      </c>
      <c r="AC642" s="808">
        <v>42736</v>
      </c>
      <c r="AD642" s="810" t="s">
        <v>2362</v>
      </c>
      <c r="AE642" s="703" t="s">
        <v>2359</v>
      </c>
      <c r="AF642" s="474"/>
      <c r="AG642" s="827">
        <v>212146.48</v>
      </c>
      <c r="AH642" s="236">
        <f>IF(Таблица5[[#This Row],[30]]=0,"НД",Таблица5[[#This Row],[20]]-Таблица5[[#This Row],[30]])</f>
        <v>0</v>
      </c>
      <c r="AI642" s="511">
        <f>IF(((1-Таблица5[[#This Row],[30]]/Таблица5[[#This Row],[20]])=1),"НД",(1-Таблица5[[#This Row],[30]]/Таблица5[[#This Row],[20]]))</f>
        <v>0</v>
      </c>
      <c r="AJ642" s="111"/>
      <c r="AK642" s="111"/>
      <c r="AL642" s="512"/>
      <c r="AM642" s="513" t="s">
        <v>113</v>
      </c>
      <c r="AN642" s="801">
        <v>31704726013</v>
      </c>
      <c r="AO642" s="468" t="str">
        <f>РПЗ!AD642</f>
        <v>Нет</v>
      </c>
      <c r="AP642" s="472">
        <f>РПЗ!V642</f>
        <v>0</v>
      </c>
      <c r="AQ642" s="470">
        <f>IF(Таблица5[[#This Row],[11]]=0,,MONTH(Таблица5[[#This Row],[11]]))</f>
        <v>2</v>
      </c>
    </row>
    <row r="643" spans="1:43" ht="38.25" customHeight="1" x14ac:dyDescent="0.25">
      <c r="A643" s="233" t="str">
        <f t="shared" si="10"/>
        <v>1004-2017-00628</v>
      </c>
      <c r="B643" s="233" t="str">
        <f>РПЗ!$D643</f>
        <v>1004-2017-00628Поставка Зеркало ЖГДК.203622.003 и линза  ЖГДК.203512.062</v>
      </c>
      <c r="C643" s="233" t="str">
        <f>РПЗ!$AA643</f>
        <v>АО "НИИ "Полюс" им. М.Ф. Стельмаха" тел. отдела закупок 8-495-333-05-02</v>
      </c>
      <c r="D643" s="633" t="str">
        <f>РПЗ!$AB643</f>
        <v>Заказчик</v>
      </c>
      <c r="E643" s="510" t="s">
        <v>62</v>
      </c>
      <c r="F643" s="233" t="str">
        <f>РПЗ!Q643</f>
        <v>ЕП</v>
      </c>
      <c r="G643" s="237" t="str">
        <f>Таблица5[[#This Row],[6]]</f>
        <v>ЕП</v>
      </c>
      <c r="H643" s="237" t="str">
        <f>РПЗ!R643</f>
        <v>нет</v>
      </c>
      <c r="I643" s="15" t="str">
        <f>РПЗ!W643</f>
        <v>6.6.2(11)</v>
      </c>
      <c r="J643" s="233" t="str">
        <f>РПЗ!X643</f>
        <v>7727768951</v>
      </c>
      <c r="K643" s="283" t="str">
        <f>РПЗ!Z643</f>
        <v>1 233 690</v>
      </c>
      <c r="L643" s="661" t="s">
        <v>2372</v>
      </c>
      <c r="M643" s="18">
        <f>РПЗ!O643</f>
        <v>42767.5</v>
      </c>
      <c r="N643" s="238">
        <f>Таблица5[[#This Row],[10]]</f>
        <v>42767.5</v>
      </c>
      <c r="O643" s="17"/>
      <c r="P643" s="17"/>
      <c r="Q643" s="17"/>
      <c r="R643" s="17"/>
      <c r="S643" s="17"/>
      <c r="T643" s="695" t="s">
        <v>2366</v>
      </c>
      <c r="U643" s="18">
        <f>РПЗ!P643</f>
        <v>42948</v>
      </c>
      <c r="V643" s="760">
        <v>43070</v>
      </c>
      <c r="W643" s="236">
        <f>РПЗ!L643</f>
        <v>1233690</v>
      </c>
      <c r="X643" s="689">
        <v>1</v>
      </c>
      <c r="Y643" s="689">
        <v>0</v>
      </c>
      <c r="Z643" s="1055">
        <v>7727768951</v>
      </c>
      <c r="AA643" s="704" t="s">
        <v>2370</v>
      </c>
      <c r="AB643" s="700">
        <v>1233690</v>
      </c>
      <c r="AC643" s="808">
        <v>43070</v>
      </c>
      <c r="AD643" s="810" t="s">
        <v>2373</v>
      </c>
      <c r="AE643" s="703" t="s">
        <v>2366</v>
      </c>
      <c r="AF643" s="474"/>
      <c r="AG643" s="827">
        <v>1233690</v>
      </c>
      <c r="AH643" s="236">
        <f>IF(Таблица5[[#This Row],[30]]=0,"НД",Таблица5[[#This Row],[20]]-Таблица5[[#This Row],[30]])</f>
        <v>0</v>
      </c>
      <c r="AI643" s="511">
        <f>IF(((1-Таблица5[[#This Row],[30]]/Таблица5[[#This Row],[20]])=1),"НД",(1-Таблица5[[#This Row],[30]]/Таблица5[[#This Row],[20]]))</f>
        <v>0</v>
      </c>
      <c r="AJ643" s="111"/>
      <c r="AK643" s="111"/>
      <c r="AL643" s="512"/>
      <c r="AM643" s="513" t="s">
        <v>113</v>
      </c>
      <c r="AN643" s="801">
        <v>31704749059</v>
      </c>
      <c r="AO643" s="468" t="str">
        <f>РПЗ!AD643</f>
        <v>Нет</v>
      </c>
      <c r="AP643" s="472">
        <f>РПЗ!V643</f>
        <v>0</v>
      </c>
      <c r="AQ643" s="470">
        <f>IF(Таблица5[[#This Row],[11]]=0,,MONTH(Таблица5[[#This Row],[11]]))</f>
        <v>2</v>
      </c>
    </row>
    <row r="644" spans="1:43" ht="38.25" x14ac:dyDescent="0.25">
      <c r="A644" s="233" t="str">
        <f t="shared" si="10"/>
        <v>1004-2017-00629</v>
      </c>
      <c r="B644" s="233" t="str">
        <f>РПЗ!$D644</f>
        <v>1004-2017-00629Изготовление и поставка печатных плат для изд. МТ-401</v>
      </c>
      <c r="C644" s="233" t="str">
        <f>РПЗ!$AA644</f>
        <v>АО "НИИ "Полюс" им. М.Ф. Стельмаха" тел. отдела закупок 8-495-333-05-02</v>
      </c>
      <c r="D644" s="633" t="str">
        <f>РПЗ!$AB644</f>
        <v>Заказчик</v>
      </c>
      <c r="E644" s="510" t="s">
        <v>62</v>
      </c>
      <c r="F644" s="233" t="str">
        <f>РПЗ!Q644</f>
        <v>ЕП</v>
      </c>
      <c r="G644" s="237" t="str">
        <f>Таблица5[[#This Row],[6]]</f>
        <v>ЕП</v>
      </c>
      <c r="H644" s="237" t="str">
        <f>РПЗ!R644</f>
        <v>нет</v>
      </c>
      <c r="I644" s="15" t="str">
        <f>РПЗ!W644</f>
        <v>6.6.2(11)</v>
      </c>
      <c r="J644" s="233" t="str">
        <f>РПЗ!X644</f>
        <v>7735127006</v>
      </c>
      <c r="K644" s="283">
        <f>РПЗ!Z644</f>
        <v>0</v>
      </c>
      <c r="L644" s="17">
        <v>42795</v>
      </c>
      <c r="M644" s="18">
        <f>РПЗ!O644</f>
        <v>42795</v>
      </c>
      <c r="N644" s="238">
        <f>Таблица5[[#This Row],[10]]</f>
        <v>42795</v>
      </c>
      <c r="O644" s="17"/>
      <c r="P644" s="17"/>
      <c r="Q644" s="17"/>
      <c r="R644" s="17"/>
      <c r="S644" s="17"/>
      <c r="T644" s="695" t="s">
        <v>3064</v>
      </c>
      <c r="U644" s="18">
        <f>РПЗ!P644</f>
        <v>42826</v>
      </c>
      <c r="V644" s="760" t="s">
        <v>3021</v>
      </c>
      <c r="W644" s="236">
        <f>РПЗ!L644</f>
        <v>216616.34</v>
      </c>
      <c r="X644" s="689">
        <v>1</v>
      </c>
      <c r="Y644" s="689">
        <v>0</v>
      </c>
      <c r="Z644" s="1057">
        <v>7735127006</v>
      </c>
      <c r="AA644" s="835" t="s">
        <v>2380</v>
      </c>
      <c r="AB644" s="700">
        <v>216616.34</v>
      </c>
      <c r="AC644" s="704" t="s">
        <v>3021</v>
      </c>
      <c r="AD644" s="810" t="s">
        <v>3086</v>
      </c>
      <c r="AE644" s="703" t="s">
        <v>3064</v>
      </c>
      <c r="AF644" s="474"/>
      <c r="AG644" s="827">
        <v>216616.34</v>
      </c>
      <c r="AH644" s="236">
        <f>IF(Таблица5[[#This Row],[30]]=0,"НД",Таблица5[[#This Row],[20]]-Таблица5[[#This Row],[30]])</f>
        <v>0</v>
      </c>
      <c r="AI644" s="511">
        <f>IF(((1-Таблица5[[#This Row],[30]]/Таблица5[[#This Row],[20]])=1),"НД",(1-Таблица5[[#This Row],[30]]/Таблица5[[#This Row],[20]]))</f>
        <v>0</v>
      </c>
      <c r="AJ644" s="111"/>
      <c r="AK644" s="111"/>
      <c r="AL644" s="512"/>
      <c r="AM644" s="513" t="s">
        <v>113</v>
      </c>
      <c r="AN644" s="801">
        <v>31704849496</v>
      </c>
      <c r="AO644" s="468" t="str">
        <f>РПЗ!AD644</f>
        <v>Нет</v>
      </c>
      <c r="AP644" s="472">
        <f>РПЗ!V644</f>
        <v>0</v>
      </c>
      <c r="AQ644" s="470">
        <f>IF(Таблица5[[#This Row],[11]]=0,,MONTH(Таблица5[[#This Row],[11]]))</f>
        <v>3</v>
      </c>
    </row>
    <row r="645" spans="1:43" ht="39" thickBot="1" x14ac:dyDescent="0.3">
      <c r="A645" s="233" t="str">
        <f t="shared" si="10"/>
        <v>1004-2017-00630</v>
      </c>
      <c r="B645" s="233" t="str">
        <f>РПЗ!$D645</f>
        <v>1004-2017-00630Поставка  Заготовка для подложки пьезозеркала ЖГДК.755511.055</v>
      </c>
      <c r="C645" s="233" t="str">
        <f>РПЗ!$AA645</f>
        <v>АО "НИИ "Полюс" им. М.Ф. Стельмаха" тел. отдела закупок 8-495-333-05-02</v>
      </c>
      <c r="D645" s="633" t="str">
        <f>РПЗ!$AB645</f>
        <v>Заказчик</v>
      </c>
      <c r="E645" s="510" t="s">
        <v>62</v>
      </c>
      <c r="F645" s="233" t="str">
        <f>РПЗ!Q645</f>
        <v>ЕП</v>
      </c>
      <c r="G645" s="237" t="str">
        <f>Таблица5[[#This Row],[6]]</f>
        <v>ЕП</v>
      </c>
      <c r="H645" s="237" t="str">
        <f>РПЗ!R645</f>
        <v>нет</v>
      </c>
      <c r="I645" s="15" t="str">
        <f>РПЗ!W645</f>
        <v>6.6.2(11)</v>
      </c>
      <c r="J645" s="233" t="str">
        <f>РПЗ!X645</f>
        <v>3525023010</v>
      </c>
      <c r="K645" s="283">
        <f>РПЗ!Z645</f>
        <v>511238.33</v>
      </c>
      <c r="L645" s="17">
        <v>42843</v>
      </c>
      <c r="M645" s="18">
        <f>РПЗ!O645</f>
        <v>42795</v>
      </c>
      <c r="N645" s="238">
        <f>Таблица5[[#This Row],[10]]</f>
        <v>42795</v>
      </c>
      <c r="O645" s="17"/>
      <c r="P645" s="17"/>
      <c r="Q645" s="17"/>
      <c r="R645" s="17"/>
      <c r="S645" s="17"/>
      <c r="T645" s="686">
        <v>42843</v>
      </c>
      <c r="U645" s="18">
        <f>РПЗ!P645</f>
        <v>42948</v>
      </c>
      <c r="V645" s="686">
        <v>43070</v>
      </c>
      <c r="W645" s="236">
        <f>РПЗ!L645</f>
        <v>511238.33</v>
      </c>
      <c r="X645" s="689">
        <v>1</v>
      </c>
      <c r="Y645" s="689">
        <v>0</v>
      </c>
      <c r="Z645" s="691">
        <v>3525023010</v>
      </c>
      <c r="AA645" s="691" t="s">
        <v>2388</v>
      </c>
      <c r="AB645" s="111">
        <v>511238.33</v>
      </c>
      <c r="AC645" s="17">
        <v>43070</v>
      </c>
      <c r="AD645" s="690" t="s">
        <v>5110</v>
      </c>
      <c r="AE645" s="686">
        <v>42843</v>
      </c>
      <c r="AF645" s="474"/>
      <c r="AG645" s="692">
        <v>511238.33</v>
      </c>
      <c r="AH645" s="236">
        <f>IF(Таблица5[[#This Row],[30]]=0,"НД",Таблица5[[#This Row],[20]]-Таблица5[[#This Row],[30]])</f>
        <v>0</v>
      </c>
      <c r="AI645" s="511">
        <f>IF(((1-Таблица5[[#This Row],[30]]/Таблица5[[#This Row],[20]])=1),"НД",(1-Таблица5[[#This Row],[30]]/Таблица5[[#This Row],[20]]))</f>
        <v>0</v>
      </c>
      <c r="AJ645" s="111"/>
      <c r="AK645" s="111"/>
      <c r="AL645" s="512"/>
      <c r="AM645" s="513" t="s">
        <v>113</v>
      </c>
      <c r="AN645" s="801">
        <v>31704887186</v>
      </c>
      <c r="AO645" s="468" t="str">
        <f>РПЗ!AD645</f>
        <v>Нет</v>
      </c>
      <c r="AP645" s="472">
        <f>РПЗ!V645</f>
        <v>0</v>
      </c>
      <c r="AQ645" s="470">
        <f>IF(Таблица5[[#This Row],[11]]=0,,MONTH(Таблица5[[#This Row],[11]]))</f>
        <v>3</v>
      </c>
    </row>
    <row r="646" spans="1:43" ht="39" thickBot="1" x14ac:dyDescent="0.3">
      <c r="A646" s="233" t="str">
        <f t="shared" si="10"/>
        <v>1004-2017-00631</v>
      </c>
      <c r="B646" s="233" t="str">
        <f>РПЗ!$D646</f>
        <v>1004-2017-00631Поставка Микросхема Б1407 УД3 -1</v>
      </c>
      <c r="C646" s="233" t="str">
        <f>РПЗ!$AA646</f>
        <v>АО "НИИ "Полюс" им. М.Ф. Стельмаха" тел. отдела закупок 8-495-333-05-02</v>
      </c>
      <c r="D646" s="633" t="str">
        <f>РПЗ!$AB646</f>
        <v>Заказчик</v>
      </c>
      <c r="E646" s="96" t="s">
        <v>46</v>
      </c>
      <c r="F646" s="233" t="str">
        <f>РПЗ!Q646</f>
        <v>ЕП</v>
      </c>
      <c r="G646" s="237"/>
      <c r="H646" s="237" t="str">
        <f>РПЗ!R646</f>
        <v>нет</v>
      </c>
      <c r="I646" s="15" t="str">
        <f>РПЗ!W646</f>
        <v>6.6.2(11)</v>
      </c>
      <c r="J646" s="233" t="str">
        <f>РПЗ!X646</f>
        <v>7719565965</v>
      </c>
      <c r="K646" s="283">
        <f>РПЗ!Z646</f>
        <v>0</v>
      </c>
      <c r="L646" s="17"/>
      <c r="M646" s="18">
        <f>РПЗ!O646</f>
        <v>42736</v>
      </c>
      <c r="N646" s="238">
        <f>Таблица5[[#This Row],[10]]</f>
        <v>42736</v>
      </c>
      <c r="O646" s="17"/>
      <c r="P646" s="17"/>
      <c r="Q646" s="17"/>
      <c r="R646" s="17"/>
      <c r="S646" s="17"/>
      <c r="T646" s="686"/>
      <c r="U646" s="18">
        <f>РПЗ!P646</f>
        <v>43070</v>
      </c>
      <c r="V646" s="686"/>
      <c r="W646" s="236">
        <f>РПЗ!L646</f>
        <v>126873</v>
      </c>
      <c r="X646" s="689"/>
      <c r="Y646" s="689"/>
      <c r="Z646" s="690"/>
      <c r="AA646" s="691"/>
      <c r="AB646" s="111"/>
      <c r="AC646" s="17"/>
      <c r="AD646" s="690"/>
      <c r="AE646" s="686"/>
      <c r="AF646" s="474"/>
      <c r="AG646" s="692"/>
      <c r="AH646" s="236" t="str">
        <f>IF(Таблица5[[#This Row],[30]]=0,"НД",Таблица5[[#This Row],[20]]-Таблица5[[#This Row],[30]])</f>
        <v>НД</v>
      </c>
      <c r="AI646" s="511" t="str">
        <f>IF(((1-Таблица5[[#This Row],[30]]/Таблица5[[#This Row],[20]])=1),"НД",(1-Таблица5[[#This Row],[30]]/Таблица5[[#This Row],[20]]))</f>
        <v>НД</v>
      </c>
      <c r="AJ646" s="111"/>
      <c r="AK646" s="111"/>
      <c r="AL646" s="512"/>
      <c r="AM646" s="513"/>
      <c r="AN646" s="465"/>
      <c r="AO646" s="468" t="str">
        <f>РПЗ!AD646</f>
        <v>Нет</v>
      </c>
      <c r="AP646" s="472">
        <f>РПЗ!V646</f>
        <v>0</v>
      </c>
      <c r="AQ646" s="470">
        <f>IF(Таблица5[[#This Row],[11]]=0,,MONTH(Таблица5[[#This Row],[11]]))</f>
        <v>1</v>
      </c>
    </row>
    <row r="647" spans="1:43" ht="39" thickBot="1" x14ac:dyDescent="0.3">
      <c r="A647" s="233" t="str">
        <f t="shared" si="10"/>
        <v>1004-2017-00632</v>
      </c>
      <c r="B647" s="233" t="str">
        <f>РПЗ!$D647</f>
        <v xml:space="preserve">1004-2017-00632Поставка Микросхема Б1407 УД3 </v>
      </c>
      <c r="C647" s="233" t="str">
        <f>РПЗ!$AA647</f>
        <v>АО "НИИ "Полюс" им. М.Ф. Стельмаха" тел. отдела закупок 8-495-333-05-02</v>
      </c>
      <c r="D647" s="633" t="str">
        <f>РПЗ!$AB647</f>
        <v>Заказчик</v>
      </c>
      <c r="E647" s="96" t="s">
        <v>46</v>
      </c>
      <c r="F647" s="233" t="str">
        <f>РПЗ!Q647</f>
        <v>ЕП</v>
      </c>
      <c r="G647" s="237"/>
      <c r="H647" s="237" t="str">
        <f>РПЗ!R647</f>
        <v>нет</v>
      </c>
      <c r="I647" s="15" t="str">
        <f>РПЗ!W647</f>
        <v>6.6.2(11)</v>
      </c>
      <c r="J647" s="233" t="str">
        <f>РПЗ!X647</f>
        <v>7719565965</v>
      </c>
      <c r="K647" s="283">
        <f>РПЗ!Z647</f>
        <v>0</v>
      </c>
      <c r="L647" s="17"/>
      <c r="M647" s="18">
        <f>РПЗ!O647</f>
        <v>42736</v>
      </c>
      <c r="N647" s="238">
        <f>Таблица5[[#This Row],[10]]</f>
        <v>42736</v>
      </c>
      <c r="O647" s="17"/>
      <c r="P647" s="17"/>
      <c r="Q647" s="17"/>
      <c r="R647" s="17"/>
      <c r="S647" s="17"/>
      <c r="T647" s="686"/>
      <c r="U647" s="18">
        <f>РПЗ!P647</f>
        <v>43070</v>
      </c>
      <c r="V647" s="686"/>
      <c r="W647" s="236">
        <f>РПЗ!L647</f>
        <v>225993</v>
      </c>
      <c r="X647" s="689"/>
      <c r="Y647" s="689"/>
      <c r="Z647" s="690"/>
      <c r="AA647" s="691"/>
      <c r="AB647" s="111"/>
      <c r="AC647" s="17"/>
      <c r="AD647" s="690"/>
      <c r="AE647" s="686"/>
      <c r="AF647" s="474"/>
      <c r="AG647" s="692"/>
      <c r="AH647" s="236" t="str">
        <f>IF(Таблица5[[#This Row],[30]]=0,"НД",Таблица5[[#This Row],[20]]-Таблица5[[#This Row],[30]])</f>
        <v>НД</v>
      </c>
      <c r="AI647" s="511" t="str">
        <f>IF(((1-Таблица5[[#This Row],[30]]/Таблица5[[#This Row],[20]])=1),"НД",(1-Таблица5[[#This Row],[30]]/Таблица5[[#This Row],[20]]))</f>
        <v>НД</v>
      </c>
      <c r="AJ647" s="111"/>
      <c r="AK647" s="111"/>
      <c r="AL647" s="512"/>
      <c r="AM647" s="513"/>
      <c r="AN647" s="465"/>
      <c r="AO647" s="468" t="str">
        <f>РПЗ!AD647</f>
        <v>Нет</v>
      </c>
      <c r="AP647" s="472">
        <f>РПЗ!V647</f>
        <v>0</v>
      </c>
      <c r="AQ647" s="470">
        <f>IF(Таблица5[[#This Row],[11]]=0,,MONTH(Таблица5[[#This Row],[11]]))</f>
        <v>1</v>
      </c>
    </row>
    <row r="648" spans="1:43" ht="63.75" x14ac:dyDescent="0.25">
      <c r="A648" s="233" t="str">
        <f t="shared" si="10"/>
        <v>1004-2017-00633</v>
      </c>
      <c r="B648" s="233" t="str">
        <f>РПЗ!$D648</f>
        <v>1004-2017-00633Внесение записей о размещении дополнительного выпуска ценных бумаг и предоставлении уведомления об операции</v>
      </c>
      <c r="C648" s="233" t="str">
        <f>РПЗ!$AA648</f>
        <v>АО "НИИ "Полюс" им. М.Ф. Стельмаха" тел. отдела закупок 8-495-333-05-02</v>
      </c>
      <c r="D648" s="633" t="str">
        <f>РПЗ!$AB648</f>
        <v>Заказчик</v>
      </c>
      <c r="E648" s="96" t="s">
        <v>46</v>
      </c>
      <c r="F648" s="233" t="str">
        <f>РПЗ!Q648</f>
        <v>ЕП</v>
      </c>
      <c r="G648" s="237"/>
      <c r="H648" s="237" t="str">
        <f>РПЗ!R648</f>
        <v>нет</v>
      </c>
      <c r="I648" s="15" t="str">
        <f>РПЗ!W648</f>
        <v>6.6.2(11)</v>
      </c>
      <c r="J648" s="233">
        <f>РПЗ!X648</f>
        <v>0</v>
      </c>
      <c r="K648" s="283">
        <f>РПЗ!Z648</f>
        <v>0</v>
      </c>
      <c r="L648" s="17"/>
      <c r="M648" s="18">
        <f>РПЗ!O648</f>
        <v>42736</v>
      </c>
      <c r="N648" s="238">
        <f>Таблица5[[#This Row],[10]]</f>
        <v>42736</v>
      </c>
      <c r="O648" s="17"/>
      <c r="P648" s="17"/>
      <c r="Q648" s="17"/>
      <c r="R648" s="17"/>
      <c r="S648" s="17"/>
      <c r="T648" s="686"/>
      <c r="U648" s="18">
        <f>РПЗ!P648</f>
        <v>42767.5</v>
      </c>
      <c r="V648" s="686"/>
      <c r="W648" s="236">
        <f>РПЗ!L648</f>
        <v>220180</v>
      </c>
      <c r="X648" s="689"/>
      <c r="Y648" s="689"/>
      <c r="Z648" s="690"/>
      <c r="AA648" s="691"/>
      <c r="AB648" s="111"/>
      <c r="AC648" s="17"/>
      <c r="AD648" s="690"/>
      <c r="AE648" s="686"/>
      <c r="AF648" s="474"/>
      <c r="AG648" s="692"/>
      <c r="AH648" s="236" t="str">
        <f>IF(Таблица5[[#This Row],[30]]=0,"НД",Таблица5[[#This Row],[20]]-Таблица5[[#This Row],[30]])</f>
        <v>НД</v>
      </c>
      <c r="AI648" s="511" t="str">
        <f>IF(((1-Таблица5[[#This Row],[30]]/Таблица5[[#This Row],[20]])=1),"НД",(1-Таблица5[[#This Row],[30]]/Таблица5[[#This Row],[20]]))</f>
        <v>НД</v>
      </c>
      <c r="AJ648" s="111"/>
      <c r="AK648" s="111"/>
      <c r="AL648" s="512"/>
      <c r="AM648" s="513"/>
      <c r="AN648" s="465"/>
      <c r="AO648" s="468" t="str">
        <f>РПЗ!AD648</f>
        <v>Нет</v>
      </c>
      <c r="AP648" s="472">
        <f>РПЗ!V648</f>
        <v>0</v>
      </c>
      <c r="AQ648" s="470">
        <f>IF(Таблица5[[#This Row],[11]]=0,,MONTH(Таблица5[[#This Row],[11]]))</f>
        <v>1</v>
      </c>
    </row>
    <row r="649" spans="1:43" ht="39" thickBot="1" x14ac:dyDescent="0.3">
      <c r="A649" s="233" t="str">
        <f t="shared" si="10"/>
        <v>1004-2017-00634</v>
      </c>
      <c r="B649" s="233" t="str">
        <f>РПЗ!$D649</f>
        <v>1004-2017-00634Плата ЖГДК.758773.011</v>
      </c>
      <c r="C649" s="233" t="str">
        <f>РПЗ!$AA649</f>
        <v>АО "НИИ "Полюс" им. М.Ф. Стельмаха" тел. отдела закупок 8-495-333-05-02</v>
      </c>
      <c r="D649" s="633" t="str">
        <f>РПЗ!$AB649</f>
        <v>Заказчик</v>
      </c>
      <c r="E649" s="510" t="s">
        <v>62</v>
      </c>
      <c r="F649" s="233" t="str">
        <f>РПЗ!Q649</f>
        <v>ЕП</v>
      </c>
      <c r="G649" s="237" t="str">
        <f>Таблица5[[#This Row],[6]]</f>
        <v>ЕП</v>
      </c>
      <c r="H649" s="237" t="str">
        <f>РПЗ!R649</f>
        <v>нет</v>
      </c>
      <c r="I649" s="15" t="str">
        <f>РПЗ!W649</f>
        <v>6.6.2(11)</v>
      </c>
      <c r="J649" s="233" t="str">
        <f>РПЗ!X649</f>
        <v>1826000616</v>
      </c>
      <c r="K649" s="283">
        <f>РПЗ!Z649</f>
        <v>955800</v>
      </c>
      <c r="L649" s="661" t="s">
        <v>2339</v>
      </c>
      <c r="M649" s="18">
        <f>РПЗ!O649</f>
        <v>42736</v>
      </c>
      <c r="N649" s="238">
        <f>Таблица5[[#This Row],[10]]</f>
        <v>42736</v>
      </c>
      <c r="O649" s="17"/>
      <c r="P649" s="17"/>
      <c r="Q649" s="17"/>
      <c r="R649" s="17"/>
      <c r="S649" s="17"/>
      <c r="T649" s="695" t="s">
        <v>2340</v>
      </c>
      <c r="U649" s="18">
        <f>РПЗ!P649</f>
        <v>42795</v>
      </c>
      <c r="V649" s="760">
        <v>42795</v>
      </c>
      <c r="W649" s="236">
        <f>РПЗ!L649</f>
        <v>955800</v>
      </c>
      <c r="X649" s="689">
        <v>1</v>
      </c>
      <c r="Y649" s="689">
        <v>0</v>
      </c>
      <c r="Z649" s="1055">
        <v>1826000616</v>
      </c>
      <c r="AA649" s="704" t="s">
        <v>2342</v>
      </c>
      <c r="AB649" s="700">
        <v>955800</v>
      </c>
      <c r="AC649" s="808">
        <v>42795</v>
      </c>
      <c r="AD649" s="810" t="s">
        <v>2343</v>
      </c>
      <c r="AE649" s="703" t="s">
        <v>2340</v>
      </c>
      <c r="AF649" s="474"/>
      <c r="AG649" s="827">
        <v>955800</v>
      </c>
      <c r="AH649" s="236">
        <f>IF(Таблица5[[#This Row],[30]]=0,"НД",Таблица5[[#This Row],[20]]-Таблица5[[#This Row],[30]])</f>
        <v>0</v>
      </c>
      <c r="AI649" s="511">
        <f>IF(((1-Таблица5[[#This Row],[30]]/Таблица5[[#This Row],[20]])=1),"НД",(1-Таблица5[[#This Row],[30]]/Таблица5[[#This Row],[20]]))</f>
        <v>0</v>
      </c>
      <c r="AJ649" s="111"/>
      <c r="AK649" s="111"/>
      <c r="AL649" s="512"/>
      <c r="AM649" s="513" t="s">
        <v>113</v>
      </c>
      <c r="AN649" s="801">
        <v>31704686386</v>
      </c>
      <c r="AO649" s="468" t="str">
        <f>РПЗ!AD649</f>
        <v>Нет</v>
      </c>
      <c r="AP649" s="472">
        <f>РПЗ!V649</f>
        <v>0</v>
      </c>
      <c r="AQ649" s="470">
        <f>IF(Таблица5[[#This Row],[11]]=0,,MONTH(Таблица5[[#This Row],[11]]))</f>
        <v>1</v>
      </c>
    </row>
    <row r="650" spans="1:43" ht="127.5" x14ac:dyDescent="0.25">
      <c r="A650" s="233" t="str">
        <f t="shared" si="10"/>
        <v>1004-2017-00635</v>
      </c>
      <c r="B650" s="233" t="str">
        <f>РПЗ!$D650</f>
        <v>1004-2017-00635Корректировка проектно-сметной документации, получение положительного заключения по результатам проведения государственной экспертизы, разработка рабочей документации "Реконструкция и техническое перевооружение производства" АО "НИИ "Полюс" им. М.Ф. Стельмаха."</v>
      </c>
      <c r="C650" s="233" t="str">
        <f>РПЗ!$AA650</f>
        <v>АО "НИИ "Полюс" им. М.Ф. Стельмаха" тел. отдела закупок 8-495-333-05-02</v>
      </c>
      <c r="D650" s="633" t="str">
        <f>РПЗ!$AB650</f>
        <v>Заказчик</v>
      </c>
      <c r="E650" s="96" t="s">
        <v>46</v>
      </c>
      <c r="F650" s="233" t="str">
        <f>РПЗ!Q650</f>
        <v>ОК</v>
      </c>
      <c r="G650" s="237"/>
      <c r="H650" s="237" t="str">
        <f>РПЗ!R650</f>
        <v>да</v>
      </c>
      <c r="I650" s="15">
        <f>РПЗ!W650</f>
        <v>0</v>
      </c>
      <c r="J650" s="233">
        <f>РПЗ!X650</f>
        <v>0</v>
      </c>
      <c r="K650" s="283">
        <f>РПЗ!Z650</f>
        <v>0</v>
      </c>
      <c r="L650" s="17"/>
      <c r="M650" s="18">
        <f>РПЗ!O650</f>
        <v>42736</v>
      </c>
      <c r="N650" s="238">
        <f>Таблица5[[#This Row],[10]]</f>
        <v>42736</v>
      </c>
      <c r="O650" s="17"/>
      <c r="P650" s="17"/>
      <c r="Q650" s="17"/>
      <c r="R650" s="17"/>
      <c r="S650" s="17"/>
      <c r="T650" s="686"/>
      <c r="U650" s="18">
        <f>РПЗ!P650</f>
        <v>42795</v>
      </c>
      <c r="V650" s="686"/>
      <c r="W650" s="236">
        <f>РПЗ!L650</f>
        <v>19000000</v>
      </c>
      <c r="X650" s="689"/>
      <c r="Y650" s="689"/>
      <c r="Z650" s="690"/>
      <c r="AA650" s="691"/>
      <c r="AB650" s="111"/>
      <c r="AC650" s="17"/>
      <c r="AD650" s="690"/>
      <c r="AE650" s="686"/>
      <c r="AF650" s="474"/>
      <c r="AG650" s="692"/>
      <c r="AH650" s="236" t="str">
        <f>IF(Таблица5[[#This Row],[30]]=0,"НД",Таблица5[[#This Row],[20]]-Таблица5[[#This Row],[30]])</f>
        <v>НД</v>
      </c>
      <c r="AI650" s="511" t="str">
        <f>IF(((1-Таблица5[[#This Row],[30]]/Таблица5[[#This Row],[20]])=1),"НД",(1-Таблица5[[#This Row],[30]]/Таблица5[[#This Row],[20]]))</f>
        <v>НД</v>
      </c>
      <c r="AJ650" s="111"/>
      <c r="AK650" s="111"/>
      <c r="AL650" s="512"/>
      <c r="AM650" s="513"/>
      <c r="AN650" s="465"/>
      <c r="AO650" s="468" t="str">
        <f>РПЗ!AD650</f>
        <v>Нет</v>
      </c>
      <c r="AP650" s="472">
        <f>РПЗ!V650</f>
        <v>0</v>
      </c>
      <c r="AQ650" s="470">
        <f>IF(Таблица5[[#This Row],[11]]=0,,MONTH(Таблица5[[#This Row],[11]]))</f>
        <v>1</v>
      </c>
    </row>
    <row r="651" spans="1:43" ht="76.5" x14ac:dyDescent="0.25">
      <c r="A651" s="233" t="str">
        <f t="shared" si="10"/>
        <v>1004-2017-00636</v>
      </c>
      <c r="B651" s="233" t="str">
        <f>РПЗ!$D651</f>
        <v>1004-2017-00636выполнение ремонтных работ в помещении 315 производственного участка, расположенного в Энергокорпусе АО "НИИ "Полюс" им. М.Ф. Стельмаха"</v>
      </c>
      <c r="C651" s="233" t="str">
        <f>РПЗ!$AA651</f>
        <v>АО "НИИ "Полюс" им. М.Ф. Стельмаха" тел. отдела закупок 8-495-333-05-02</v>
      </c>
      <c r="D651" s="633" t="str">
        <f>РПЗ!$AB651</f>
        <v>Заказчик</v>
      </c>
      <c r="E651" s="510" t="s">
        <v>62</v>
      </c>
      <c r="F651" s="233" t="str">
        <f>РПЗ!Q651</f>
        <v>ОК</v>
      </c>
      <c r="G651" s="237" t="str">
        <f>Таблица5[[#This Row],[6]]</f>
        <v>ОК</v>
      </c>
      <c r="H651" s="237" t="str">
        <f>РПЗ!R651</f>
        <v>да</v>
      </c>
      <c r="I651" s="15">
        <f>РПЗ!W651</f>
        <v>0</v>
      </c>
      <c r="J651" s="233">
        <f>РПЗ!X651</f>
        <v>0</v>
      </c>
      <c r="K651" s="283">
        <f>РПЗ!Z651</f>
        <v>0</v>
      </c>
      <c r="L651" s="17">
        <v>42765</v>
      </c>
      <c r="M651" s="18">
        <f>РПЗ!O651</f>
        <v>42736</v>
      </c>
      <c r="N651" s="238">
        <f>Таблица5[[#This Row],[10]]</f>
        <v>42736</v>
      </c>
      <c r="O651" s="17">
        <v>42788</v>
      </c>
      <c r="P651" s="17">
        <v>42795</v>
      </c>
      <c r="Q651" s="17">
        <v>42795</v>
      </c>
      <c r="R651" s="17">
        <v>42793</v>
      </c>
      <c r="S651" s="17">
        <v>42793</v>
      </c>
      <c r="T651" s="686">
        <v>42836</v>
      </c>
      <c r="U651" s="18">
        <f>РПЗ!P651</f>
        <v>42795</v>
      </c>
      <c r="V651" s="761">
        <v>42856</v>
      </c>
      <c r="W651" s="236">
        <f>РПЗ!L651</f>
        <v>2110000</v>
      </c>
      <c r="X651" s="689">
        <v>1</v>
      </c>
      <c r="Y651" s="689">
        <v>0</v>
      </c>
      <c r="Z651" s="691">
        <v>7743591349</v>
      </c>
      <c r="AA651" s="691" t="s">
        <v>3319</v>
      </c>
      <c r="AB651" s="111">
        <v>1897945</v>
      </c>
      <c r="AC651" s="17">
        <v>42856</v>
      </c>
      <c r="AD651" s="690" t="s">
        <v>3320</v>
      </c>
      <c r="AE651" s="686">
        <v>42836</v>
      </c>
      <c r="AF651" s="474"/>
      <c r="AG651" s="691">
        <v>1897945</v>
      </c>
      <c r="AH651" s="236">
        <f>IF(Таблица5[[#This Row],[30]]=0,"НД",Таблица5[[#This Row],[20]]-Таблица5[[#This Row],[30]])</f>
        <v>212055</v>
      </c>
      <c r="AI651" s="511">
        <f>IF(((1-Таблица5[[#This Row],[30]]/Таблица5[[#This Row],[20]])=1),"НД",(1-Таблица5[[#This Row],[30]]/Таблица5[[#This Row],[20]]))</f>
        <v>0.10050000000000003</v>
      </c>
      <c r="AJ651" s="111"/>
      <c r="AK651" s="111"/>
      <c r="AL651" s="512"/>
      <c r="AM651" s="513" t="s">
        <v>113</v>
      </c>
      <c r="AN651" s="801">
        <v>31704723086</v>
      </c>
      <c r="AO651" s="468" t="str">
        <f>РПЗ!AD651</f>
        <v>Нет</v>
      </c>
      <c r="AP651" s="472">
        <f>РПЗ!V651</f>
        <v>0</v>
      </c>
      <c r="AQ651" s="470">
        <f>IF(Таблица5[[#This Row],[11]]=0,,MONTH(Таблица5[[#This Row],[11]]))</f>
        <v>1</v>
      </c>
    </row>
    <row r="652" spans="1:43" ht="102" x14ac:dyDescent="0.25">
      <c r="A652" s="233" t="str">
        <f t="shared" si="10"/>
        <v>1004-2017-00637</v>
      </c>
      <c r="B652" s="233" t="str">
        <f>РПЗ!$D652</f>
        <v>1004-2017-00637выполнение строительно-монтажных работ по реализации проектных решений с целью создания производственных участков в Лабораторно-производственном корпусе в АО "НИИ "Полюс" им. М.Ф. Стельмаха (БМД)</v>
      </c>
      <c r="C652" s="233" t="str">
        <f>РПЗ!$AA652</f>
        <v>АО "НИИ "Полюс" им. М.Ф. Стельмаха" тел. отдела закупок 8-495-333-05-02</v>
      </c>
      <c r="D652" s="633" t="str">
        <f>РПЗ!$AB652</f>
        <v>Заказчик</v>
      </c>
      <c r="E652" s="510" t="s">
        <v>59</v>
      </c>
      <c r="F652" s="233" t="str">
        <f>РПЗ!Q652</f>
        <v>ОК</v>
      </c>
      <c r="G652" s="237" t="s">
        <v>110</v>
      </c>
      <c r="H652" s="237" t="str">
        <f>РПЗ!R652</f>
        <v>да</v>
      </c>
      <c r="I652" s="15">
        <f>РПЗ!W652</f>
        <v>0</v>
      </c>
      <c r="J652" s="233">
        <f>РПЗ!X652</f>
        <v>0</v>
      </c>
      <c r="K652" s="283">
        <f>РПЗ!Z652</f>
        <v>0</v>
      </c>
      <c r="L652" s="17">
        <v>42866</v>
      </c>
      <c r="M652" s="18">
        <f>РПЗ!O652</f>
        <v>42856</v>
      </c>
      <c r="N652" s="238">
        <f>Таблица5[[#This Row],[10]]</f>
        <v>42856</v>
      </c>
      <c r="O652" s="17">
        <v>42888</v>
      </c>
      <c r="P652" s="17">
        <v>42894</v>
      </c>
      <c r="Q652" s="17">
        <v>42894</v>
      </c>
      <c r="R652" s="17">
        <v>42901</v>
      </c>
      <c r="S652" s="17">
        <v>42901</v>
      </c>
      <c r="T652" s="686">
        <v>42909</v>
      </c>
      <c r="U652" s="18">
        <f>РПЗ!P652</f>
        <v>43040</v>
      </c>
      <c r="V652" s="686">
        <v>42948</v>
      </c>
      <c r="W652" s="236">
        <f>РПЗ!L652</f>
        <v>13100000</v>
      </c>
      <c r="X652" s="689">
        <v>1</v>
      </c>
      <c r="Y652" s="689">
        <v>0</v>
      </c>
      <c r="Z652" s="691">
        <v>7715784959</v>
      </c>
      <c r="AA652" s="691" t="s">
        <v>6116</v>
      </c>
      <c r="AB652" s="111">
        <v>12838000</v>
      </c>
      <c r="AC652" s="17">
        <v>42948</v>
      </c>
      <c r="AD652" s="690" t="s">
        <v>6115</v>
      </c>
      <c r="AE652" s="686">
        <v>42909</v>
      </c>
      <c r="AF652" s="474"/>
      <c r="AG652" s="692">
        <v>12838000</v>
      </c>
      <c r="AH652" s="236">
        <f>IF(Таблица5[[#This Row],[30]]=0,"НД",Таблица5[[#This Row],[20]]-Таблица5[[#This Row],[30]])</f>
        <v>262000</v>
      </c>
      <c r="AI652" s="511">
        <f>IF(((1-Таблица5[[#This Row],[30]]/Таблица5[[#This Row],[20]])=1),"НД",(1-Таблица5[[#This Row],[30]]/Таблица5[[#This Row],[20]]))</f>
        <v>2.0000000000000018E-2</v>
      </c>
      <c r="AJ652" s="111">
        <v>12838000</v>
      </c>
      <c r="AK652" s="111"/>
      <c r="AL652" s="512"/>
      <c r="AM652" s="513" t="s">
        <v>113</v>
      </c>
      <c r="AN652" s="801">
        <v>31705099447</v>
      </c>
      <c r="AO652" s="468" t="str">
        <f>РПЗ!AD652</f>
        <v>Нет</v>
      </c>
      <c r="AP652" s="472">
        <f>РПЗ!V652</f>
        <v>0</v>
      </c>
      <c r="AQ652" s="470">
        <f>IF(Таблица5[[#This Row],[11]]=0,,MONTH(Таблица5[[#This Row],[11]]))</f>
        <v>5</v>
      </c>
    </row>
    <row r="653" spans="1:43" ht="77.25" thickBot="1" x14ac:dyDescent="0.3">
      <c r="A653" s="233" t="str">
        <f t="shared" si="10"/>
        <v>1004-2017-00638</v>
      </c>
      <c r="B653" s="233" t="str">
        <f>РПЗ!$D653</f>
        <v>1004-2017-00638реализация проектных решений по реконструкции помещений 3-го этажа Лабораторного корпуса по теме "Глонасс" в АО "НИИ "Полюс" им. М.Ф. Стельмаха</v>
      </c>
      <c r="C653" s="233" t="str">
        <f>РПЗ!$AA653</f>
        <v>АО "НИИ "Полюс" им. М.Ф. Стельмаха" тел. отдела закупок 8-495-333-05-02</v>
      </c>
      <c r="D653" s="633" t="str">
        <f>РПЗ!$AB653</f>
        <v>Заказчик</v>
      </c>
      <c r="E653" s="510" t="s">
        <v>59</v>
      </c>
      <c r="F653" s="233" t="str">
        <f>РПЗ!Q653</f>
        <v>ОК</v>
      </c>
      <c r="G653" s="237" t="s">
        <v>110</v>
      </c>
      <c r="H653" s="237" t="str">
        <f>РПЗ!R653</f>
        <v>да</v>
      </c>
      <c r="I653" s="15">
        <f>РПЗ!W653</f>
        <v>0</v>
      </c>
      <c r="J653" s="233">
        <f>РПЗ!X653</f>
        <v>0</v>
      </c>
      <c r="K653" s="283">
        <f>РПЗ!Z653</f>
        <v>0</v>
      </c>
      <c r="L653" s="17">
        <v>42866</v>
      </c>
      <c r="M653" s="18">
        <f>РПЗ!O653</f>
        <v>42856</v>
      </c>
      <c r="N653" s="238">
        <f>Таблица5[[#This Row],[10]]</f>
        <v>42856</v>
      </c>
      <c r="O653" s="17">
        <v>42888</v>
      </c>
      <c r="P653" s="17">
        <v>42894</v>
      </c>
      <c r="Q653" s="17">
        <v>42894</v>
      </c>
      <c r="R653" s="17">
        <v>42901</v>
      </c>
      <c r="S653" s="17">
        <v>42901</v>
      </c>
      <c r="T653" s="686">
        <v>42909</v>
      </c>
      <c r="U653" s="18">
        <f>РПЗ!P653</f>
        <v>43070</v>
      </c>
      <c r="V653" s="686">
        <v>42948</v>
      </c>
      <c r="W653" s="236">
        <f>РПЗ!L653</f>
        <v>14200000</v>
      </c>
      <c r="X653" s="689">
        <v>1</v>
      </c>
      <c r="Y653" s="689">
        <v>0</v>
      </c>
      <c r="Z653" s="691">
        <v>7715784959</v>
      </c>
      <c r="AA653" s="691" t="s">
        <v>6112</v>
      </c>
      <c r="AB653" s="111">
        <v>13921568.619999999</v>
      </c>
      <c r="AC653" s="17">
        <v>42948</v>
      </c>
      <c r="AD653" s="690" t="s">
        <v>6113</v>
      </c>
      <c r="AE653" s="686">
        <v>42909</v>
      </c>
      <c r="AF653" s="474"/>
      <c r="AG653" s="692">
        <v>13921568.619999999</v>
      </c>
      <c r="AH653" s="236">
        <f>IF(Таблица5[[#This Row],[30]]=0,"НД",Таблица5[[#This Row],[20]]-Таблица5[[#This Row],[30]])</f>
        <v>278431.38000000082</v>
      </c>
      <c r="AI653" s="511">
        <f>IF(((1-Таблица5[[#This Row],[30]]/Таблица5[[#This Row],[20]])=1),"НД",(1-Таблица5[[#This Row],[30]]/Таблица5[[#This Row],[20]]))</f>
        <v>1.960784366197188E-2</v>
      </c>
      <c r="AJ653" s="111">
        <v>13921568.619999999</v>
      </c>
      <c r="AK653" s="111"/>
      <c r="AL653" s="512"/>
      <c r="AM653" s="513" t="s">
        <v>113</v>
      </c>
      <c r="AN653" s="801">
        <v>31705099465</v>
      </c>
      <c r="AO653" s="468" t="str">
        <f>РПЗ!AD653</f>
        <v>Нет</v>
      </c>
      <c r="AP653" s="472">
        <f>РПЗ!V653</f>
        <v>0</v>
      </c>
      <c r="AQ653" s="470">
        <f>IF(Таблица5[[#This Row],[11]]=0,,MONTH(Таблица5[[#This Row],[11]]))</f>
        <v>5</v>
      </c>
    </row>
    <row r="654" spans="1:43" ht="90" thickBot="1" x14ac:dyDescent="0.3">
      <c r="A654" s="233" t="str">
        <f t="shared" si="10"/>
        <v>1004-2017-00639</v>
      </c>
      <c r="B654" s="233" t="str">
        <f>РПЗ!$D654</f>
        <v>1004-2017-00639разработка проекно-сметной документации по реконструкции помещения для размещения  столовой полного цикла, располагаемой на 3-ем этаже Бытового корпуса в АО "НИИ "Полюс" им. М.Ф. Стельмаха."</v>
      </c>
      <c r="C654" s="233" t="str">
        <f>РПЗ!$AA654</f>
        <v>АО "НИИ "Полюс" им. М.Ф. Стельмаха" тел. отдела закупок 8-495-333-05-02</v>
      </c>
      <c r="D654" s="633" t="str">
        <f>РПЗ!$AB654</f>
        <v>Заказчик</v>
      </c>
      <c r="E654" s="96" t="s">
        <v>46</v>
      </c>
      <c r="F654" s="233" t="str">
        <f>РПЗ!Q654</f>
        <v>ОК</v>
      </c>
      <c r="G654" s="237"/>
      <c r="H654" s="237" t="str">
        <f>РПЗ!R654</f>
        <v>да</v>
      </c>
      <c r="I654" s="15">
        <f>РПЗ!W654</f>
        <v>0</v>
      </c>
      <c r="J654" s="233">
        <f>РПЗ!X654</f>
        <v>0</v>
      </c>
      <c r="K654" s="283">
        <f>РПЗ!Z654</f>
        <v>0</v>
      </c>
      <c r="L654" s="17"/>
      <c r="M654" s="18">
        <f>РПЗ!O654</f>
        <v>42736</v>
      </c>
      <c r="N654" s="238">
        <f>Таблица5[[#This Row],[10]]</f>
        <v>42736</v>
      </c>
      <c r="O654" s="17"/>
      <c r="P654" s="17"/>
      <c r="Q654" s="17"/>
      <c r="R654" s="17"/>
      <c r="S654" s="17"/>
      <c r="T654" s="686"/>
      <c r="U654" s="18">
        <f>РПЗ!P654</f>
        <v>42795</v>
      </c>
      <c r="V654" s="686"/>
      <c r="W654" s="236">
        <f>РПЗ!L654</f>
        <v>1180538</v>
      </c>
      <c r="X654" s="689"/>
      <c r="Y654" s="689"/>
      <c r="Z654" s="690"/>
      <c r="AA654" s="691"/>
      <c r="AB654" s="111"/>
      <c r="AC654" s="17"/>
      <c r="AD654" s="690"/>
      <c r="AE654" s="686"/>
      <c r="AF654" s="474"/>
      <c r="AG654" s="692"/>
      <c r="AH654" s="236" t="str">
        <f>IF(Таблица5[[#This Row],[30]]=0,"НД",Таблица5[[#This Row],[20]]-Таблица5[[#This Row],[30]])</f>
        <v>НД</v>
      </c>
      <c r="AI654" s="511" t="str">
        <f>IF(((1-Таблица5[[#This Row],[30]]/Таблица5[[#This Row],[20]])=1),"НД",(1-Таблица5[[#This Row],[30]]/Таблица5[[#This Row],[20]]))</f>
        <v>НД</v>
      </c>
      <c r="AJ654" s="111"/>
      <c r="AK654" s="111"/>
      <c r="AL654" s="512"/>
      <c r="AM654" s="513"/>
      <c r="AN654" s="465"/>
      <c r="AO654" s="468" t="str">
        <f>РПЗ!AD654</f>
        <v>Нет</v>
      </c>
      <c r="AP654" s="472">
        <f>РПЗ!V654</f>
        <v>0</v>
      </c>
      <c r="AQ654" s="470">
        <f>IF(Таблица5[[#This Row],[11]]=0,,MONTH(Таблица5[[#This Row],[11]]))</f>
        <v>1</v>
      </c>
    </row>
    <row r="655" spans="1:43" ht="90" thickBot="1" x14ac:dyDescent="0.3">
      <c r="A655" s="233" t="str">
        <f t="shared" si="10"/>
        <v>1004-2017-00640</v>
      </c>
      <c r="B655" s="233" t="str">
        <f>РПЗ!$D655</f>
        <v>1004-2017-00640реализация проектных решений по реконструкции помещения для размещения столовой полного цикла, располагаемой на 3-ем этаже Бытового корпуса в АО "НИИ "Полюс" им. М.Ф. Стельмаха."</v>
      </c>
      <c r="C655" s="233" t="str">
        <f>РПЗ!$AA655</f>
        <v>АО "НИИ "Полюс" им. М.Ф. Стельмаха" тел. отдела закупок 8-495-333-05-02</v>
      </c>
      <c r="D655" s="633" t="str">
        <f>РПЗ!$AB655</f>
        <v>Заказчик</v>
      </c>
      <c r="E655" s="96" t="s">
        <v>46</v>
      </c>
      <c r="F655" s="233" t="str">
        <f>РПЗ!Q655</f>
        <v>ОК</v>
      </c>
      <c r="G655" s="237"/>
      <c r="H655" s="237" t="str">
        <f>РПЗ!R655</f>
        <v>да</v>
      </c>
      <c r="I655" s="15">
        <f>РПЗ!W655</f>
        <v>0</v>
      </c>
      <c r="J655" s="233">
        <f>РПЗ!X655</f>
        <v>0</v>
      </c>
      <c r="K655" s="283">
        <f>РПЗ!Z655</f>
        <v>0</v>
      </c>
      <c r="L655" s="17"/>
      <c r="M655" s="18">
        <f>РПЗ!O655</f>
        <v>42795</v>
      </c>
      <c r="N655" s="238">
        <f>Таблица5[[#This Row],[10]]</f>
        <v>42795</v>
      </c>
      <c r="O655" s="17"/>
      <c r="P655" s="17"/>
      <c r="Q655" s="17"/>
      <c r="R655" s="17"/>
      <c r="S655" s="17"/>
      <c r="T655" s="686"/>
      <c r="U655" s="18">
        <f>РПЗ!P655</f>
        <v>42887</v>
      </c>
      <c r="V655" s="686"/>
      <c r="W655" s="236">
        <f>РПЗ!L655</f>
        <v>8000000</v>
      </c>
      <c r="X655" s="689"/>
      <c r="Y655" s="689"/>
      <c r="Z655" s="690"/>
      <c r="AA655" s="691"/>
      <c r="AB655" s="111"/>
      <c r="AC655" s="17"/>
      <c r="AD655" s="690"/>
      <c r="AE655" s="686"/>
      <c r="AF655" s="474"/>
      <c r="AG655" s="692"/>
      <c r="AH655" s="236" t="str">
        <f>IF(Таблица5[[#This Row],[30]]=0,"НД",Таблица5[[#This Row],[20]]-Таблица5[[#This Row],[30]])</f>
        <v>НД</v>
      </c>
      <c r="AI655" s="511" t="str">
        <f>IF(((1-Таблица5[[#This Row],[30]]/Таблица5[[#This Row],[20]])=1),"НД",(1-Таблица5[[#This Row],[30]]/Таблица5[[#This Row],[20]]))</f>
        <v>НД</v>
      </c>
      <c r="AJ655" s="111"/>
      <c r="AK655" s="111"/>
      <c r="AL655" s="512"/>
      <c r="AM655" s="513"/>
      <c r="AN655" s="465"/>
      <c r="AO655" s="468" t="str">
        <f>РПЗ!AD655</f>
        <v>Нет</v>
      </c>
      <c r="AP655" s="472">
        <f>РПЗ!V655</f>
        <v>0</v>
      </c>
      <c r="AQ655" s="470">
        <f>IF(Таблица5[[#This Row],[11]]=0,,MONTH(Таблица5[[#This Row],[11]]))</f>
        <v>3</v>
      </c>
    </row>
    <row r="656" spans="1:43" ht="90" thickBot="1" x14ac:dyDescent="0.3">
      <c r="A656" s="233" t="str">
        <f t="shared" si="10"/>
        <v>1004-2017-00641</v>
      </c>
      <c r="B656" s="233" t="str">
        <f>РПЗ!$D656</f>
        <v>1004-2017-00641выполнение строительно-монтажных работ  по реализации проектных решений с целью создания производственного участка в Производственном корпусе в АО "НИИ "Полюс" им. М.Ф. Стельмаха"</v>
      </c>
      <c r="C656" s="233" t="str">
        <f>РПЗ!$AA656</f>
        <v>АО "НИИ "Полюс" им. М.Ф. Стельмаха" тел. отдела закупок 8-495-333-05-02</v>
      </c>
      <c r="D656" s="633" t="str">
        <f>РПЗ!$AB656</f>
        <v>Заказчик</v>
      </c>
      <c r="E656" s="96" t="s">
        <v>46</v>
      </c>
      <c r="F656" s="233" t="str">
        <f>РПЗ!Q656</f>
        <v>ОК</v>
      </c>
      <c r="G656" s="237"/>
      <c r="H656" s="237" t="str">
        <f>РПЗ!R656</f>
        <v>да</v>
      </c>
      <c r="I656" s="15">
        <f>РПЗ!W656</f>
        <v>0</v>
      </c>
      <c r="J656" s="233">
        <f>РПЗ!X656</f>
        <v>0</v>
      </c>
      <c r="K656" s="283">
        <f>РПЗ!Z656</f>
        <v>0</v>
      </c>
      <c r="L656" s="17"/>
      <c r="M656" s="18">
        <f>РПЗ!O656</f>
        <v>42767</v>
      </c>
      <c r="N656" s="238">
        <f>Таблица5[[#This Row],[10]]</f>
        <v>42767</v>
      </c>
      <c r="O656" s="17"/>
      <c r="P656" s="17"/>
      <c r="Q656" s="17"/>
      <c r="R656" s="17"/>
      <c r="S656" s="17"/>
      <c r="T656" s="686"/>
      <c r="U656" s="18">
        <f>РПЗ!P656</f>
        <v>42887</v>
      </c>
      <c r="V656" s="686"/>
      <c r="W656" s="236">
        <f>РПЗ!L656</f>
        <v>67200000</v>
      </c>
      <c r="X656" s="689"/>
      <c r="Y656" s="689"/>
      <c r="Z656" s="690"/>
      <c r="AA656" s="691"/>
      <c r="AB656" s="111"/>
      <c r="AC656" s="17"/>
      <c r="AD656" s="690"/>
      <c r="AE656" s="686"/>
      <c r="AF656" s="474"/>
      <c r="AG656" s="692"/>
      <c r="AH656" s="236" t="str">
        <f>IF(Таблица5[[#This Row],[30]]=0,"НД",Таблица5[[#This Row],[20]]-Таблица5[[#This Row],[30]])</f>
        <v>НД</v>
      </c>
      <c r="AI656" s="511" t="str">
        <f>IF(((1-Таблица5[[#This Row],[30]]/Таблица5[[#This Row],[20]])=1),"НД",(1-Таблица5[[#This Row],[30]]/Таблица5[[#This Row],[20]]))</f>
        <v>НД</v>
      </c>
      <c r="AJ656" s="111"/>
      <c r="AK656" s="111"/>
      <c r="AL656" s="512"/>
      <c r="AM656" s="513"/>
      <c r="AN656" s="465"/>
      <c r="AO656" s="468" t="str">
        <f>РПЗ!AD656</f>
        <v>Нет</v>
      </c>
      <c r="AP656" s="472">
        <f>РПЗ!V656</f>
        <v>0</v>
      </c>
      <c r="AQ656" s="470">
        <f>IF(Таблица5[[#This Row],[11]]=0,,MONTH(Таблица5[[#This Row],[11]]))</f>
        <v>2</v>
      </c>
    </row>
    <row r="657" spans="1:43" ht="90" thickBot="1" x14ac:dyDescent="0.3">
      <c r="A657" s="233" t="str">
        <f t="shared" si="10"/>
        <v>1004-2017-00642</v>
      </c>
      <c r="B657" s="233" t="str">
        <f>РПЗ!$D657</f>
        <v>1004-2017-00642выполнение строительно-монтажных работ  по реализации проектных решений с целью создания производственного участка в Лабораторно-производственном корпусе в АО "НИИ "Полюс" им. М.Ф. Стельмаха"</v>
      </c>
      <c r="C657" s="233" t="str">
        <f>РПЗ!$AA657</f>
        <v>АО "НИИ "Полюс" им. М.Ф. Стельмаха" тел. отдела закупок 8-495-333-05-02</v>
      </c>
      <c r="D657" s="633" t="str">
        <f>РПЗ!$AB657</f>
        <v>Заказчик</v>
      </c>
      <c r="E657" s="96" t="s">
        <v>46</v>
      </c>
      <c r="F657" s="233" t="str">
        <f>РПЗ!Q657</f>
        <v>ОК</v>
      </c>
      <c r="G657" s="237"/>
      <c r="H657" s="237" t="str">
        <f>РПЗ!R657</f>
        <v>да</v>
      </c>
      <c r="I657" s="15">
        <f>РПЗ!W657</f>
        <v>0</v>
      </c>
      <c r="J657" s="233">
        <f>РПЗ!X657</f>
        <v>0</v>
      </c>
      <c r="K657" s="283">
        <f>РПЗ!Z657</f>
        <v>0</v>
      </c>
      <c r="L657" s="17"/>
      <c r="M657" s="18">
        <f>РПЗ!O657</f>
        <v>42767</v>
      </c>
      <c r="N657" s="238">
        <f>Таблица5[[#This Row],[10]]</f>
        <v>42767</v>
      </c>
      <c r="O657" s="17"/>
      <c r="P657" s="17"/>
      <c r="Q657" s="17"/>
      <c r="R657" s="17"/>
      <c r="S657" s="17"/>
      <c r="T657" s="686"/>
      <c r="U657" s="18">
        <f>РПЗ!P657</f>
        <v>42887</v>
      </c>
      <c r="V657" s="686"/>
      <c r="W657" s="236">
        <f>РПЗ!L657</f>
        <v>79500000</v>
      </c>
      <c r="X657" s="689"/>
      <c r="Y657" s="689"/>
      <c r="Z657" s="690"/>
      <c r="AA657" s="691"/>
      <c r="AB657" s="111"/>
      <c r="AC657" s="17"/>
      <c r="AD657" s="690"/>
      <c r="AE657" s="686"/>
      <c r="AF657" s="474"/>
      <c r="AG657" s="692"/>
      <c r="AH657" s="236" t="str">
        <f>IF(Таблица5[[#This Row],[30]]=0,"НД",Таблица5[[#This Row],[20]]-Таблица5[[#This Row],[30]])</f>
        <v>НД</v>
      </c>
      <c r="AI657" s="511" t="str">
        <f>IF(((1-Таблица5[[#This Row],[30]]/Таблица5[[#This Row],[20]])=1),"НД",(1-Таблица5[[#This Row],[30]]/Таблица5[[#This Row],[20]]))</f>
        <v>НД</v>
      </c>
      <c r="AJ657" s="111"/>
      <c r="AK657" s="111"/>
      <c r="AL657" s="512"/>
      <c r="AM657" s="513"/>
      <c r="AN657" s="465"/>
      <c r="AO657" s="468" t="str">
        <f>РПЗ!AD657</f>
        <v>Нет</v>
      </c>
      <c r="AP657" s="472">
        <f>РПЗ!V657</f>
        <v>0</v>
      </c>
      <c r="AQ657" s="470">
        <f>IF(Таблица5[[#This Row],[11]]=0,,MONTH(Таблица5[[#This Row],[11]]))</f>
        <v>2</v>
      </c>
    </row>
    <row r="658" spans="1:43" ht="77.25" thickBot="1" x14ac:dyDescent="0.3">
      <c r="A658" s="233" t="str">
        <f t="shared" si="10"/>
        <v>1004-2017-00643</v>
      </c>
      <c r="B658" s="233" t="str">
        <f>РПЗ!$D658</f>
        <v>1004-2017-00643реализация проектных решений по обустройству системы дымоудаления на 1-ом этаже вспомогательного корпуса в АО "НИИ "Полюс" им. М.Ф. Стельмаха."</v>
      </c>
      <c r="C658" s="233" t="str">
        <f>РПЗ!$AA658</f>
        <v>АО "НИИ "Полюс" им. М.Ф. Стельмаха" тел. отдела закупок 8-495-333-05-02</v>
      </c>
      <c r="D658" s="633" t="str">
        <f>РПЗ!$AB658</f>
        <v>Заказчик</v>
      </c>
      <c r="E658" s="96" t="s">
        <v>46</v>
      </c>
      <c r="F658" s="233" t="str">
        <f>РПЗ!Q658</f>
        <v>ОК</v>
      </c>
      <c r="G658" s="237"/>
      <c r="H658" s="237" t="str">
        <f>РПЗ!R658</f>
        <v>да</v>
      </c>
      <c r="I658" s="15">
        <f>РПЗ!W658</f>
        <v>0</v>
      </c>
      <c r="J658" s="233">
        <f>РПЗ!X658</f>
        <v>0</v>
      </c>
      <c r="K658" s="283">
        <f>РПЗ!Z658</f>
        <v>0</v>
      </c>
      <c r="L658" s="17"/>
      <c r="M658" s="18">
        <f>РПЗ!O658</f>
        <v>42767</v>
      </c>
      <c r="N658" s="238">
        <f>Таблица5[[#This Row],[10]]</f>
        <v>42767</v>
      </c>
      <c r="O658" s="17"/>
      <c r="P658" s="17"/>
      <c r="Q658" s="17"/>
      <c r="R658" s="17"/>
      <c r="S658" s="17"/>
      <c r="T658" s="686"/>
      <c r="U658" s="18">
        <f>РПЗ!P658</f>
        <v>42795</v>
      </c>
      <c r="V658" s="686"/>
      <c r="W658" s="236">
        <f>РПЗ!L658</f>
        <v>3000000</v>
      </c>
      <c r="X658" s="689"/>
      <c r="Y658" s="689"/>
      <c r="Z658" s="690"/>
      <c r="AA658" s="691"/>
      <c r="AB658" s="111"/>
      <c r="AC658" s="17"/>
      <c r="AD658" s="690"/>
      <c r="AE658" s="686"/>
      <c r="AF658" s="474"/>
      <c r="AG658" s="692"/>
      <c r="AH658" s="236" t="str">
        <f>IF(Таблица5[[#This Row],[30]]=0,"НД",Таблица5[[#This Row],[20]]-Таблица5[[#This Row],[30]])</f>
        <v>НД</v>
      </c>
      <c r="AI658" s="511" t="str">
        <f>IF(((1-Таблица5[[#This Row],[30]]/Таблица5[[#This Row],[20]])=1),"НД",(1-Таблица5[[#This Row],[30]]/Таблица5[[#This Row],[20]]))</f>
        <v>НД</v>
      </c>
      <c r="AJ658" s="111"/>
      <c r="AK658" s="111"/>
      <c r="AL658" s="512"/>
      <c r="AM658" s="513"/>
      <c r="AN658" s="465"/>
      <c r="AO658" s="468" t="str">
        <f>РПЗ!AD658</f>
        <v>Нет</v>
      </c>
      <c r="AP658" s="472">
        <f>РПЗ!V658</f>
        <v>0</v>
      </c>
      <c r="AQ658" s="470">
        <f>IF(Таблица5[[#This Row],[11]]=0,,MONTH(Таблица5[[#This Row],[11]]))</f>
        <v>2</v>
      </c>
    </row>
    <row r="659" spans="1:43" ht="166.5" thickBot="1" x14ac:dyDescent="0.3">
      <c r="A659" s="233" t="str">
        <f t="shared" si="10"/>
        <v>1004-2017-00644</v>
      </c>
      <c r="B659" s="233" t="str">
        <f>РПЗ!$D659</f>
        <v>1004-2017-00644выполнение строительно-монтажных работ по реализации проектных решений в разделах конструктивно-планировочных, водоснабжения и водоотведения, технологических газов и систем пожарной безопасности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v>
      </c>
      <c r="C659" s="233" t="str">
        <f>РПЗ!$AA659</f>
        <v>АО "НИИ "Полюс" им. М.Ф. Стельмаха" тел. отдела закупок 8-495-333-05-02</v>
      </c>
      <c r="D659" s="633" t="str">
        <f>РПЗ!$AB659</f>
        <v>Заказчик</v>
      </c>
      <c r="E659" s="96" t="s">
        <v>46</v>
      </c>
      <c r="F659" s="233" t="str">
        <f>РПЗ!Q659</f>
        <v>ОК</v>
      </c>
      <c r="G659" s="237"/>
      <c r="H659" s="237" t="str">
        <f>РПЗ!R659</f>
        <v>да</v>
      </c>
      <c r="I659" s="15">
        <f>РПЗ!W659</f>
        <v>0</v>
      </c>
      <c r="J659" s="233">
        <f>РПЗ!X659</f>
        <v>0</v>
      </c>
      <c r="K659" s="283">
        <f>РПЗ!Z659</f>
        <v>0</v>
      </c>
      <c r="L659" s="17"/>
      <c r="M659" s="18">
        <f>РПЗ!O659</f>
        <v>42767</v>
      </c>
      <c r="N659" s="238">
        <f>Таблица5[[#This Row],[10]]</f>
        <v>42767</v>
      </c>
      <c r="O659" s="17"/>
      <c r="P659" s="17"/>
      <c r="Q659" s="17"/>
      <c r="R659" s="17"/>
      <c r="S659" s="17"/>
      <c r="T659" s="686"/>
      <c r="U659" s="18">
        <f>РПЗ!P659</f>
        <v>42887</v>
      </c>
      <c r="V659" s="686"/>
      <c r="W659" s="236">
        <f>РПЗ!L659</f>
        <v>95100000</v>
      </c>
      <c r="X659" s="689"/>
      <c r="Y659" s="689"/>
      <c r="Z659" s="690"/>
      <c r="AA659" s="691"/>
      <c r="AB659" s="111"/>
      <c r="AC659" s="17"/>
      <c r="AD659" s="690"/>
      <c r="AE659" s="686"/>
      <c r="AF659" s="474"/>
      <c r="AG659" s="692"/>
      <c r="AH659" s="236" t="str">
        <f>IF(Таблица5[[#This Row],[30]]=0,"НД",Таблица5[[#This Row],[20]]-Таблица5[[#This Row],[30]])</f>
        <v>НД</v>
      </c>
      <c r="AI659" s="511" t="str">
        <f>IF(((1-Таблица5[[#This Row],[30]]/Таблица5[[#This Row],[20]])=1),"НД",(1-Таблица5[[#This Row],[30]]/Таблица5[[#This Row],[20]]))</f>
        <v>НД</v>
      </c>
      <c r="AJ659" s="111"/>
      <c r="AK659" s="111"/>
      <c r="AL659" s="512"/>
      <c r="AM659" s="513"/>
      <c r="AN659" s="465"/>
      <c r="AO659" s="468" t="str">
        <f>РПЗ!AD659</f>
        <v>Нет</v>
      </c>
      <c r="AP659" s="472">
        <f>РПЗ!V659</f>
        <v>0</v>
      </c>
      <c r="AQ659" s="470">
        <f>IF(Таблица5[[#This Row],[11]]=0,,MONTH(Таблица5[[#This Row],[11]]))</f>
        <v>2</v>
      </c>
    </row>
    <row r="660" spans="1:43" ht="166.5" thickBot="1" x14ac:dyDescent="0.3">
      <c r="A660" s="233" t="str">
        <f t="shared" si="10"/>
        <v>1004-2017-00645</v>
      </c>
      <c r="B660" s="233" t="str">
        <f>РПЗ!$D660</f>
        <v>1004-2017-00645выполнение строительно-монтажных работ по реализации проектных решений в разделах электроснабжения, отопления, вентиляции и кондиционирования, тепловых сетей и автоматизации систем вентиляции  в части реконструкции и технического перевооружения в  Лабораторном корпусе для создания участков производства лазерных датчиков  в АО "НИИ "Полюс" им. М.Ф. Стельмаха"</v>
      </c>
      <c r="C660" s="233" t="str">
        <f>РПЗ!$AA660</f>
        <v>АО "НИИ "Полюс" им. М.Ф. Стельмаха" тел. отдела закупок 8-495-333-05-02</v>
      </c>
      <c r="D660" s="633" t="str">
        <f>РПЗ!$AB660</f>
        <v>Заказчик</v>
      </c>
      <c r="E660" s="96" t="s">
        <v>46</v>
      </c>
      <c r="F660" s="233" t="str">
        <f>РПЗ!Q660</f>
        <v>ОК</v>
      </c>
      <c r="G660" s="237"/>
      <c r="H660" s="237" t="str">
        <f>РПЗ!R660</f>
        <v>да</v>
      </c>
      <c r="I660" s="15">
        <f>РПЗ!W660</f>
        <v>0</v>
      </c>
      <c r="J660" s="233">
        <f>РПЗ!X660</f>
        <v>0</v>
      </c>
      <c r="K660" s="283">
        <f>РПЗ!Z660</f>
        <v>0</v>
      </c>
      <c r="L660" s="17"/>
      <c r="M660" s="18">
        <f>РПЗ!O660</f>
        <v>42767</v>
      </c>
      <c r="N660" s="238">
        <f>Таблица5[[#This Row],[10]]</f>
        <v>42767</v>
      </c>
      <c r="O660" s="17"/>
      <c r="P660" s="17"/>
      <c r="Q660" s="17"/>
      <c r="R660" s="17"/>
      <c r="S660" s="17"/>
      <c r="T660" s="686"/>
      <c r="U660" s="18">
        <f>РПЗ!P660</f>
        <v>42887</v>
      </c>
      <c r="V660" s="686"/>
      <c r="W660" s="236">
        <f>РПЗ!L660</f>
        <v>98200000</v>
      </c>
      <c r="X660" s="689"/>
      <c r="Y660" s="689"/>
      <c r="Z660" s="690"/>
      <c r="AA660" s="691"/>
      <c r="AB660" s="111"/>
      <c r="AC660" s="17"/>
      <c r="AD660" s="690"/>
      <c r="AE660" s="686"/>
      <c r="AF660" s="474"/>
      <c r="AG660" s="692"/>
      <c r="AH660" s="236" t="str">
        <f>IF(Таблица5[[#This Row],[30]]=0,"НД",Таблица5[[#This Row],[20]]-Таблица5[[#This Row],[30]])</f>
        <v>НД</v>
      </c>
      <c r="AI660" s="511" t="str">
        <f>IF(((1-Таблица5[[#This Row],[30]]/Таблица5[[#This Row],[20]])=1),"НД",(1-Таблица5[[#This Row],[30]]/Таблица5[[#This Row],[20]]))</f>
        <v>НД</v>
      </c>
      <c r="AJ660" s="111"/>
      <c r="AK660" s="111"/>
      <c r="AL660" s="512"/>
      <c r="AM660" s="513"/>
      <c r="AN660" s="465"/>
      <c r="AO660" s="468" t="str">
        <f>РПЗ!AD660</f>
        <v>Нет</v>
      </c>
      <c r="AP660" s="472">
        <f>РПЗ!V660</f>
        <v>0</v>
      </c>
      <c r="AQ660" s="470">
        <f>IF(Таблица5[[#This Row],[11]]=0,,MONTH(Таблица5[[#This Row],[11]]))</f>
        <v>2</v>
      </c>
    </row>
    <row r="661" spans="1:43" ht="51.75" thickBot="1" x14ac:dyDescent="0.3">
      <c r="A661" s="233" t="str">
        <f t="shared" si="10"/>
        <v>1004-2017-00646</v>
      </c>
      <c r="B661" s="233" t="str">
        <f>РПЗ!$D661</f>
        <v>1004-2017-00646Замена аварийных светопрозрачных конструкций фасадов зданий в АО "НИИ "Полюс" им. М.Ф. Стельмаха"</v>
      </c>
      <c r="C661" s="233" t="str">
        <f>РПЗ!$AA661</f>
        <v>АО "НИИ "Полюс" им. М.Ф. Стельмаха" тел. отдела закупок 8-495-333-05-02</v>
      </c>
      <c r="D661" s="633" t="str">
        <f>РПЗ!$AB661</f>
        <v>Заказчик</v>
      </c>
      <c r="E661" s="96" t="s">
        <v>46</v>
      </c>
      <c r="F661" s="233" t="str">
        <f>РПЗ!Q661</f>
        <v>ОК</v>
      </c>
      <c r="G661" s="237"/>
      <c r="H661" s="237" t="str">
        <f>РПЗ!R661</f>
        <v>да</v>
      </c>
      <c r="I661" s="15">
        <f>РПЗ!W661</f>
        <v>0</v>
      </c>
      <c r="J661" s="233">
        <f>РПЗ!X661</f>
        <v>0</v>
      </c>
      <c r="K661" s="283">
        <f>РПЗ!Z661</f>
        <v>0</v>
      </c>
      <c r="L661" s="17"/>
      <c r="M661" s="18">
        <f>РПЗ!O661</f>
        <v>42826</v>
      </c>
      <c r="N661" s="238">
        <f>Таблица5[[#This Row],[10]]</f>
        <v>42826</v>
      </c>
      <c r="O661" s="17"/>
      <c r="P661" s="17"/>
      <c r="Q661" s="17"/>
      <c r="R661" s="17"/>
      <c r="S661" s="17"/>
      <c r="T661" s="686"/>
      <c r="U661" s="18">
        <f>РПЗ!P661</f>
        <v>42856</v>
      </c>
      <c r="V661" s="686"/>
      <c r="W661" s="236">
        <f>РПЗ!L661</f>
        <v>1000000</v>
      </c>
      <c r="X661" s="689"/>
      <c r="Y661" s="689"/>
      <c r="Z661" s="690"/>
      <c r="AA661" s="691"/>
      <c r="AB661" s="111"/>
      <c r="AC661" s="17"/>
      <c r="AD661" s="690"/>
      <c r="AE661" s="686"/>
      <c r="AF661" s="474"/>
      <c r="AG661" s="692"/>
      <c r="AH661" s="236" t="str">
        <f>IF(Таблица5[[#This Row],[30]]=0,"НД",Таблица5[[#This Row],[20]]-Таблица5[[#This Row],[30]])</f>
        <v>НД</v>
      </c>
      <c r="AI661" s="511" t="str">
        <f>IF(((1-Таблица5[[#This Row],[30]]/Таблица5[[#This Row],[20]])=1),"НД",(1-Таблица5[[#This Row],[30]]/Таблица5[[#This Row],[20]]))</f>
        <v>НД</v>
      </c>
      <c r="AJ661" s="111"/>
      <c r="AK661" s="111"/>
      <c r="AL661" s="512"/>
      <c r="AM661" s="513"/>
      <c r="AN661" s="465"/>
      <c r="AO661" s="468" t="str">
        <f>РПЗ!AD661</f>
        <v>Нет</v>
      </c>
      <c r="AP661" s="472">
        <f>РПЗ!V661</f>
        <v>0</v>
      </c>
      <c r="AQ661" s="470">
        <f>IF(Таблица5[[#This Row],[11]]=0,,MONTH(Таблица5[[#This Row],[11]]))</f>
        <v>4</v>
      </c>
    </row>
    <row r="662" spans="1:43" ht="51.75" thickBot="1" x14ac:dyDescent="0.3">
      <c r="A662" s="233" t="str">
        <f t="shared" si="10"/>
        <v>1004-2017-00647</v>
      </c>
      <c r="B662" s="233" t="str">
        <f>РПЗ!$D662</f>
        <v>1004-2017-00647Проведение ремонтных работ в санузлах зданий в АО "НИИ "Полюс" им. М.Ф. Стельмаха"</v>
      </c>
      <c r="C662" s="233" t="str">
        <f>РПЗ!$AA662</f>
        <v>АО "НИИ "Полюс" им. М.Ф. Стельмаха" тел. отдела закупок 8-495-333-05-02</v>
      </c>
      <c r="D662" s="633" t="str">
        <f>РПЗ!$AB662</f>
        <v>Заказчик</v>
      </c>
      <c r="E662" s="96" t="s">
        <v>46</v>
      </c>
      <c r="F662" s="233" t="str">
        <f>РПЗ!Q662</f>
        <v>ОК</v>
      </c>
      <c r="G662" s="237"/>
      <c r="H662" s="237" t="str">
        <f>РПЗ!R662</f>
        <v>да</v>
      </c>
      <c r="I662" s="15">
        <f>РПЗ!W662</f>
        <v>0</v>
      </c>
      <c r="J662" s="233">
        <f>РПЗ!X662</f>
        <v>0</v>
      </c>
      <c r="K662" s="283">
        <f>РПЗ!Z662</f>
        <v>0</v>
      </c>
      <c r="L662" s="17"/>
      <c r="M662" s="18">
        <f>РПЗ!O662</f>
        <v>42826</v>
      </c>
      <c r="N662" s="238">
        <f>Таблица5[[#This Row],[10]]</f>
        <v>42826</v>
      </c>
      <c r="O662" s="17"/>
      <c r="P662" s="17"/>
      <c r="Q662" s="17"/>
      <c r="R662" s="17"/>
      <c r="S662" s="17"/>
      <c r="T662" s="686"/>
      <c r="U662" s="18">
        <f>РПЗ!P662</f>
        <v>43009</v>
      </c>
      <c r="V662" s="686"/>
      <c r="W662" s="236">
        <f>РПЗ!L662</f>
        <v>3000000</v>
      </c>
      <c r="X662" s="689"/>
      <c r="Y662" s="689"/>
      <c r="Z662" s="690"/>
      <c r="AA662" s="691"/>
      <c r="AB662" s="111"/>
      <c r="AC662" s="17"/>
      <c r="AD662" s="690"/>
      <c r="AE662" s="686"/>
      <c r="AF662" s="474"/>
      <c r="AG662" s="692"/>
      <c r="AH662" s="236" t="str">
        <f>IF(Таблица5[[#This Row],[30]]=0,"НД",Таблица5[[#This Row],[20]]-Таблица5[[#This Row],[30]])</f>
        <v>НД</v>
      </c>
      <c r="AI662" s="511" t="str">
        <f>IF(((1-Таблица5[[#This Row],[30]]/Таблица5[[#This Row],[20]])=1),"НД",(1-Таблица5[[#This Row],[30]]/Таблица5[[#This Row],[20]]))</f>
        <v>НД</v>
      </c>
      <c r="AJ662" s="111"/>
      <c r="AK662" s="111"/>
      <c r="AL662" s="512"/>
      <c r="AM662" s="513"/>
      <c r="AN662" s="465"/>
      <c r="AO662" s="468" t="str">
        <f>РПЗ!AD662</f>
        <v>Нет</v>
      </c>
      <c r="AP662" s="472">
        <f>РПЗ!V662</f>
        <v>0</v>
      </c>
      <c r="AQ662" s="470">
        <f>IF(Таблица5[[#This Row],[11]]=0,,MONTH(Таблица5[[#This Row],[11]]))</f>
        <v>4</v>
      </c>
    </row>
    <row r="663" spans="1:43" ht="51" x14ac:dyDescent="0.25">
      <c r="A663" s="233" t="str">
        <f t="shared" si="10"/>
        <v>1004-2017-00648</v>
      </c>
      <c r="B663" s="233" t="str">
        <f>РПЗ!$D663</f>
        <v>1004-2017-00648Проведение ремонтных работ в помещениях зданий в АО "НИИ "Полюс" им. М.Ф. Стельмаха"</v>
      </c>
      <c r="C663" s="233" t="str">
        <f>РПЗ!$AA663</f>
        <v>АО "НИИ "Полюс" им. М.Ф. Стельмаха" тел. отдела закупок 8-495-333-05-02</v>
      </c>
      <c r="D663" s="633" t="str">
        <f>РПЗ!$AB663</f>
        <v>Заказчик</v>
      </c>
      <c r="E663" s="96" t="s">
        <v>46</v>
      </c>
      <c r="F663" s="233" t="str">
        <f>РПЗ!Q663</f>
        <v>ОК</v>
      </c>
      <c r="G663" s="237"/>
      <c r="H663" s="237" t="str">
        <f>РПЗ!R663</f>
        <v>да</v>
      </c>
      <c r="I663" s="15">
        <f>РПЗ!W663</f>
        <v>0</v>
      </c>
      <c r="J663" s="233">
        <f>РПЗ!X663</f>
        <v>0</v>
      </c>
      <c r="K663" s="283">
        <f>РПЗ!Z663</f>
        <v>0</v>
      </c>
      <c r="L663" s="17"/>
      <c r="M663" s="18">
        <f>РПЗ!O663</f>
        <v>42856</v>
      </c>
      <c r="N663" s="238">
        <f>Таблица5[[#This Row],[10]]</f>
        <v>42856</v>
      </c>
      <c r="O663" s="17"/>
      <c r="P663" s="17"/>
      <c r="Q663" s="17"/>
      <c r="R663" s="17"/>
      <c r="S663" s="17"/>
      <c r="T663" s="686"/>
      <c r="U663" s="18">
        <f>РПЗ!P663</f>
        <v>42979</v>
      </c>
      <c r="V663" s="686"/>
      <c r="W663" s="236">
        <f>РПЗ!L663</f>
        <v>3000000</v>
      </c>
      <c r="X663" s="689"/>
      <c r="Y663" s="689"/>
      <c r="Z663" s="690"/>
      <c r="AA663" s="691"/>
      <c r="AB663" s="111"/>
      <c r="AC663" s="17"/>
      <c r="AD663" s="690"/>
      <c r="AE663" s="686"/>
      <c r="AF663" s="474"/>
      <c r="AG663" s="692"/>
      <c r="AH663" s="236" t="str">
        <f>IF(Таблица5[[#This Row],[30]]=0,"НД",Таблица5[[#This Row],[20]]-Таблица5[[#This Row],[30]])</f>
        <v>НД</v>
      </c>
      <c r="AI663" s="511" t="str">
        <f>IF(((1-Таблица5[[#This Row],[30]]/Таблица5[[#This Row],[20]])=1),"НД",(1-Таблица5[[#This Row],[30]]/Таблица5[[#This Row],[20]]))</f>
        <v>НД</v>
      </c>
      <c r="AJ663" s="111"/>
      <c r="AK663" s="111"/>
      <c r="AL663" s="512"/>
      <c r="AM663" s="513"/>
      <c r="AN663" s="465"/>
      <c r="AO663" s="468" t="str">
        <f>РПЗ!AD663</f>
        <v>Нет</v>
      </c>
      <c r="AP663" s="472">
        <f>РПЗ!V663</f>
        <v>0</v>
      </c>
      <c r="AQ663" s="470">
        <f>IF(Таблица5[[#This Row],[11]]=0,,MONTH(Таблица5[[#This Row],[11]]))</f>
        <v>5</v>
      </c>
    </row>
    <row r="664" spans="1:43" ht="51.75" thickBot="1" x14ac:dyDescent="0.3">
      <c r="A664" s="233" t="str">
        <f t="shared" si="10"/>
        <v>1004-2017-00649</v>
      </c>
      <c r="B664" s="233" t="str">
        <f>РПЗ!$D664</f>
        <v>1004-2017-00649Корректировка проектно-сметной документации по программе : БМД в АО "НИИ "Полюс" им. М.Ф. Стельмаха."</v>
      </c>
      <c r="C664" s="233" t="str">
        <f>РПЗ!$AA664</f>
        <v>АО "НИИ "Полюс" им. М.Ф. Стельмаха" тел. отдела закупок 8-495-333-05-02</v>
      </c>
      <c r="D664" s="633" t="str">
        <f>РПЗ!$AB664</f>
        <v>Заказчик</v>
      </c>
      <c r="E664" s="510" t="s">
        <v>62</v>
      </c>
      <c r="F664" s="233" t="str">
        <f>РПЗ!Q664</f>
        <v>ЕП</v>
      </c>
      <c r="G664" s="237" t="str">
        <f>Таблица5[[#This Row],[6]]</f>
        <v>ЕП</v>
      </c>
      <c r="H664" s="237" t="str">
        <f>РПЗ!R664</f>
        <v>нет</v>
      </c>
      <c r="I664" s="15" t="str">
        <f>РПЗ!W664</f>
        <v>6.6.2(16)</v>
      </c>
      <c r="J664" s="233" t="str">
        <f>РПЗ!X664</f>
        <v>7725751800</v>
      </c>
      <c r="K664" s="283" t="str">
        <f>РПЗ!Z664</f>
        <v>3 768 000</v>
      </c>
      <c r="L664" s="661" t="s">
        <v>2347</v>
      </c>
      <c r="M664" s="18">
        <f>РПЗ!O664</f>
        <v>42736</v>
      </c>
      <c r="N664" s="238">
        <f>Таблица5[[#This Row],[10]]</f>
        <v>42736</v>
      </c>
      <c r="O664" s="17"/>
      <c r="P664" s="17"/>
      <c r="Q664" s="17"/>
      <c r="R664" s="17"/>
      <c r="S664" s="17"/>
      <c r="T664" s="695" t="s">
        <v>2378</v>
      </c>
      <c r="U664" s="18">
        <f>РПЗ!P664</f>
        <v>42795</v>
      </c>
      <c r="V664" s="760">
        <v>42795</v>
      </c>
      <c r="W664" s="236">
        <f>РПЗ!L664</f>
        <v>3768000</v>
      </c>
      <c r="X664" s="689">
        <v>1</v>
      </c>
      <c r="Y664" s="689">
        <v>0</v>
      </c>
      <c r="Z664" s="1055">
        <v>7725751800</v>
      </c>
      <c r="AA664" s="704" t="s">
        <v>2375</v>
      </c>
      <c r="AB664" s="700">
        <v>3768000</v>
      </c>
      <c r="AC664" s="808">
        <v>42795</v>
      </c>
      <c r="AD664" s="810" t="s">
        <v>2377</v>
      </c>
      <c r="AE664" s="703" t="s">
        <v>2378</v>
      </c>
      <c r="AF664" s="474"/>
      <c r="AG664" s="827">
        <v>3768000</v>
      </c>
      <c r="AH664" s="236">
        <f>IF(Таблица5[[#This Row],[30]]=0,"НД",Таблица5[[#This Row],[20]]-Таблица5[[#This Row],[30]])</f>
        <v>0</v>
      </c>
      <c r="AI664" s="511">
        <f>IF(((1-Таблица5[[#This Row],[30]]/Таблица5[[#This Row],[20]])=1),"НД",(1-Таблица5[[#This Row],[30]]/Таблица5[[#This Row],[20]]))</f>
        <v>0</v>
      </c>
      <c r="AJ664" s="111"/>
      <c r="AK664" s="111"/>
      <c r="AL664" s="512"/>
      <c r="AM664" s="513" t="s">
        <v>113</v>
      </c>
      <c r="AN664" s="801">
        <v>31704740550</v>
      </c>
      <c r="AO664" s="468" t="str">
        <f>РПЗ!AD664</f>
        <v>Нет</v>
      </c>
      <c r="AP664" s="472">
        <f>РПЗ!V664</f>
        <v>0</v>
      </c>
      <c r="AQ664" s="470">
        <f>IF(Таблица5[[#This Row],[11]]=0,,MONTH(Таблица5[[#This Row],[11]]))</f>
        <v>1</v>
      </c>
    </row>
    <row r="665" spans="1:43" ht="64.5" thickBot="1" x14ac:dyDescent="0.3">
      <c r="A665" s="233" t="str">
        <f t="shared" si="10"/>
        <v>1004-2017-00650</v>
      </c>
      <c r="B665" s="233" t="str">
        <f>РПЗ!$D665</f>
        <v>1004-2017-00650Проведение регламентных ремонтно-восстановительных работ на объекте ГО и ЧС  в АО "НИИ "Полюс" им. М.Ф. Стельмаха"</v>
      </c>
      <c r="C665" s="233" t="str">
        <f>РПЗ!$AA665</f>
        <v>АО "НИИ "Полюс" им. М.Ф. Стельмаха" тел. отдела закупок 8-495-333-05-02</v>
      </c>
      <c r="D665" s="633" t="str">
        <f>РПЗ!$AB665</f>
        <v>Заказчик</v>
      </c>
      <c r="E665" s="96" t="s">
        <v>46</v>
      </c>
      <c r="F665" s="233" t="str">
        <f>РПЗ!Q665</f>
        <v>ОК</v>
      </c>
      <c r="G665" s="237"/>
      <c r="H665" s="237" t="str">
        <f>РПЗ!R665</f>
        <v>да</v>
      </c>
      <c r="I665" s="15">
        <f>РПЗ!W665</f>
        <v>0</v>
      </c>
      <c r="J665" s="233">
        <f>РПЗ!X665</f>
        <v>0</v>
      </c>
      <c r="K665" s="283">
        <f>РПЗ!Z665</f>
        <v>0</v>
      </c>
      <c r="L665" s="17"/>
      <c r="M665" s="18">
        <f>РПЗ!O665</f>
        <v>42736</v>
      </c>
      <c r="N665" s="238">
        <f>Таблица5[[#This Row],[10]]</f>
        <v>42736</v>
      </c>
      <c r="O665" s="17"/>
      <c r="P665" s="17"/>
      <c r="Q665" s="17"/>
      <c r="R665" s="17"/>
      <c r="S665" s="17"/>
      <c r="T665" s="686"/>
      <c r="U665" s="18">
        <f>РПЗ!P665</f>
        <v>42795</v>
      </c>
      <c r="V665" s="686"/>
      <c r="W665" s="236">
        <f>РПЗ!L665</f>
        <v>1500000</v>
      </c>
      <c r="X665" s="689"/>
      <c r="Y665" s="689"/>
      <c r="Z665" s="690"/>
      <c r="AA665" s="691"/>
      <c r="AB665" s="111"/>
      <c r="AC665" s="17"/>
      <c r="AD665" s="690"/>
      <c r="AE665" s="686"/>
      <c r="AF665" s="474"/>
      <c r="AG665" s="692"/>
      <c r="AH665" s="236" t="str">
        <f>IF(Таблица5[[#This Row],[30]]=0,"НД",Таблица5[[#This Row],[20]]-Таблица5[[#This Row],[30]])</f>
        <v>НД</v>
      </c>
      <c r="AI665" s="511" t="str">
        <f>IF(((1-Таблица5[[#This Row],[30]]/Таблица5[[#This Row],[20]])=1),"НД",(1-Таблица5[[#This Row],[30]]/Таблица5[[#This Row],[20]]))</f>
        <v>НД</v>
      </c>
      <c r="AJ665" s="111"/>
      <c r="AK665" s="111"/>
      <c r="AL665" s="512"/>
      <c r="AM665" s="513"/>
      <c r="AN665" s="465"/>
      <c r="AO665" s="468" t="str">
        <f>РПЗ!AD665</f>
        <v>Нет</v>
      </c>
      <c r="AP665" s="472">
        <f>РПЗ!V665</f>
        <v>0</v>
      </c>
      <c r="AQ665" s="470">
        <f>IF(Таблица5[[#This Row],[11]]=0,,MONTH(Таблица5[[#This Row],[11]]))</f>
        <v>1</v>
      </c>
    </row>
    <row r="666" spans="1:43" ht="64.5" thickBot="1" x14ac:dyDescent="0.3">
      <c r="A666" s="233" t="str">
        <f t="shared" si="10"/>
        <v>1004-2017-00651</v>
      </c>
      <c r="B666" s="233" t="str">
        <f>РПЗ!$D666</f>
        <v>1004-2017-00651Перенос участка систем водоподготовки на освобождаемые производственные площади  АО "НИИ "Полюс" им. М.Ф. Стельмаха"</v>
      </c>
      <c r="C666" s="233" t="str">
        <f>РПЗ!$AA666</f>
        <v>АО "НИИ "Полюс" им. М.Ф. Стельмаха" тел. отдела закупок 8-495-333-05-02</v>
      </c>
      <c r="D666" s="633" t="str">
        <f>РПЗ!$AB666</f>
        <v>Заказчик</v>
      </c>
      <c r="E666" s="96" t="s">
        <v>46</v>
      </c>
      <c r="F666" s="233" t="str">
        <f>РПЗ!Q666</f>
        <v>ОК</v>
      </c>
      <c r="G666" s="237"/>
      <c r="H666" s="237" t="str">
        <f>РПЗ!R666</f>
        <v>да</v>
      </c>
      <c r="I666" s="15">
        <f>РПЗ!W666</f>
        <v>0</v>
      </c>
      <c r="J666" s="233">
        <f>РПЗ!X666</f>
        <v>0</v>
      </c>
      <c r="K666" s="283">
        <f>РПЗ!Z666</f>
        <v>0</v>
      </c>
      <c r="L666" s="17"/>
      <c r="M666" s="18">
        <f>РПЗ!O666</f>
        <v>42795</v>
      </c>
      <c r="N666" s="238">
        <f>Таблица5[[#This Row],[10]]</f>
        <v>42795</v>
      </c>
      <c r="O666" s="17"/>
      <c r="P666" s="17"/>
      <c r="Q666" s="17"/>
      <c r="R666" s="17"/>
      <c r="S666" s="17"/>
      <c r="T666" s="686"/>
      <c r="U666" s="18">
        <f>РПЗ!P666</f>
        <v>42826</v>
      </c>
      <c r="V666" s="686"/>
      <c r="W666" s="236">
        <f>РПЗ!L666</f>
        <v>2000000</v>
      </c>
      <c r="X666" s="689"/>
      <c r="Y666" s="689"/>
      <c r="Z666" s="690"/>
      <c r="AA666" s="691"/>
      <c r="AB666" s="111"/>
      <c r="AC666" s="17"/>
      <c r="AD666" s="690"/>
      <c r="AE666" s="686"/>
      <c r="AF666" s="474"/>
      <c r="AG666" s="692"/>
      <c r="AH666" s="236" t="str">
        <f>IF(Таблица5[[#This Row],[30]]=0,"НД",Таблица5[[#This Row],[20]]-Таблица5[[#This Row],[30]])</f>
        <v>НД</v>
      </c>
      <c r="AI666" s="511" t="str">
        <f>IF(((1-Таблица5[[#This Row],[30]]/Таблица5[[#This Row],[20]])=1),"НД",(1-Таблица5[[#This Row],[30]]/Таблица5[[#This Row],[20]]))</f>
        <v>НД</v>
      </c>
      <c r="AJ666" s="111"/>
      <c r="AK666" s="111"/>
      <c r="AL666" s="512"/>
      <c r="AM666" s="513"/>
      <c r="AN666" s="465"/>
      <c r="AO666" s="468" t="str">
        <f>РПЗ!AD666</f>
        <v>Нет</v>
      </c>
      <c r="AP666" s="472">
        <f>РПЗ!V666</f>
        <v>0</v>
      </c>
      <c r="AQ666" s="470">
        <f>IF(Таблица5[[#This Row],[11]]=0,,MONTH(Таблица5[[#This Row],[11]]))</f>
        <v>3</v>
      </c>
    </row>
    <row r="667" spans="1:43" ht="51" x14ac:dyDescent="0.25">
      <c r="A667" s="233" t="str">
        <f t="shared" si="10"/>
        <v>1004-2017-00652</v>
      </c>
      <c r="B667" s="233" t="str">
        <f>РПЗ!$D667</f>
        <v>1004-2017-00652Обустройство складского помещения отдела снабжения в копусе вспомогательных цехов</v>
      </c>
      <c r="C667" s="233" t="str">
        <f>РПЗ!$AA667</f>
        <v>АО "НИИ "Полюс" им. М.Ф. Стельмаха" тел. отдела закупок 8-495-333-05-02</v>
      </c>
      <c r="D667" s="633" t="str">
        <f>РПЗ!$AB667</f>
        <v>Заказчик</v>
      </c>
      <c r="E667" s="96" t="s">
        <v>46</v>
      </c>
      <c r="F667" s="233" t="str">
        <f>РПЗ!Q667</f>
        <v>ОК</v>
      </c>
      <c r="G667" s="237"/>
      <c r="H667" s="237" t="str">
        <f>РПЗ!R667</f>
        <v>да</v>
      </c>
      <c r="I667" s="15">
        <f>РПЗ!W667</f>
        <v>0</v>
      </c>
      <c r="J667" s="233">
        <f>РПЗ!X667</f>
        <v>0</v>
      </c>
      <c r="K667" s="283">
        <f>РПЗ!Z667</f>
        <v>0</v>
      </c>
      <c r="L667" s="17"/>
      <c r="M667" s="18">
        <f>РПЗ!O667</f>
        <v>42979</v>
      </c>
      <c r="N667" s="238">
        <f>Таблица5[[#This Row],[10]]</f>
        <v>42979</v>
      </c>
      <c r="O667" s="17"/>
      <c r="P667" s="17"/>
      <c r="Q667" s="17"/>
      <c r="R667" s="17"/>
      <c r="S667" s="17"/>
      <c r="T667" s="686"/>
      <c r="U667" s="18">
        <f>РПЗ!P667</f>
        <v>43040</v>
      </c>
      <c r="V667" s="686"/>
      <c r="W667" s="236">
        <f>РПЗ!L667</f>
        <v>2000000</v>
      </c>
      <c r="X667" s="689"/>
      <c r="Y667" s="689"/>
      <c r="Z667" s="690"/>
      <c r="AA667" s="691"/>
      <c r="AB667" s="111"/>
      <c r="AC667" s="17"/>
      <c r="AD667" s="690"/>
      <c r="AE667" s="686"/>
      <c r="AF667" s="474"/>
      <c r="AG667" s="692"/>
      <c r="AH667" s="236" t="str">
        <f>IF(Таблица5[[#This Row],[30]]=0,"НД",Таблица5[[#This Row],[20]]-Таблица5[[#This Row],[30]])</f>
        <v>НД</v>
      </c>
      <c r="AI667" s="511" t="str">
        <f>IF(((1-Таблица5[[#This Row],[30]]/Таблица5[[#This Row],[20]])=1),"НД",(1-Таблица5[[#This Row],[30]]/Таблица5[[#This Row],[20]]))</f>
        <v>НД</v>
      </c>
      <c r="AJ667" s="111"/>
      <c r="AK667" s="111"/>
      <c r="AL667" s="512"/>
      <c r="AM667" s="513"/>
      <c r="AN667" s="465"/>
      <c r="AO667" s="468" t="str">
        <f>РПЗ!AD667</f>
        <v>Нет</v>
      </c>
      <c r="AP667" s="472">
        <f>РПЗ!V667</f>
        <v>0</v>
      </c>
      <c r="AQ667" s="470">
        <f>IF(Таблица5[[#This Row],[11]]=0,,MONTH(Таблица5[[#This Row],[11]]))</f>
        <v>9</v>
      </c>
    </row>
    <row r="668" spans="1:43" ht="51" x14ac:dyDescent="0.25">
      <c r="A668" s="233" t="str">
        <f t="shared" si="10"/>
        <v>1004-2017-00653</v>
      </c>
      <c r="B668" s="233" t="str">
        <f>РПЗ!$D668</f>
        <v xml:space="preserve">1004-2017-00653Изготовление и поставка механических деталей </v>
      </c>
      <c r="C668" s="233" t="str">
        <f>РПЗ!$AA668</f>
        <v>АО "НИИ "Полюс" им. М.Ф. Стельмаха" тел. отдела закупок 8-495-333-05-02</v>
      </c>
      <c r="D668" s="633" t="str">
        <f>РПЗ!$AB668</f>
        <v>Заказчик</v>
      </c>
      <c r="E668" s="510" t="s">
        <v>62</v>
      </c>
      <c r="F668" s="233" t="str">
        <f>РПЗ!Q668</f>
        <v>ЕП</v>
      </c>
      <c r="G668" s="237" t="str">
        <f>Таблица5[[#This Row],[6]]</f>
        <v>ЕП</v>
      </c>
      <c r="H668" s="237" t="str">
        <f>РПЗ!R668</f>
        <v>нет</v>
      </c>
      <c r="I668" s="15" t="str">
        <f>РПЗ!W668</f>
        <v>6.6.2(11)</v>
      </c>
      <c r="J668" s="233">
        <f>РПЗ!X668</f>
        <v>5024022965</v>
      </c>
      <c r="K668" s="283" t="str">
        <f>РПЗ!Z668</f>
        <v>651 081,42</v>
      </c>
      <c r="L668" s="661" t="s">
        <v>3017</v>
      </c>
      <c r="M668" s="18">
        <f>РПЗ!O668</f>
        <v>42767.5</v>
      </c>
      <c r="N668" s="238">
        <f>Таблица5[[#This Row],[10]]</f>
        <v>42767.5</v>
      </c>
      <c r="O668" s="17"/>
      <c r="P668" s="17"/>
      <c r="Q668" s="17"/>
      <c r="R668" s="17"/>
      <c r="S668" s="17"/>
      <c r="T668" s="695" t="s">
        <v>3013</v>
      </c>
      <c r="U668" s="18">
        <f>РПЗ!P668</f>
        <v>43070</v>
      </c>
      <c r="V668" s="760">
        <v>43132</v>
      </c>
      <c r="W668" s="236">
        <f>РПЗ!L668</f>
        <v>651081.42000000004</v>
      </c>
      <c r="X668" s="689">
        <v>1</v>
      </c>
      <c r="Y668" s="689">
        <v>0</v>
      </c>
      <c r="Z668" s="691">
        <v>5024022965</v>
      </c>
      <c r="AA668" s="691" t="s">
        <v>3015</v>
      </c>
      <c r="AB668" s="111">
        <v>651081.42000000004</v>
      </c>
      <c r="AC668" s="808">
        <v>43132</v>
      </c>
      <c r="AD668" s="810" t="s">
        <v>3018</v>
      </c>
      <c r="AE668" s="705">
        <v>43166</v>
      </c>
      <c r="AF668" s="474"/>
      <c r="AG668" s="691">
        <v>651081.42000000004</v>
      </c>
      <c r="AH668" s="236">
        <f>IF(Таблица5[[#This Row],[30]]=0,"НД",Таблица5[[#This Row],[20]]-Таблица5[[#This Row],[30]])</f>
        <v>0</v>
      </c>
      <c r="AI668" s="511">
        <f>IF(((1-Таблица5[[#This Row],[30]]/Таблица5[[#This Row],[20]])=1),"НД",(1-Таблица5[[#This Row],[30]]/Таблица5[[#This Row],[20]]))</f>
        <v>0</v>
      </c>
      <c r="AJ668" s="111"/>
      <c r="AK668" s="111"/>
      <c r="AL668" s="512"/>
      <c r="AM668" s="513" t="s">
        <v>113</v>
      </c>
      <c r="AN668" s="801">
        <v>31704766654</v>
      </c>
      <c r="AO668" s="468" t="str">
        <f>РПЗ!AD668</f>
        <v>Нет</v>
      </c>
      <c r="AP668" s="472">
        <f>РПЗ!V668</f>
        <v>0</v>
      </c>
      <c r="AQ668" s="470">
        <f>IF(Таблица5[[#This Row],[11]]=0,,MONTH(Таблица5[[#This Row],[11]]))</f>
        <v>2</v>
      </c>
    </row>
    <row r="669" spans="1:43" s="681" customFormat="1" ht="51" x14ac:dyDescent="0.25">
      <c r="A669" s="691" t="str">
        <f t="shared" si="10"/>
        <v>1004-2017-00654</v>
      </c>
      <c r="B669" s="691" t="str">
        <f>РПЗ!$D669</f>
        <v>1004-2017-00654выполнение проектных работ на ликвидационный тампонаж и ликвидационный тампонаж артезианской скважины</v>
      </c>
      <c r="C669" s="691" t="str">
        <f>РПЗ!$AA669</f>
        <v>АО "НИИ "Полюс" им. М.Ф. Стельмаха" тел. отдела закупок 8-495-333-05-02</v>
      </c>
      <c r="D669" s="706" t="str">
        <f>РПЗ!$AB669</f>
        <v>Заказчик</v>
      </c>
      <c r="E669" s="510" t="s">
        <v>62</v>
      </c>
      <c r="F669" s="691" t="str">
        <f>РПЗ!Q669</f>
        <v>ОЗК</v>
      </c>
      <c r="G669" s="691" t="str">
        <f>Таблица5[[#This Row],[6]]</f>
        <v>ОЗК</v>
      </c>
      <c r="H669" s="691" t="str">
        <f>РПЗ!R669</f>
        <v>да</v>
      </c>
      <c r="I669" s="707">
        <f>РПЗ!W669</f>
        <v>0</v>
      </c>
      <c r="J669" s="691">
        <f>РПЗ!X669</f>
        <v>0</v>
      </c>
      <c r="K669" s="708">
        <f>РПЗ!Z669</f>
        <v>0</v>
      </c>
      <c r="L669" s="686"/>
      <c r="M669" s="687">
        <f>РПЗ!O669</f>
        <v>42736</v>
      </c>
      <c r="N669" s="687">
        <f>Таблица5[[#This Row],[10]]</f>
        <v>42736</v>
      </c>
      <c r="O669" s="686">
        <v>42786</v>
      </c>
      <c r="P669" s="686">
        <v>42788</v>
      </c>
      <c r="Q669" s="686">
        <v>42788</v>
      </c>
      <c r="R669" s="686">
        <v>42787</v>
      </c>
      <c r="S669" s="686">
        <v>42787</v>
      </c>
      <c r="T669" s="809" t="s">
        <v>3007</v>
      </c>
      <c r="U669" s="687">
        <f>РПЗ!P669</f>
        <v>42736</v>
      </c>
      <c r="V669" s="761">
        <v>42856</v>
      </c>
      <c r="W669" s="692">
        <f>РПЗ!L669</f>
        <v>485000</v>
      </c>
      <c r="X669" s="689">
        <v>1</v>
      </c>
      <c r="Y669" s="689">
        <v>0</v>
      </c>
      <c r="Z669" s="1058">
        <v>4027107220</v>
      </c>
      <c r="AA669" s="691" t="s">
        <v>3344</v>
      </c>
      <c r="AB669" s="692">
        <v>480000</v>
      </c>
      <c r="AC669" s="686">
        <v>42856</v>
      </c>
      <c r="AD669" s="832" t="s">
        <v>3345</v>
      </c>
      <c r="AE669" s="686">
        <v>42803</v>
      </c>
      <c r="AF669" s="690"/>
      <c r="AG669" s="828">
        <v>480000</v>
      </c>
      <c r="AH669" s="692">
        <f>IF(Таблица5[[#This Row],[30]]=0,"НД",Таблица5[[#This Row],[20]]-Таблица5[[#This Row],[30]])</f>
        <v>5000</v>
      </c>
      <c r="AI669" s="709">
        <f>IF(((1-Таблица5[[#This Row],[30]]/Таблица5[[#This Row],[20]])=1),"НД",(1-Таблица5[[#This Row],[30]]/Таблица5[[#This Row],[20]]))</f>
        <v>1.0309278350515427E-2</v>
      </c>
      <c r="AJ669" s="692">
        <v>480000</v>
      </c>
      <c r="AK669" s="692"/>
      <c r="AL669" s="710"/>
      <c r="AM669" s="711" t="s">
        <v>113</v>
      </c>
      <c r="AN669" s="800">
        <v>31704786458</v>
      </c>
      <c r="AO669" s="712" t="str">
        <f>РПЗ!AD669</f>
        <v>Нет</v>
      </c>
      <c r="AP669" s="713">
        <f>РПЗ!V669</f>
        <v>0</v>
      </c>
      <c r="AQ669" s="714">
        <f>IF(Таблица5[[#This Row],[11]]=0,,MONTH(Таблица5[[#This Row],[11]]))</f>
        <v>1</v>
      </c>
    </row>
    <row r="670" spans="1:43" ht="51" x14ac:dyDescent="0.25">
      <c r="A670" s="233" t="str">
        <f t="shared" si="10"/>
        <v>1004-2017-00655</v>
      </c>
      <c r="B670" s="233" t="str">
        <f>РПЗ!$D670</f>
        <v>1004-2017-00655Разработка метода испытаний на безртказность мощных решеток гетеролазеров импульсного режима работы</v>
      </c>
      <c r="C670" s="233" t="str">
        <f>РПЗ!$AA670</f>
        <v>АО "НИИ "Полюс" им. М.Ф. Стельмаха" тел. отдела закупок 8-495-333-05-02</v>
      </c>
      <c r="D670" s="633" t="str">
        <f>РПЗ!$AB670</f>
        <v>Заказчик</v>
      </c>
      <c r="E670" s="510" t="s">
        <v>62</v>
      </c>
      <c r="F670" s="233" t="str">
        <f>РПЗ!Q670</f>
        <v>ЕП</v>
      </c>
      <c r="G670" s="237" t="str">
        <f>Таблица5[[#This Row],[6]]</f>
        <v>ЕП</v>
      </c>
      <c r="H670" s="237" t="str">
        <f>РПЗ!R670</f>
        <v>нет</v>
      </c>
      <c r="I670" s="15" t="str">
        <f>РПЗ!W670</f>
        <v>6.6.2(7)</v>
      </c>
      <c r="J670" s="233" t="str">
        <f>РПЗ!X670</f>
        <v>5029008940</v>
      </c>
      <c r="K670" s="283">
        <f>РПЗ!Z670</f>
        <v>12000000</v>
      </c>
      <c r="L670" s="17">
        <v>42767</v>
      </c>
      <c r="M670" s="18">
        <f>РПЗ!O670</f>
        <v>42767.5</v>
      </c>
      <c r="N670" s="238">
        <f>Таблица5[[#This Row],[10]]</f>
        <v>42767.5</v>
      </c>
      <c r="O670" s="17"/>
      <c r="P670" s="17"/>
      <c r="Q670" s="17"/>
      <c r="R670" s="17"/>
      <c r="S670" s="17"/>
      <c r="T670" s="695" t="s">
        <v>2332</v>
      </c>
      <c r="U670" s="18">
        <f>РПЗ!P670</f>
        <v>43281.5</v>
      </c>
      <c r="V670" s="760">
        <v>43252</v>
      </c>
      <c r="W670" s="236">
        <f>РПЗ!L670</f>
        <v>12000000</v>
      </c>
      <c r="X670" s="689">
        <v>1</v>
      </c>
      <c r="Y670" s="689">
        <v>0</v>
      </c>
      <c r="Z670" s="691">
        <v>5029008940</v>
      </c>
      <c r="AA670" s="691" t="s">
        <v>2331</v>
      </c>
      <c r="AB670" s="111">
        <v>12000000</v>
      </c>
      <c r="AC670" s="808">
        <v>43252</v>
      </c>
      <c r="AD670" s="810" t="s">
        <v>2333</v>
      </c>
      <c r="AE670" s="703" t="s">
        <v>2332</v>
      </c>
      <c r="AF670" s="474"/>
      <c r="AG670" s="827">
        <v>12000000</v>
      </c>
      <c r="AH670" s="236">
        <f>IF(Таблица5[[#This Row],[30]]=0,"НД",Таблица5[[#This Row],[20]]-Таблица5[[#This Row],[30]])</f>
        <v>0</v>
      </c>
      <c r="AI670" s="511">
        <f>IF(((1-Таблица5[[#This Row],[30]]/Таблица5[[#This Row],[20]])=1),"НД",(1-Таблица5[[#This Row],[30]]/Таблица5[[#This Row],[20]]))</f>
        <v>0</v>
      </c>
      <c r="AJ670" s="111"/>
      <c r="AK670" s="111"/>
      <c r="AL670" s="512"/>
      <c r="AM670" s="513" t="s">
        <v>113</v>
      </c>
      <c r="AN670" s="801">
        <v>31704743959</v>
      </c>
      <c r="AO670" s="468" t="str">
        <f>РПЗ!AD670</f>
        <v>Нет</v>
      </c>
      <c r="AP670" s="472">
        <f>РПЗ!V670</f>
        <v>0</v>
      </c>
      <c r="AQ670" s="470">
        <f>IF(Таблица5[[#This Row],[11]]=0,,MONTH(Таблица5[[#This Row],[11]]))</f>
        <v>2</v>
      </c>
    </row>
    <row r="671" spans="1:43" ht="101.25" x14ac:dyDescent="0.25">
      <c r="A671" s="233" t="str">
        <f t="shared" si="10"/>
        <v>1004-2017-00656</v>
      </c>
      <c r="B671" s="233" t="str">
        <f>РПЗ!$D671</f>
        <v>1004-2017-00656Проведение испытаний решеток гетеролазеров импульсного режима работы с мощностью импульса излучения 6 8 кВт на воздействие специальных факторов</v>
      </c>
      <c r="C671" s="233" t="str">
        <f>РПЗ!$AA671</f>
        <v>АО "НИИ "Полюс" им. М.Ф. Стельмаха" тел. отдела закупок 8-495-333-05-02</v>
      </c>
      <c r="D671" s="633" t="str">
        <f>РПЗ!$AB671</f>
        <v>Заказчик</v>
      </c>
      <c r="E671" s="510" t="s">
        <v>62</v>
      </c>
      <c r="F671" s="233" t="str">
        <f>РПЗ!Q671</f>
        <v>ЕП</v>
      </c>
      <c r="G671" s="237" t="str">
        <f>Таблица5[[#This Row],[6]]</f>
        <v>ЕП</v>
      </c>
      <c r="H671" s="237" t="str">
        <f>РПЗ!R671</f>
        <v>нет</v>
      </c>
      <c r="I671" s="15" t="str">
        <f>РПЗ!W671</f>
        <v>6.6.2(7)</v>
      </c>
      <c r="J671" s="233" t="str">
        <f>РПЗ!X671</f>
        <v>7724179933</v>
      </c>
      <c r="K671" s="283" t="str">
        <f>РПЗ!Z671</f>
        <v>3 000 000</v>
      </c>
      <c r="L671" s="661" t="s">
        <v>2347</v>
      </c>
      <c r="M671" s="18">
        <f>РПЗ!O671</f>
        <v>42767.5</v>
      </c>
      <c r="N671" s="238">
        <f>Таблица5[[#This Row],[10]]</f>
        <v>42767.5</v>
      </c>
      <c r="O671" s="17"/>
      <c r="P671" s="17"/>
      <c r="Q671" s="17"/>
      <c r="R671" s="17"/>
      <c r="S671" s="17"/>
      <c r="T671" s="695" t="s">
        <v>2340</v>
      </c>
      <c r="U671" s="18">
        <f>РПЗ!P671</f>
        <v>43159.5</v>
      </c>
      <c r="V671" s="760">
        <v>43132</v>
      </c>
      <c r="W671" s="236">
        <f>РПЗ!L671</f>
        <v>3000000</v>
      </c>
      <c r="X671" s="689">
        <v>1</v>
      </c>
      <c r="Y671" s="689">
        <v>0</v>
      </c>
      <c r="Z671" s="1055">
        <v>7724179933</v>
      </c>
      <c r="AA671" s="704" t="s">
        <v>2350</v>
      </c>
      <c r="AB671" s="701">
        <v>3000000</v>
      </c>
      <c r="AC671" s="808">
        <v>43132</v>
      </c>
      <c r="AD671" s="810" t="s">
        <v>2352</v>
      </c>
      <c r="AE671" s="703" t="s">
        <v>2340</v>
      </c>
      <c r="AF671" s="474"/>
      <c r="AG671" s="827">
        <v>3000000</v>
      </c>
      <c r="AH671" s="236">
        <f>IF(Таблица5[[#This Row],[30]]=0,"НД",Таблица5[[#This Row],[20]]-Таблица5[[#This Row],[30]])</f>
        <v>0</v>
      </c>
      <c r="AI671" s="511">
        <f>IF(((1-Таблица5[[#This Row],[30]]/Таблица5[[#This Row],[20]])=1),"НД",(1-Таблица5[[#This Row],[30]]/Таблица5[[#This Row],[20]]))</f>
        <v>0</v>
      </c>
      <c r="AJ671" s="111"/>
      <c r="AK671" s="111"/>
      <c r="AL671" s="512"/>
      <c r="AM671" s="513" t="s">
        <v>113</v>
      </c>
      <c r="AN671" s="801">
        <v>31704743971</v>
      </c>
      <c r="AO671" s="468" t="str">
        <f>РПЗ!AD671</f>
        <v>Нет</v>
      </c>
      <c r="AP671" s="472">
        <f>РПЗ!V671</f>
        <v>0</v>
      </c>
      <c r="AQ671" s="470">
        <f>IF(Таблица5[[#This Row],[11]]=0,,MONTH(Таблица5[[#This Row],[11]]))</f>
        <v>2</v>
      </c>
    </row>
    <row r="672" spans="1:43" ht="114.75" x14ac:dyDescent="0.25">
      <c r="A672" s="233" t="str">
        <f t="shared" si="10"/>
        <v>1004-2017-00657</v>
      </c>
      <c r="B672" s="233" t="str">
        <f>РПЗ!$D672</f>
        <v>1004-2017-00657Разработка и изготовление функциональных элементов комплекса аппаратуры "Светинфо" с новыми свойствами для измерения оптических и электрических характкристик решеток и линеек лазерных диодов и определение параметров их надежности и качества</v>
      </c>
      <c r="C672" s="233" t="str">
        <f>РПЗ!$AA672</f>
        <v>АО "НИИ "Полюс" им. М.Ф. Стельмаха" тел. отдела закупок 8-495-333-05-02</v>
      </c>
      <c r="D672" s="633" t="str">
        <f>РПЗ!$AB672</f>
        <v>Заказчик</v>
      </c>
      <c r="E672" s="510" t="s">
        <v>62</v>
      </c>
      <c r="F672" s="233" t="str">
        <f>РПЗ!Q672</f>
        <v>ЕП</v>
      </c>
      <c r="G672" s="237" t="str">
        <f>Таблица5[[#This Row],[6]]</f>
        <v>ЕП</v>
      </c>
      <c r="H672" s="237" t="str">
        <f>РПЗ!R672</f>
        <v>нет</v>
      </c>
      <c r="I672" s="15" t="str">
        <f>РПЗ!W672</f>
        <v>6.6.2(7)</v>
      </c>
      <c r="J672" s="233" t="str">
        <f>РПЗ!X672</f>
        <v>7701002520</v>
      </c>
      <c r="K672" s="283" t="str">
        <f>РПЗ!Z672</f>
        <v>35 000 000</v>
      </c>
      <c r="L672" s="661" t="s">
        <v>2347</v>
      </c>
      <c r="M672" s="18">
        <f>РПЗ!O672</f>
        <v>42736</v>
      </c>
      <c r="N672" s="238">
        <f>Таблица5[[#This Row],[10]]</f>
        <v>42736</v>
      </c>
      <c r="O672" s="17"/>
      <c r="P672" s="17"/>
      <c r="Q672" s="17"/>
      <c r="R672" s="17"/>
      <c r="S672" s="17"/>
      <c r="T672" s="695" t="s">
        <v>2340</v>
      </c>
      <c r="U672" s="18">
        <f>РПЗ!P672</f>
        <v>43646</v>
      </c>
      <c r="V672" s="760">
        <v>42887</v>
      </c>
      <c r="W672" s="236">
        <f>РПЗ!L672</f>
        <v>35000000</v>
      </c>
      <c r="X672" s="689">
        <v>1</v>
      </c>
      <c r="Y672" s="689">
        <v>0</v>
      </c>
      <c r="Z672" s="1055">
        <v>7701002520</v>
      </c>
      <c r="AA672" s="704" t="s">
        <v>2345</v>
      </c>
      <c r="AB672" s="700">
        <v>35000000</v>
      </c>
      <c r="AC672" s="808">
        <v>42887</v>
      </c>
      <c r="AD672" s="810" t="s">
        <v>2348</v>
      </c>
      <c r="AE672" s="703" t="s">
        <v>2340</v>
      </c>
      <c r="AF672" s="474"/>
      <c r="AG672" s="827">
        <v>35000000</v>
      </c>
      <c r="AH672" s="236">
        <f>IF(Таблица5[[#This Row],[30]]=0,"НД",Таблица5[[#This Row],[20]]-Таблица5[[#This Row],[30]])</f>
        <v>0</v>
      </c>
      <c r="AI672" s="511">
        <f>IF(((1-Таблица5[[#This Row],[30]]/Таблица5[[#This Row],[20]])=1),"НД",(1-Таблица5[[#This Row],[30]]/Таблица5[[#This Row],[20]]))</f>
        <v>0</v>
      </c>
      <c r="AJ672" s="111"/>
      <c r="AK672" s="111"/>
      <c r="AL672" s="512"/>
      <c r="AM672" s="513" t="s">
        <v>113</v>
      </c>
      <c r="AN672" s="801">
        <v>31704741912</v>
      </c>
      <c r="AO672" s="468" t="str">
        <f>РПЗ!AD672</f>
        <v>Нет</v>
      </c>
      <c r="AP672" s="472">
        <f>РПЗ!V672</f>
        <v>0</v>
      </c>
      <c r="AQ672" s="470">
        <f>IF(Таблица5[[#This Row],[11]]=0,,MONTH(Таблица5[[#This Row],[11]]))</f>
        <v>1</v>
      </c>
    </row>
    <row r="673" spans="1:43" ht="51.75" thickBot="1" x14ac:dyDescent="0.3">
      <c r="A673" s="233" t="str">
        <f t="shared" si="10"/>
        <v>1004-2017-00658</v>
      </c>
      <c r="B673" s="233" t="str">
        <f>РПЗ!$D673</f>
        <v>1004-2017-00658Поставка Контактор КНЕ-020У 24 В,554100022 09, контактор КНЕ-030У 24В, 554110022 09</v>
      </c>
      <c r="C673" s="233" t="str">
        <f>РПЗ!$AA673</f>
        <v>АО "НИИ "Полюс" им. М.Ф. Стельмаха" тел. отдела закупок 8-495-333-05-02</v>
      </c>
      <c r="D673" s="633" t="str">
        <f>РПЗ!$AB673</f>
        <v>Заказчик</v>
      </c>
      <c r="E673" s="510" t="s">
        <v>62</v>
      </c>
      <c r="F673" s="233" t="str">
        <f>РПЗ!Q673</f>
        <v>ЕП</v>
      </c>
      <c r="G673" s="237" t="str">
        <f>Таблица5[[#This Row],[6]]</f>
        <v>ЕП</v>
      </c>
      <c r="H673" s="237" t="str">
        <f>РПЗ!R673</f>
        <v>нет</v>
      </c>
      <c r="I673" s="15" t="str">
        <f>РПЗ!W673</f>
        <v>6.6.2(10)</v>
      </c>
      <c r="J673" s="233" t="str">
        <f>РПЗ!X673</f>
        <v>2128000600</v>
      </c>
      <c r="K673" s="283">
        <f>РПЗ!Z673</f>
        <v>111394.36</v>
      </c>
      <c r="L673" s="17">
        <v>42761</v>
      </c>
      <c r="M673" s="18">
        <f>РПЗ!O673</f>
        <v>42736</v>
      </c>
      <c r="N673" s="238">
        <f>Таблица5[[#This Row],[10]]</f>
        <v>42736</v>
      </c>
      <c r="O673" s="17"/>
      <c r="P673" s="17"/>
      <c r="Q673" s="17"/>
      <c r="R673" s="17"/>
      <c r="S673" s="17"/>
      <c r="T673" s="686">
        <v>42818</v>
      </c>
      <c r="U673" s="18">
        <f>РПЗ!P673</f>
        <v>42767</v>
      </c>
      <c r="V673" s="686">
        <v>42887</v>
      </c>
      <c r="W673" s="236">
        <f>РПЗ!L673</f>
        <v>111394.36</v>
      </c>
      <c r="X673" s="689">
        <v>1</v>
      </c>
      <c r="Y673" s="689">
        <v>0</v>
      </c>
      <c r="Z673" s="691">
        <v>2128000600</v>
      </c>
      <c r="AA673" s="691" t="s">
        <v>6063</v>
      </c>
      <c r="AB673" s="111">
        <v>111394.36</v>
      </c>
      <c r="AC673" s="17">
        <v>42887</v>
      </c>
      <c r="AD673" s="690" t="s">
        <v>119</v>
      </c>
      <c r="AE673" s="686">
        <v>42818</v>
      </c>
      <c r="AF673" s="474"/>
      <c r="AG673" s="692">
        <v>111394.36</v>
      </c>
      <c r="AH673" s="236">
        <f>IF(Таблица5[[#This Row],[30]]=0,"НД",Таблица5[[#This Row],[20]]-Таблица5[[#This Row],[30]])</f>
        <v>0</v>
      </c>
      <c r="AI673" s="511">
        <f>IF(((1-Таблица5[[#This Row],[30]]/Таблица5[[#This Row],[20]])=1),"НД",(1-Таблица5[[#This Row],[30]]/Таблица5[[#This Row],[20]]))</f>
        <v>0</v>
      </c>
      <c r="AJ673" s="111"/>
      <c r="AK673" s="111"/>
      <c r="AL673" s="512"/>
      <c r="AM673" s="513" t="s">
        <v>113</v>
      </c>
      <c r="AN673" s="801">
        <v>31704723503</v>
      </c>
      <c r="AO673" s="468" t="str">
        <f>РПЗ!AD673</f>
        <v>Нет</v>
      </c>
      <c r="AP673" s="472" t="str">
        <f>РПЗ!V673</f>
        <v>ГОЗ</v>
      </c>
      <c r="AQ673" s="470">
        <f>IF(Таблица5[[#This Row],[11]]=0,,MONTH(Таблица5[[#This Row],[11]]))</f>
        <v>1</v>
      </c>
    </row>
    <row r="674" spans="1:43" ht="38.25" x14ac:dyDescent="0.25">
      <c r="A674" s="233" t="str">
        <f t="shared" si="10"/>
        <v>1004-2017-00659</v>
      </c>
      <c r="B674" s="233" t="str">
        <f>РПЗ!$D674</f>
        <v>1004-2017-00659Поставка Кварцевые генераторы</v>
      </c>
      <c r="C674" s="233" t="str">
        <f>РПЗ!$AA674</f>
        <v>АО "НИИ "Полюс" им. М.Ф. Стельмаха" тел. отдела закупок 8-495-333-05-02</v>
      </c>
      <c r="D674" s="633" t="str">
        <f>РПЗ!$AB674</f>
        <v>Заказчик</v>
      </c>
      <c r="E674" s="96" t="s">
        <v>46</v>
      </c>
      <c r="F674" s="233" t="str">
        <f>РПЗ!Q674</f>
        <v>ЕП</v>
      </c>
      <c r="G674" s="237"/>
      <c r="H674" s="237" t="str">
        <f>РПЗ!R674</f>
        <v>нет</v>
      </c>
      <c r="I674" s="15" t="str">
        <f>РПЗ!W674</f>
        <v>6.6.2(11)</v>
      </c>
      <c r="J674" s="233">
        <f>РПЗ!X674</f>
        <v>0</v>
      </c>
      <c r="K674" s="283">
        <f>РПЗ!Z674</f>
        <v>0</v>
      </c>
      <c r="L674" s="17"/>
      <c r="M674" s="18">
        <f>РПЗ!O674</f>
        <v>42736</v>
      </c>
      <c r="N674" s="238">
        <f>Таблица5[[#This Row],[10]]</f>
        <v>42736</v>
      </c>
      <c r="O674" s="17"/>
      <c r="P674" s="17"/>
      <c r="Q674" s="17"/>
      <c r="R674" s="17"/>
      <c r="S674" s="17"/>
      <c r="T674" s="686"/>
      <c r="U674" s="18">
        <f>РПЗ!P674</f>
        <v>42767</v>
      </c>
      <c r="V674" s="686"/>
      <c r="W674" s="236">
        <f>РПЗ!L674</f>
        <v>885000</v>
      </c>
      <c r="X674" s="689"/>
      <c r="Y674" s="689"/>
      <c r="Z674" s="690"/>
      <c r="AA674" s="691"/>
      <c r="AB674" s="111"/>
      <c r="AC674" s="17"/>
      <c r="AD674" s="690"/>
      <c r="AE674" s="686"/>
      <c r="AF674" s="474"/>
      <c r="AG674" s="692"/>
      <c r="AH674" s="236" t="str">
        <f>IF(Таблица5[[#This Row],[30]]=0,"НД",Таблица5[[#This Row],[20]]-Таблица5[[#This Row],[30]])</f>
        <v>НД</v>
      </c>
      <c r="AI674" s="511" t="str">
        <f>IF(((1-Таблица5[[#This Row],[30]]/Таблица5[[#This Row],[20]])=1),"НД",(1-Таблица5[[#This Row],[30]]/Таблица5[[#This Row],[20]]))</f>
        <v>НД</v>
      </c>
      <c r="AJ674" s="111"/>
      <c r="AK674" s="111"/>
      <c r="AL674" s="512"/>
      <c r="AM674" s="513"/>
      <c r="AN674" s="465"/>
      <c r="AO674" s="468" t="str">
        <f>РПЗ!AD674</f>
        <v>Нет</v>
      </c>
      <c r="AP674" s="472">
        <f>РПЗ!V674</f>
        <v>0</v>
      </c>
      <c r="AQ674" s="470">
        <f>IF(Таблица5[[#This Row],[11]]=0,,MONTH(Таблица5[[#This Row],[11]]))</f>
        <v>1</v>
      </c>
    </row>
    <row r="675" spans="1:43" ht="38.25" x14ac:dyDescent="0.25">
      <c r="A675" s="233" t="str">
        <f t="shared" si="10"/>
        <v>1004-2017-00660</v>
      </c>
      <c r="B675" s="233" t="str">
        <f>РПЗ!$D675</f>
        <v>1004-2017-00660Поставка Резисторы</v>
      </c>
      <c r="C675" s="233" t="str">
        <f>РПЗ!$AA675</f>
        <v>АО "НИИ "Полюс" им. М.Ф. Стельмаха" тел. отдела закупок 8-495-333-05-02</v>
      </c>
      <c r="D675" s="633" t="str">
        <f>РПЗ!$AB675</f>
        <v>Заказчик</v>
      </c>
      <c r="E675" s="510" t="s">
        <v>62</v>
      </c>
      <c r="F675" s="233" t="str">
        <f>РПЗ!Q675</f>
        <v>ЕП</v>
      </c>
      <c r="G675" s="237" t="str">
        <f>Таблица5[[#This Row],[6]]</f>
        <v>ЕП</v>
      </c>
      <c r="H675" s="237" t="str">
        <f>РПЗ!R675</f>
        <v>нет</v>
      </c>
      <c r="I675" s="15" t="str">
        <f>РПЗ!W675</f>
        <v>6.6.2(10)</v>
      </c>
      <c r="J675" s="233" t="str">
        <f>РПЗ!X675</f>
        <v>7112000210</v>
      </c>
      <c r="K675" s="283" t="str">
        <f>РПЗ!Z675</f>
        <v>106447.37</v>
      </c>
      <c r="L675" s="661" t="s">
        <v>2347</v>
      </c>
      <c r="M675" s="18">
        <f>РПЗ!O675</f>
        <v>42736</v>
      </c>
      <c r="N675" s="238">
        <f>Таблица5[[#This Row],[10]]</f>
        <v>42736</v>
      </c>
      <c r="O675" s="17"/>
      <c r="P675" s="17"/>
      <c r="Q675" s="17"/>
      <c r="R675" s="17"/>
      <c r="S675" s="17"/>
      <c r="T675" s="695" t="s">
        <v>2366</v>
      </c>
      <c r="U675" s="18">
        <f>РПЗ!P675</f>
        <v>42826</v>
      </c>
      <c r="V675" s="760">
        <v>42826</v>
      </c>
      <c r="W675" s="236">
        <f>РПЗ!L675</f>
        <v>106447.37</v>
      </c>
      <c r="X675" s="689">
        <v>1</v>
      </c>
      <c r="Y675" s="689">
        <v>0</v>
      </c>
      <c r="Z675" s="1055">
        <v>7112000210</v>
      </c>
      <c r="AA675" s="704" t="s">
        <v>2367</v>
      </c>
      <c r="AB675" s="766">
        <v>106447.37</v>
      </c>
      <c r="AC675" s="808">
        <v>42826</v>
      </c>
      <c r="AD675" s="810" t="s">
        <v>2368</v>
      </c>
      <c r="AE675" s="703" t="s">
        <v>2366</v>
      </c>
      <c r="AF675" s="474"/>
      <c r="AG675" s="827">
        <v>106447.37</v>
      </c>
      <c r="AH675" s="236">
        <f>IF(Таблица5[[#This Row],[30]]=0,"НД",Таблица5[[#This Row],[20]]-Таблица5[[#This Row],[30]])</f>
        <v>0</v>
      </c>
      <c r="AI675" s="511">
        <f>IF(((1-Таблица5[[#This Row],[30]]/Таблица5[[#This Row],[20]])=1),"НД",(1-Таблица5[[#This Row],[30]]/Таблица5[[#This Row],[20]]))</f>
        <v>0</v>
      </c>
      <c r="AJ675" s="111"/>
      <c r="AK675" s="111"/>
      <c r="AL675" s="512"/>
      <c r="AM675" s="513" t="s">
        <v>113</v>
      </c>
      <c r="AN675" s="801">
        <v>31704741897</v>
      </c>
      <c r="AO675" s="468" t="str">
        <f>РПЗ!AD675</f>
        <v>Нет</v>
      </c>
      <c r="AP675" s="472">
        <f>РПЗ!V675</f>
        <v>0</v>
      </c>
      <c r="AQ675" s="470">
        <f>IF(Таблица5[[#This Row],[11]]=0,,MONTH(Таблица5[[#This Row],[11]]))</f>
        <v>1</v>
      </c>
    </row>
    <row r="676" spans="1:43" s="681" customFormat="1" ht="38.25" x14ac:dyDescent="0.25">
      <c r="A676" s="771" t="str">
        <f t="shared" si="10"/>
        <v>1004-2017-00661</v>
      </c>
      <c r="B676" s="771" t="str">
        <f>РПЗ!$D676</f>
        <v xml:space="preserve">1004-2017-00661 вывоз промышлеенных отходов  </v>
      </c>
      <c r="C676" s="771" t="str">
        <f>РПЗ!$AA676</f>
        <v>АО "НИИ "Полюс" им. М.Ф. Стельмаха" тел. отдела закупок 8-495-333-05-02</v>
      </c>
      <c r="D676" s="790" t="str">
        <f>РПЗ!$AB676</f>
        <v>Заказчик</v>
      </c>
      <c r="E676" s="510" t="s">
        <v>62</v>
      </c>
      <c r="F676" s="771" t="str">
        <f>РПЗ!Q676</f>
        <v>ОЗК</v>
      </c>
      <c r="G676" s="771" t="str">
        <f>Таблица5[[#This Row],[6]]</f>
        <v>ОЗК</v>
      </c>
      <c r="H676" s="771" t="str">
        <f>РПЗ!R676</f>
        <v>да</v>
      </c>
      <c r="I676" s="772">
        <f>РПЗ!W676</f>
        <v>0</v>
      </c>
      <c r="J676" s="771">
        <f>РПЗ!X676</f>
        <v>0</v>
      </c>
      <c r="K676" s="774">
        <f>РПЗ!Z676</f>
        <v>0</v>
      </c>
      <c r="L676" s="776">
        <v>42831</v>
      </c>
      <c r="M676" s="775">
        <f>РПЗ!O676</f>
        <v>42826.5</v>
      </c>
      <c r="N676" s="775">
        <f>Таблица5[[#This Row],[10]]</f>
        <v>42826.5</v>
      </c>
      <c r="O676" s="776">
        <v>42838</v>
      </c>
      <c r="P676" s="776">
        <v>42843</v>
      </c>
      <c r="Q676" s="776">
        <v>42843</v>
      </c>
      <c r="R676" s="776">
        <v>42839</v>
      </c>
      <c r="S676" s="776">
        <v>42839</v>
      </c>
      <c r="T676" s="776"/>
      <c r="U676" s="775">
        <f>РПЗ!P676</f>
        <v>43070.5</v>
      </c>
      <c r="V676" s="821"/>
      <c r="W676" s="777">
        <f>РПЗ!L676</f>
        <v>53188.24</v>
      </c>
      <c r="X676" s="822">
        <v>1</v>
      </c>
      <c r="Y676" s="822">
        <v>0</v>
      </c>
      <c r="Z676" s="771">
        <v>7730687075</v>
      </c>
      <c r="AA676" s="771" t="s">
        <v>3347</v>
      </c>
      <c r="AB676" s="777">
        <v>43142</v>
      </c>
      <c r="AC676" s="776"/>
      <c r="AD676" s="778"/>
      <c r="AE676" s="776"/>
      <c r="AF676" s="778"/>
      <c r="AG676" s="823"/>
      <c r="AH676" s="777" t="str">
        <f>IF(Таблица5[[#This Row],[30]]=0,"НД",Таблица5[[#This Row],[20]]-Таблица5[[#This Row],[30]])</f>
        <v>НД</v>
      </c>
      <c r="AI676" s="793" t="str">
        <f>IF(((1-Таблица5[[#This Row],[30]]/Таблица5[[#This Row],[20]])=1),"НД",(1-Таблица5[[#This Row],[30]]/Таблица5[[#This Row],[20]]))</f>
        <v>НД</v>
      </c>
      <c r="AJ676" s="777"/>
      <c r="AK676" s="777"/>
      <c r="AL676" s="794"/>
      <c r="AM676" s="824" t="s">
        <v>113</v>
      </c>
      <c r="AN676" s="806">
        <v>31704987065</v>
      </c>
      <c r="AO676" s="781" t="str">
        <f>РПЗ!AD676</f>
        <v>Нет</v>
      </c>
      <c r="AP676" s="782">
        <f>РПЗ!V676</f>
        <v>0</v>
      </c>
      <c r="AQ676" s="820">
        <f>IF(Таблица5[[#This Row],[11]]=0,,MONTH(Таблица5[[#This Row],[11]]))</f>
        <v>4</v>
      </c>
    </row>
    <row r="677" spans="1:43" ht="38.25" x14ac:dyDescent="0.25">
      <c r="A677" s="233" t="str">
        <f t="shared" si="10"/>
        <v>1004-2017-00662</v>
      </c>
      <c r="B677" s="233" t="str">
        <f>РПЗ!$D677</f>
        <v xml:space="preserve">1004-2017-00662 вывоз промышлеенных отходов  </v>
      </c>
      <c r="C677" s="233" t="str">
        <f>РПЗ!$AA677</f>
        <v>АО "НИИ "Полюс" им. М.Ф. Стельмаха" тел. отдела закупок 8-495-333-05-02</v>
      </c>
      <c r="D677" s="633" t="str">
        <f>РПЗ!$AB677</f>
        <v>Заказчик</v>
      </c>
      <c r="E677" s="510" t="s">
        <v>62</v>
      </c>
      <c r="F677" s="233" t="str">
        <f>РПЗ!Q677</f>
        <v>ОЗК</v>
      </c>
      <c r="G677" s="237" t="str">
        <f>Таблица5[[#This Row],[6]]</f>
        <v>ОЗК</v>
      </c>
      <c r="H677" s="237" t="str">
        <f>РПЗ!R677</f>
        <v>да</v>
      </c>
      <c r="I677" s="15">
        <f>РПЗ!W677</f>
        <v>0</v>
      </c>
      <c r="J677" s="233">
        <f>РПЗ!X677</f>
        <v>0</v>
      </c>
      <c r="K677" s="283">
        <f>РПЗ!Z677</f>
        <v>0</v>
      </c>
      <c r="L677" s="17">
        <v>42930</v>
      </c>
      <c r="M677" s="18">
        <f>РПЗ!O677</f>
        <v>42917</v>
      </c>
      <c r="N677" s="238">
        <f>Таблица5[[#This Row],[10]]</f>
        <v>42917</v>
      </c>
      <c r="O677" s="17">
        <v>42936</v>
      </c>
      <c r="P677" s="17">
        <v>42941</v>
      </c>
      <c r="Q677" s="17">
        <v>42941</v>
      </c>
      <c r="R677" s="17">
        <v>42941</v>
      </c>
      <c r="S677" s="17">
        <v>42941</v>
      </c>
      <c r="T677" s="686">
        <v>42962</v>
      </c>
      <c r="U677" s="18">
        <f>РПЗ!P677</f>
        <v>43070.5</v>
      </c>
      <c r="V677" s="686">
        <v>43070</v>
      </c>
      <c r="W677" s="236">
        <f>РПЗ!L677</f>
        <v>140407</v>
      </c>
      <c r="X677" s="689">
        <v>2</v>
      </c>
      <c r="Y677" s="689">
        <v>0</v>
      </c>
      <c r="Z677" s="691">
        <v>7725299165</v>
      </c>
      <c r="AA677" s="691" t="s">
        <v>6806</v>
      </c>
      <c r="AB677" s="111">
        <v>22425</v>
      </c>
      <c r="AC677" s="17">
        <v>43070</v>
      </c>
      <c r="AD677" s="690" t="s">
        <v>6807</v>
      </c>
      <c r="AE677" s="686">
        <v>42962</v>
      </c>
      <c r="AF677" s="474"/>
      <c r="AG677" s="692">
        <v>22425</v>
      </c>
      <c r="AH677" s="236">
        <f>IF(Таблица5[[#This Row],[30]]=0,"НД",Таблица5[[#This Row],[20]]-Таблица5[[#This Row],[30]])</f>
        <v>117982</v>
      </c>
      <c r="AI677" s="511">
        <f>IF(((1-Таблица5[[#This Row],[30]]/Таблица5[[#This Row],[20]])=1),"НД",(1-Таблица5[[#This Row],[30]]/Таблица5[[#This Row],[20]]))</f>
        <v>0.84028574073942186</v>
      </c>
      <c r="AJ677" s="111">
        <v>22425</v>
      </c>
      <c r="AK677" s="111"/>
      <c r="AL677" s="512"/>
      <c r="AM677" s="513" t="s">
        <v>113</v>
      </c>
      <c r="AN677" s="801">
        <v>31705327144</v>
      </c>
      <c r="AO677" s="468" t="str">
        <f>РПЗ!AD677</f>
        <v>Нет</v>
      </c>
      <c r="AP677" s="472">
        <f>РПЗ!V677</f>
        <v>0</v>
      </c>
      <c r="AQ677" s="470">
        <f>IF(Таблица5[[#This Row],[11]]=0,,MONTH(Таблица5[[#This Row],[11]]))</f>
        <v>7</v>
      </c>
    </row>
    <row r="678" spans="1:43" ht="38.25" x14ac:dyDescent="0.25">
      <c r="A678" s="233" t="str">
        <f t="shared" si="10"/>
        <v>1004-2017-00663</v>
      </c>
      <c r="B678" s="233" t="str">
        <f>РПЗ!$D678</f>
        <v>1004-2017-00663Изготовление активного элемента YAG:Nd ГП3х50-Э.01</v>
      </c>
      <c r="C678" s="233" t="str">
        <f>РПЗ!$AA678</f>
        <v>АО "НИИ "Полюс" им. М.Ф. Стельмаха" тел. отдела закупок 8-495-333-05-02</v>
      </c>
      <c r="D678" s="633" t="str">
        <f>РПЗ!$AB678</f>
        <v>Заказчик</v>
      </c>
      <c r="E678" s="510" t="s">
        <v>62</v>
      </c>
      <c r="F678" s="233" t="str">
        <f>РПЗ!Q678</f>
        <v>ЕП</v>
      </c>
      <c r="G678" s="237" t="str">
        <f>Таблица5[[#This Row],[6]]</f>
        <v>ЕП</v>
      </c>
      <c r="H678" s="237" t="str">
        <f>РПЗ!R678</f>
        <v>нет</v>
      </c>
      <c r="I678" s="15" t="str">
        <f>РПЗ!W678</f>
        <v>6.6.2(11)</v>
      </c>
      <c r="J678" s="233" t="str">
        <f>РПЗ!X678</f>
        <v>2635063350</v>
      </c>
      <c r="K678" s="283" t="str">
        <f>РПЗ!Z678</f>
        <v>2 454 239,25</v>
      </c>
      <c r="L678" s="661" t="s">
        <v>2412</v>
      </c>
      <c r="M678" s="18">
        <f>РПЗ!O678</f>
        <v>42767.5</v>
      </c>
      <c r="N678" s="238">
        <f>Таблица5[[#This Row],[10]]</f>
        <v>42767.5</v>
      </c>
      <c r="O678" s="17"/>
      <c r="P678" s="17"/>
      <c r="Q678" s="17"/>
      <c r="R678" s="17"/>
      <c r="S678" s="17"/>
      <c r="T678" s="695" t="s">
        <v>2379</v>
      </c>
      <c r="U678" s="18">
        <f>РПЗ!P678</f>
        <v>43070.5</v>
      </c>
      <c r="V678" s="760">
        <v>43070</v>
      </c>
      <c r="W678" s="236">
        <f>РПЗ!L678</f>
        <v>2454239.25</v>
      </c>
      <c r="X678" s="689">
        <v>1</v>
      </c>
      <c r="Y678" s="689">
        <v>0</v>
      </c>
      <c r="Z678" s="1055">
        <v>2635063350</v>
      </c>
      <c r="AA678" s="704" t="s">
        <v>2410</v>
      </c>
      <c r="AB678" s="700">
        <v>2454239.25</v>
      </c>
      <c r="AC678" s="808">
        <v>43070</v>
      </c>
      <c r="AD678" s="810" t="s">
        <v>2413</v>
      </c>
      <c r="AE678" s="703" t="s">
        <v>2379</v>
      </c>
      <c r="AF678" s="474"/>
      <c r="AG678" s="827">
        <v>2454239.25</v>
      </c>
      <c r="AH678" s="236">
        <f>IF(Таблица5[[#This Row],[30]]=0,"НД",Таблица5[[#This Row],[20]]-Таблица5[[#This Row],[30]])</f>
        <v>0</v>
      </c>
      <c r="AI678" s="511">
        <f>IF(((1-Таблица5[[#This Row],[30]]/Таблица5[[#This Row],[20]])=1),"НД",(1-Таблица5[[#This Row],[30]]/Таблица5[[#This Row],[20]]))</f>
        <v>0</v>
      </c>
      <c r="AJ678" s="111"/>
      <c r="AK678" s="111"/>
      <c r="AL678" s="512"/>
      <c r="AM678" s="513" t="s">
        <v>113</v>
      </c>
      <c r="AN678" s="801">
        <v>31704789803</v>
      </c>
      <c r="AO678" s="468" t="str">
        <f>РПЗ!AD678</f>
        <v>Нет</v>
      </c>
      <c r="AP678" s="472">
        <f>РПЗ!V678</f>
        <v>0</v>
      </c>
      <c r="AQ678" s="470">
        <f>IF(Таблица5[[#This Row],[11]]=0,,MONTH(Таблица5[[#This Row],[11]]))</f>
        <v>2</v>
      </c>
    </row>
    <row r="679" spans="1:43" ht="38.25" x14ac:dyDescent="0.25">
      <c r="A679" s="233" t="str">
        <f t="shared" si="10"/>
        <v>1004-2017-00664</v>
      </c>
      <c r="B679" s="233" t="str">
        <f>РПЗ!$D679</f>
        <v>1004-2017-00664Поставка БУД-МТД</v>
      </c>
      <c r="C679" s="233" t="str">
        <f>РПЗ!$AA679</f>
        <v>АО "НИИ "Полюс" им. М.Ф. Стельмаха" тел. отдела закупок 8-495-333-05-02</v>
      </c>
      <c r="D679" s="633" t="str">
        <f>РПЗ!$AB679</f>
        <v>Заказчик</v>
      </c>
      <c r="E679" s="510" t="s">
        <v>62</v>
      </c>
      <c r="F679" s="233" t="str">
        <f>РПЗ!Q679</f>
        <v>ЕП</v>
      </c>
      <c r="G679" s="237" t="s">
        <v>110</v>
      </c>
      <c r="H679" s="237" t="str">
        <f>РПЗ!R679</f>
        <v>нет</v>
      </c>
      <c r="I679" s="15" t="str">
        <f>РПЗ!W679</f>
        <v>6.6.2(11)</v>
      </c>
      <c r="J679" s="233" t="str">
        <f>РПЗ!X679</f>
        <v>7728512529</v>
      </c>
      <c r="K679" s="283">
        <f>РПЗ!Z679</f>
        <v>356677.51</v>
      </c>
      <c r="L679" s="17">
        <v>42786</v>
      </c>
      <c r="M679" s="18">
        <f>РПЗ!O679</f>
        <v>42767.5</v>
      </c>
      <c r="N679" s="238">
        <f>Таблица5[[#This Row],[10]]</f>
        <v>42767.5</v>
      </c>
      <c r="O679" s="17"/>
      <c r="P679" s="17"/>
      <c r="Q679" s="17"/>
      <c r="R679" s="17"/>
      <c r="S679" s="17"/>
      <c r="T679" s="686">
        <v>42800</v>
      </c>
      <c r="U679" s="18">
        <f>РПЗ!P679</f>
        <v>43070.5</v>
      </c>
      <c r="V679" s="686">
        <v>43070</v>
      </c>
      <c r="W679" s="236">
        <f>РПЗ!L679</f>
        <v>356677.51</v>
      </c>
      <c r="X679" s="689">
        <v>1</v>
      </c>
      <c r="Y679" s="689">
        <v>0</v>
      </c>
      <c r="Z679" s="691">
        <v>7728512529</v>
      </c>
      <c r="AA679" s="691" t="s">
        <v>2386</v>
      </c>
      <c r="AB679" s="111">
        <v>356677.51</v>
      </c>
      <c r="AC679" s="17">
        <v>43070</v>
      </c>
      <c r="AD679" s="690" t="s">
        <v>8026</v>
      </c>
      <c r="AE679" s="686">
        <v>42800</v>
      </c>
      <c r="AF679" s="474"/>
      <c r="AG679" s="692">
        <v>356677.51</v>
      </c>
      <c r="AH679" s="236">
        <f>IF(Таблица5[[#This Row],[30]]=0,"НД",Таблица5[[#This Row],[20]]-Таблица5[[#This Row],[30]])</f>
        <v>0</v>
      </c>
      <c r="AI679" s="511">
        <f>IF(((1-Таблица5[[#This Row],[30]]/Таблица5[[#This Row],[20]])=1),"НД",(1-Таблица5[[#This Row],[30]]/Таблица5[[#This Row],[20]]))</f>
        <v>0</v>
      </c>
      <c r="AJ679" s="111"/>
      <c r="AK679" s="111"/>
      <c r="AL679" s="512"/>
      <c r="AM679" s="513" t="s">
        <v>113</v>
      </c>
      <c r="AN679" s="801">
        <v>31704823229</v>
      </c>
      <c r="AO679" s="468" t="str">
        <f>РПЗ!AD679</f>
        <v>Нет</v>
      </c>
      <c r="AP679" s="472">
        <f>РПЗ!V679</f>
        <v>0</v>
      </c>
      <c r="AQ679" s="470">
        <f>IF(Таблица5[[#This Row],[11]]=0,,MONTH(Таблица5[[#This Row],[11]]))</f>
        <v>2</v>
      </c>
    </row>
    <row r="680" spans="1:43" ht="39" thickBot="1" x14ac:dyDescent="0.3">
      <c r="A680" s="233" t="str">
        <f t="shared" si="10"/>
        <v>1004-2017-00665</v>
      </c>
      <c r="B680" s="233" t="str">
        <f>РПЗ!$D680</f>
        <v>1004-2017-00665Поставка Механические детали для ЛД-294</v>
      </c>
      <c r="C680" s="233" t="str">
        <f>РПЗ!$AA680</f>
        <v>АО "НИИ "Полюс" им. М.Ф. Стельмаха" тел. отдела закупок 8-495-333-05-02</v>
      </c>
      <c r="D680" s="633" t="str">
        <f>РПЗ!$AB680</f>
        <v>Заказчик</v>
      </c>
      <c r="E680" s="510" t="s">
        <v>62</v>
      </c>
      <c r="F680" s="233" t="str">
        <f>РПЗ!Q680</f>
        <v>ЕП</v>
      </c>
      <c r="G680" s="237" t="str">
        <f>Таблица5[[#This Row],[6]]</f>
        <v>ЕП</v>
      </c>
      <c r="H680" s="237" t="str">
        <f>РПЗ!R680</f>
        <v>нет</v>
      </c>
      <c r="I680" s="15" t="str">
        <f>РПЗ!W680</f>
        <v>6.6.2(11)</v>
      </c>
      <c r="J680" s="233" t="str">
        <f>РПЗ!X680</f>
        <v>190437885</v>
      </c>
      <c r="K680" s="283" t="str">
        <f>РПЗ!Z680</f>
        <v>2 576 000</v>
      </c>
      <c r="L680" s="17">
        <v>42809</v>
      </c>
      <c r="M680" s="18">
        <f>РПЗ!O680</f>
        <v>42795</v>
      </c>
      <c r="N680" s="238">
        <f>Таблица5[[#This Row],[10]]</f>
        <v>42795</v>
      </c>
      <c r="O680" s="17"/>
      <c r="P680" s="17"/>
      <c r="Q680" s="17"/>
      <c r="R680" s="17"/>
      <c r="S680" s="17"/>
      <c r="T680" s="695" t="s">
        <v>3101</v>
      </c>
      <c r="U680" s="18">
        <f>РПЗ!P680</f>
        <v>43070.5</v>
      </c>
      <c r="V680" s="760">
        <v>42887</v>
      </c>
      <c r="W680" s="236">
        <f>РПЗ!L680</f>
        <v>2576000</v>
      </c>
      <c r="X680" s="689">
        <v>1</v>
      </c>
      <c r="Y680" s="689">
        <v>0</v>
      </c>
      <c r="Z680" s="1055">
        <v>190437885</v>
      </c>
      <c r="AA680" s="810" t="s">
        <v>2335</v>
      </c>
      <c r="AB680" s="700">
        <v>2576000</v>
      </c>
      <c r="AC680" s="818">
        <v>42887</v>
      </c>
      <c r="AD680" s="810" t="s">
        <v>3102</v>
      </c>
      <c r="AE680" s="703" t="s">
        <v>3101</v>
      </c>
      <c r="AF680" s="474"/>
      <c r="AG680" s="827">
        <v>2576000</v>
      </c>
      <c r="AH680" s="236">
        <f>IF(Таблица5[[#This Row],[30]]=0,"НД",Таблица5[[#This Row],[20]]-Таблица5[[#This Row],[30]])</f>
        <v>0</v>
      </c>
      <c r="AI680" s="511">
        <f>IF(((1-Таблица5[[#This Row],[30]]/Таблица5[[#This Row],[20]])=1),"НД",(1-Таблица5[[#This Row],[30]]/Таблица5[[#This Row],[20]]))</f>
        <v>0</v>
      </c>
      <c r="AJ680" s="111"/>
      <c r="AK680" s="111"/>
      <c r="AL680" s="512"/>
      <c r="AM680" s="513" t="s">
        <v>113</v>
      </c>
      <c r="AN680" s="801">
        <v>31704893193</v>
      </c>
      <c r="AO680" s="468" t="str">
        <f>РПЗ!AD680</f>
        <v>Нет</v>
      </c>
      <c r="AP680" s="472">
        <f>РПЗ!V680</f>
        <v>0</v>
      </c>
      <c r="AQ680" s="470">
        <f>IF(Таблица5[[#This Row],[11]]=0,,MONTH(Таблица5[[#This Row],[11]]))</f>
        <v>3</v>
      </c>
    </row>
    <row r="681" spans="1:43" ht="76.5" x14ac:dyDescent="0.25">
      <c r="A681" s="233" t="str">
        <f t="shared" si="10"/>
        <v>1004-2017-00666</v>
      </c>
      <c r="B681" s="233" t="str">
        <f>РПЗ!$D681</f>
        <v>1004-2017-00666Поставка  комплекс услуг, связанных с проведением работ по сбору, вывозу и обезвреживанию всех типов ртутьсодержащих ламп и термометров термометров</v>
      </c>
      <c r="C681" s="233" t="str">
        <f>РПЗ!$AA681</f>
        <v>АО "НИИ "Полюс" им. М.Ф. Стельмаха" тел. отдела закупок 8-495-333-05-02</v>
      </c>
      <c r="D681" s="633" t="str">
        <f>РПЗ!$AB681</f>
        <v>Заказчик</v>
      </c>
      <c r="E681" s="96" t="s">
        <v>46</v>
      </c>
      <c r="F681" s="233" t="str">
        <f>РПЗ!Q681</f>
        <v>ОЗК</v>
      </c>
      <c r="G681" s="237"/>
      <c r="H681" s="237" t="str">
        <f>РПЗ!R681</f>
        <v>Да</v>
      </c>
      <c r="I681" s="15">
        <f>РПЗ!W681</f>
        <v>0</v>
      </c>
      <c r="J681" s="233">
        <f>РПЗ!X681</f>
        <v>0</v>
      </c>
      <c r="K681" s="283">
        <f>РПЗ!Z681</f>
        <v>0</v>
      </c>
      <c r="L681" s="17"/>
      <c r="M681" s="18">
        <f>РПЗ!O681</f>
        <v>42767.5</v>
      </c>
      <c r="N681" s="238">
        <f>Таблица5[[#This Row],[10]]</f>
        <v>42767.5</v>
      </c>
      <c r="O681" s="17"/>
      <c r="P681" s="17"/>
      <c r="Q681" s="17"/>
      <c r="R681" s="17"/>
      <c r="S681" s="17"/>
      <c r="T681" s="686"/>
      <c r="U681" s="18">
        <f>РПЗ!P681</f>
        <v>43070.5</v>
      </c>
      <c r="V681" s="686"/>
      <c r="W681" s="236">
        <f>РПЗ!L681</f>
        <v>70921.73</v>
      </c>
      <c r="X681" s="689"/>
      <c r="Y681" s="689"/>
      <c r="Z681" s="690"/>
      <c r="AA681" s="691"/>
      <c r="AB681" s="111"/>
      <c r="AC681" s="17"/>
      <c r="AD681" s="690"/>
      <c r="AE681" s="686"/>
      <c r="AF681" s="474"/>
      <c r="AG681" s="692"/>
      <c r="AH681" s="236" t="str">
        <f>IF(Таблица5[[#This Row],[30]]=0,"НД",Таблица5[[#This Row],[20]]-Таблица5[[#This Row],[30]])</f>
        <v>НД</v>
      </c>
      <c r="AI681" s="511" t="str">
        <f>IF(((1-Таблица5[[#This Row],[30]]/Таблица5[[#This Row],[20]])=1),"НД",(1-Таблица5[[#This Row],[30]]/Таблица5[[#This Row],[20]]))</f>
        <v>НД</v>
      </c>
      <c r="AJ681" s="111"/>
      <c r="AK681" s="111"/>
      <c r="AL681" s="512"/>
      <c r="AM681" s="513"/>
      <c r="AN681" s="465"/>
      <c r="AO681" s="468" t="str">
        <f>РПЗ!AD681</f>
        <v>Нет</v>
      </c>
      <c r="AP681" s="472">
        <f>РПЗ!V681</f>
        <v>0</v>
      </c>
      <c r="AQ681" s="470">
        <f>IF(Таблица5[[#This Row],[11]]=0,,MONTH(Таблица5[[#This Row],[11]]))</f>
        <v>2</v>
      </c>
    </row>
    <row r="682" spans="1:43" ht="38.25" customHeight="1" x14ac:dyDescent="0.25">
      <c r="A682" s="233" t="str">
        <f t="shared" si="10"/>
        <v>1004-2017-00667</v>
      </c>
      <c r="B682" s="233" t="str">
        <f>РПЗ!$D682</f>
        <v>1004-2017-00667Изготовление и поставка комплекта оптических деталей для изделия ЛЦД-25</v>
      </c>
      <c r="C682" s="233" t="str">
        <f>РПЗ!$AA682</f>
        <v>АО "НИИ "Полюс" им. М.Ф. Стельмаха" тел. отдела закупок 8-495-333-05-02</v>
      </c>
      <c r="D682" s="633" t="str">
        <f>РПЗ!$AB682</f>
        <v>Заказчик</v>
      </c>
      <c r="E682" s="510" t="s">
        <v>62</v>
      </c>
      <c r="F682" s="233" t="str">
        <f>РПЗ!Q682</f>
        <v>ЕП</v>
      </c>
      <c r="G682" s="237" t="str">
        <f>Таблица5[[#This Row],[6]]</f>
        <v>ЕП</v>
      </c>
      <c r="H682" s="237" t="str">
        <f>РПЗ!R682</f>
        <v>нет</v>
      </c>
      <c r="I682" s="15" t="str">
        <f>РПЗ!W682</f>
        <v>6.6.2(11)</v>
      </c>
      <c r="J682" s="233" t="str">
        <f>РПЗ!X682</f>
        <v>5024022965</v>
      </c>
      <c r="K682" s="283">
        <f>РПЗ!Z682</f>
        <v>511387.52</v>
      </c>
      <c r="L682" s="17">
        <v>42793</v>
      </c>
      <c r="M682" s="18">
        <f>РПЗ!O682</f>
        <v>42767.5</v>
      </c>
      <c r="N682" s="238">
        <f>Таблица5[[#This Row],[10]]</f>
        <v>42767.5</v>
      </c>
      <c r="O682" s="17"/>
      <c r="P682" s="17"/>
      <c r="Q682" s="17"/>
      <c r="R682" s="17"/>
      <c r="S682" s="17"/>
      <c r="T682" s="695" t="s">
        <v>3112</v>
      </c>
      <c r="U682" s="18">
        <f>РПЗ!P682</f>
        <v>43070.5</v>
      </c>
      <c r="V682" s="761">
        <v>43070</v>
      </c>
      <c r="W682" s="236">
        <f>РПЗ!L682</f>
        <v>511387.52</v>
      </c>
      <c r="X682" s="689">
        <v>1</v>
      </c>
      <c r="Y682" s="689">
        <v>0</v>
      </c>
      <c r="Z682" s="691">
        <v>5024022965</v>
      </c>
      <c r="AA682" s="691" t="s">
        <v>3015</v>
      </c>
      <c r="AB682" s="111">
        <v>511387.52</v>
      </c>
      <c r="AC682" s="686">
        <v>43070</v>
      </c>
      <c r="AD682" s="810" t="s">
        <v>3113</v>
      </c>
      <c r="AE682" s="703" t="s">
        <v>3112</v>
      </c>
      <c r="AF682" s="474"/>
      <c r="AG682" s="691">
        <v>511387.52</v>
      </c>
      <c r="AH682" s="236">
        <f>IF(Таблица5[[#This Row],[30]]=0,"НД",Таблица5[[#This Row],[20]]-Таблица5[[#This Row],[30]])</f>
        <v>0</v>
      </c>
      <c r="AI682" s="511">
        <f>IF(((1-Таблица5[[#This Row],[30]]/Таблица5[[#This Row],[20]])=1),"НД",(1-Таблица5[[#This Row],[30]]/Таблица5[[#This Row],[20]]))</f>
        <v>0</v>
      </c>
      <c r="AJ682" s="111"/>
      <c r="AK682" s="111"/>
      <c r="AL682" s="512"/>
      <c r="AM682" s="513" t="s">
        <v>113</v>
      </c>
      <c r="AN682" s="801">
        <v>31704840531</v>
      </c>
      <c r="AO682" s="468" t="str">
        <f>РПЗ!AD682</f>
        <v>Нет</v>
      </c>
      <c r="AP682" s="472">
        <f>РПЗ!V682</f>
        <v>0</v>
      </c>
      <c r="AQ682" s="470">
        <f>IF(Таблица5[[#This Row],[11]]=0,,MONTH(Таблица5[[#This Row],[11]]))</f>
        <v>2</v>
      </c>
    </row>
    <row r="683" spans="1:43" ht="89.25" x14ac:dyDescent="0.25">
      <c r="A683" s="233" t="str">
        <f t="shared" si="10"/>
        <v>1004-2017-00668</v>
      </c>
      <c r="B683" s="233" t="str">
        <f>РПЗ!$D683</f>
        <v>1004-2017-00668Поставка подложек арсенида галлия, легированных кремнием</v>
      </c>
      <c r="C683" s="233" t="str">
        <f>РПЗ!$AA683</f>
        <v>АО "НИИ "Полюс" им. М.Ф. Стельмаха" тел. отдела закупок 8-495-333-05-02</v>
      </c>
      <c r="D683" s="633" t="str">
        <f>РПЗ!$AB683</f>
        <v>Заказчик</v>
      </c>
      <c r="E683" s="510" t="s">
        <v>62</v>
      </c>
      <c r="F683" s="233" t="str">
        <f>РПЗ!Q683</f>
        <v>ОК</v>
      </c>
      <c r="G683" s="237" t="str">
        <f>Таблица5[[#This Row],[6]]</f>
        <v>ОК</v>
      </c>
      <c r="H683" s="237" t="str">
        <f>РПЗ!R683</f>
        <v>да</v>
      </c>
      <c r="I683" s="15">
        <f>РПЗ!W683</f>
        <v>0</v>
      </c>
      <c r="J683" s="233">
        <f>РПЗ!X683</f>
        <v>0</v>
      </c>
      <c r="K683" s="283">
        <f>РПЗ!Z683</f>
        <v>0</v>
      </c>
      <c r="L683" s="17"/>
      <c r="M683" s="18">
        <f>РПЗ!O683</f>
        <v>42767.5</v>
      </c>
      <c r="N683" s="238">
        <f>Таблица5[[#This Row],[10]]</f>
        <v>42767.5</v>
      </c>
      <c r="O683" s="17">
        <v>42795</v>
      </c>
      <c r="P683" s="17">
        <v>42800</v>
      </c>
      <c r="Q683" s="17">
        <v>42800</v>
      </c>
      <c r="R683" s="17">
        <v>42804</v>
      </c>
      <c r="S683" s="17">
        <v>42804</v>
      </c>
      <c r="T683" s="686">
        <v>42817</v>
      </c>
      <c r="U683" s="18">
        <f>РПЗ!P683</f>
        <v>43070.5</v>
      </c>
      <c r="V683" s="761">
        <v>42856</v>
      </c>
      <c r="W683" s="236">
        <f>РПЗ!L683</f>
        <v>343600</v>
      </c>
      <c r="X683" s="689">
        <v>1</v>
      </c>
      <c r="Y683" s="689">
        <v>0</v>
      </c>
      <c r="Z683" s="691">
        <v>7728808974</v>
      </c>
      <c r="AA683" s="691" t="s">
        <v>3309</v>
      </c>
      <c r="AB683" s="111">
        <v>343600</v>
      </c>
      <c r="AC683" s="17">
        <v>42856</v>
      </c>
      <c r="AD683" s="690" t="s">
        <v>3348</v>
      </c>
      <c r="AE683" s="686">
        <v>42817</v>
      </c>
      <c r="AF683" s="474"/>
      <c r="AG683" s="691">
        <v>343600</v>
      </c>
      <c r="AH683" s="236">
        <f>IF(Таблица5[[#This Row],[30]]=0,"НД",Таблица5[[#This Row],[20]]-Таблица5[[#This Row],[30]])</f>
        <v>0</v>
      </c>
      <c r="AI683" s="511">
        <f>IF(((1-Таблица5[[#This Row],[30]]/Таблица5[[#This Row],[20]])=1),"НД",(1-Таблица5[[#This Row],[30]]/Таблица5[[#This Row],[20]]))</f>
        <v>0</v>
      </c>
      <c r="AJ683" s="111">
        <v>343600</v>
      </c>
      <c r="AK683" s="111"/>
      <c r="AL683" s="512"/>
      <c r="AM683" s="513" t="s">
        <v>113</v>
      </c>
      <c r="AN683" s="801" t="s">
        <v>4820</v>
      </c>
      <c r="AO683" s="468" t="str">
        <f>РПЗ!AD683</f>
        <v>Нет</v>
      </c>
      <c r="AP683" s="472">
        <f>РПЗ!V683</f>
        <v>0</v>
      </c>
      <c r="AQ683" s="470">
        <f>IF(Таблица5[[#This Row],[11]]=0,,MONTH(Таблица5[[#This Row],[11]]))</f>
        <v>2</v>
      </c>
    </row>
    <row r="684" spans="1:43" ht="38.25" x14ac:dyDescent="0.25">
      <c r="A684" s="233" t="str">
        <f t="shared" si="10"/>
        <v>1004-2017-00669</v>
      </c>
      <c r="B684" s="233" t="str">
        <f>РПЗ!$D684</f>
        <v>1004-2017-00669Поставка продукция из драгоценных металлов и их сплавов</v>
      </c>
      <c r="C684" s="233" t="str">
        <f>РПЗ!$AA684</f>
        <v>АО "НИИ "Полюс" им. М.Ф. Стельмаха" тел. отдела закупок 8-495-333-05-02</v>
      </c>
      <c r="D684" s="633" t="str">
        <f>РПЗ!$AB684</f>
        <v>Заказчик</v>
      </c>
      <c r="E684" s="510" t="s">
        <v>62</v>
      </c>
      <c r="F684" s="233" t="str">
        <f>РПЗ!Q684</f>
        <v>ЕП</v>
      </c>
      <c r="G684" s="237" t="str">
        <f>Таблица5[[#This Row],[6]]</f>
        <v>ЕП</v>
      </c>
      <c r="H684" s="237" t="str">
        <f>РПЗ!R684</f>
        <v>нет</v>
      </c>
      <c r="I684" s="15" t="str">
        <f>РПЗ!W684</f>
        <v>6.6.2(11)</v>
      </c>
      <c r="J684" s="233" t="str">
        <f>РПЗ!X684</f>
        <v>6661005707</v>
      </c>
      <c r="K684" s="283" t="str">
        <f>РПЗ!Z684</f>
        <v>10 464 790,91</v>
      </c>
      <c r="L684" s="17">
        <v>42787</v>
      </c>
      <c r="M684" s="18">
        <f>РПЗ!O684</f>
        <v>42767.5</v>
      </c>
      <c r="N684" s="238">
        <f>Таблица5[[#This Row],[10]]</f>
        <v>42767.5</v>
      </c>
      <c r="O684" s="17"/>
      <c r="P684" s="17"/>
      <c r="Q684" s="17"/>
      <c r="R684" s="17"/>
      <c r="S684" s="17"/>
      <c r="T684" s="695" t="s">
        <v>3024</v>
      </c>
      <c r="U684" s="18">
        <f>РПЗ!P684</f>
        <v>43070.5</v>
      </c>
      <c r="V684" s="760">
        <v>43466</v>
      </c>
      <c r="W684" s="236">
        <f>РПЗ!L684</f>
        <v>10464798.970000001</v>
      </c>
      <c r="X684" s="689">
        <v>1</v>
      </c>
      <c r="Y684" s="689">
        <v>0</v>
      </c>
      <c r="Z684" s="765">
        <v>6661005707</v>
      </c>
      <c r="AA684" s="704" t="s">
        <v>3093</v>
      </c>
      <c r="AB684" s="766">
        <v>10464790.91</v>
      </c>
      <c r="AC684" s="808">
        <v>43466</v>
      </c>
      <c r="AD684" s="810" t="s">
        <v>3095</v>
      </c>
      <c r="AE684" s="703" t="s">
        <v>3024</v>
      </c>
      <c r="AF684" s="474"/>
      <c r="AG684" s="827">
        <v>10464790.91</v>
      </c>
      <c r="AH684" s="236">
        <f>IF(Таблица5[[#This Row],[30]]=0,"НД",Таблица5[[#This Row],[20]]-Таблица5[[#This Row],[30]])</f>
        <v>8.0600000005215406</v>
      </c>
      <c r="AI684" s="511">
        <f>IF(((1-Таблица5[[#This Row],[30]]/Таблица5[[#This Row],[20]])=1),"НД",(1-Таблица5[[#This Row],[30]]/Таблица5[[#This Row],[20]]))</f>
        <v>7.7020113087300501E-7</v>
      </c>
      <c r="AJ684" s="111"/>
      <c r="AK684" s="111"/>
      <c r="AL684" s="512"/>
      <c r="AM684" s="513" t="s">
        <v>113</v>
      </c>
      <c r="AN684" s="801">
        <v>31704821244</v>
      </c>
      <c r="AO684" s="468" t="str">
        <f>РПЗ!AD684</f>
        <v>Нет</v>
      </c>
      <c r="AP684" s="472">
        <f>РПЗ!V684</f>
        <v>0</v>
      </c>
      <c r="AQ684" s="470">
        <f>IF(Таблица5[[#This Row],[11]]=0,,MONTH(Таблица5[[#This Row],[11]]))</f>
        <v>2</v>
      </c>
    </row>
    <row r="685" spans="1:43" ht="38.25" x14ac:dyDescent="0.25">
      <c r="A685" s="233" t="str">
        <f t="shared" si="10"/>
        <v>1004-2017-00670</v>
      </c>
      <c r="B685" s="233" t="str">
        <f>РПЗ!$D685</f>
        <v>1004-2017-00670Поставка мишени из металлов</v>
      </c>
      <c r="C685" s="233" t="str">
        <f>РПЗ!$AA685</f>
        <v>АО "НИИ "Полюс" им. М.Ф. Стельмаха" тел. отдела закупок 8-495-333-05-02</v>
      </c>
      <c r="D685" s="633" t="str">
        <f>РПЗ!$AB685</f>
        <v>Заказчик</v>
      </c>
      <c r="E685" s="510" t="s">
        <v>62</v>
      </c>
      <c r="F685" s="233" t="str">
        <f>РПЗ!Q685</f>
        <v>ОЗК</v>
      </c>
      <c r="G685" s="237" t="str">
        <f>Таблица5[[#This Row],[6]]</f>
        <v>ОЗК</v>
      </c>
      <c r="H685" s="237" t="str">
        <f>РПЗ!R685</f>
        <v>да</v>
      </c>
      <c r="I685" s="15">
        <f>РПЗ!W685</f>
        <v>0</v>
      </c>
      <c r="J685" s="233">
        <f>РПЗ!X685</f>
        <v>0</v>
      </c>
      <c r="K685" s="283">
        <f>РПЗ!Z685</f>
        <v>0</v>
      </c>
      <c r="L685" s="17"/>
      <c r="M685" s="18">
        <f>РПЗ!O685</f>
        <v>42767.5</v>
      </c>
      <c r="N685" s="238">
        <f>Таблица5[[#This Row],[10]]</f>
        <v>42767.5</v>
      </c>
      <c r="O685" s="17">
        <v>42796</v>
      </c>
      <c r="P685" s="17">
        <v>42801</v>
      </c>
      <c r="Q685" s="17">
        <v>42801</v>
      </c>
      <c r="R685" s="17">
        <v>42800</v>
      </c>
      <c r="S685" s="17">
        <v>42800</v>
      </c>
      <c r="T685" s="808" t="s">
        <v>3051</v>
      </c>
      <c r="U685" s="18">
        <f>РПЗ!P685</f>
        <v>43070.5</v>
      </c>
      <c r="V685" s="760">
        <v>42887</v>
      </c>
      <c r="W685" s="236">
        <f>РПЗ!L685</f>
        <v>950000</v>
      </c>
      <c r="X685" s="689">
        <v>4</v>
      </c>
      <c r="Y685" s="689">
        <v>0</v>
      </c>
      <c r="Z685" s="765">
        <v>7721224828</v>
      </c>
      <c r="AA685" s="810" t="s">
        <v>3281</v>
      </c>
      <c r="AB685" s="693">
        <v>901638</v>
      </c>
      <c r="AC685" s="17">
        <v>42887</v>
      </c>
      <c r="AD685" s="810" t="s">
        <v>3282</v>
      </c>
      <c r="AE685" s="694" t="s">
        <v>3051</v>
      </c>
      <c r="AF685" s="474"/>
      <c r="AG685" s="827">
        <v>901638</v>
      </c>
      <c r="AH685" s="236">
        <f>IF(Таблица5[[#This Row],[30]]=0,"НД",Таблица5[[#This Row],[20]]-Таблица5[[#This Row],[30]])</f>
        <v>48362</v>
      </c>
      <c r="AI685" s="511">
        <f>IF(((1-Таблица5[[#This Row],[30]]/Таблица5[[#This Row],[20]])=1),"НД",(1-Таблица5[[#This Row],[30]]/Таблица5[[#This Row],[20]]))</f>
        <v>5.090736842105259E-2</v>
      </c>
      <c r="AJ685" s="111">
        <v>901638</v>
      </c>
      <c r="AK685" s="111"/>
      <c r="AL685" s="512"/>
      <c r="AM685" s="513" t="s">
        <v>113</v>
      </c>
      <c r="AN685" s="801">
        <v>31704824284</v>
      </c>
      <c r="AO685" s="468" t="str">
        <f>РПЗ!AD685</f>
        <v>Нет</v>
      </c>
      <c r="AP685" s="472">
        <f>РПЗ!V685</f>
        <v>0</v>
      </c>
      <c r="AQ685" s="470">
        <f>IF(Таблица5[[#This Row],[11]]=0,,MONTH(Таблица5[[#This Row],[11]]))</f>
        <v>2</v>
      </c>
    </row>
    <row r="686" spans="1:43" ht="38.25" x14ac:dyDescent="0.25">
      <c r="A686" s="233" t="str">
        <f t="shared" si="10"/>
        <v>1004-2017-00671</v>
      </c>
      <c r="B686" s="233" t="str">
        <f>РПЗ!$D686</f>
        <v>1004-2017-00671Поставка Механические детали</v>
      </c>
      <c r="C686" s="233" t="str">
        <f>РПЗ!$AA686</f>
        <v>АО "НИИ "Полюс" им. М.Ф. Стельмаха" тел. отдела закупок 8-495-333-05-02</v>
      </c>
      <c r="D686" s="633" t="str">
        <f>РПЗ!$AB686</f>
        <v>Заказчик</v>
      </c>
      <c r="E686" s="510" t="s">
        <v>62</v>
      </c>
      <c r="F686" s="233" t="str">
        <f>РПЗ!Q686</f>
        <v>ЕП</v>
      </c>
      <c r="G686" s="237" t="str">
        <f>Таблица5[[#This Row],[6]]</f>
        <v>ЕП</v>
      </c>
      <c r="H686" s="237" t="str">
        <f>РПЗ!R686</f>
        <v>нет</v>
      </c>
      <c r="I686" s="15" t="str">
        <f>РПЗ!W686</f>
        <v>6.6.2(11)</v>
      </c>
      <c r="J686" s="233">
        <f>РПЗ!X686</f>
        <v>4028061716</v>
      </c>
      <c r="K686" s="283" t="str">
        <f>РПЗ!Z686</f>
        <v>1 230 527,6</v>
      </c>
      <c r="L686" s="17">
        <v>42794</v>
      </c>
      <c r="M686" s="18">
        <f>РПЗ!O686</f>
        <v>42795</v>
      </c>
      <c r="N686" s="238">
        <f>Таблица5[[#This Row],[10]]</f>
        <v>42795</v>
      </c>
      <c r="O686" s="17"/>
      <c r="P686" s="17"/>
      <c r="Q686" s="17"/>
      <c r="R686" s="17"/>
      <c r="S686" s="17"/>
      <c r="T686" s="695" t="s">
        <v>3007</v>
      </c>
      <c r="U686" s="18">
        <f>РПЗ!P686</f>
        <v>43070.5</v>
      </c>
      <c r="V686" s="760">
        <v>42856</v>
      </c>
      <c r="W686" s="236">
        <f>РПЗ!L686</f>
        <v>1230527.6000000001</v>
      </c>
      <c r="X686" s="689">
        <v>1</v>
      </c>
      <c r="Y686" s="689">
        <v>0</v>
      </c>
      <c r="Z686" s="691">
        <v>4028061716</v>
      </c>
      <c r="AA686" s="691" t="s">
        <v>3009</v>
      </c>
      <c r="AB686" s="111">
        <v>1230527.6000000001</v>
      </c>
      <c r="AC686" s="808">
        <v>42856</v>
      </c>
      <c r="AD686" s="810" t="s">
        <v>3011</v>
      </c>
      <c r="AE686" s="703" t="s">
        <v>3007</v>
      </c>
      <c r="AF686" s="474"/>
      <c r="AG686" s="691">
        <v>1230527.6000000001</v>
      </c>
      <c r="AH686" s="236">
        <f>IF(Таблица5[[#This Row],[30]]=0,"НД",Таблица5[[#This Row],[20]]-Таблица5[[#This Row],[30]])</f>
        <v>0</v>
      </c>
      <c r="AI686" s="511">
        <f>IF(((1-Таблица5[[#This Row],[30]]/Таблица5[[#This Row],[20]])=1),"НД",(1-Таблица5[[#This Row],[30]]/Таблица5[[#This Row],[20]]))</f>
        <v>0</v>
      </c>
      <c r="AJ686" s="111"/>
      <c r="AK686" s="111"/>
      <c r="AL686" s="512"/>
      <c r="AM686" s="513" t="s">
        <v>113</v>
      </c>
      <c r="AN686" s="801">
        <v>31704855325</v>
      </c>
      <c r="AO686" s="468" t="str">
        <f>РПЗ!AD686</f>
        <v>Нет</v>
      </c>
      <c r="AP686" s="472">
        <f>РПЗ!V686</f>
        <v>0</v>
      </c>
      <c r="AQ686" s="470">
        <f>IF(Таблица5[[#This Row],[11]]=0,,MONTH(Таблица5[[#This Row],[11]]))</f>
        <v>3</v>
      </c>
    </row>
    <row r="687" spans="1:43" ht="39" thickBot="1" x14ac:dyDescent="0.3">
      <c r="A687" s="233" t="str">
        <f t="shared" si="10"/>
        <v>1004-2017-00672</v>
      </c>
      <c r="B687" s="233" t="str">
        <f>РПЗ!$D687</f>
        <v>1004-2017-00672Поставка Механические детали</v>
      </c>
      <c r="C687" s="233" t="str">
        <f>РПЗ!$AA687</f>
        <v>АО "НИИ "Полюс" им. М.Ф. Стельмаха" тел. отдела закупок 8-495-333-05-02</v>
      </c>
      <c r="D687" s="633" t="str">
        <f>РПЗ!$AB687</f>
        <v>Заказчик</v>
      </c>
      <c r="E687" s="510" t="s">
        <v>62</v>
      </c>
      <c r="F687" s="233" t="str">
        <f>РПЗ!Q687</f>
        <v>ЕП</v>
      </c>
      <c r="G687" s="237" t="str">
        <f>Таблица5[[#This Row],[6]]</f>
        <v>ЕП</v>
      </c>
      <c r="H687" s="237" t="str">
        <f>РПЗ!R687</f>
        <v>нет</v>
      </c>
      <c r="I687" s="15" t="str">
        <f>РПЗ!W687</f>
        <v>6.6.2(11)</v>
      </c>
      <c r="J687" s="233" t="str">
        <f>РПЗ!X687</f>
        <v>4028061716</v>
      </c>
      <c r="K687" s="283" t="str">
        <f>РПЗ!Z687</f>
        <v>326 388</v>
      </c>
      <c r="L687" s="661" t="s">
        <v>2407</v>
      </c>
      <c r="M687" s="18">
        <f>РПЗ!O687</f>
        <v>42795</v>
      </c>
      <c r="N687" s="238">
        <f>Таблица5[[#This Row],[10]]</f>
        <v>42795</v>
      </c>
      <c r="O687" s="17"/>
      <c r="P687" s="17"/>
      <c r="Q687" s="17"/>
      <c r="R687" s="17"/>
      <c r="S687" s="17"/>
      <c r="T687" s="695" t="s">
        <v>2379</v>
      </c>
      <c r="U687" s="18">
        <f>РПЗ!P687</f>
        <v>43070.5</v>
      </c>
      <c r="V687" s="760">
        <v>42948</v>
      </c>
      <c r="W687" s="236">
        <f>РПЗ!L687</f>
        <v>326388</v>
      </c>
      <c r="X687" s="689">
        <v>1</v>
      </c>
      <c r="Y687" s="689">
        <v>0</v>
      </c>
      <c r="Z687" s="765">
        <v>4028061716</v>
      </c>
      <c r="AA687" s="704" t="s">
        <v>2405</v>
      </c>
      <c r="AB687" s="700">
        <v>326388</v>
      </c>
      <c r="AC687" s="808">
        <v>42948</v>
      </c>
      <c r="AD687" s="810" t="s">
        <v>2408</v>
      </c>
      <c r="AE687" s="703" t="s">
        <v>2379</v>
      </c>
      <c r="AF687" s="474"/>
      <c r="AG687" s="827">
        <v>326388</v>
      </c>
      <c r="AH687" s="236">
        <f>IF(Таблица5[[#This Row],[30]]=0,"НД",Таблица5[[#This Row],[20]]-Таблица5[[#This Row],[30]])</f>
        <v>0</v>
      </c>
      <c r="AI687" s="511">
        <f>IF(((1-Таблица5[[#This Row],[30]]/Таблица5[[#This Row],[20]])=1),"НД",(1-Таблица5[[#This Row],[30]]/Таблица5[[#This Row],[20]]))</f>
        <v>0</v>
      </c>
      <c r="AJ687" s="111"/>
      <c r="AK687" s="111"/>
      <c r="AL687" s="512"/>
      <c r="AM687" s="513" t="s">
        <v>113</v>
      </c>
      <c r="AN687" s="801">
        <v>31704825232</v>
      </c>
      <c r="AO687" s="468" t="str">
        <f>РПЗ!AD687</f>
        <v>Нет</v>
      </c>
      <c r="AP687" s="472">
        <f>РПЗ!V687</f>
        <v>0</v>
      </c>
      <c r="AQ687" s="470">
        <f>IF(Таблица5[[#This Row],[11]]=0,,MONTH(Таблица5[[#This Row],[11]]))</f>
        <v>3</v>
      </c>
    </row>
    <row r="688" spans="1:43" ht="38.25" x14ac:dyDescent="0.25">
      <c r="A688" s="233" t="str">
        <f t="shared" si="10"/>
        <v>1004-2017-00673</v>
      </c>
      <c r="B688" s="233" t="str">
        <f>РПЗ!$D688</f>
        <v>1004-2017-00673Поставка Оптические детали</v>
      </c>
      <c r="C688" s="233" t="str">
        <f>РПЗ!$AA688</f>
        <v>АО "НИИ "Полюс" им. М.Ф. Стельмаха" тел. отдела закупок 8-495-333-05-02</v>
      </c>
      <c r="D688" s="633" t="str">
        <f>РПЗ!$AB688</f>
        <v>Заказчик</v>
      </c>
      <c r="E688" s="96" t="s">
        <v>46</v>
      </c>
      <c r="F688" s="233" t="str">
        <f>РПЗ!Q688</f>
        <v>ЕП</v>
      </c>
      <c r="G688" s="237"/>
      <c r="H688" s="237" t="str">
        <f>РПЗ!R688</f>
        <v>нет</v>
      </c>
      <c r="I688" s="15" t="str">
        <f>РПЗ!W688</f>
        <v>6.6.2(11)</v>
      </c>
      <c r="J688" s="233" t="str">
        <f>РПЗ!X688</f>
        <v>5033007610</v>
      </c>
      <c r="K688" s="283">
        <f>РПЗ!Z688</f>
        <v>697981.33</v>
      </c>
      <c r="L688" s="17"/>
      <c r="M688" s="18">
        <f>РПЗ!O688</f>
        <v>42795</v>
      </c>
      <c r="N688" s="238">
        <f>Таблица5[[#This Row],[10]]</f>
        <v>42795</v>
      </c>
      <c r="O688" s="17"/>
      <c r="P688" s="17"/>
      <c r="Q688" s="17"/>
      <c r="R688" s="17"/>
      <c r="S688" s="17"/>
      <c r="T688" s="686"/>
      <c r="U688" s="18">
        <f>РПЗ!P688</f>
        <v>43070.5</v>
      </c>
      <c r="V688" s="686"/>
      <c r="W688" s="236">
        <f>РПЗ!L688</f>
        <v>697981.33</v>
      </c>
      <c r="X688" s="689"/>
      <c r="Y688" s="689"/>
      <c r="Z688" s="690"/>
      <c r="AA688" s="691"/>
      <c r="AB688" s="111"/>
      <c r="AC688" s="17"/>
      <c r="AD688" s="690"/>
      <c r="AE688" s="686"/>
      <c r="AF688" s="474"/>
      <c r="AG688" s="692"/>
      <c r="AH688" s="236" t="str">
        <f>IF(Таблица5[[#This Row],[30]]=0,"НД",Таблица5[[#This Row],[20]]-Таблица5[[#This Row],[30]])</f>
        <v>НД</v>
      </c>
      <c r="AI688" s="511" t="str">
        <f>IF(((1-Таблица5[[#This Row],[30]]/Таблица5[[#This Row],[20]])=1),"НД",(1-Таблица5[[#This Row],[30]]/Таблица5[[#This Row],[20]]))</f>
        <v>НД</v>
      </c>
      <c r="AJ688" s="111"/>
      <c r="AK688" s="111"/>
      <c r="AL688" s="512"/>
      <c r="AM688" s="513"/>
      <c r="AN688" s="465"/>
      <c r="AO688" s="468" t="str">
        <f>РПЗ!AD688</f>
        <v>Нет</v>
      </c>
      <c r="AP688" s="472">
        <f>РПЗ!V688</f>
        <v>0</v>
      </c>
      <c r="AQ688" s="470">
        <f>IF(Таблица5[[#This Row],[11]]=0,,MONTH(Таблица5[[#This Row],[11]]))</f>
        <v>3</v>
      </c>
    </row>
    <row r="689" spans="1:43" ht="38.25" x14ac:dyDescent="0.25">
      <c r="A689" s="233" t="str">
        <f t="shared" si="10"/>
        <v>1004-2017-00674</v>
      </c>
      <c r="B689" s="233" t="str">
        <f>РПЗ!$D689</f>
        <v>1004-2017-00674Поставка Оптические детали</v>
      </c>
      <c r="C689" s="233" t="str">
        <f>РПЗ!$AA689</f>
        <v>АО "НИИ "Полюс" им. М.Ф. Стельмаха" тел. отдела закупок 8-495-333-05-02</v>
      </c>
      <c r="D689" s="633" t="str">
        <f>РПЗ!$AB689</f>
        <v>Заказчик</v>
      </c>
      <c r="E689" s="510" t="s">
        <v>62</v>
      </c>
      <c r="F689" s="233" t="str">
        <f>РПЗ!Q689</f>
        <v>ЕП</v>
      </c>
      <c r="G689" s="237" t="str">
        <f>Таблица5[[#This Row],[6]]</f>
        <v>ЕП</v>
      </c>
      <c r="H689" s="237" t="str">
        <f>РПЗ!R689</f>
        <v>нет</v>
      </c>
      <c r="I689" s="15" t="str">
        <f>РПЗ!W689</f>
        <v>6.6.2(11)</v>
      </c>
      <c r="J689" s="233" t="str">
        <f>РПЗ!X689</f>
        <v>5033007610</v>
      </c>
      <c r="K689" s="283" t="str">
        <f>РПЗ!Z689</f>
        <v>9 090 967,56</v>
      </c>
      <c r="L689" s="661" t="s">
        <v>2399</v>
      </c>
      <c r="M689" s="18">
        <f>РПЗ!O689</f>
        <v>42795</v>
      </c>
      <c r="N689" s="238">
        <f>Таблица5[[#This Row],[10]]</f>
        <v>42795</v>
      </c>
      <c r="O689" s="17"/>
      <c r="P689" s="17"/>
      <c r="Q689" s="17"/>
      <c r="R689" s="17"/>
      <c r="S689" s="17"/>
      <c r="T689" s="695" t="s">
        <v>2379</v>
      </c>
      <c r="U689" s="18">
        <f>РПЗ!P689</f>
        <v>43070.5</v>
      </c>
      <c r="V689" s="760">
        <v>42948</v>
      </c>
      <c r="W689" s="236">
        <f>РПЗ!L689</f>
        <v>9090967.5600000005</v>
      </c>
      <c r="X689" s="689">
        <v>1</v>
      </c>
      <c r="Y689" s="689">
        <v>0</v>
      </c>
      <c r="Z689" s="765">
        <v>5033007610</v>
      </c>
      <c r="AA689" s="704" t="s">
        <v>2401</v>
      </c>
      <c r="AB689" s="700">
        <v>9090967.5600000005</v>
      </c>
      <c r="AC689" s="808">
        <v>42948</v>
      </c>
      <c r="AD689" s="810" t="s">
        <v>2403</v>
      </c>
      <c r="AE689" s="703" t="s">
        <v>2379</v>
      </c>
      <c r="AF689" s="474"/>
      <c r="AG689" s="827">
        <v>9090967.5600000005</v>
      </c>
      <c r="AH689" s="236">
        <f>IF(Таблица5[[#This Row],[30]]=0,"НД",Таблица5[[#This Row],[20]]-Таблица5[[#This Row],[30]])</f>
        <v>0</v>
      </c>
      <c r="AI689" s="511">
        <f>IF(((1-Таблица5[[#This Row],[30]]/Таблица5[[#This Row],[20]])=1),"НД",(1-Таблица5[[#This Row],[30]]/Таблица5[[#This Row],[20]]))</f>
        <v>0</v>
      </c>
      <c r="AJ689" s="111"/>
      <c r="AK689" s="111"/>
      <c r="AL689" s="512"/>
      <c r="AM689" s="513" t="s">
        <v>113</v>
      </c>
      <c r="AN689" s="801">
        <v>31704815444</v>
      </c>
      <c r="AO689" s="468" t="str">
        <f>РПЗ!AD689</f>
        <v>Нет</v>
      </c>
      <c r="AP689" s="472">
        <f>РПЗ!V689</f>
        <v>0</v>
      </c>
      <c r="AQ689" s="470">
        <f>IF(Таблица5[[#This Row],[11]]=0,,MONTH(Таблица5[[#This Row],[11]]))</f>
        <v>3</v>
      </c>
    </row>
    <row r="690" spans="1:43" ht="38.25" x14ac:dyDescent="0.25">
      <c r="A690" s="233" t="str">
        <f t="shared" si="10"/>
        <v>1004-2017-00675</v>
      </c>
      <c r="B690" s="233" t="str">
        <f>РПЗ!$D690</f>
        <v>1004-2017-00675Поставка Оптические детали</v>
      </c>
      <c r="C690" s="233" t="str">
        <f>РПЗ!$AA690</f>
        <v>АО "НИИ "Полюс" им. М.Ф. Стельмаха" тел. отдела закупок 8-495-333-05-02</v>
      </c>
      <c r="D690" s="633" t="str">
        <f>РПЗ!$AB690</f>
        <v>Заказчик</v>
      </c>
      <c r="E690" s="510" t="s">
        <v>62</v>
      </c>
      <c r="F690" s="233" t="str">
        <f>РПЗ!Q690</f>
        <v>ЕП</v>
      </c>
      <c r="G690" s="237" t="str">
        <f>Таблица5[[#This Row],[6]]</f>
        <v>ЕП</v>
      </c>
      <c r="H690" s="237" t="str">
        <f>РПЗ!R690</f>
        <v>нет</v>
      </c>
      <c r="I690" s="15" t="str">
        <f>РПЗ!W690</f>
        <v>6.6.2(11)</v>
      </c>
      <c r="J690" s="233">
        <f>РПЗ!X690</f>
        <v>7713297251</v>
      </c>
      <c r="K690" s="283">
        <f>РПЗ!Z690</f>
        <v>10615045.65</v>
      </c>
      <c r="L690" s="17">
        <v>42794</v>
      </c>
      <c r="M690" s="18">
        <f>РПЗ!O690</f>
        <v>42795</v>
      </c>
      <c r="N690" s="238">
        <f>Таблица5[[#This Row],[10]]</f>
        <v>42795</v>
      </c>
      <c r="O690" s="17"/>
      <c r="P690" s="17"/>
      <c r="Q690" s="17"/>
      <c r="R690" s="17"/>
      <c r="S690" s="17"/>
      <c r="T690" s="695" t="s">
        <v>3007</v>
      </c>
      <c r="U690" s="18">
        <f>РПЗ!P690</f>
        <v>43070.5</v>
      </c>
      <c r="V690" s="760">
        <v>42948</v>
      </c>
      <c r="W690" s="236">
        <f>РПЗ!L690</f>
        <v>10615045.65</v>
      </c>
      <c r="X690" s="689">
        <v>1</v>
      </c>
      <c r="Y690" s="689">
        <v>0</v>
      </c>
      <c r="Z690" s="691">
        <v>7713297251</v>
      </c>
      <c r="AA690" s="691" t="s">
        <v>3006</v>
      </c>
      <c r="AB690" s="111">
        <v>10615045.65</v>
      </c>
      <c r="AC690" s="818">
        <v>42948</v>
      </c>
      <c r="AD690" s="810" t="s">
        <v>3008</v>
      </c>
      <c r="AE690" s="703" t="s">
        <v>3007</v>
      </c>
      <c r="AF690" s="474"/>
      <c r="AG690" s="691">
        <v>10615045.65</v>
      </c>
      <c r="AH690" s="236">
        <f>IF(Таблица5[[#This Row],[30]]=0,"НД",Таблица5[[#This Row],[20]]-Таблица5[[#This Row],[30]])</f>
        <v>0</v>
      </c>
      <c r="AI690" s="511">
        <f>IF(((1-Таблица5[[#This Row],[30]]/Таблица5[[#This Row],[20]])=1),"НД",(1-Таблица5[[#This Row],[30]]/Таблица5[[#This Row],[20]]))</f>
        <v>0</v>
      </c>
      <c r="AJ690" s="111"/>
      <c r="AK690" s="111"/>
      <c r="AL690" s="512"/>
      <c r="AM690" s="513" t="s">
        <v>113</v>
      </c>
      <c r="AN690" s="801">
        <v>31704862059</v>
      </c>
      <c r="AO690" s="468" t="str">
        <f>РПЗ!AD690</f>
        <v>Нет</v>
      </c>
      <c r="AP690" s="472">
        <f>РПЗ!V690</f>
        <v>0</v>
      </c>
      <c r="AQ690" s="470">
        <f>IF(Таблица5[[#This Row],[11]]=0,,MONTH(Таблица5[[#This Row],[11]]))</f>
        <v>3</v>
      </c>
    </row>
    <row r="691" spans="1:43" ht="38.25" x14ac:dyDescent="0.25">
      <c r="A691" s="233" t="str">
        <f t="shared" ref="A691:A754" si="11">INDEX(Диапазон1,ROW(), COLUMN())</f>
        <v>1004-2017-00676</v>
      </c>
      <c r="B691" s="233" t="str">
        <f>РПЗ!$D691</f>
        <v>1004-2017-00676Поставка Оптические детали</v>
      </c>
      <c r="C691" s="233" t="str">
        <f>РПЗ!$AA691</f>
        <v>АО "НИИ "Полюс" им. М.Ф. Стельмаха" тел. отдела закупок 8-495-333-05-02</v>
      </c>
      <c r="D691" s="633" t="str">
        <f>РПЗ!$AB691</f>
        <v>Заказчик</v>
      </c>
      <c r="E691" s="510" t="s">
        <v>62</v>
      </c>
      <c r="F691" s="233" t="str">
        <f>РПЗ!Q691</f>
        <v>ЕП</v>
      </c>
      <c r="G691" s="237" t="str">
        <f>Таблица5[[#This Row],[6]]</f>
        <v>ЕП</v>
      </c>
      <c r="H691" s="237" t="str">
        <f>РПЗ!R691</f>
        <v>нет</v>
      </c>
      <c r="I691" s="15" t="str">
        <f>РПЗ!W691</f>
        <v>6.6.2(11)</v>
      </c>
      <c r="J691" s="233">
        <f>РПЗ!X691</f>
        <v>7713297251</v>
      </c>
      <c r="K691" s="283" t="str">
        <f>РПЗ!Z691</f>
        <v>15 156 453,33</v>
      </c>
      <c r="L691" s="661" t="s">
        <v>2379</v>
      </c>
      <c r="M691" s="18">
        <f>РПЗ!O691</f>
        <v>42795</v>
      </c>
      <c r="N691" s="238">
        <f>Таблица5[[#This Row],[10]]</f>
        <v>42795</v>
      </c>
      <c r="O691" s="17"/>
      <c r="P691" s="17"/>
      <c r="Q691" s="17"/>
      <c r="R691" s="17"/>
      <c r="S691" s="17"/>
      <c r="T691" s="695" t="s">
        <v>3024</v>
      </c>
      <c r="U691" s="18">
        <f>РПЗ!P691</f>
        <v>43070.5</v>
      </c>
      <c r="V691" s="760">
        <v>42887</v>
      </c>
      <c r="W691" s="236">
        <f>РПЗ!L691</f>
        <v>15156453.33</v>
      </c>
      <c r="X691" s="689">
        <v>1</v>
      </c>
      <c r="Y691" s="689">
        <v>0</v>
      </c>
      <c r="Z691" s="691">
        <v>7713297251</v>
      </c>
      <c r="AA691" s="691" t="s">
        <v>3006</v>
      </c>
      <c r="AB691" s="111">
        <v>15156453.33</v>
      </c>
      <c r="AC691" s="808">
        <v>42887</v>
      </c>
      <c r="AD691" s="810" t="s">
        <v>3025</v>
      </c>
      <c r="AE691" s="703" t="s">
        <v>3024</v>
      </c>
      <c r="AF691" s="474"/>
      <c r="AG691" s="827">
        <v>15156453.33</v>
      </c>
      <c r="AH691" s="236">
        <f>IF(Таблица5[[#This Row],[30]]=0,"НД",Таблица5[[#This Row],[20]]-Таблица5[[#This Row],[30]])</f>
        <v>0</v>
      </c>
      <c r="AI691" s="511">
        <f>IF(((1-Таблица5[[#This Row],[30]]/Таблица5[[#This Row],[20]])=1),"НД",(1-Таблица5[[#This Row],[30]]/Таблица5[[#This Row],[20]]))</f>
        <v>0</v>
      </c>
      <c r="AJ691" s="111"/>
      <c r="AK691" s="111"/>
      <c r="AL691" s="512"/>
      <c r="AM691" s="513"/>
      <c r="AN691" s="801">
        <v>31704851563</v>
      </c>
      <c r="AO691" s="468" t="str">
        <f>РПЗ!AD691</f>
        <v>Нет</v>
      </c>
      <c r="AP691" s="472">
        <f>РПЗ!V691</f>
        <v>0</v>
      </c>
      <c r="AQ691" s="470">
        <f>IF(Таблица5[[#This Row],[11]]=0,,MONTH(Таблица5[[#This Row],[11]]))</f>
        <v>3</v>
      </c>
    </row>
    <row r="692" spans="1:43" ht="38.25" x14ac:dyDescent="0.25">
      <c r="A692" s="233" t="str">
        <f t="shared" si="11"/>
        <v>1004-2017-00677</v>
      </c>
      <c r="B692" s="233" t="str">
        <f>РПЗ!$D692</f>
        <v>1004-2017-00677Поставка Оптические детали</v>
      </c>
      <c r="C692" s="233" t="str">
        <f>РПЗ!$AA692</f>
        <v>АО "НИИ "Полюс" им. М.Ф. Стельмаха" тел. отдела закупок 8-495-333-05-02</v>
      </c>
      <c r="D692" s="633" t="str">
        <f>РПЗ!$AB692</f>
        <v>Заказчик</v>
      </c>
      <c r="E692" s="510" t="s">
        <v>62</v>
      </c>
      <c r="F692" s="233" t="str">
        <f>РПЗ!Q692</f>
        <v>ЕП</v>
      </c>
      <c r="G692" s="237" t="str">
        <f>Таблица5[[#This Row],[6]]</f>
        <v>ЕП</v>
      </c>
      <c r="H692" s="237" t="str">
        <f>РПЗ!R692</f>
        <v>нет</v>
      </c>
      <c r="I692" s="15" t="str">
        <f>РПЗ!W692</f>
        <v>6.6.2(11)</v>
      </c>
      <c r="J692" s="233" t="str">
        <f>РПЗ!X692</f>
        <v>7713297251</v>
      </c>
      <c r="K692" s="283" t="str">
        <f>РПЗ!Z692</f>
        <v>646 232,72</v>
      </c>
      <c r="L692" s="661" t="s">
        <v>3021</v>
      </c>
      <c r="M692" s="18">
        <f>РПЗ!O692</f>
        <v>42767</v>
      </c>
      <c r="N692" s="238">
        <f>Таблица5[[#This Row],[10]]</f>
        <v>42767</v>
      </c>
      <c r="O692" s="17"/>
      <c r="P692" s="17"/>
      <c r="Q692" s="17"/>
      <c r="R692" s="17"/>
      <c r="S692" s="17"/>
      <c r="T692" s="695" t="s">
        <v>3058</v>
      </c>
      <c r="U692" s="18">
        <f>РПЗ!P692</f>
        <v>43070.5</v>
      </c>
      <c r="V692" s="760">
        <v>42917</v>
      </c>
      <c r="W692" s="236">
        <f>РПЗ!L692</f>
        <v>646232.72</v>
      </c>
      <c r="X692" s="689">
        <v>1</v>
      </c>
      <c r="Y692" s="689">
        <v>0</v>
      </c>
      <c r="Z692" s="765">
        <v>7713297251</v>
      </c>
      <c r="AA692" s="704" t="s">
        <v>3006</v>
      </c>
      <c r="AB692" s="700">
        <v>646232.72</v>
      </c>
      <c r="AC692" s="808">
        <v>42917</v>
      </c>
      <c r="AD692" s="810" t="s">
        <v>3097</v>
      </c>
      <c r="AE692" s="703" t="s">
        <v>3058</v>
      </c>
      <c r="AF692" s="474"/>
      <c r="AG692" s="827">
        <v>646232.72</v>
      </c>
      <c r="AH692" s="236">
        <f>IF(Таблица5[[#This Row],[30]]=0,"НД",Таблица5[[#This Row],[20]]-Таблица5[[#This Row],[30]])</f>
        <v>0</v>
      </c>
      <c r="AI692" s="511">
        <f>IF(((1-Таблица5[[#This Row],[30]]/Таблица5[[#This Row],[20]])=1),"НД",(1-Таблица5[[#This Row],[30]]/Таблица5[[#This Row],[20]]))</f>
        <v>0</v>
      </c>
      <c r="AJ692" s="111"/>
      <c r="AK692" s="111"/>
      <c r="AL692" s="512"/>
      <c r="AM692" s="513" t="s">
        <v>113</v>
      </c>
      <c r="AN692" s="801">
        <v>31704844819</v>
      </c>
      <c r="AO692" s="468" t="str">
        <f>РПЗ!AD692</f>
        <v>Нет</v>
      </c>
      <c r="AP692" s="472">
        <f>РПЗ!V692</f>
        <v>0</v>
      </c>
      <c r="AQ692" s="470">
        <f>IF(Таблица5[[#This Row],[11]]=0,,MONTH(Таблица5[[#This Row],[11]]))</f>
        <v>2</v>
      </c>
    </row>
    <row r="693" spans="1:43" ht="38.25" x14ac:dyDescent="0.25">
      <c r="A693" s="233" t="str">
        <f t="shared" si="11"/>
        <v>1004-2017-00678</v>
      </c>
      <c r="B693" s="233" t="str">
        <f>РПЗ!$D693</f>
        <v>1004-2017-00678Поставка Оптические детали</v>
      </c>
      <c r="C693" s="233" t="str">
        <f>РПЗ!$AA693</f>
        <v>АО "НИИ "Полюс" им. М.Ф. Стельмаха" тел. отдела закупок 8-495-333-05-02</v>
      </c>
      <c r="D693" s="633" t="str">
        <f>РПЗ!$AB693</f>
        <v>Заказчик</v>
      </c>
      <c r="E693" s="510" t="s">
        <v>62</v>
      </c>
      <c r="F693" s="233" t="str">
        <f>РПЗ!Q693</f>
        <v>ЕП</v>
      </c>
      <c r="G693" s="237" t="str">
        <f>Таблица5[[#This Row],[6]]</f>
        <v>ЕП</v>
      </c>
      <c r="H693" s="237" t="str">
        <f>РПЗ!R693</f>
        <v>нет</v>
      </c>
      <c r="I693" s="15" t="str">
        <f>РПЗ!W693</f>
        <v>6.6.2(11)</v>
      </c>
      <c r="J693" s="233" t="str">
        <f>РПЗ!X693</f>
        <v>7713297251</v>
      </c>
      <c r="K693" s="283" t="str">
        <f>РПЗ!Z693</f>
        <v>16 087 257,07</v>
      </c>
      <c r="L693" s="661" t="s">
        <v>3021</v>
      </c>
      <c r="M693" s="18">
        <f>РПЗ!O693</f>
        <v>42795</v>
      </c>
      <c r="N693" s="238">
        <f>Таблица5[[#This Row],[10]]</f>
        <v>42795</v>
      </c>
      <c r="O693" s="17"/>
      <c r="P693" s="17"/>
      <c r="Q693" s="17"/>
      <c r="R693" s="17"/>
      <c r="S693" s="17"/>
      <c r="T693" s="695" t="s">
        <v>3058</v>
      </c>
      <c r="U693" s="18">
        <f>РПЗ!P693</f>
        <v>43070.5</v>
      </c>
      <c r="V693" s="760">
        <v>42887</v>
      </c>
      <c r="W693" s="236">
        <f>РПЗ!L693</f>
        <v>16087257.07</v>
      </c>
      <c r="X693" s="689">
        <v>1</v>
      </c>
      <c r="Y693" s="689">
        <v>0</v>
      </c>
      <c r="Z693" s="1055">
        <v>7713297251</v>
      </c>
      <c r="AA693" s="704" t="s">
        <v>3006</v>
      </c>
      <c r="AB693" s="700">
        <v>16087257.07</v>
      </c>
      <c r="AC693" s="808">
        <v>42887</v>
      </c>
      <c r="AD693" s="810" t="s">
        <v>3099</v>
      </c>
      <c r="AE693" s="703" t="s">
        <v>3058</v>
      </c>
      <c r="AF693" s="474"/>
      <c r="AG693" s="827">
        <v>16087257.07</v>
      </c>
      <c r="AH693" s="236">
        <f>IF(Таблица5[[#This Row],[30]]=0,"НД",Таблица5[[#This Row],[20]]-Таблица5[[#This Row],[30]])</f>
        <v>0</v>
      </c>
      <c r="AI693" s="511">
        <f>IF(((1-Таблица5[[#This Row],[30]]/Таблица5[[#This Row],[20]])=1),"НД",(1-Таблица5[[#This Row],[30]]/Таблица5[[#This Row],[20]]))</f>
        <v>0</v>
      </c>
      <c r="AJ693" s="111"/>
      <c r="AK693" s="111"/>
      <c r="AL693" s="512"/>
      <c r="AM693" s="513" t="s">
        <v>113</v>
      </c>
      <c r="AN693" s="801">
        <v>31704843965</v>
      </c>
      <c r="AO693" s="468" t="str">
        <f>РПЗ!AD693</f>
        <v>Нет</v>
      </c>
      <c r="AP693" s="472">
        <f>РПЗ!V693</f>
        <v>0</v>
      </c>
      <c r="AQ693" s="470">
        <f>IF(Таблица5[[#This Row],[11]]=0,,MONTH(Таблица5[[#This Row],[11]]))</f>
        <v>3</v>
      </c>
    </row>
    <row r="694" spans="1:43" ht="39" thickBot="1" x14ac:dyDescent="0.3">
      <c r="A694" s="233" t="str">
        <f t="shared" si="11"/>
        <v>1004-2017-00679</v>
      </c>
      <c r="B694" s="233" t="str">
        <f>РПЗ!$D694</f>
        <v>1004-2017-00679Поставка Оптические детали</v>
      </c>
      <c r="C694" s="233" t="str">
        <f>РПЗ!$AA694</f>
        <v>АО "НИИ "Полюс" им. М.Ф. Стельмаха" тел. отдела закупок 8-495-333-05-02</v>
      </c>
      <c r="D694" s="633" t="str">
        <f>РПЗ!$AB694</f>
        <v>Заказчик</v>
      </c>
      <c r="E694" s="510" t="s">
        <v>62</v>
      </c>
      <c r="F694" s="233" t="str">
        <f>РПЗ!Q694</f>
        <v>ЕП</v>
      </c>
      <c r="G694" s="237" t="str">
        <f>Таблица5[[#This Row],[6]]</f>
        <v>ЕП</v>
      </c>
      <c r="H694" s="237" t="str">
        <f>РПЗ!R694</f>
        <v>нет</v>
      </c>
      <c r="I694" s="15" t="str">
        <f>РПЗ!W694</f>
        <v>6.6.2(11)</v>
      </c>
      <c r="J694" s="233" t="str">
        <f>РПЗ!X694</f>
        <v>7713297251</v>
      </c>
      <c r="K694" s="283" t="str">
        <f>РПЗ!Z694</f>
        <v>1 594 812,24</v>
      </c>
      <c r="L694" s="661" t="s">
        <v>2379</v>
      </c>
      <c r="M694" s="18">
        <f>РПЗ!O694</f>
        <v>42767</v>
      </c>
      <c r="N694" s="238">
        <f>Таблица5[[#This Row],[10]]</f>
        <v>42767</v>
      </c>
      <c r="O694" s="17"/>
      <c r="P694" s="17"/>
      <c r="Q694" s="17"/>
      <c r="R694" s="17"/>
      <c r="S694" s="17"/>
      <c r="T694" s="695" t="s">
        <v>3058</v>
      </c>
      <c r="U694" s="18">
        <f>РПЗ!P694</f>
        <v>43070.5</v>
      </c>
      <c r="V694" s="760">
        <v>42887</v>
      </c>
      <c r="W694" s="236">
        <f>РПЗ!L694</f>
        <v>1594812.24</v>
      </c>
      <c r="X694" s="689">
        <v>1</v>
      </c>
      <c r="Y694" s="689">
        <v>0</v>
      </c>
      <c r="Z694" s="1055">
        <v>7713297251</v>
      </c>
      <c r="AA694" s="704" t="s">
        <v>3006</v>
      </c>
      <c r="AB694" s="700">
        <v>1594812.24</v>
      </c>
      <c r="AC694" s="808">
        <v>42887</v>
      </c>
      <c r="AD694" s="810" t="s">
        <v>3059</v>
      </c>
      <c r="AE694" s="703" t="s">
        <v>3058</v>
      </c>
      <c r="AF694" s="474"/>
      <c r="AG694" s="827">
        <v>1594812.24</v>
      </c>
      <c r="AH694" s="236">
        <f>IF(Таблица5[[#This Row],[30]]=0,"НД",Таблица5[[#This Row],[20]]-Таблица5[[#This Row],[30]])</f>
        <v>0</v>
      </c>
      <c r="AI694" s="511">
        <f>IF(((1-Таблица5[[#This Row],[30]]/Таблица5[[#This Row],[20]])=1),"НД",(1-Таблица5[[#This Row],[30]]/Таблица5[[#This Row],[20]]))</f>
        <v>0</v>
      </c>
      <c r="AJ694" s="111"/>
      <c r="AK694" s="111"/>
      <c r="AL694" s="512"/>
      <c r="AM694" s="513" t="s">
        <v>113</v>
      </c>
      <c r="AN694" s="801">
        <v>31704841933</v>
      </c>
      <c r="AO694" s="468" t="str">
        <f>РПЗ!AD694</f>
        <v>Нет</v>
      </c>
      <c r="AP694" s="472">
        <f>РПЗ!V694</f>
        <v>0</v>
      </c>
      <c r="AQ694" s="470">
        <f>IF(Таблица5[[#This Row],[11]]=0,,MONTH(Таблица5[[#This Row],[11]]))</f>
        <v>2</v>
      </c>
    </row>
    <row r="695" spans="1:43" ht="39" thickBot="1" x14ac:dyDescent="0.3">
      <c r="A695" s="233" t="str">
        <f t="shared" si="11"/>
        <v>1004-2017-00680</v>
      </c>
      <c r="B695" s="233" t="str">
        <f>РПЗ!$D695</f>
        <v>1004-2017-00680Поставка Оптические детали</v>
      </c>
      <c r="C695" s="233" t="str">
        <f>РПЗ!$AA695</f>
        <v>АО "НИИ "Полюс" им. М.Ф. Стельмаха" тел. отдела закупок 8-495-333-05-02</v>
      </c>
      <c r="D695" s="633" t="str">
        <f>РПЗ!$AB695</f>
        <v>Заказчик</v>
      </c>
      <c r="E695" s="96" t="s">
        <v>46</v>
      </c>
      <c r="F695" s="233" t="str">
        <f>РПЗ!Q695</f>
        <v>ЕП</v>
      </c>
      <c r="G695" s="237"/>
      <c r="H695" s="237" t="str">
        <f>РПЗ!R695</f>
        <v>нет</v>
      </c>
      <c r="I695" s="15" t="str">
        <f>РПЗ!W695</f>
        <v>6.6.2(11)</v>
      </c>
      <c r="J695" s="233">
        <f>РПЗ!X695</f>
        <v>0</v>
      </c>
      <c r="K695" s="283">
        <f>РПЗ!Z695</f>
        <v>0</v>
      </c>
      <c r="L695" s="17"/>
      <c r="M695" s="18">
        <f>РПЗ!O695</f>
        <v>42795</v>
      </c>
      <c r="N695" s="238">
        <f>Таблица5[[#This Row],[10]]</f>
        <v>42795</v>
      </c>
      <c r="O695" s="17"/>
      <c r="P695" s="17"/>
      <c r="Q695" s="17"/>
      <c r="R695" s="17"/>
      <c r="S695" s="17"/>
      <c r="T695" s="686"/>
      <c r="U695" s="18">
        <f>РПЗ!P695</f>
        <v>43070.5</v>
      </c>
      <c r="V695" s="686"/>
      <c r="W695" s="236">
        <f>РПЗ!L695</f>
        <v>505920</v>
      </c>
      <c r="X695" s="689"/>
      <c r="Y695" s="689"/>
      <c r="Z695" s="690"/>
      <c r="AA695" s="691"/>
      <c r="AB695" s="111"/>
      <c r="AC695" s="17"/>
      <c r="AD695" s="690"/>
      <c r="AE695" s="686"/>
      <c r="AF695" s="474"/>
      <c r="AG695" s="692"/>
      <c r="AH695" s="236" t="str">
        <f>IF(Таблица5[[#This Row],[30]]=0,"НД",Таблица5[[#This Row],[20]]-Таблица5[[#This Row],[30]])</f>
        <v>НД</v>
      </c>
      <c r="AI695" s="511" t="str">
        <f>IF(((1-Таблица5[[#This Row],[30]]/Таблица5[[#This Row],[20]])=1),"НД",(1-Таблица5[[#This Row],[30]]/Таблица5[[#This Row],[20]]))</f>
        <v>НД</v>
      </c>
      <c r="AJ695" s="111"/>
      <c r="AK695" s="111"/>
      <c r="AL695" s="512"/>
      <c r="AM695" s="513"/>
      <c r="AN695" s="465"/>
      <c r="AO695" s="468" t="str">
        <f>РПЗ!AD695</f>
        <v>Нет</v>
      </c>
      <c r="AP695" s="472">
        <f>РПЗ!V695</f>
        <v>0</v>
      </c>
      <c r="AQ695" s="470">
        <f>IF(Таблица5[[#This Row],[11]]=0,,MONTH(Таблица5[[#This Row],[11]]))</f>
        <v>3</v>
      </c>
    </row>
    <row r="696" spans="1:43" ht="39" thickBot="1" x14ac:dyDescent="0.3">
      <c r="A696" s="233" t="str">
        <f t="shared" si="11"/>
        <v>1004-2017-00681</v>
      </c>
      <c r="B696" s="233" t="str">
        <f>РПЗ!$D696</f>
        <v>1004-2017-00681Поставка Оптические детали</v>
      </c>
      <c r="C696" s="233" t="str">
        <f>РПЗ!$AA696</f>
        <v>АО "НИИ "Полюс" им. М.Ф. Стельмаха" тел. отдела закупок 8-495-333-05-02</v>
      </c>
      <c r="D696" s="633" t="str">
        <f>РПЗ!$AB696</f>
        <v>Заказчик</v>
      </c>
      <c r="E696" s="96" t="s">
        <v>46</v>
      </c>
      <c r="F696" s="233" t="str">
        <f>РПЗ!Q696</f>
        <v>ЕП</v>
      </c>
      <c r="G696" s="237"/>
      <c r="H696" s="237" t="str">
        <f>РПЗ!R696</f>
        <v>нет</v>
      </c>
      <c r="I696" s="15" t="str">
        <f>РПЗ!W696</f>
        <v>6.6.2(11)</v>
      </c>
      <c r="J696" s="233">
        <f>РПЗ!X696</f>
        <v>0</v>
      </c>
      <c r="K696" s="283">
        <f>РПЗ!Z696</f>
        <v>0</v>
      </c>
      <c r="L696" s="17"/>
      <c r="M696" s="18">
        <f>РПЗ!O696</f>
        <v>42767.5</v>
      </c>
      <c r="N696" s="238">
        <f>Таблица5[[#This Row],[10]]</f>
        <v>42767.5</v>
      </c>
      <c r="O696" s="17"/>
      <c r="P696" s="17"/>
      <c r="Q696" s="17"/>
      <c r="R696" s="17"/>
      <c r="S696" s="17"/>
      <c r="T696" s="686"/>
      <c r="U696" s="18">
        <f>РПЗ!P696</f>
        <v>43070.5</v>
      </c>
      <c r="V696" s="686"/>
      <c r="W696" s="236">
        <f>РПЗ!L696</f>
        <v>843200</v>
      </c>
      <c r="X696" s="689"/>
      <c r="Y696" s="689"/>
      <c r="Z696" s="690"/>
      <c r="AA696" s="691"/>
      <c r="AB696" s="111"/>
      <c r="AC696" s="17"/>
      <c r="AD696" s="690"/>
      <c r="AE696" s="686"/>
      <c r="AF696" s="474"/>
      <c r="AG696" s="692"/>
      <c r="AH696" s="236" t="str">
        <f>IF(Таблица5[[#This Row],[30]]=0,"НД",Таблица5[[#This Row],[20]]-Таблица5[[#This Row],[30]])</f>
        <v>НД</v>
      </c>
      <c r="AI696" s="511" t="str">
        <f>IF(((1-Таблица5[[#This Row],[30]]/Таблица5[[#This Row],[20]])=1),"НД",(1-Таблица5[[#This Row],[30]]/Таблица5[[#This Row],[20]]))</f>
        <v>НД</v>
      </c>
      <c r="AJ696" s="111"/>
      <c r="AK696" s="111"/>
      <c r="AL696" s="512"/>
      <c r="AM696" s="513"/>
      <c r="AN696" s="465"/>
      <c r="AO696" s="468" t="str">
        <f>РПЗ!AD696</f>
        <v>Нет</v>
      </c>
      <c r="AP696" s="472">
        <f>РПЗ!V696</f>
        <v>0</v>
      </c>
      <c r="AQ696" s="470">
        <f>IF(Таблица5[[#This Row],[11]]=0,,MONTH(Таблица5[[#This Row],[11]]))</f>
        <v>2</v>
      </c>
    </row>
    <row r="697" spans="1:43" ht="38.25" x14ac:dyDescent="0.25">
      <c r="A697" s="233" t="str">
        <f t="shared" si="11"/>
        <v>1004-2017-00682</v>
      </c>
      <c r="B697" s="233" t="str">
        <f>РПЗ!$D697</f>
        <v>1004-2017-00682Поставка Светодиодные модули МС-331С</v>
      </c>
      <c r="C697" s="233" t="str">
        <f>РПЗ!$AA697</f>
        <v>АО "НИИ "Полюс" им. М.Ф. Стельмаха" тел. отдела закупок 8-495-333-05-02</v>
      </c>
      <c r="D697" s="633" t="str">
        <f>РПЗ!$AB697</f>
        <v>Заказчик</v>
      </c>
      <c r="E697" s="96" t="s">
        <v>46</v>
      </c>
      <c r="F697" s="233" t="str">
        <f>РПЗ!Q697</f>
        <v>ЕП</v>
      </c>
      <c r="G697" s="237"/>
      <c r="H697" s="237" t="str">
        <f>РПЗ!R697</f>
        <v>нет</v>
      </c>
      <c r="I697" s="15" t="str">
        <f>РПЗ!W697</f>
        <v>6.6.2(11)</v>
      </c>
      <c r="J697" s="233">
        <f>РПЗ!X697</f>
        <v>0</v>
      </c>
      <c r="K697" s="283">
        <f>РПЗ!Z697</f>
        <v>0</v>
      </c>
      <c r="L697" s="17"/>
      <c r="M697" s="18">
        <f>РПЗ!O697</f>
        <v>42795</v>
      </c>
      <c r="N697" s="238">
        <f>Таблица5[[#This Row],[10]]</f>
        <v>42795</v>
      </c>
      <c r="O697" s="17"/>
      <c r="P697" s="17"/>
      <c r="Q697" s="17"/>
      <c r="R697" s="17"/>
      <c r="S697" s="17"/>
      <c r="T697" s="686"/>
      <c r="U697" s="18">
        <f>РПЗ!P697</f>
        <v>43070.5</v>
      </c>
      <c r="V697" s="686"/>
      <c r="W697" s="236">
        <f>РПЗ!L697</f>
        <v>45666</v>
      </c>
      <c r="X697" s="689"/>
      <c r="Y697" s="689"/>
      <c r="Z697" s="690"/>
      <c r="AA697" s="691"/>
      <c r="AB697" s="111"/>
      <c r="AC697" s="17"/>
      <c r="AD697" s="690"/>
      <c r="AE697" s="686"/>
      <c r="AF697" s="474"/>
      <c r="AG697" s="692"/>
      <c r="AH697" s="236" t="str">
        <f>IF(Таблица5[[#This Row],[30]]=0,"НД",Таблица5[[#This Row],[20]]-Таблица5[[#This Row],[30]])</f>
        <v>НД</v>
      </c>
      <c r="AI697" s="511" t="str">
        <f>IF(((1-Таблица5[[#This Row],[30]]/Таблица5[[#This Row],[20]])=1),"НД",(1-Таблица5[[#This Row],[30]]/Таблица5[[#This Row],[20]]))</f>
        <v>НД</v>
      </c>
      <c r="AJ697" s="111"/>
      <c r="AK697" s="111"/>
      <c r="AL697" s="512"/>
      <c r="AM697" s="513"/>
      <c r="AN697" s="465"/>
      <c r="AO697" s="468" t="str">
        <f>РПЗ!AD697</f>
        <v>Нет</v>
      </c>
      <c r="AP697" s="472">
        <f>РПЗ!V697</f>
        <v>0</v>
      </c>
      <c r="AQ697" s="470">
        <f>IF(Таблица5[[#This Row],[11]]=0,,MONTH(Таблица5[[#This Row],[11]]))</f>
        <v>3</v>
      </c>
    </row>
    <row r="698" spans="1:43" ht="38.25" x14ac:dyDescent="0.25">
      <c r="A698" s="233" t="str">
        <f t="shared" si="11"/>
        <v>1004-2017-00683</v>
      </c>
      <c r="B698" s="233" t="str">
        <f>РПЗ!$D698</f>
        <v>1004-2017-00683Поставка Светодиодные модули МС-331С</v>
      </c>
      <c r="C698" s="233" t="str">
        <f>РПЗ!$AA698</f>
        <v>АО "НИИ "Полюс" им. М.Ф. Стельмаха" тел. отдела закупок 8-495-333-05-02</v>
      </c>
      <c r="D698" s="633" t="str">
        <f>РПЗ!$AB698</f>
        <v>Заказчик</v>
      </c>
      <c r="E698" s="510" t="s">
        <v>62</v>
      </c>
      <c r="F698" s="233" t="str">
        <f>РПЗ!Q698</f>
        <v>ЕП</v>
      </c>
      <c r="G698" s="237" t="str">
        <f>Таблица5[[#This Row],[6]]</f>
        <v>ЕП</v>
      </c>
      <c r="H698" s="237" t="str">
        <f>РПЗ!R698</f>
        <v>нет</v>
      </c>
      <c r="I698" s="15" t="str">
        <f>РПЗ!W698</f>
        <v>6.6.2(11)</v>
      </c>
      <c r="J698" s="233" t="str">
        <f>РПЗ!X698</f>
        <v>7704178096</v>
      </c>
      <c r="K698" s="283">
        <f>РПЗ!Z698</f>
        <v>207019.2</v>
      </c>
      <c r="L698" s="17">
        <v>42824</v>
      </c>
      <c r="M698" s="18">
        <f>РПЗ!O698</f>
        <v>42795</v>
      </c>
      <c r="N698" s="238">
        <f>Таблица5[[#This Row],[10]]</f>
        <v>42795</v>
      </c>
      <c r="O698" s="17"/>
      <c r="P698" s="17"/>
      <c r="Q698" s="17"/>
      <c r="R698" s="17"/>
      <c r="S698" s="17"/>
      <c r="T698" s="686">
        <v>42839</v>
      </c>
      <c r="U698" s="18">
        <f>РПЗ!P698</f>
        <v>43070.5</v>
      </c>
      <c r="V698" s="761">
        <v>43070</v>
      </c>
      <c r="W698" s="236">
        <f>РПЗ!L698</f>
        <v>207019.2</v>
      </c>
      <c r="X698" s="689">
        <v>1</v>
      </c>
      <c r="Y698" s="689">
        <v>0</v>
      </c>
      <c r="Z698" s="691">
        <v>7704178096</v>
      </c>
      <c r="AA698" s="691" t="s">
        <v>3329</v>
      </c>
      <c r="AB698" s="111">
        <v>207019.2</v>
      </c>
      <c r="AC698" s="686">
        <v>43070</v>
      </c>
      <c r="AD698" s="690" t="s">
        <v>134</v>
      </c>
      <c r="AE698" s="686">
        <v>42839</v>
      </c>
      <c r="AF698" s="474"/>
      <c r="AG698" s="691">
        <v>207019.2</v>
      </c>
      <c r="AH698" s="236">
        <f>IF(Таблица5[[#This Row],[30]]=0,"НД",Таблица5[[#This Row],[20]]-Таблица5[[#This Row],[30]])</f>
        <v>0</v>
      </c>
      <c r="AI698" s="511">
        <f>IF(((1-Таблица5[[#This Row],[30]]/Таблица5[[#This Row],[20]])=1),"НД",(1-Таблица5[[#This Row],[30]]/Таблица5[[#This Row],[20]]))</f>
        <v>0</v>
      </c>
      <c r="AJ698" s="111"/>
      <c r="AK698" s="111"/>
      <c r="AL698" s="512"/>
      <c r="AM698" s="513" t="s">
        <v>113</v>
      </c>
      <c r="AN698" s="801">
        <v>31704994612</v>
      </c>
      <c r="AO698" s="468" t="str">
        <f>РПЗ!AD698</f>
        <v>Нет</v>
      </c>
      <c r="AP698" s="472">
        <f>РПЗ!V698</f>
        <v>0</v>
      </c>
      <c r="AQ698" s="470">
        <f>IF(Таблица5[[#This Row],[11]]=0,,MONTH(Таблица5[[#This Row],[11]]))</f>
        <v>3</v>
      </c>
    </row>
    <row r="699" spans="1:43" ht="38.25" x14ac:dyDescent="0.25">
      <c r="A699" s="233" t="str">
        <f t="shared" si="11"/>
        <v>1004-2017-00684</v>
      </c>
      <c r="B699" s="233" t="str">
        <f>РПЗ!$D699</f>
        <v>1004-2017-00684Поставка  Светодиодные модули МС-331С</v>
      </c>
      <c r="C699" s="233" t="str">
        <f>РПЗ!$AA699</f>
        <v>АО "НИИ "Полюс" им. М.Ф. Стельмаха" тел. отдела закупок 8-495-333-05-02</v>
      </c>
      <c r="D699" s="633" t="str">
        <f>РПЗ!$AB699</f>
        <v>Заказчик</v>
      </c>
      <c r="E699" s="510" t="s">
        <v>62</v>
      </c>
      <c r="F699" s="233" t="str">
        <f>РПЗ!Q699</f>
        <v>ЕП</v>
      </c>
      <c r="G699" s="237" t="str">
        <f>Таблица5[[#This Row],[6]]</f>
        <v>ЕП</v>
      </c>
      <c r="H699" s="237" t="str">
        <f>РПЗ!R699</f>
        <v>нет</v>
      </c>
      <c r="I699" s="15" t="str">
        <f>РПЗ!W699</f>
        <v>6.6.2(11)</v>
      </c>
      <c r="J699" s="233" t="str">
        <f>РПЗ!X699</f>
        <v>7704178096</v>
      </c>
      <c r="K699" s="283">
        <f>РПЗ!Z699</f>
        <v>203974.8</v>
      </c>
      <c r="L699" s="17">
        <v>42795</v>
      </c>
      <c r="M699" s="18">
        <f>РПЗ!O699</f>
        <v>42795</v>
      </c>
      <c r="N699" s="238">
        <f>Таблица5[[#This Row],[10]]</f>
        <v>42795</v>
      </c>
      <c r="O699" s="17"/>
      <c r="P699" s="17"/>
      <c r="Q699" s="17"/>
      <c r="R699" s="17"/>
      <c r="S699" s="17"/>
      <c r="T699" s="661" t="s">
        <v>3261</v>
      </c>
      <c r="U699" s="18">
        <f>РПЗ!P699</f>
        <v>43070.5</v>
      </c>
      <c r="V699" s="761">
        <v>43070</v>
      </c>
      <c r="W699" s="236">
        <f>РПЗ!L699</f>
        <v>203974.8</v>
      </c>
      <c r="X699" s="689">
        <v>1</v>
      </c>
      <c r="Y699" s="689">
        <v>0</v>
      </c>
      <c r="Z699" s="691">
        <v>7704178096</v>
      </c>
      <c r="AA699" s="691" t="s">
        <v>3328</v>
      </c>
      <c r="AB699" s="111">
        <v>203974.8</v>
      </c>
      <c r="AC699" s="17">
        <v>43070</v>
      </c>
      <c r="AD699" s="690" t="s">
        <v>133</v>
      </c>
      <c r="AE699" s="686">
        <v>42839</v>
      </c>
      <c r="AF699" s="474"/>
      <c r="AG699" s="691">
        <v>203974.8</v>
      </c>
      <c r="AH699" s="236">
        <f>IF(Таблица5[[#This Row],[30]]=0,"НД",Таблица5[[#This Row],[20]]-Таблица5[[#This Row],[30]])</f>
        <v>0</v>
      </c>
      <c r="AI699" s="511">
        <f>IF(((1-Таблица5[[#This Row],[30]]/Таблица5[[#This Row],[20]])=1),"НД",(1-Таблица5[[#This Row],[30]]/Таблица5[[#This Row],[20]]))</f>
        <v>0</v>
      </c>
      <c r="AJ699" s="111"/>
      <c r="AK699" s="111"/>
      <c r="AL699" s="512"/>
      <c r="AM699" s="513" t="s">
        <v>113</v>
      </c>
      <c r="AN699" s="801">
        <v>31704994619</v>
      </c>
      <c r="AO699" s="468" t="str">
        <f>РПЗ!AD699</f>
        <v>Нет</v>
      </c>
      <c r="AP699" s="472">
        <f>РПЗ!V699</f>
        <v>0</v>
      </c>
      <c r="AQ699" s="470">
        <f>IF(Таблица5[[#This Row],[11]]=0,,MONTH(Таблица5[[#This Row],[11]]))</f>
        <v>3</v>
      </c>
    </row>
    <row r="700" spans="1:43" ht="51.75" thickBot="1" x14ac:dyDescent="0.3">
      <c r="A700" s="233" t="str">
        <f t="shared" si="11"/>
        <v>1004-2017-00685</v>
      </c>
      <c r="B700" s="233" t="str">
        <f>РПЗ!$D700</f>
        <v>1004-2017-00685Поставка Упаковка ЖГДК.305647.005</v>
      </c>
      <c r="C700" s="233" t="str">
        <f>РПЗ!$AA700</f>
        <v>АО "НИИ "Полюс" им. М.Ф. Стельмаха" тел. отдела закупок 8-495-333-05-02</v>
      </c>
      <c r="D700" s="633" t="str">
        <f>РПЗ!$AB700</f>
        <v>Заказчик</v>
      </c>
      <c r="E700" s="510" t="s">
        <v>62</v>
      </c>
      <c r="F700" s="233" t="str">
        <f>РПЗ!Q700</f>
        <v>ЕП</v>
      </c>
      <c r="G700" s="237" t="str">
        <f>Таблица5[[#This Row],[6]]</f>
        <v>ЕП</v>
      </c>
      <c r="H700" s="237" t="str">
        <f>РПЗ!R700</f>
        <v>нет</v>
      </c>
      <c r="I700" s="15" t="str">
        <f>РПЗ!W700</f>
        <v>6.6.2(11)</v>
      </c>
      <c r="J700" s="233" t="str">
        <f>РПЗ!X700</f>
        <v>5074051432</v>
      </c>
      <c r="K700" s="283">
        <f>РПЗ!Z700</f>
        <v>692023.63</v>
      </c>
      <c r="L700" s="17">
        <v>42773</v>
      </c>
      <c r="M700" s="18">
        <f>РПЗ!O700</f>
        <v>42767.5</v>
      </c>
      <c r="N700" s="238">
        <f>Таблица5[[#This Row],[10]]</f>
        <v>42767.5</v>
      </c>
      <c r="O700" s="17"/>
      <c r="P700" s="17"/>
      <c r="Q700" s="17"/>
      <c r="R700" s="17"/>
      <c r="S700" s="17"/>
      <c r="T700" s="686">
        <v>42878</v>
      </c>
      <c r="U700" s="18">
        <f>РПЗ!P700</f>
        <v>43070.5</v>
      </c>
      <c r="V700" s="686">
        <v>42887</v>
      </c>
      <c r="W700" s="236">
        <f>РПЗ!L700</f>
        <v>692023.63</v>
      </c>
      <c r="X700" s="689">
        <v>1</v>
      </c>
      <c r="Y700" s="689">
        <v>0</v>
      </c>
      <c r="Z700" s="691">
        <v>5074051432</v>
      </c>
      <c r="AA700" s="691" t="s">
        <v>5095</v>
      </c>
      <c r="AB700" s="111">
        <v>692023.63</v>
      </c>
      <c r="AC700" s="17">
        <v>42887</v>
      </c>
      <c r="AD700" s="690" t="s">
        <v>5096</v>
      </c>
      <c r="AE700" s="686">
        <v>42878</v>
      </c>
      <c r="AF700" s="474"/>
      <c r="AG700" s="692">
        <v>692023.63</v>
      </c>
      <c r="AH700" s="236">
        <f>IF(Таблица5[[#This Row],[30]]=0,"НД",Таблица5[[#This Row],[20]]-Таблица5[[#This Row],[30]])</f>
        <v>0</v>
      </c>
      <c r="AI700" s="511">
        <f>IF(((1-Таблица5[[#This Row],[30]]/Таблица5[[#This Row],[20]])=1),"НД",(1-Таблица5[[#This Row],[30]]/Таблица5[[#This Row],[20]]))</f>
        <v>0</v>
      </c>
      <c r="AJ700" s="111"/>
      <c r="AK700" s="111"/>
      <c r="AL700" s="512"/>
      <c r="AM700" s="513" t="s">
        <v>113</v>
      </c>
      <c r="AN700" s="801">
        <v>31704767026</v>
      </c>
      <c r="AO700" s="468" t="str">
        <f>РПЗ!AD700</f>
        <v>Нет</v>
      </c>
      <c r="AP700" s="472">
        <f>РПЗ!V700</f>
        <v>0</v>
      </c>
      <c r="AQ700" s="470">
        <f>IF(Таблица5[[#This Row],[11]]=0,,MONTH(Таблица5[[#This Row],[11]]))</f>
        <v>2</v>
      </c>
    </row>
    <row r="701" spans="1:43" ht="38.25" x14ac:dyDescent="0.25">
      <c r="A701" s="233" t="str">
        <f t="shared" si="11"/>
        <v>1004-2017-00686</v>
      </c>
      <c r="B701" s="233" t="str">
        <f>РПЗ!$D701</f>
        <v>1004-2017-00686Поставка ЭРИ ИП</v>
      </c>
      <c r="C701" s="233" t="str">
        <f>РПЗ!$AA701</f>
        <v>АО "НИИ "Полюс" им. М.Ф. Стельмаха" тел. отдела закупок 8-495-333-05-02</v>
      </c>
      <c r="D701" s="633" t="str">
        <f>РПЗ!$AB701</f>
        <v>Заказчик</v>
      </c>
      <c r="E701" s="96" t="s">
        <v>46</v>
      </c>
      <c r="F701" s="233" t="str">
        <f>РПЗ!Q701</f>
        <v>ЕП</v>
      </c>
      <c r="G701" s="237"/>
      <c r="H701" s="237" t="str">
        <f>РПЗ!R701</f>
        <v>нет</v>
      </c>
      <c r="I701" s="15" t="str">
        <f>РПЗ!W701</f>
        <v>6.6.2(11)</v>
      </c>
      <c r="J701" s="233">
        <f>РПЗ!X701</f>
        <v>0</v>
      </c>
      <c r="K701" s="283">
        <f>РПЗ!Z701</f>
        <v>0</v>
      </c>
      <c r="L701" s="17"/>
      <c r="M701" s="18">
        <f>РПЗ!O701</f>
        <v>42767.5</v>
      </c>
      <c r="N701" s="238">
        <f>Таблица5[[#This Row],[10]]</f>
        <v>42767.5</v>
      </c>
      <c r="O701" s="17"/>
      <c r="P701" s="17"/>
      <c r="Q701" s="17"/>
      <c r="R701" s="17"/>
      <c r="S701" s="17"/>
      <c r="T701" s="686"/>
      <c r="U701" s="18">
        <f>РПЗ!P701</f>
        <v>43070.5</v>
      </c>
      <c r="V701" s="686"/>
      <c r="W701" s="236">
        <f>РПЗ!L701</f>
        <v>141345</v>
      </c>
      <c r="X701" s="689"/>
      <c r="Y701" s="689"/>
      <c r="Z701" s="690"/>
      <c r="AA701" s="691"/>
      <c r="AB701" s="111"/>
      <c r="AC701" s="17"/>
      <c r="AD701" s="690"/>
      <c r="AE701" s="686"/>
      <c r="AF701" s="474"/>
      <c r="AG701" s="692"/>
      <c r="AH701" s="236" t="str">
        <f>IF(Таблица5[[#This Row],[30]]=0,"НД",Таблица5[[#This Row],[20]]-Таблица5[[#This Row],[30]])</f>
        <v>НД</v>
      </c>
      <c r="AI701" s="511" t="str">
        <f>IF(((1-Таблица5[[#This Row],[30]]/Таблица5[[#This Row],[20]])=1),"НД",(1-Таблица5[[#This Row],[30]]/Таблица5[[#This Row],[20]]))</f>
        <v>НД</v>
      </c>
      <c r="AJ701" s="111"/>
      <c r="AK701" s="111"/>
      <c r="AL701" s="512"/>
      <c r="AM701" s="513"/>
      <c r="AN701" s="465"/>
      <c r="AO701" s="468" t="str">
        <f>РПЗ!AD701</f>
        <v>Нет</v>
      </c>
      <c r="AP701" s="472">
        <f>РПЗ!V701</f>
        <v>0</v>
      </c>
      <c r="AQ701" s="470">
        <f>IF(Таблица5[[#This Row],[11]]=0,,MONTH(Таблица5[[#This Row],[11]]))</f>
        <v>2</v>
      </c>
    </row>
    <row r="702" spans="1:43" ht="38.25" x14ac:dyDescent="0.25">
      <c r="A702" s="233" t="str">
        <f t="shared" si="11"/>
        <v>1004-2017-00687</v>
      </c>
      <c r="B702" s="233" t="str">
        <f>РПЗ!$D702</f>
        <v>1004-2017-00687Поставка СОЖ Grindex 10 (бочка)</v>
      </c>
      <c r="C702" s="233" t="str">
        <f>РПЗ!$AA702</f>
        <v>АО "НИИ "Полюс" им. М.Ф. Стельмаха" тел. отдела закупок 8-495-333-05-02</v>
      </c>
      <c r="D702" s="633" t="str">
        <f>РПЗ!$AB702</f>
        <v>Заказчик</v>
      </c>
      <c r="E702" s="510" t="s">
        <v>62</v>
      </c>
      <c r="F702" s="233" t="str">
        <f>РПЗ!Q702</f>
        <v>ОЗК</v>
      </c>
      <c r="G702" s="237" t="str">
        <f>Таблица5[[#This Row],[6]]</f>
        <v>ОЗК</v>
      </c>
      <c r="H702" s="237" t="str">
        <f>РПЗ!R702</f>
        <v>Да</v>
      </c>
      <c r="I702" s="15">
        <f>РПЗ!W702</f>
        <v>0</v>
      </c>
      <c r="J702" s="233">
        <f>РПЗ!X702</f>
        <v>0</v>
      </c>
      <c r="K702" s="283">
        <f>РПЗ!Z702</f>
        <v>0</v>
      </c>
      <c r="L702" s="17">
        <v>42844</v>
      </c>
      <c r="M702" s="18">
        <f>РПЗ!O702</f>
        <v>42826</v>
      </c>
      <c r="N702" s="238">
        <f>Таблица5[[#This Row],[10]]</f>
        <v>42826</v>
      </c>
      <c r="O702" s="17">
        <v>42851</v>
      </c>
      <c r="P702" s="17">
        <v>42858</v>
      </c>
      <c r="Q702" s="17">
        <v>42858</v>
      </c>
      <c r="R702" s="17">
        <v>42852</v>
      </c>
      <c r="S702" s="17">
        <v>42852</v>
      </c>
      <c r="T702" s="686">
        <v>42865</v>
      </c>
      <c r="U702" s="18">
        <f>РПЗ!P702</f>
        <v>43070.5</v>
      </c>
      <c r="V702" s="686">
        <v>43070</v>
      </c>
      <c r="W702" s="236">
        <f>РПЗ!L702</f>
        <v>589108.62</v>
      </c>
      <c r="X702" s="689">
        <v>1</v>
      </c>
      <c r="Y702" s="689">
        <v>0</v>
      </c>
      <c r="Z702" s="691">
        <v>7708714830</v>
      </c>
      <c r="AA702" s="691" t="s">
        <v>6098</v>
      </c>
      <c r="AB702" s="111">
        <v>532998</v>
      </c>
      <c r="AC702" s="17">
        <v>43070</v>
      </c>
      <c r="AD702" s="690" t="s">
        <v>6099</v>
      </c>
      <c r="AE702" s="686">
        <v>42865</v>
      </c>
      <c r="AF702" s="474"/>
      <c r="AG702" s="692">
        <v>532998</v>
      </c>
      <c r="AH702" s="236">
        <f>IF(Таблица5[[#This Row],[30]]=0,"НД",Таблица5[[#This Row],[20]]-Таблица5[[#This Row],[30]])</f>
        <v>56110.619999999995</v>
      </c>
      <c r="AI702" s="511">
        <f>IF(((1-Таблица5[[#This Row],[30]]/Таблица5[[#This Row],[20]])=1),"НД",(1-Таблица5[[#This Row],[30]]/Таблица5[[#This Row],[20]]))</f>
        <v>9.5246645686494991E-2</v>
      </c>
      <c r="AJ702" s="111">
        <v>532998</v>
      </c>
      <c r="AK702" s="111"/>
      <c r="AL702" s="512"/>
      <c r="AM702" s="513" t="s">
        <v>113</v>
      </c>
      <c r="AN702" s="801">
        <v>31705029349</v>
      </c>
      <c r="AO702" s="468" t="str">
        <f>РПЗ!AD702</f>
        <v>Нет</v>
      </c>
      <c r="AP702" s="472">
        <f>РПЗ!V702</f>
        <v>0</v>
      </c>
      <c r="AQ702" s="470">
        <f>IF(Таблица5[[#This Row],[11]]=0,,MONTH(Таблица5[[#This Row],[11]]))</f>
        <v>4</v>
      </c>
    </row>
    <row r="703" spans="1:43" s="681" customFormat="1" ht="39" thickBot="1" x14ac:dyDescent="0.3">
      <c r="A703" s="691" t="str">
        <f>INDEX(Диапазон1,ROW(), COLUMN())</f>
        <v>1004-2017-00688</v>
      </c>
      <c r="B703" s="691" t="str">
        <f>РПЗ!$D703</f>
        <v>1004-2017-00688Поставка Акселерометр А-50</v>
      </c>
      <c r="C703" s="691" t="str">
        <f>РПЗ!$AA703</f>
        <v>АО "НИИ "Полюс" им. М.Ф. Стельмаха" тел. отдела закупок 8-495-333-05-02</v>
      </c>
      <c r="D703" s="706" t="str">
        <f>РПЗ!$AB703</f>
        <v>Заказчик</v>
      </c>
      <c r="E703" s="510" t="s">
        <v>62</v>
      </c>
      <c r="F703" s="691" t="str">
        <f>РПЗ!Q703</f>
        <v>ОЗК</v>
      </c>
      <c r="G703" s="691" t="str">
        <f>Таблица5[[#This Row],[6]]</f>
        <v>ОЗК</v>
      </c>
      <c r="H703" s="691" t="str">
        <f>РПЗ!R703</f>
        <v>да</v>
      </c>
      <c r="I703" s="707">
        <f>РПЗ!W703</f>
        <v>0</v>
      </c>
      <c r="J703" s="691">
        <f>РПЗ!X703</f>
        <v>0</v>
      </c>
      <c r="K703" s="708">
        <f>РПЗ!Z703</f>
        <v>0</v>
      </c>
      <c r="L703" s="686"/>
      <c r="M703" s="687">
        <f>РПЗ!O703</f>
        <v>42767.5</v>
      </c>
      <c r="N703" s="687">
        <f>Таблица5[[#This Row],[10]]</f>
        <v>42767.5</v>
      </c>
      <c r="O703" s="686">
        <v>42796</v>
      </c>
      <c r="P703" s="686">
        <v>42801</v>
      </c>
      <c r="Q703" s="686">
        <v>42801</v>
      </c>
      <c r="R703" s="686">
        <v>42797</v>
      </c>
      <c r="S703" s="686">
        <v>42797</v>
      </c>
      <c r="T703" s="686">
        <v>42821</v>
      </c>
      <c r="U703" s="687">
        <f>РПЗ!P703</f>
        <v>43070.5</v>
      </c>
      <c r="V703" s="761">
        <v>42979</v>
      </c>
      <c r="W703" s="692">
        <f>РПЗ!L703</f>
        <v>1358666.67</v>
      </c>
      <c r="X703" s="689">
        <v>1</v>
      </c>
      <c r="Y703" s="689">
        <v>0</v>
      </c>
      <c r="Z703" s="691">
        <v>3301031150</v>
      </c>
      <c r="AA703" s="691" t="s">
        <v>3349</v>
      </c>
      <c r="AB703" s="692">
        <v>1358666</v>
      </c>
      <c r="AC703" s="686">
        <v>42979</v>
      </c>
      <c r="AD703" s="690" t="s">
        <v>3350</v>
      </c>
      <c r="AE703" s="686">
        <v>42821</v>
      </c>
      <c r="AF703" s="690"/>
      <c r="AG703" s="691">
        <v>1358666</v>
      </c>
      <c r="AH703" s="692">
        <f>IF(Таблица5[[#This Row],[30]]=0,"НД",Таблица5[[#This Row],[20]]-Таблица5[[#This Row],[30]])</f>
        <v>0.66999999992549419</v>
      </c>
      <c r="AI703" s="709">
        <f>IF(((1-Таблица5[[#This Row],[30]]/Таблица5[[#This Row],[20]])=1),"НД",(1-Таблица5[[#This Row],[30]]/Таблица5[[#This Row],[20]]))</f>
        <v>4.9313051886379355E-7</v>
      </c>
      <c r="AJ703" s="692">
        <v>1358666</v>
      </c>
      <c r="AK703" s="692"/>
      <c r="AL703" s="710"/>
      <c r="AM703" s="711" t="s">
        <v>113</v>
      </c>
      <c r="AN703" s="800" t="s">
        <v>4821</v>
      </c>
      <c r="AO703" s="712" t="str">
        <f>РПЗ!AD703</f>
        <v>Нет</v>
      </c>
      <c r="AP703" s="713">
        <f>РПЗ!V703</f>
        <v>0</v>
      </c>
      <c r="AQ703" s="714">
        <f>IF(Таблица5[[#This Row],[11]]=0,,MONTH(Таблица5[[#This Row],[11]]))</f>
        <v>2</v>
      </c>
    </row>
    <row r="704" spans="1:43" ht="38.25" x14ac:dyDescent="0.25">
      <c r="A704" s="233" t="str">
        <f t="shared" si="11"/>
        <v>1004-2017-00689</v>
      </c>
      <c r="B704" s="233" t="str">
        <f>РПЗ!$D704</f>
        <v>1004-2017-00689Поставка Оптические детали</v>
      </c>
      <c r="C704" s="233" t="str">
        <f>РПЗ!$AA704</f>
        <v>АО "НИИ "Полюс" им. М.Ф. Стельмаха" тел. отдела закупок 8-495-333-05-02</v>
      </c>
      <c r="D704" s="633" t="str">
        <f>РПЗ!$AB704</f>
        <v>Заказчик</v>
      </c>
      <c r="E704" s="96" t="s">
        <v>46</v>
      </c>
      <c r="F704" s="233" t="str">
        <f>РПЗ!Q704</f>
        <v>ЕП</v>
      </c>
      <c r="G704" s="237"/>
      <c r="H704" s="237" t="str">
        <f>РПЗ!R704</f>
        <v>нет</v>
      </c>
      <c r="I704" s="15" t="str">
        <f>РПЗ!W704</f>
        <v>6.6.2(11)</v>
      </c>
      <c r="J704" s="233">
        <f>РПЗ!X704</f>
        <v>0</v>
      </c>
      <c r="K704" s="283">
        <f>РПЗ!Z704</f>
        <v>0</v>
      </c>
      <c r="L704" s="17"/>
      <c r="M704" s="18">
        <f>РПЗ!O704</f>
        <v>42767.5</v>
      </c>
      <c r="N704" s="238">
        <f>Таблица5[[#This Row],[10]]</f>
        <v>42767.5</v>
      </c>
      <c r="O704" s="17"/>
      <c r="P704" s="17"/>
      <c r="Q704" s="17"/>
      <c r="R704" s="17"/>
      <c r="S704" s="17"/>
      <c r="T704" s="686"/>
      <c r="U704" s="18">
        <f>РПЗ!P704</f>
        <v>43070.5</v>
      </c>
      <c r="V704" s="686"/>
      <c r="W704" s="236">
        <f>РПЗ!L704</f>
        <v>880739.18</v>
      </c>
      <c r="X704" s="689"/>
      <c r="Y704" s="689"/>
      <c r="Z704" s="690"/>
      <c r="AA704" s="691"/>
      <c r="AB704" s="111"/>
      <c r="AC704" s="17"/>
      <c r="AD704" s="690"/>
      <c r="AE704" s="686"/>
      <c r="AF704" s="474"/>
      <c r="AG704" s="692"/>
      <c r="AH704" s="236" t="str">
        <f>IF(Таблица5[[#This Row],[30]]=0,"НД",Таблица5[[#This Row],[20]]-Таблица5[[#This Row],[30]])</f>
        <v>НД</v>
      </c>
      <c r="AI704" s="511" t="str">
        <f>IF(((1-Таблица5[[#This Row],[30]]/Таблица5[[#This Row],[20]])=1),"НД",(1-Таблица5[[#This Row],[30]]/Таблица5[[#This Row],[20]]))</f>
        <v>НД</v>
      </c>
      <c r="AJ704" s="111"/>
      <c r="AK704" s="111"/>
      <c r="AL704" s="512"/>
      <c r="AM704" s="513"/>
      <c r="AN704" s="465"/>
      <c r="AO704" s="468" t="str">
        <f>РПЗ!AD704</f>
        <v>Нет</v>
      </c>
      <c r="AP704" s="472">
        <f>РПЗ!V704</f>
        <v>0</v>
      </c>
      <c r="AQ704" s="470">
        <f>IF(Таблица5[[#This Row],[11]]=0,,MONTH(Таблица5[[#This Row],[11]]))</f>
        <v>2</v>
      </c>
    </row>
    <row r="705" spans="1:43" ht="38.25" x14ac:dyDescent="0.25">
      <c r="A705" s="233" t="str">
        <f t="shared" si="11"/>
        <v>1004-2017-00690</v>
      </c>
      <c r="B705" s="233" t="str">
        <f>РПЗ!$D705</f>
        <v>1004-2017-00690Поставка Оптические детали</v>
      </c>
      <c r="C705" s="233" t="str">
        <f>РПЗ!$AA705</f>
        <v>АО "НИИ "Полюс" им. М.Ф. Стельмаха" тел. отдела закупок 8-495-333-05-02</v>
      </c>
      <c r="D705" s="633" t="str">
        <f>РПЗ!$AB705</f>
        <v>Заказчик</v>
      </c>
      <c r="E705" s="510" t="s">
        <v>62</v>
      </c>
      <c r="F705" s="233" t="str">
        <f>РПЗ!Q705</f>
        <v>ЕП</v>
      </c>
      <c r="G705" s="237" t="str">
        <f>Таблица5[[#This Row],[6]]</f>
        <v>ЕП</v>
      </c>
      <c r="H705" s="237" t="str">
        <f>РПЗ!R705</f>
        <v>нет</v>
      </c>
      <c r="I705" s="15" t="str">
        <f>РПЗ!W705</f>
        <v>6.6.2(11)</v>
      </c>
      <c r="J705" s="233" t="str">
        <f>РПЗ!X705</f>
        <v>5008024490</v>
      </c>
      <c r="K705" s="283">
        <f>РПЗ!Z705</f>
        <v>1971440</v>
      </c>
      <c r="L705" s="17">
        <v>42781</v>
      </c>
      <c r="M705" s="18">
        <f>РПЗ!O705</f>
        <v>42767.5</v>
      </c>
      <c r="N705" s="238">
        <f>Таблица5[[#This Row],[10]]</f>
        <v>42767.5</v>
      </c>
      <c r="O705" s="17"/>
      <c r="P705" s="17"/>
      <c r="Q705" s="17"/>
      <c r="R705" s="17"/>
      <c r="S705" s="17"/>
      <c r="T705" s="695" t="s">
        <v>2394</v>
      </c>
      <c r="U705" s="18">
        <f>РПЗ!P705</f>
        <v>43070.5</v>
      </c>
      <c r="V705" s="760">
        <v>42826</v>
      </c>
      <c r="W705" s="236">
        <f>РПЗ!L705</f>
        <v>1971440</v>
      </c>
      <c r="X705" s="689">
        <v>1</v>
      </c>
      <c r="Y705" s="689">
        <v>0</v>
      </c>
      <c r="Z705" s="1055">
        <v>5008024490</v>
      </c>
      <c r="AA705" s="704" t="s">
        <v>2395</v>
      </c>
      <c r="AB705" s="700">
        <v>1971440</v>
      </c>
      <c r="AC705" s="808">
        <v>42826</v>
      </c>
      <c r="AD705" s="810" t="s">
        <v>120</v>
      </c>
      <c r="AE705" s="703" t="s">
        <v>2394</v>
      </c>
      <c r="AF705" s="474"/>
      <c r="AG705" s="827">
        <v>1971440</v>
      </c>
      <c r="AH705" s="236">
        <f>IF(Таблица5[[#This Row],[30]]=0,"НД",Таблица5[[#This Row],[20]]-Таблица5[[#This Row],[30]])</f>
        <v>0</v>
      </c>
      <c r="AI705" s="511">
        <f>IF(((1-Таблица5[[#This Row],[30]]/Таблица5[[#This Row],[20]])=1),"НД",(1-Таблица5[[#This Row],[30]]/Таблица5[[#This Row],[20]]))</f>
        <v>0</v>
      </c>
      <c r="AJ705" s="111"/>
      <c r="AK705" s="111"/>
      <c r="AL705" s="512"/>
      <c r="AM705" s="513" t="s">
        <v>113</v>
      </c>
      <c r="AN705" s="801">
        <v>31704796942</v>
      </c>
      <c r="AO705" s="468" t="str">
        <f>РПЗ!AD705</f>
        <v>Нет</v>
      </c>
      <c r="AP705" s="472">
        <f>РПЗ!V705</f>
        <v>0</v>
      </c>
      <c r="AQ705" s="470">
        <f>IF(Таблица5[[#This Row],[11]]=0,,MONTH(Таблица5[[#This Row],[11]]))</f>
        <v>2</v>
      </c>
    </row>
    <row r="706" spans="1:43" ht="38.25" x14ac:dyDescent="0.25">
      <c r="A706" s="233" t="str">
        <f t="shared" si="11"/>
        <v>1004-2017-00691</v>
      </c>
      <c r="B706" s="233" t="str">
        <f>РПЗ!$D706</f>
        <v>1004-2017-00691Поставка Оптические детали</v>
      </c>
      <c r="C706" s="233" t="str">
        <f>РПЗ!$AA706</f>
        <v>АО "НИИ "Полюс" им. М.Ф. Стельмаха" тел. отдела закупок 8-495-333-05-02</v>
      </c>
      <c r="D706" s="633" t="str">
        <f>РПЗ!$AB706</f>
        <v>Заказчик</v>
      </c>
      <c r="E706" s="510" t="s">
        <v>62</v>
      </c>
      <c r="F706" s="233" t="str">
        <f>РПЗ!Q706</f>
        <v>ЕП</v>
      </c>
      <c r="G706" s="237" t="str">
        <f>Таблица5[[#This Row],[6]]</f>
        <v>ЕП</v>
      </c>
      <c r="H706" s="237" t="str">
        <f>РПЗ!R706</f>
        <v>нет</v>
      </c>
      <c r="I706" s="15" t="str">
        <f>РПЗ!W706</f>
        <v>6.6.2(11)</v>
      </c>
      <c r="J706" s="233" t="str">
        <f>РПЗ!X706</f>
        <v>5008024490</v>
      </c>
      <c r="K706" s="283" t="str">
        <f>РПЗ!Z706</f>
        <v>1 119 860</v>
      </c>
      <c r="L706" s="661" t="s">
        <v>3031</v>
      </c>
      <c r="M706" s="18">
        <f>РПЗ!O706</f>
        <v>42767.5</v>
      </c>
      <c r="N706" s="238">
        <f>Таблица5[[#This Row],[10]]</f>
        <v>42767.5</v>
      </c>
      <c r="O706" s="17"/>
      <c r="P706" s="17"/>
      <c r="Q706" s="17"/>
      <c r="R706" s="17"/>
      <c r="S706" s="17"/>
      <c r="T706" s="695" t="s">
        <v>3032</v>
      </c>
      <c r="U706" s="18">
        <f>РПЗ!P706</f>
        <v>43070.5</v>
      </c>
      <c r="V706" s="760">
        <v>42948</v>
      </c>
      <c r="W706" s="236">
        <f>РПЗ!L706</f>
        <v>1119860</v>
      </c>
      <c r="X706" s="689">
        <v>1</v>
      </c>
      <c r="Y706" s="689">
        <v>0</v>
      </c>
      <c r="Z706" s="1055">
        <v>5008024490</v>
      </c>
      <c r="AA706" s="691" t="s">
        <v>2395</v>
      </c>
      <c r="AB706" s="700">
        <v>1119860</v>
      </c>
      <c r="AC706" s="808">
        <v>42948</v>
      </c>
      <c r="AD706" s="810" t="s">
        <v>121</v>
      </c>
      <c r="AE706" s="703" t="s">
        <v>3032</v>
      </c>
      <c r="AF706" s="474"/>
      <c r="AG706" s="691">
        <v>1119860</v>
      </c>
      <c r="AH706" s="236">
        <f>IF(Таблица5[[#This Row],[30]]=0,"НД",Таблица5[[#This Row],[20]]-Таблица5[[#This Row],[30]])</f>
        <v>0</v>
      </c>
      <c r="AI706" s="511">
        <f>IF(((1-Таблица5[[#This Row],[30]]/Таблица5[[#This Row],[20]])=1),"НД",(1-Таблица5[[#This Row],[30]]/Таблица5[[#This Row],[20]]))</f>
        <v>0</v>
      </c>
      <c r="AJ706" s="111"/>
      <c r="AK706" s="111"/>
      <c r="AL706" s="512"/>
      <c r="AM706" s="513" t="s">
        <v>113</v>
      </c>
      <c r="AN706" s="801">
        <v>31704796875</v>
      </c>
      <c r="AO706" s="468" t="str">
        <f>РПЗ!AD706</f>
        <v>Нет</v>
      </c>
      <c r="AP706" s="472">
        <f>РПЗ!V706</f>
        <v>0</v>
      </c>
      <c r="AQ706" s="470">
        <f>IF(Таблица5[[#This Row],[11]]=0,,MONTH(Таблица5[[#This Row],[11]]))</f>
        <v>2</v>
      </c>
    </row>
    <row r="707" spans="1:43" ht="114.75" x14ac:dyDescent="0.25">
      <c r="A707" s="233" t="str">
        <f t="shared" si="11"/>
        <v>1004-2017-00692</v>
      </c>
      <c r="B707" s="233" t="str">
        <f>РПЗ!$D707</f>
        <v xml:space="preserve">1004-2017-00692Изготовление и поставка: 1. Модуль лазерный MU35-915-01 в количестве 3 шт.; 2. Узел волоконного объединителя в количестве 1 шт.; 3. Драйвер электронный CSLD-02 в количестве 1 шт.  согласно Техническим требованиям (приложение №1) и спецификации (приложение №2)       </v>
      </c>
      <c r="C707" s="233" t="str">
        <f>РПЗ!$AA707</f>
        <v>АО "НИИ "Полюс" им. М.Ф. Стельмаха" тел. отдела закупок 8-495-333-05-02</v>
      </c>
      <c r="D707" s="633" t="str">
        <f>РПЗ!$AB707</f>
        <v>Заказчик</v>
      </c>
      <c r="E707" s="510" t="s">
        <v>62</v>
      </c>
      <c r="F707" s="233" t="str">
        <f>РПЗ!Q707</f>
        <v>ЕП</v>
      </c>
      <c r="G707" s="237" t="str">
        <f>Таблица5[[#This Row],[6]]</f>
        <v>ЕП</v>
      </c>
      <c r="H707" s="237" t="str">
        <f>РПЗ!R707</f>
        <v>нет</v>
      </c>
      <c r="I707" s="15" t="str">
        <f>РПЗ!W707</f>
        <v>6.6.2(11)</v>
      </c>
      <c r="J707" s="233" t="str">
        <f>РПЗ!X707</f>
        <v>7842469759</v>
      </c>
      <c r="K707" s="283" t="str">
        <f>РПЗ!Z707</f>
        <v>372 443</v>
      </c>
      <c r="L707" s="661" t="s">
        <v>3017</v>
      </c>
      <c r="M707" s="18">
        <f>РПЗ!O707</f>
        <v>42767.5</v>
      </c>
      <c r="N707" s="238">
        <f>Таблица5[[#This Row],[10]]</f>
        <v>42767.5</v>
      </c>
      <c r="O707" s="17"/>
      <c r="P707" s="17"/>
      <c r="Q707" s="17"/>
      <c r="R707" s="17"/>
      <c r="S707" s="17"/>
      <c r="T707" s="695" t="s">
        <v>3031</v>
      </c>
      <c r="U707" s="18">
        <f>РПЗ!P707</f>
        <v>42826.5</v>
      </c>
      <c r="V707" s="760">
        <v>42826</v>
      </c>
      <c r="W707" s="236">
        <f>РПЗ!L707</f>
        <v>372443</v>
      </c>
      <c r="X707" s="689">
        <v>1</v>
      </c>
      <c r="Y707" s="689">
        <v>0</v>
      </c>
      <c r="Z707" s="1055">
        <v>7842469759</v>
      </c>
      <c r="AA707" s="704" t="s">
        <v>3041</v>
      </c>
      <c r="AB707" s="700">
        <v>372443</v>
      </c>
      <c r="AC707" s="808">
        <v>42826</v>
      </c>
      <c r="AD707" s="810" t="s">
        <v>234</v>
      </c>
      <c r="AE707" s="703" t="s">
        <v>3031</v>
      </c>
      <c r="AF707" s="474"/>
      <c r="AG707" s="827">
        <v>372443</v>
      </c>
      <c r="AH707" s="236">
        <f>IF(Таблица5[[#This Row],[30]]=0,"НД",Таблица5[[#This Row],[20]]-Таблица5[[#This Row],[30]])</f>
        <v>0</v>
      </c>
      <c r="AI707" s="511">
        <f>IF(((1-Таблица5[[#This Row],[30]]/Таблица5[[#This Row],[20]])=1),"НД",(1-Таблица5[[#This Row],[30]]/Таблица5[[#This Row],[20]]))</f>
        <v>0</v>
      </c>
      <c r="AJ707" s="111"/>
      <c r="AK707" s="111"/>
      <c r="AL707" s="512"/>
      <c r="AM707" s="513" t="s">
        <v>113</v>
      </c>
      <c r="AN707" s="801">
        <v>31704762761</v>
      </c>
      <c r="AO707" s="468" t="str">
        <f>РПЗ!AD707</f>
        <v>Нет</v>
      </c>
      <c r="AP707" s="472">
        <f>РПЗ!V707</f>
        <v>0</v>
      </c>
      <c r="AQ707" s="470">
        <f>IF(Таблица5[[#This Row],[11]]=0,,MONTH(Таблица5[[#This Row],[11]]))</f>
        <v>2</v>
      </c>
    </row>
    <row r="708" spans="1:43" ht="51.75" thickBot="1" x14ac:dyDescent="0.3">
      <c r="A708" s="233" t="str">
        <f t="shared" si="11"/>
        <v>1004-2017-00693</v>
      </c>
      <c r="B708" s="233" t="str">
        <f>РПЗ!$D708</f>
        <v>1004-2017-00693Поставка Модули фоточувствительные  ЖГДК.432231.047, Излучатели ЖГДК.433751.072</v>
      </c>
      <c r="C708" s="233" t="str">
        <f>РПЗ!$AA708</f>
        <v>АО "НИИ "Полюс" им. М.Ф. Стельмаха" тел. отдела закупок 8-495-333-05-02</v>
      </c>
      <c r="D708" s="633" t="str">
        <f>РПЗ!$AB708</f>
        <v>Заказчик</v>
      </c>
      <c r="E708" s="510" t="s">
        <v>62</v>
      </c>
      <c r="F708" s="233" t="str">
        <f>РПЗ!Q708</f>
        <v>ЕП</v>
      </c>
      <c r="G708" s="237" t="str">
        <f>Таблица5[[#This Row],[6]]</f>
        <v>ЕП</v>
      </c>
      <c r="H708" s="237" t="str">
        <f>РПЗ!R708</f>
        <v>нет</v>
      </c>
      <c r="I708" s="15" t="str">
        <f>РПЗ!W708</f>
        <v>6.6.2(11)</v>
      </c>
      <c r="J708" s="233" t="str">
        <f>РПЗ!X708</f>
        <v>7729186525</v>
      </c>
      <c r="K708" s="283">
        <f>РПЗ!Z708</f>
        <v>884126</v>
      </c>
      <c r="L708" s="17">
        <v>42773</v>
      </c>
      <c r="M708" s="18">
        <f>РПЗ!O708</f>
        <v>42767.5</v>
      </c>
      <c r="N708" s="238">
        <f>Таблица5[[#This Row],[10]]</f>
        <v>42767.5</v>
      </c>
      <c r="O708" s="17"/>
      <c r="P708" s="17"/>
      <c r="Q708" s="17"/>
      <c r="R708" s="17"/>
      <c r="S708" s="17"/>
      <c r="T708" s="686">
        <v>42781</v>
      </c>
      <c r="U708" s="18">
        <f>РПЗ!P708</f>
        <v>42795.5</v>
      </c>
      <c r="V708" s="686">
        <v>42887</v>
      </c>
      <c r="W708" s="236">
        <f>РПЗ!L708</f>
        <v>884126</v>
      </c>
      <c r="X708" s="689">
        <v>1</v>
      </c>
      <c r="Y708" s="689">
        <v>0</v>
      </c>
      <c r="Z708" s="691">
        <v>7729186525</v>
      </c>
      <c r="AA708" s="691" t="s">
        <v>4823</v>
      </c>
      <c r="AB708" s="111">
        <v>884126</v>
      </c>
      <c r="AC708" s="17">
        <v>42887</v>
      </c>
      <c r="AD708" s="690" t="s">
        <v>4824</v>
      </c>
      <c r="AE708" s="686">
        <v>42781</v>
      </c>
      <c r="AF708" s="474"/>
      <c r="AG708" s="692">
        <v>884126</v>
      </c>
      <c r="AH708" s="236">
        <f>IF(Таблица5[[#This Row],[30]]=0,"НД",Таблица5[[#This Row],[20]]-Таблица5[[#This Row],[30]])</f>
        <v>0</v>
      </c>
      <c r="AI708" s="511">
        <f>IF(((1-Таблица5[[#This Row],[30]]/Таблица5[[#This Row],[20]])=1),"НД",(1-Таблица5[[#This Row],[30]]/Таблица5[[#This Row],[20]]))</f>
        <v>0</v>
      </c>
      <c r="AJ708" s="111"/>
      <c r="AK708" s="111"/>
      <c r="AL708" s="512"/>
      <c r="AM708" s="513" t="s">
        <v>113</v>
      </c>
      <c r="AN708" s="465">
        <v>31704763264</v>
      </c>
      <c r="AO708" s="468" t="str">
        <f>РПЗ!AD708</f>
        <v>Нет</v>
      </c>
      <c r="AP708" s="472">
        <f>РПЗ!V708</f>
        <v>0</v>
      </c>
      <c r="AQ708" s="470">
        <f>IF(Таблица5[[#This Row],[11]]=0,,MONTH(Таблица5[[#This Row],[11]]))</f>
        <v>2</v>
      </c>
    </row>
    <row r="709" spans="1:43" ht="39" thickBot="1" x14ac:dyDescent="0.3">
      <c r="A709" s="233" t="str">
        <f t="shared" si="11"/>
        <v>1004-2017-00694</v>
      </c>
      <c r="B709" s="233" t="str">
        <f>РПЗ!$D709</f>
        <v>1004-2017-00694Поставка Печатные платы ЖГДК.687253.029, ЖГДК.687253.028</v>
      </c>
      <c r="C709" s="233" t="str">
        <f>РПЗ!$AA709</f>
        <v>АО "НИИ "Полюс" им. М.Ф. Стельмаха" тел. отдела закупок 8-495-333-05-02</v>
      </c>
      <c r="D709" s="633" t="str">
        <f>РПЗ!$AB709</f>
        <v>Заказчик</v>
      </c>
      <c r="E709" s="96" t="s">
        <v>46</v>
      </c>
      <c r="F709" s="233" t="str">
        <f>РПЗ!Q709</f>
        <v>ЕП</v>
      </c>
      <c r="G709" s="237"/>
      <c r="H709" s="237" t="str">
        <f>РПЗ!R709</f>
        <v>нет</v>
      </c>
      <c r="I709" s="15" t="str">
        <f>РПЗ!W709</f>
        <v>6.6.2(11)</v>
      </c>
      <c r="J709" s="233">
        <f>РПЗ!X709</f>
        <v>0</v>
      </c>
      <c r="K709" s="283">
        <f>РПЗ!Z709</f>
        <v>0</v>
      </c>
      <c r="L709" s="17"/>
      <c r="M709" s="18">
        <f>РПЗ!O709</f>
        <v>42767.5</v>
      </c>
      <c r="N709" s="238">
        <f>Таблица5[[#This Row],[10]]</f>
        <v>42767.5</v>
      </c>
      <c r="O709" s="17"/>
      <c r="P709" s="17"/>
      <c r="Q709" s="17"/>
      <c r="R709" s="17"/>
      <c r="S709" s="17"/>
      <c r="T709" s="686"/>
      <c r="U709" s="18">
        <f>РПЗ!P709</f>
        <v>42795.5</v>
      </c>
      <c r="V709" s="686"/>
      <c r="W709" s="236">
        <f>РПЗ!L709</f>
        <v>446415.24</v>
      </c>
      <c r="X709" s="689"/>
      <c r="Y709" s="689"/>
      <c r="Z709" s="690"/>
      <c r="AA709" s="691"/>
      <c r="AB709" s="111"/>
      <c r="AC709" s="17"/>
      <c r="AD709" s="690"/>
      <c r="AE709" s="686"/>
      <c r="AF709" s="474"/>
      <c r="AG709" s="692"/>
      <c r="AH709" s="236" t="str">
        <f>IF(Таблица5[[#This Row],[30]]=0,"НД",Таблица5[[#This Row],[20]]-Таблица5[[#This Row],[30]])</f>
        <v>НД</v>
      </c>
      <c r="AI709" s="511" t="str">
        <f>IF(((1-Таблица5[[#This Row],[30]]/Таблица5[[#This Row],[20]])=1),"НД",(1-Таблица5[[#This Row],[30]]/Таблица5[[#This Row],[20]]))</f>
        <v>НД</v>
      </c>
      <c r="AJ709" s="111"/>
      <c r="AK709" s="111"/>
      <c r="AL709" s="512"/>
      <c r="AM709" s="513"/>
      <c r="AN709" s="465"/>
      <c r="AO709" s="468" t="str">
        <f>РПЗ!AD709</f>
        <v>Нет</v>
      </c>
      <c r="AP709" s="472">
        <f>РПЗ!V709</f>
        <v>0</v>
      </c>
      <c r="AQ709" s="470">
        <f>IF(Таблица5[[#This Row],[11]]=0,,MONTH(Таблица5[[#This Row],[11]]))</f>
        <v>2</v>
      </c>
    </row>
    <row r="710" spans="1:43" ht="38.25" x14ac:dyDescent="0.25">
      <c r="A710" s="233" t="str">
        <f t="shared" si="11"/>
        <v>1004-2017-00695</v>
      </c>
      <c r="B710" s="233" t="str">
        <f>РПЗ!$D710</f>
        <v>1004-2017-00695Поставка Кабель ОК-БС14-1-50/125-400-3,0/1,30 (ВП)</v>
      </c>
      <c r="C710" s="233" t="str">
        <f>РПЗ!$AA710</f>
        <v>АО "НИИ "Полюс" им. М.Ф. Стельмаха" тел. отдела закупок 8-495-333-05-02</v>
      </c>
      <c r="D710" s="633" t="str">
        <f>РПЗ!$AB710</f>
        <v>Заказчик</v>
      </c>
      <c r="E710" s="96" t="s">
        <v>46</v>
      </c>
      <c r="F710" s="233" t="str">
        <f>РПЗ!Q710</f>
        <v>ЕП</v>
      </c>
      <c r="G710" s="237"/>
      <c r="H710" s="237" t="str">
        <f>РПЗ!R710</f>
        <v>нет</v>
      </c>
      <c r="I710" s="15" t="str">
        <f>РПЗ!W710</f>
        <v>6.6.2(11)</v>
      </c>
      <c r="J710" s="233">
        <f>РПЗ!X710</f>
        <v>0</v>
      </c>
      <c r="K710" s="283">
        <f>РПЗ!Z710</f>
        <v>0</v>
      </c>
      <c r="L710" s="17"/>
      <c r="M710" s="18">
        <f>РПЗ!O710</f>
        <v>42767.5</v>
      </c>
      <c r="N710" s="238">
        <f>Таблица5[[#This Row],[10]]</f>
        <v>42767.5</v>
      </c>
      <c r="O710" s="17"/>
      <c r="P710" s="17"/>
      <c r="Q710" s="17"/>
      <c r="R710" s="17"/>
      <c r="S710" s="17"/>
      <c r="T710" s="686"/>
      <c r="U710" s="18">
        <f>РПЗ!P710</f>
        <v>42795.5</v>
      </c>
      <c r="V710" s="686"/>
      <c r="W710" s="236">
        <f>РПЗ!L710</f>
        <v>2009800</v>
      </c>
      <c r="X710" s="689"/>
      <c r="Y710" s="689"/>
      <c r="Z710" s="690"/>
      <c r="AA710" s="691"/>
      <c r="AB710" s="111"/>
      <c r="AC710" s="17"/>
      <c r="AD710" s="690"/>
      <c r="AE710" s="686"/>
      <c r="AF710" s="474"/>
      <c r="AG710" s="692"/>
      <c r="AH710" s="236" t="str">
        <f>IF(Таблица5[[#This Row],[30]]=0,"НД",Таблица5[[#This Row],[20]]-Таблица5[[#This Row],[30]])</f>
        <v>НД</v>
      </c>
      <c r="AI710" s="511" t="str">
        <f>IF(((1-Таблица5[[#This Row],[30]]/Таблица5[[#This Row],[20]])=1),"НД",(1-Таблица5[[#This Row],[30]]/Таблица5[[#This Row],[20]]))</f>
        <v>НД</v>
      </c>
      <c r="AJ710" s="111"/>
      <c r="AK710" s="111"/>
      <c r="AL710" s="512"/>
      <c r="AM710" s="513"/>
      <c r="AN710" s="465"/>
      <c r="AO710" s="468" t="str">
        <f>РПЗ!AD710</f>
        <v>Нет</v>
      </c>
      <c r="AP710" s="472">
        <f>РПЗ!V710</f>
        <v>0</v>
      </c>
      <c r="AQ710" s="470">
        <f>IF(Таблица5[[#This Row],[11]]=0,,MONTH(Таблица5[[#This Row],[11]]))</f>
        <v>2</v>
      </c>
    </row>
    <row r="711" spans="1:43" s="681" customFormat="1" ht="39" thickBot="1" x14ac:dyDescent="0.3">
      <c r="A711" s="691" t="str">
        <f t="shared" si="11"/>
        <v>1004-2017-00696</v>
      </c>
      <c r="B711" s="691" t="str">
        <f>РПЗ!$D711</f>
        <v>1004-2017-00696Поставка  Электроды ЭК1</v>
      </c>
      <c r="C711" s="691" t="str">
        <f>РПЗ!$AA711</f>
        <v>АО "НИИ "Полюс" им. М.Ф. Стельмаха" тел. отдела закупок 8-495-333-05-02</v>
      </c>
      <c r="D711" s="706" t="str">
        <f>РПЗ!$AB711</f>
        <v>Заказчик</v>
      </c>
      <c r="E711" s="510" t="s">
        <v>62</v>
      </c>
      <c r="F711" s="691" t="str">
        <f>РПЗ!Q711</f>
        <v>ОЗК</v>
      </c>
      <c r="G711" s="691" t="str">
        <f>Таблица5[[#This Row],[6]]</f>
        <v>ОЗК</v>
      </c>
      <c r="H711" s="691" t="str">
        <f>РПЗ!R711</f>
        <v>да</v>
      </c>
      <c r="I711" s="707">
        <f>РПЗ!W711</f>
        <v>0</v>
      </c>
      <c r="J711" s="691">
        <f>РПЗ!X711</f>
        <v>0</v>
      </c>
      <c r="K711" s="708">
        <f>РПЗ!Z711</f>
        <v>0</v>
      </c>
      <c r="L711" s="686"/>
      <c r="M711" s="687">
        <f>РПЗ!O711</f>
        <v>42767.5</v>
      </c>
      <c r="N711" s="687">
        <f>Таблица5[[#This Row],[10]]</f>
        <v>42767.5</v>
      </c>
      <c r="O711" s="686">
        <v>42817</v>
      </c>
      <c r="P711" s="686">
        <v>42822</v>
      </c>
      <c r="Q711" s="686">
        <v>42822</v>
      </c>
      <c r="R711" s="686">
        <v>42817</v>
      </c>
      <c r="S711" s="686">
        <v>42817</v>
      </c>
      <c r="T711" s="686"/>
      <c r="U711" s="687">
        <f>РПЗ!P711</f>
        <v>42795.5</v>
      </c>
      <c r="V711" s="761"/>
      <c r="W711" s="692">
        <f>РПЗ!L711</f>
        <v>116774.13</v>
      </c>
      <c r="X711" s="689">
        <v>1</v>
      </c>
      <c r="Y711" s="689">
        <v>0</v>
      </c>
      <c r="Z711" s="691">
        <v>2130037277</v>
      </c>
      <c r="AA711" s="691" t="s">
        <v>3351</v>
      </c>
      <c r="AB711" s="692">
        <v>97940</v>
      </c>
      <c r="AC711" s="686"/>
      <c r="AD711" s="690"/>
      <c r="AE711" s="686"/>
      <c r="AF711" s="690"/>
      <c r="AG711" s="814"/>
      <c r="AH711" s="692" t="str">
        <f>IF(Таблица5[[#This Row],[30]]=0,"НД",Таблица5[[#This Row],[20]]-Таблица5[[#This Row],[30]])</f>
        <v>НД</v>
      </c>
      <c r="AI711" s="709" t="str">
        <f>IF(((1-Таблица5[[#This Row],[30]]/Таблица5[[#This Row],[20]])=1),"НД",(1-Таблица5[[#This Row],[30]]/Таблица5[[#This Row],[20]]))</f>
        <v>НД</v>
      </c>
      <c r="AJ711" s="692"/>
      <c r="AK711" s="692"/>
      <c r="AL711" s="710"/>
      <c r="AM711" s="711" t="s">
        <v>113</v>
      </c>
      <c r="AN711" s="800">
        <v>31704901724</v>
      </c>
      <c r="AO711" s="712" t="str">
        <f>РПЗ!AD711</f>
        <v>Нет</v>
      </c>
      <c r="AP711" s="713">
        <f>РПЗ!V711</f>
        <v>0</v>
      </c>
      <c r="AQ711" s="714">
        <f>IF(Таблица5[[#This Row],[11]]=0,,MONTH(Таблица5[[#This Row],[11]]))</f>
        <v>2</v>
      </c>
    </row>
    <row r="712" spans="1:43" ht="51" x14ac:dyDescent="0.25">
      <c r="A712" s="233" t="str">
        <f t="shared" si="11"/>
        <v>1004-2017-00697</v>
      </c>
      <c r="B712" s="233" t="str">
        <f>РПЗ!$D712</f>
        <v>1004-2017-00697Поставка Двухканальная цифровая ремонтная паяльная станция JBC DDST-2B с комплектом наконечников</v>
      </c>
      <c r="C712" s="233" t="str">
        <f>РПЗ!$AA712</f>
        <v>АО "НИИ "Полюс" им. М.Ф. Стельмаха" тел. отдела закупок 8-495-333-05-02</v>
      </c>
      <c r="D712" s="633" t="str">
        <f>РПЗ!$AB712</f>
        <v>Заказчик</v>
      </c>
      <c r="E712" s="96" t="s">
        <v>46</v>
      </c>
      <c r="F712" s="233" t="str">
        <f>РПЗ!Q712</f>
        <v>ОЗК</v>
      </c>
      <c r="G712" s="237"/>
      <c r="H712" s="237" t="str">
        <f>РПЗ!R712</f>
        <v>да</v>
      </c>
      <c r="I712" s="15">
        <f>РПЗ!W712</f>
        <v>0</v>
      </c>
      <c r="J712" s="233">
        <f>РПЗ!X712</f>
        <v>0</v>
      </c>
      <c r="K712" s="283">
        <f>РПЗ!Z712</f>
        <v>0</v>
      </c>
      <c r="L712" s="17"/>
      <c r="M712" s="18">
        <f>РПЗ!O712</f>
        <v>42767.5</v>
      </c>
      <c r="N712" s="238">
        <f>Таблица5[[#This Row],[10]]</f>
        <v>42767.5</v>
      </c>
      <c r="O712" s="17"/>
      <c r="P712" s="17"/>
      <c r="Q712" s="17"/>
      <c r="R712" s="17"/>
      <c r="S712" s="17"/>
      <c r="T712" s="686"/>
      <c r="U712" s="18">
        <f>РПЗ!P712</f>
        <v>42795.5</v>
      </c>
      <c r="V712" s="686"/>
      <c r="W712" s="236">
        <f>РПЗ!L712</f>
        <v>233505.52</v>
      </c>
      <c r="X712" s="689"/>
      <c r="Y712" s="689"/>
      <c r="Z712" s="690"/>
      <c r="AA712" s="691"/>
      <c r="AB712" s="111"/>
      <c r="AC712" s="17"/>
      <c r="AD712" s="690"/>
      <c r="AE712" s="686"/>
      <c r="AF712" s="474"/>
      <c r="AG712" s="692"/>
      <c r="AH712" s="236" t="str">
        <f>IF(Таблица5[[#This Row],[30]]=0,"НД",Таблица5[[#This Row],[20]]-Таблица5[[#This Row],[30]])</f>
        <v>НД</v>
      </c>
      <c r="AI712" s="511" t="str">
        <f>IF(((1-Таблица5[[#This Row],[30]]/Таблица5[[#This Row],[20]])=1),"НД",(1-Таблица5[[#This Row],[30]]/Таблица5[[#This Row],[20]]))</f>
        <v>НД</v>
      </c>
      <c r="AJ712" s="111"/>
      <c r="AK712" s="111"/>
      <c r="AL712" s="512"/>
      <c r="AM712" s="513"/>
      <c r="AN712" s="465"/>
      <c r="AO712" s="468" t="str">
        <f>РПЗ!AD712</f>
        <v>Нет</v>
      </c>
      <c r="AP712" s="472">
        <f>РПЗ!V712</f>
        <v>0</v>
      </c>
      <c r="AQ712" s="470">
        <f>IF(Таблица5[[#This Row],[11]]=0,,MONTH(Таблица5[[#This Row],[11]]))</f>
        <v>2</v>
      </c>
    </row>
    <row r="713" spans="1:43" ht="39" thickBot="1" x14ac:dyDescent="0.3">
      <c r="A713" s="233" t="str">
        <f t="shared" si="11"/>
        <v>1004-2017-00698</v>
      </c>
      <c r="B713" s="233" t="str">
        <f>РПЗ!$D713</f>
        <v>1004-2017-00698 Поставка Стул тканевый лабораторный с колесами и подлокотниками elk-05</v>
      </c>
      <c r="C713" s="233" t="str">
        <f>РПЗ!$AA713</f>
        <v>АО "НИИ "Полюс" им. М.Ф. Стельмаха" тел. отдела закупок 8-495-333-05-02</v>
      </c>
      <c r="D713" s="633" t="str">
        <f>РПЗ!$AB713</f>
        <v>Заказчик</v>
      </c>
      <c r="E713" s="510" t="s">
        <v>62</v>
      </c>
      <c r="F713" s="233" t="str">
        <f>РПЗ!Q713</f>
        <v>ОЗК</v>
      </c>
      <c r="G713" s="237" t="str">
        <f>Таблица5[[#This Row],[6]]</f>
        <v>ОЗК</v>
      </c>
      <c r="H713" s="237" t="str">
        <f>РПЗ!R713</f>
        <v>да</v>
      </c>
      <c r="I713" s="15">
        <f>РПЗ!W713</f>
        <v>0</v>
      </c>
      <c r="J713" s="233">
        <f>РПЗ!X713</f>
        <v>0</v>
      </c>
      <c r="K713" s="283">
        <f>РПЗ!Z713</f>
        <v>0</v>
      </c>
      <c r="L713" s="17"/>
      <c r="M713" s="18">
        <f>РПЗ!O713</f>
        <v>42767.5</v>
      </c>
      <c r="N713" s="238">
        <f>Таблица5[[#This Row],[10]]</f>
        <v>42767.5</v>
      </c>
      <c r="O713" s="17">
        <v>42787</v>
      </c>
      <c r="P713" s="17">
        <v>42793</v>
      </c>
      <c r="Q713" s="17">
        <v>42793</v>
      </c>
      <c r="R713" s="17">
        <v>42793</v>
      </c>
      <c r="S713" s="17">
        <v>42793</v>
      </c>
      <c r="T713" s="808" t="s">
        <v>3266</v>
      </c>
      <c r="U713" s="18">
        <f>РПЗ!P713</f>
        <v>42795.5</v>
      </c>
      <c r="V713" s="760">
        <v>42887</v>
      </c>
      <c r="W713" s="236">
        <f>РПЗ!L713</f>
        <v>217100.69</v>
      </c>
      <c r="X713" s="689">
        <v>3</v>
      </c>
      <c r="Y713" s="689">
        <v>0</v>
      </c>
      <c r="Z713" s="765">
        <v>7722348022</v>
      </c>
      <c r="AA713" s="810" t="s">
        <v>3275</v>
      </c>
      <c r="AB713" s="111">
        <v>96376.25</v>
      </c>
      <c r="AC713" s="17">
        <v>42887</v>
      </c>
      <c r="AD713" s="810" t="s">
        <v>3276</v>
      </c>
      <c r="AE713" s="694" t="s">
        <v>3266</v>
      </c>
      <c r="AF713" s="474"/>
      <c r="AG713" s="827">
        <v>96376.25</v>
      </c>
      <c r="AH713" s="236">
        <f>IF(Таблица5[[#This Row],[30]]=0,"НД",Таблица5[[#This Row],[20]]-Таблица5[[#This Row],[30]])</f>
        <v>120724.44</v>
      </c>
      <c r="AI713" s="511">
        <f>IF(((1-Таблица5[[#This Row],[30]]/Таблица5[[#This Row],[20]])=1),"НД",(1-Таблица5[[#This Row],[30]]/Таблица5[[#This Row],[20]]))</f>
        <v>0.55607580058819717</v>
      </c>
      <c r="AJ713" s="111">
        <v>96376.25</v>
      </c>
      <c r="AK713" s="111"/>
      <c r="AL713" s="512"/>
      <c r="AM713" s="513" t="s">
        <v>113</v>
      </c>
      <c r="AN713" s="801">
        <v>31704792737</v>
      </c>
      <c r="AO713" s="468" t="str">
        <f>РПЗ!AD713</f>
        <v>Нет</v>
      </c>
      <c r="AP713" s="472">
        <f>РПЗ!V713</f>
        <v>0</v>
      </c>
      <c r="AQ713" s="470">
        <f>IF(Таблица5[[#This Row],[11]]=0,,MONTH(Таблица5[[#This Row],[11]]))</f>
        <v>2</v>
      </c>
    </row>
    <row r="714" spans="1:43" ht="39" thickBot="1" x14ac:dyDescent="0.3">
      <c r="A714" s="233" t="str">
        <f t="shared" si="11"/>
        <v>1004-2017-00699</v>
      </c>
      <c r="B714" s="233" t="str">
        <f>РПЗ!$D714</f>
        <v>1004-2017-00699Поставка пленкообразующих материалов</v>
      </c>
      <c r="C714" s="233" t="str">
        <f>РПЗ!$AA714</f>
        <v>АО "НИИ "Полюс" им. М.Ф. Стельмаха" тел. отдела закупок 8-495-333-05-02</v>
      </c>
      <c r="D714" s="633" t="str">
        <f>РПЗ!$AB714</f>
        <v>Заказчик</v>
      </c>
      <c r="E714" s="96" t="s">
        <v>46</v>
      </c>
      <c r="F714" s="233" t="str">
        <f>РПЗ!Q714</f>
        <v>ОЗК</v>
      </c>
      <c r="G714" s="237"/>
      <c r="H714" s="237" t="str">
        <f>РПЗ!R714</f>
        <v>да</v>
      </c>
      <c r="I714" s="15">
        <f>РПЗ!W714</f>
        <v>0</v>
      </c>
      <c r="J714" s="233">
        <f>РПЗ!X714</f>
        <v>0</v>
      </c>
      <c r="K714" s="283">
        <f>РПЗ!Z714</f>
        <v>0</v>
      </c>
      <c r="L714" s="17"/>
      <c r="M714" s="18">
        <f>РПЗ!O714</f>
        <v>42767.5</v>
      </c>
      <c r="N714" s="238">
        <f>Таблица5[[#This Row],[10]]</f>
        <v>42767.5</v>
      </c>
      <c r="O714" s="17"/>
      <c r="P714" s="17"/>
      <c r="Q714" s="17"/>
      <c r="R714" s="17"/>
      <c r="S714" s="17"/>
      <c r="T714" s="686"/>
      <c r="U714" s="18">
        <f>РПЗ!P714</f>
        <v>42856.5</v>
      </c>
      <c r="V714" s="686"/>
      <c r="W714" s="236">
        <f>РПЗ!L714</f>
        <v>2576932.21</v>
      </c>
      <c r="X714" s="689"/>
      <c r="Y714" s="689"/>
      <c r="Z714" s="690"/>
      <c r="AA714" s="691"/>
      <c r="AB714" s="111"/>
      <c r="AC714" s="17"/>
      <c r="AD714" s="690"/>
      <c r="AE714" s="686"/>
      <c r="AF714" s="474"/>
      <c r="AG714" s="692"/>
      <c r="AH714" s="236" t="str">
        <f>IF(Таблица5[[#This Row],[30]]=0,"НД",Таблица5[[#This Row],[20]]-Таблица5[[#This Row],[30]])</f>
        <v>НД</v>
      </c>
      <c r="AI714" s="511" t="str">
        <f>IF(((1-Таблица5[[#This Row],[30]]/Таблица5[[#This Row],[20]])=1),"НД",(1-Таблица5[[#This Row],[30]]/Таблица5[[#This Row],[20]]))</f>
        <v>НД</v>
      </c>
      <c r="AJ714" s="111"/>
      <c r="AK714" s="111"/>
      <c r="AL714" s="512"/>
      <c r="AM714" s="513"/>
      <c r="AN714" s="465"/>
      <c r="AO714" s="468" t="str">
        <f>РПЗ!AD714</f>
        <v>Нет</v>
      </c>
      <c r="AP714" s="472">
        <f>РПЗ!V714</f>
        <v>0</v>
      </c>
      <c r="AQ714" s="470">
        <f>IF(Таблица5[[#This Row],[11]]=0,,MONTH(Таблица5[[#This Row],[11]]))</f>
        <v>2</v>
      </c>
    </row>
    <row r="715" spans="1:43" ht="38.25" x14ac:dyDescent="0.25">
      <c r="A715" s="233" t="str">
        <f t="shared" si="11"/>
        <v>1004-2017-00700</v>
      </c>
      <c r="B715" s="233" t="str">
        <f>РПЗ!$D715</f>
        <v xml:space="preserve">1004-2017-00700Поставка  Рукава РОРА-I-М-8     Рукава IРЖСО-8-10 </v>
      </c>
      <c r="C715" s="233" t="str">
        <f>РПЗ!$AA715</f>
        <v>АО "НИИ "Полюс" им. М.Ф. Стельмаха" тел. отдела закупок 8-495-333-05-02</v>
      </c>
      <c r="D715" s="633" t="str">
        <f>РПЗ!$AB715</f>
        <v>Заказчик</v>
      </c>
      <c r="E715" s="96" t="s">
        <v>46</v>
      </c>
      <c r="F715" s="233" t="str">
        <f>РПЗ!Q715</f>
        <v>ЕП</v>
      </c>
      <c r="G715" s="237"/>
      <c r="H715" s="237" t="str">
        <f>РПЗ!R715</f>
        <v>нет</v>
      </c>
      <c r="I715" s="15" t="str">
        <f>РПЗ!W715</f>
        <v>6.6.2(11)</v>
      </c>
      <c r="J715" s="233">
        <f>РПЗ!X715</f>
        <v>0</v>
      </c>
      <c r="K715" s="283">
        <f>РПЗ!Z715</f>
        <v>0</v>
      </c>
      <c r="L715" s="17"/>
      <c r="M715" s="18">
        <f>РПЗ!O715</f>
        <v>42795</v>
      </c>
      <c r="N715" s="238">
        <f>Таблица5[[#This Row],[10]]</f>
        <v>42795</v>
      </c>
      <c r="O715" s="17"/>
      <c r="P715" s="17"/>
      <c r="Q715" s="17"/>
      <c r="R715" s="17"/>
      <c r="S715" s="17"/>
      <c r="T715" s="686"/>
      <c r="U715" s="18">
        <f>РПЗ!P715</f>
        <v>42826.5</v>
      </c>
      <c r="V715" s="686"/>
      <c r="W715" s="236">
        <f>РПЗ!L715</f>
        <v>777000</v>
      </c>
      <c r="X715" s="689"/>
      <c r="Y715" s="689"/>
      <c r="Z715" s="690"/>
      <c r="AA715" s="691"/>
      <c r="AB715" s="111"/>
      <c r="AC715" s="17"/>
      <c r="AD715" s="690"/>
      <c r="AE715" s="686"/>
      <c r="AF715" s="474"/>
      <c r="AG715" s="692"/>
      <c r="AH715" s="236" t="str">
        <f>IF(Таблица5[[#This Row],[30]]=0,"НД",Таблица5[[#This Row],[20]]-Таблица5[[#This Row],[30]])</f>
        <v>НД</v>
      </c>
      <c r="AI715" s="511" t="str">
        <f>IF(((1-Таблица5[[#This Row],[30]]/Таблица5[[#This Row],[20]])=1),"НД",(1-Таблица5[[#This Row],[30]]/Таблица5[[#This Row],[20]]))</f>
        <v>НД</v>
      </c>
      <c r="AJ715" s="111"/>
      <c r="AK715" s="111"/>
      <c r="AL715" s="512"/>
      <c r="AM715" s="513"/>
      <c r="AN715" s="465"/>
      <c r="AO715" s="468" t="str">
        <f>РПЗ!AD715</f>
        <v>Нет</v>
      </c>
      <c r="AP715" s="472">
        <f>РПЗ!V715</f>
        <v>0</v>
      </c>
      <c r="AQ715" s="470">
        <f>IF(Таблица5[[#This Row],[11]]=0,,MONTH(Таблица5[[#This Row],[11]]))</f>
        <v>3</v>
      </c>
    </row>
    <row r="716" spans="1:43" ht="39" thickBot="1" x14ac:dyDescent="0.3">
      <c r="A716" s="233" t="str">
        <f t="shared" si="11"/>
        <v>1004-2017-00701</v>
      </c>
      <c r="B716" s="233" t="str">
        <f>РПЗ!$D716</f>
        <v>1004-2017-00701Поставка конденсаторов</v>
      </c>
      <c r="C716" s="233" t="str">
        <f>РПЗ!$AA716</f>
        <v>АО "НИИ "Полюс" им. М.Ф. Стельмаха" тел. отдела закупок 8-495-333-05-02</v>
      </c>
      <c r="D716" s="633" t="str">
        <f>РПЗ!$AB716</f>
        <v>Заказчик</v>
      </c>
      <c r="E716" s="510" t="s">
        <v>62</v>
      </c>
      <c r="F716" s="233" t="str">
        <f>РПЗ!Q716</f>
        <v>ЕП</v>
      </c>
      <c r="G716" s="237" t="str">
        <f>Таблица5[[#This Row],[6]]</f>
        <v>ЕП</v>
      </c>
      <c r="H716" s="237" t="str">
        <f>РПЗ!R716</f>
        <v>нет</v>
      </c>
      <c r="I716" s="15" t="str">
        <f>РПЗ!W716</f>
        <v>6.6.2(11)</v>
      </c>
      <c r="J716" s="233" t="str">
        <f>РПЗ!X716</f>
        <v>1827003592</v>
      </c>
      <c r="K716" s="283" t="str">
        <f>РПЗ!Z716</f>
        <v>167 213,32</v>
      </c>
      <c r="L716" s="17">
        <v>42787</v>
      </c>
      <c r="M716" s="18">
        <f>РПЗ!O716</f>
        <v>42795</v>
      </c>
      <c r="N716" s="238">
        <f>Таблица5[[#This Row],[10]]</f>
        <v>42795</v>
      </c>
      <c r="O716" s="17"/>
      <c r="P716" s="17"/>
      <c r="Q716" s="17"/>
      <c r="R716" s="17"/>
      <c r="S716" s="17"/>
      <c r="T716" s="695" t="s">
        <v>3068</v>
      </c>
      <c r="U716" s="18">
        <f>РПЗ!P716</f>
        <v>42826.5</v>
      </c>
      <c r="V716" s="760">
        <v>42887</v>
      </c>
      <c r="W716" s="236">
        <f>РПЗ!L716</f>
        <v>167213.32</v>
      </c>
      <c r="X716" s="689">
        <v>1</v>
      </c>
      <c r="Y716" s="689">
        <v>0</v>
      </c>
      <c r="Z716" s="765">
        <v>1827003592</v>
      </c>
      <c r="AA716" s="704" t="s">
        <v>3078</v>
      </c>
      <c r="AB716" s="700" t="s">
        <v>3079</v>
      </c>
      <c r="AC716" s="808">
        <v>42887</v>
      </c>
      <c r="AD716" s="810" t="s">
        <v>119</v>
      </c>
      <c r="AE716" s="703" t="s">
        <v>3068</v>
      </c>
      <c r="AF716" s="474"/>
      <c r="AG716" s="827">
        <v>167213.32</v>
      </c>
      <c r="AH716" s="236">
        <f>IF(Таблица5[[#This Row],[30]]=0,"НД",Таблица5[[#This Row],[20]]-Таблица5[[#This Row],[30]])</f>
        <v>0</v>
      </c>
      <c r="AI716" s="511">
        <f>IF(((1-Таблица5[[#This Row],[30]]/Таблица5[[#This Row],[20]])=1),"НД",(1-Таблица5[[#This Row],[30]]/Таблица5[[#This Row],[20]]))</f>
        <v>0</v>
      </c>
      <c r="AJ716" s="111"/>
      <c r="AK716" s="111"/>
      <c r="AL716" s="512"/>
      <c r="AM716" s="513" t="s">
        <v>113</v>
      </c>
      <c r="AN716" s="801">
        <v>31704825189</v>
      </c>
      <c r="AO716" s="468" t="str">
        <f>РПЗ!AD716</f>
        <v>Нет</v>
      </c>
      <c r="AP716" s="472">
        <f>РПЗ!V716</f>
        <v>0</v>
      </c>
      <c r="AQ716" s="470">
        <f>IF(Таблица5[[#This Row],[11]]=0,,MONTH(Таблица5[[#This Row],[11]]))</f>
        <v>3</v>
      </c>
    </row>
    <row r="717" spans="1:43" ht="39" thickBot="1" x14ac:dyDescent="0.3">
      <c r="A717" s="233" t="str">
        <f t="shared" si="11"/>
        <v>1004-2017-00702</v>
      </c>
      <c r="B717" s="233" t="str">
        <f>РПЗ!$D717</f>
        <v>1004-2017-00702Поставка  Микросхемы</v>
      </c>
      <c r="C717" s="233" t="str">
        <f>РПЗ!$AA717</f>
        <v>АО "НИИ "Полюс" им. М.Ф. Стельмаха" тел. отдела закупок 8-495-333-05-02</v>
      </c>
      <c r="D717" s="633" t="str">
        <f>РПЗ!$AB717</f>
        <v>Заказчик</v>
      </c>
      <c r="E717" s="96" t="s">
        <v>46</v>
      </c>
      <c r="F717" s="233" t="str">
        <f>РПЗ!Q717</f>
        <v>ЕП</v>
      </c>
      <c r="G717" s="237"/>
      <c r="H717" s="237" t="str">
        <f>РПЗ!R717</f>
        <v>нет</v>
      </c>
      <c r="I717" s="15" t="str">
        <f>РПЗ!W717</f>
        <v>6.6.2(11)</v>
      </c>
      <c r="J717" s="233">
        <f>РПЗ!X717</f>
        <v>0</v>
      </c>
      <c r="K717" s="283">
        <f>РПЗ!Z717</f>
        <v>0</v>
      </c>
      <c r="L717" s="17"/>
      <c r="M717" s="18">
        <f>РПЗ!O717</f>
        <v>42795</v>
      </c>
      <c r="N717" s="238">
        <f>Таблица5[[#This Row],[10]]</f>
        <v>42795</v>
      </c>
      <c r="O717" s="17"/>
      <c r="P717" s="17"/>
      <c r="Q717" s="17"/>
      <c r="R717" s="17"/>
      <c r="S717" s="17"/>
      <c r="T717" s="686"/>
      <c r="U717" s="18">
        <f>РПЗ!P717</f>
        <v>42826.5</v>
      </c>
      <c r="V717" s="686"/>
      <c r="W717" s="236">
        <f>РПЗ!L717</f>
        <v>362288.8</v>
      </c>
      <c r="X717" s="689"/>
      <c r="Y717" s="689"/>
      <c r="Z717" s="690"/>
      <c r="AA717" s="691"/>
      <c r="AB717" s="111"/>
      <c r="AC717" s="17"/>
      <c r="AD717" s="690"/>
      <c r="AE717" s="686"/>
      <c r="AF717" s="474"/>
      <c r="AG717" s="692"/>
      <c r="AH717" s="236" t="str">
        <f>IF(Таблица5[[#This Row],[30]]=0,"НД",Таблица5[[#This Row],[20]]-Таблица5[[#This Row],[30]])</f>
        <v>НД</v>
      </c>
      <c r="AI717" s="511" t="str">
        <f>IF(((1-Таблица5[[#This Row],[30]]/Таблица5[[#This Row],[20]])=1),"НД",(1-Таблица5[[#This Row],[30]]/Таблица5[[#This Row],[20]]))</f>
        <v>НД</v>
      </c>
      <c r="AJ717" s="111"/>
      <c r="AK717" s="111"/>
      <c r="AL717" s="512"/>
      <c r="AM717" s="513"/>
      <c r="AN717" s="465"/>
      <c r="AO717" s="468" t="str">
        <f>РПЗ!AD717</f>
        <v>Нет</v>
      </c>
      <c r="AP717" s="472">
        <f>РПЗ!V717</f>
        <v>0</v>
      </c>
      <c r="AQ717" s="470">
        <f>IF(Таблица5[[#This Row],[11]]=0,,MONTH(Таблица5[[#This Row],[11]]))</f>
        <v>3</v>
      </c>
    </row>
    <row r="718" spans="1:43" ht="38.25" x14ac:dyDescent="0.25">
      <c r="A718" s="233" t="str">
        <f t="shared" si="11"/>
        <v>1004-2017-00703</v>
      </c>
      <c r="B718" s="233" t="str">
        <f>РПЗ!$D718</f>
        <v>1004-2017-00703Поставка Диоды, микросхемы</v>
      </c>
      <c r="C718" s="233" t="str">
        <f>РПЗ!$AA718</f>
        <v>АО "НИИ "Полюс" им. М.Ф. Стельмаха" тел. отдела закупок 8-495-333-05-02</v>
      </c>
      <c r="D718" s="633" t="str">
        <f>РПЗ!$AB718</f>
        <v>Заказчик</v>
      </c>
      <c r="E718" s="96" t="s">
        <v>46</v>
      </c>
      <c r="F718" s="233" t="str">
        <f>РПЗ!Q718</f>
        <v>ЕП</v>
      </c>
      <c r="G718" s="237"/>
      <c r="H718" s="237" t="str">
        <f>РПЗ!R718</f>
        <v>нет</v>
      </c>
      <c r="I718" s="15" t="str">
        <f>РПЗ!W718</f>
        <v>6.6.2(11)</v>
      </c>
      <c r="J718" s="233">
        <f>РПЗ!X718</f>
        <v>0</v>
      </c>
      <c r="K718" s="283">
        <f>РПЗ!Z718</f>
        <v>0</v>
      </c>
      <c r="L718" s="17"/>
      <c r="M718" s="18">
        <f>РПЗ!O718</f>
        <v>42795</v>
      </c>
      <c r="N718" s="238">
        <f>Таблица5[[#This Row],[10]]</f>
        <v>42795</v>
      </c>
      <c r="O718" s="17"/>
      <c r="P718" s="17"/>
      <c r="Q718" s="17"/>
      <c r="R718" s="17"/>
      <c r="S718" s="17"/>
      <c r="T718" s="686"/>
      <c r="U718" s="18">
        <f>РПЗ!P718</f>
        <v>42826.5</v>
      </c>
      <c r="V718" s="686"/>
      <c r="W718" s="236">
        <f>РПЗ!L718</f>
        <v>355209.5</v>
      </c>
      <c r="X718" s="689"/>
      <c r="Y718" s="689"/>
      <c r="Z718" s="690"/>
      <c r="AA718" s="691"/>
      <c r="AB718" s="111"/>
      <c r="AC718" s="17"/>
      <c r="AD718" s="690"/>
      <c r="AE718" s="686"/>
      <c r="AF718" s="474"/>
      <c r="AG718" s="692"/>
      <c r="AH718" s="236" t="str">
        <f>IF(Таблица5[[#This Row],[30]]=0,"НД",Таблица5[[#This Row],[20]]-Таблица5[[#This Row],[30]])</f>
        <v>НД</v>
      </c>
      <c r="AI718" s="511" t="str">
        <f>IF(((1-Таблица5[[#This Row],[30]]/Таблица5[[#This Row],[20]])=1),"НД",(1-Таблица5[[#This Row],[30]]/Таблица5[[#This Row],[20]]))</f>
        <v>НД</v>
      </c>
      <c r="AJ718" s="111"/>
      <c r="AK718" s="111"/>
      <c r="AL718" s="512"/>
      <c r="AM718" s="513"/>
      <c r="AN718" s="465"/>
      <c r="AO718" s="468" t="str">
        <f>РПЗ!AD718</f>
        <v>Нет</v>
      </c>
      <c r="AP718" s="472">
        <f>РПЗ!V718</f>
        <v>0</v>
      </c>
      <c r="AQ718" s="470">
        <f>IF(Таблица5[[#This Row],[11]]=0,,MONTH(Таблица5[[#This Row],[11]]))</f>
        <v>3</v>
      </c>
    </row>
    <row r="719" spans="1:43" ht="64.5" thickBot="1" x14ac:dyDescent="0.3">
      <c r="A719" s="233" t="str">
        <f t="shared" si="11"/>
        <v>1004-2017-00704</v>
      </c>
      <c r="B719" s="233" t="str">
        <f>РПЗ!$D719</f>
        <v>1004-2017-00704Поставка Диоды  3Л129А аАО.339.366ТУ</v>
      </c>
      <c r="C719" s="233" t="str">
        <f>РПЗ!$AA719</f>
        <v>АО "НИИ "Полюс" им. М.Ф. Стельмаха" тел. отдела закупок 8-495-333-05-02</v>
      </c>
      <c r="D719" s="633" t="str">
        <f>РПЗ!$AB719</f>
        <v>Заказчик</v>
      </c>
      <c r="E719" s="510" t="s">
        <v>62</v>
      </c>
      <c r="F719" s="233" t="str">
        <f>РПЗ!Q719</f>
        <v>ЕП</v>
      </c>
      <c r="G719" s="237" t="str">
        <f>Таблица5[[#This Row],[6]]</f>
        <v>ЕП</v>
      </c>
      <c r="H719" s="237" t="str">
        <f>РПЗ!R719</f>
        <v>нет</v>
      </c>
      <c r="I719" s="15" t="str">
        <f>РПЗ!W719</f>
        <v>6.6.2(11)</v>
      </c>
      <c r="J719" s="233" t="str">
        <f>РПЗ!X719</f>
        <v>7017084932</v>
      </c>
      <c r="K719" s="283" t="str">
        <f>РПЗ!Z719</f>
        <v>279 518,4</v>
      </c>
      <c r="L719" s="17">
        <v>42804</v>
      </c>
      <c r="M719" s="18">
        <f>РПЗ!O719</f>
        <v>42795</v>
      </c>
      <c r="N719" s="238">
        <f>Таблица5[[#This Row],[10]]</f>
        <v>42795</v>
      </c>
      <c r="O719" s="17"/>
      <c r="P719" s="17"/>
      <c r="Q719" s="17"/>
      <c r="R719" s="17"/>
      <c r="S719" s="17"/>
      <c r="T719" s="695" t="s">
        <v>3068</v>
      </c>
      <c r="U719" s="18">
        <f>РПЗ!P719</f>
        <v>42826.5</v>
      </c>
      <c r="V719" s="760">
        <v>43070</v>
      </c>
      <c r="W719" s="236">
        <f>РПЗ!L719</f>
        <v>279518.40000000002</v>
      </c>
      <c r="X719" s="689">
        <v>1</v>
      </c>
      <c r="Y719" s="689">
        <v>0</v>
      </c>
      <c r="Z719" s="765">
        <v>7017084932</v>
      </c>
      <c r="AA719" s="836" t="s">
        <v>3074</v>
      </c>
      <c r="AB719" s="700">
        <v>279518.40000000002</v>
      </c>
      <c r="AC719" s="808">
        <v>43070</v>
      </c>
      <c r="AD719" s="810" t="s">
        <v>3076</v>
      </c>
      <c r="AE719" s="703" t="s">
        <v>3068</v>
      </c>
      <c r="AF719" s="474"/>
      <c r="AG719" s="827">
        <v>279518.40000000002</v>
      </c>
      <c r="AH719" s="236">
        <f>IF(Таблица5[[#This Row],[30]]=0,"НД",Таблица5[[#This Row],[20]]-Таблица5[[#This Row],[30]])</f>
        <v>0</v>
      </c>
      <c r="AI719" s="511">
        <f>IF(((1-Таблица5[[#This Row],[30]]/Таблица5[[#This Row],[20]])=1),"НД",(1-Таблица5[[#This Row],[30]]/Таблица5[[#This Row],[20]]))</f>
        <v>0</v>
      </c>
      <c r="AJ719" s="111"/>
      <c r="AK719" s="111"/>
      <c r="AL719" s="512"/>
      <c r="AM719" s="513" t="s">
        <v>113</v>
      </c>
      <c r="AN719" s="801">
        <v>31704874836</v>
      </c>
      <c r="AO719" s="468" t="str">
        <f>РПЗ!AD719</f>
        <v>Нет</v>
      </c>
      <c r="AP719" s="472">
        <f>РПЗ!V719</f>
        <v>0</v>
      </c>
      <c r="AQ719" s="470">
        <f>IF(Таблица5[[#This Row],[11]]=0,,MONTH(Таблица5[[#This Row],[11]]))</f>
        <v>3</v>
      </c>
    </row>
    <row r="720" spans="1:43" ht="39" thickBot="1" x14ac:dyDescent="0.3">
      <c r="A720" s="233" t="str">
        <f t="shared" si="11"/>
        <v>1004-2017-00705</v>
      </c>
      <c r="B720" s="233" t="str">
        <f>РПЗ!$D720</f>
        <v>1004-2017-00705Поставка Кварцевые генераторы</v>
      </c>
      <c r="C720" s="233" t="str">
        <f>РПЗ!$AA720</f>
        <v>АО "НИИ "Полюс" им. М.Ф. Стельмаха" тел. отдела закупок 8-495-333-05-02</v>
      </c>
      <c r="D720" s="633" t="str">
        <f>РПЗ!$AB720</f>
        <v>Заказчик</v>
      </c>
      <c r="E720" s="96" t="s">
        <v>46</v>
      </c>
      <c r="F720" s="233" t="str">
        <f>РПЗ!Q720</f>
        <v>ЕП</v>
      </c>
      <c r="G720" s="237"/>
      <c r="H720" s="237" t="str">
        <f>РПЗ!R720</f>
        <v>нет</v>
      </c>
      <c r="I720" s="15" t="str">
        <f>РПЗ!W720</f>
        <v>6.6.2(11)</v>
      </c>
      <c r="J720" s="233">
        <f>РПЗ!X720</f>
        <v>0</v>
      </c>
      <c r="K720" s="283">
        <f>РПЗ!Z720</f>
        <v>0</v>
      </c>
      <c r="L720" s="17"/>
      <c r="M720" s="18">
        <f>РПЗ!O720</f>
        <v>42767.5</v>
      </c>
      <c r="N720" s="238">
        <f>Таблица5[[#This Row],[10]]</f>
        <v>42767.5</v>
      </c>
      <c r="O720" s="17"/>
      <c r="P720" s="17"/>
      <c r="Q720" s="17"/>
      <c r="R720" s="17"/>
      <c r="S720" s="17"/>
      <c r="T720" s="686"/>
      <c r="U720" s="18">
        <f>РПЗ!P720</f>
        <v>42826.5</v>
      </c>
      <c r="V720" s="686"/>
      <c r="W720" s="236">
        <f>РПЗ!L720</f>
        <v>973500</v>
      </c>
      <c r="X720" s="689"/>
      <c r="Y720" s="689"/>
      <c r="Z720" s="690"/>
      <c r="AA720" s="691"/>
      <c r="AB720" s="111"/>
      <c r="AC720" s="17"/>
      <c r="AD720" s="690"/>
      <c r="AE720" s="686"/>
      <c r="AF720" s="474"/>
      <c r="AG720" s="692"/>
      <c r="AH720" s="236" t="str">
        <f>IF(Таблица5[[#This Row],[30]]=0,"НД",Таблица5[[#This Row],[20]]-Таблица5[[#This Row],[30]])</f>
        <v>НД</v>
      </c>
      <c r="AI720" s="511" t="str">
        <f>IF(((1-Таблица5[[#This Row],[30]]/Таблица5[[#This Row],[20]])=1),"НД",(1-Таблица5[[#This Row],[30]]/Таблица5[[#This Row],[20]]))</f>
        <v>НД</v>
      </c>
      <c r="AJ720" s="111"/>
      <c r="AK720" s="111"/>
      <c r="AL720" s="512"/>
      <c r="AM720" s="513"/>
      <c r="AN720" s="465"/>
      <c r="AO720" s="468" t="str">
        <f>РПЗ!AD720</f>
        <v>Нет</v>
      </c>
      <c r="AP720" s="472">
        <f>РПЗ!V720</f>
        <v>0</v>
      </c>
      <c r="AQ720" s="470">
        <f>IF(Таблица5[[#This Row],[11]]=0,,MONTH(Таблица5[[#This Row],[11]]))</f>
        <v>2</v>
      </c>
    </row>
    <row r="721" spans="1:43" ht="38.25" x14ac:dyDescent="0.25">
      <c r="A721" s="233" t="str">
        <f t="shared" si="11"/>
        <v>1004-2017-00706</v>
      </c>
      <c r="B721" s="233" t="str">
        <f>РПЗ!$D721</f>
        <v>1004-2017-00706Поставка жидкого азота</v>
      </c>
      <c r="C721" s="233" t="str">
        <f>РПЗ!$AA721</f>
        <v>АО "НИИ "Полюс" им. М.Ф. Стельмаха" тел. отдела закупок 8-495-333-05-02</v>
      </c>
      <c r="D721" s="633" t="str">
        <f>РПЗ!$AB721</f>
        <v>Заказчик</v>
      </c>
      <c r="E721" s="96" t="s">
        <v>46</v>
      </c>
      <c r="F721" s="233" t="str">
        <f>РПЗ!Q721</f>
        <v>ОЗК</v>
      </c>
      <c r="G721" s="237"/>
      <c r="H721" s="237" t="str">
        <f>РПЗ!R721</f>
        <v>да</v>
      </c>
      <c r="I721" s="15">
        <f>РПЗ!W721</f>
        <v>0</v>
      </c>
      <c r="J721" s="233">
        <f>РПЗ!X721</f>
        <v>0</v>
      </c>
      <c r="K721" s="283">
        <f>РПЗ!Z721</f>
        <v>0</v>
      </c>
      <c r="L721" s="17"/>
      <c r="M721" s="18">
        <f>РПЗ!O721</f>
        <v>42767.5</v>
      </c>
      <c r="N721" s="238">
        <f>Таблица5[[#This Row],[10]]</f>
        <v>42767.5</v>
      </c>
      <c r="O721" s="17"/>
      <c r="P721" s="17"/>
      <c r="Q721" s="17"/>
      <c r="R721" s="17"/>
      <c r="S721" s="17"/>
      <c r="T721" s="686"/>
      <c r="U721" s="18">
        <f>РПЗ!P721</f>
        <v>43132.5</v>
      </c>
      <c r="V721" s="686"/>
      <c r="W721" s="236">
        <f>РПЗ!L721</f>
        <v>1954935</v>
      </c>
      <c r="X721" s="689"/>
      <c r="Y721" s="689"/>
      <c r="Z721" s="690"/>
      <c r="AA721" s="691"/>
      <c r="AB721" s="111"/>
      <c r="AC721" s="17"/>
      <c r="AD721" s="690"/>
      <c r="AE721" s="686"/>
      <c r="AF721" s="474"/>
      <c r="AG721" s="692"/>
      <c r="AH721" s="236" t="str">
        <f>IF(Таблица5[[#This Row],[30]]=0,"НД",Таблица5[[#This Row],[20]]-Таблица5[[#This Row],[30]])</f>
        <v>НД</v>
      </c>
      <c r="AI721" s="511" t="str">
        <f>IF(((1-Таблица5[[#This Row],[30]]/Таблица5[[#This Row],[20]])=1),"НД",(1-Таблица5[[#This Row],[30]]/Таблица5[[#This Row],[20]]))</f>
        <v>НД</v>
      </c>
      <c r="AJ721" s="111"/>
      <c r="AK721" s="111"/>
      <c r="AL721" s="512"/>
      <c r="AM721" s="513"/>
      <c r="AN721" s="465"/>
      <c r="AO721" s="468" t="str">
        <f>РПЗ!AD721</f>
        <v>Нет</v>
      </c>
      <c r="AP721" s="472">
        <f>РПЗ!V721</f>
        <v>0</v>
      </c>
      <c r="AQ721" s="470">
        <f>IF(Таблица5[[#This Row],[11]]=0,,MONTH(Таблица5[[#This Row],[11]]))</f>
        <v>2</v>
      </c>
    </row>
    <row r="722" spans="1:43" s="681" customFormat="1" ht="39" thickBot="1" x14ac:dyDescent="0.3">
      <c r="A722" s="691" t="str">
        <f t="shared" si="11"/>
        <v>1004-2017-00707</v>
      </c>
      <c r="B722" s="691" t="str">
        <f>РПЗ!$D722</f>
        <v>1004-2017-00707Поставка этилового пищевого спирта</v>
      </c>
      <c r="C722" s="691" t="str">
        <f>РПЗ!$AA722</f>
        <v>АО "НИИ "Полюс" им. М.Ф. Стельмаха" тел. отдела закупок 8-495-333-05-02</v>
      </c>
      <c r="D722" s="706" t="str">
        <f>РПЗ!$AB722</f>
        <v>Заказчик</v>
      </c>
      <c r="E722" s="510" t="s">
        <v>62</v>
      </c>
      <c r="F722" s="691" t="str">
        <f>РПЗ!Q722</f>
        <v>ОЗК</v>
      </c>
      <c r="G722" s="691" t="str">
        <f>Таблица5[[#This Row],[6]]</f>
        <v>ОЗК</v>
      </c>
      <c r="H722" s="691" t="str">
        <f>РПЗ!R722</f>
        <v>да</v>
      </c>
      <c r="I722" s="707">
        <f>РПЗ!W722</f>
        <v>0</v>
      </c>
      <c r="J722" s="691">
        <f>РПЗ!X722</f>
        <v>0</v>
      </c>
      <c r="K722" s="708">
        <f>РПЗ!Z722</f>
        <v>0</v>
      </c>
      <c r="L722" s="686">
        <v>42776</v>
      </c>
      <c r="M722" s="687">
        <f>РПЗ!O722</f>
        <v>42767.5</v>
      </c>
      <c r="N722" s="687">
        <f>Таблица5[[#This Row],[10]]</f>
        <v>42767.5</v>
      </c>
      <c r="O722" s="694" t="s">
        <v>3080</v>
      </c>
      <c r="P722" s="694" t="s">
        <v>3032</v>
      </c>
      <c r="Q722" s="694" t="s">
        <v>3032</v>
      </c>
      <c r="R722" s="694" t="s">
        <v>3032</v>
      </c>
      <c r="S722" s="694" t="s">
        <v>3032</v>
      </c>
      <c r="T722" s="808" t="s">
        <v>3081</v>
      </c>
      <c r="U722" s="687">
        <f>РПЗ!P722</f>
        <v>43132.5</v>
      </c>
      <c r="V722" s="760">
        <v>43070</v>
      </c>
      <c r="W722" s="692">
        <f>РПЗ!L722</f>
        <v>234596</v>
      </c>
      <c r="X722" s="689">
        <v>1</v>
      </c>
      <c r="Y722" s="689">
        <v>0</v>
      </c>
      <c r="Z722" s="765">
        <v>7115500500</v>
      </c>
      <c r="AA722" s="810" t="s">
        <v>3082</v>
      </c>
      <c r="AB722" s="703">
        <v>233958.6</v>
      </c>
      <c r="AC722" s="808">
        <v>43070</v>
      </c>
      <c r="AD722" s="810" t="s">
        <v>3083</v>
      </c>
      <c r="AE722" s="694" t="s">
        <v>3081</v>
      </c>
      <c r="AF722" s="690"/>
      <c r="AG722" s="827">
        <v>233958.6</v>
      </c>
      <c r="AH722" s="692">
        <f>IF(Таблица5[[#This Row],[30]]=0,"НД",Таблица5[[#This Row],[20]]-Таблица5[[#This Row],[30]])</f>
        <v>637.39999999999418</v>
      </c>
      <c r="AI722" s="709">
        <f>IF(((1-Таблица5[[#This Row],[30]]/Таблица5[[#This Row],[20]])=1),"НД",(1-Таблица5[[#This Row],[30]]/Таблица5[[#This Row],[20]]))</f>
        <v>2.717011372742939E-3</v>
      </c>
      <c r="AJ722" s="692">
        <v>233958.6</v>
      </c>
      <c r="AK722" s="692"/>
      <c r="AL722" s="710"/>
      <c r="AM722" s="711" t="s">
        <v>113</v>
      </c>
      <c r="AN722" s="800">
        <v>31704756661</v>
      </c>
      <c r="AO722" s="712" t="str">
        <f>РПЗ!AD722</f>
        <v>Нет</v>
      </c>
      <c r="AP722" s="713">
        <f>РПЗ!V722</f>
        <v>0</v>
      </c>
      <c r="AQ722" s="714">
        <f>IF(Таблица5[[#This Row],[11]]=0,,MONTH(Таблица5[[#This Row],[11]]))</f>
        <v>2</v>
      </c>
    </row>
    <row r="723" spans="1:43" ht="39" thickBot="1" x14ac:dyDescent="0.3">
      <c r="A723" s="233" t="str">
        <f t="shared" si="11"/>
        <v>1004-2017-00708</v>
      </c>
      <c r="B723" s="233" t="str">
        <f>РПЗ!$D723</f>
        <v>1004-2017-00708Поставка материалов для пайки</v>
      </c>
      <c r="C723" s="233" t="str">
        <f>РПЗ!$AA723</f>
        <v>АО "НИИ "Полюс" им. М.Ф. Стельмаха" тел. отдела закупок 8-495-333-05-02</v>
      </c>
      <c r="D723" s="633" t="str">
        <f>РПЗ!$AB723</f>
        <v>Заказчик</v>
      </c>
      <c r="E723" s="96" t="s">
        <v>46</v>
      </c>
      <c r="F723" s="233" t="str">
        <f>РПЗ!Q723</f>
        <v>ЕП</v>
      </c>
      <c r="G723" s="237"/>
      <c r="H723" s="237" t="str">
        <f>РПЗ!R723</f>
        <v>нет</v>
      </c>
      <c r="I723" s="15" t="str">
        <f>РПЗ!W723</f>
        <v>6.6.2(11)</v>
      </c>
      <c r="J723" s="233">
        <f>РПЗ!X723</f>
        <v>0</v>
      </c>
      <c r="K723" s="283">
        <f>РПЗ!Z723</f>
        <v>0</v>
      </c>
      <c r="L723" s="17"/>
      <c r="M723" s="18">
        <f>РПЗ!O723</f>
        <v>42795</v>
      </c>
      <c r="N723" s="238">
        <f>Таблица5[[#This Row],[10]]</f>
        <v>42795</v>
      </c>
      <c r="O723" s="17"/>
      <c r="P723" s="17"/>
      <c r="Q723" s="17"/>
      <c r="R723" s="17"/>
      <c r="S723" s="17"/>
      <c r="T723" s="686"/>
      <c r="U723" s="18">
        <f>РПЗ!P723</f>
        <v>43132.5</v>
      </c>
      <c r="V723" s="686"/>
      <c r="W723" s="236">
        <f>РПЗ!L723</f>
        <v>2738780</v>
      </c>
      <c r="X723" s="689"/>
      <c r="Y723" s="689"/>
      <c r="Z723" s="690"/>
      <c r="AA723" s="691"/>
      <c r="AB723" s="111"/>
      <c r="AC723" s="17"/>
      <c r="AD723" s="690"/>
      <c r="AE723" s="686"/>
      <c r="AF723" s="474"/>
      <c r="AG723" s="692"/>
      <c r="AH723" s="236" t="str">
        <f>IF(Таблица5[[#This Row],[30]]=0,"НД",Таблица5[[#This Row],[20]]-Таблица5[[#This Row],[30]])</f>
        <v>НД</v>
      </c>
      <c r="AI723" s="511" t="str">
        <f>IF(((1-Таблица5[[#This Row],[30]]/Таблица5[[#This Row],[20]])=1),"НД",(1-Таблица5[[#This Row],[30]]/Таблица5[[#This Row],[20]]))</f>
        <v>НД</v>
      </c>
      <c r="AJ723" s="111"/>
      <c r="AK723" s="111"/>
      <c r="AL723" s="512"/>
      <c r="AM723" s="513"/>
      <c r="AN723" s="465"/>
      <c r="AO723" s="468" t="str">
        <f>РПЗ!AD723</f>
        <v>Нет</v>
      </c>
      <c r="AP723" s="472">
        <f>РПЗ!V723</f>
        <v>0</v>
      </c>
      <c r="AQ723" s="470">
        <f>IF(Таблица5[[#This Row],[11]]=0,,MONTH(Таблица5[[#This Row],[11]]))</f>
        <v>3</v>
      </c>
    </row>
    <row r="724" spans="1:43" ht="39" thickBot="1" x14ac:dyDescent="0.3">
      <c r="A724" s="233" t="str">
        <f t="shared" si="11"/>
        <v>1004-2017-00709</v>
      </c>
      <c r="B724" s="233" t="str">
        <f>РПЗ!$D724</f>
        <v>1004-2017-00709Поставка амортизаторов АПН-3</v>
      </c>
      <c r="C724" s="233" t="str">
        <f>РПЗ!$AA724</f>
        <v>АО "НИИ "Полюс" им. М.Ф. Стельмаха" тел. отдела закупок 8-495-333-05-02</v>
      </c>
      <c r="D724" s="633" t="str">
        <f>РПЗ!$AB724</f>
        <v>Заказчик</v>
      </c>
      <c r="E724" s="96" t="s">
        <v>46</v>
      </c>
      <c r="F724" s="233" t="str">
        <f>РПЗ!Q724</f>
        <v>ЕП</v>
      </c>
      <c r="G724" s="237"/>
      <c r="H724" s="237" t="str">
        <f>РПЗ!R724</f>
        <v>нет</v>
      </c>
      <c r="I724" s="15" t="str">
        <f>РПЗ!W724</f>
        <v>6.6.2(11)</v>
      </c>
      <c r="J724" s="233">
        <f>РПЗ!X724</f>
        <v>0</v>
      </c>
      <c r="K724" s="283">
        <f>РПЗ!Z724</f>
        <v>0</v>
      </c>
      <c r="L724" s="17"/>
      <c r="M724" s="18">
        <f>РПЗ!O724</f>
        <v>42767.5</v>
      </c>
      <c r="N724" s="238">
        <f>Таблица5[[#This Row],[10]]</f>
        <v>42767.5</v>
      </c>
      <c r="O724" s="17"/>
      <c r="P724" s="17"/>
      <c r="Q724" s="17"/>
      <c r="R724" s="17"/>
      <c r="S724" s="17"/>
      <c r="T724" s="686"/>
      <c r="U724" s="18">
        <f>РПЗ!P724</f>
        <v>42795.5</v>
      </c>
      <c r="V724" s="686"/>
      <c r="W724" s="236">
        <f>РПЗ!L724</f>
        <v>180000</v>
      </c>
      <c r="X724" s="689"/>
      <c r="Y724" s="689"/>
      <c r="Z724" s="690"/>
      <c r="AA724" s="691"/>
      <c r="AB724" s="111"/>
      <c r="AC724" s="17"/>
      <c r="AD724" s="690"/>
      <c r="AE724" s="686"/>
      <c r="AF724" s="474"/>
      <c r="AG724" s="692"/>
      <c r="AH724" s="236" t="str">
        <f>IF(Таблица5[[#This Row],[30]]=0,"НД",Таблица5[[#This Row],[20]]-Таблица5[[#This Row],[30]])</f>
        <v>НД</v>
      </c>
      <c r="AI724" s="511" t="str">
        <f>IF(((1-Таблица5[[#This Row],[30]]/Таблица5[[#This Row],[20]])=1),"НД",(1-Таблица5[[#This Row],[30]]/Таблица5[[#This Row],[20]]))</f>
        <v>НД</v>
      </c>
      <c r="AJ724" s="111"/>
      <c r="AK724" s="111"/>
      <c r="AL724" s="512"/>
      <c r="AM724" s="513"/>
      <c r="AN724" s="465"/>
      <c r="AO724" s="468" t="str">
        <f>РПЗ!AD724</f>
        <v>Нет</v>
      </c>
      <c r="AP724" s="472">
        <f>РПЗ!V724</f>
        <v>0</v>
      </c>
      <c r="AQ724" s="470">
        <f>IF(Таблица5[[#This Row],[11]]=0,,MONTH(Таблица5[[#This Row],[11]]))</f>
        <v>2</v>
      </c>
    </row>
    <row r="725" spans="1:43" ht="38.25" x14ac:dyDescent="0.25">
      <c r="A725" s="233" t="str">
        <f t="shared" si="11"/>
        <v>1004-2017-00710</v>
      </c>
      <c r="B725" s="233" t="str">
        <f>РПЗ!$D725</f>
        <v>1004-2017-00710Резисторы</v>
      </c>
      <c r="C725" s="233" t="str">
        <f>РПЗ!$AA725</f>
        <v>АО "НИИ "Полюс" им. М.Ф. Стельмаха" тел. отдела закупок 8-495-333-05-02</v>
      </c>
      <c r="D725" s="633" t="str">
        <f>РПЗ!$AB725</f>
        <v>Заказчик</v>
      </c>
      <c r="E725" s="96" t="s">
        <v>46</v>
      </c>
      <c r="F725" s="233" t="str">
        <f>РПЗ!Q725</f>
        <v>ЕП</v>
      </c>
      <c r="G725" s="237"/>
      <c r="H725" s="237" t="str">
        <f>РПЗ!R725</f>
        <v>нет</v>
      </c>
      <c r="I725" s="15" t="str">
        <f>РПЗ!W725</f>
        <v>6.6.2(11)</v>
      </c>
      <c r="J725" s="233">
        <f>РПЗ!X725</f>
        <v>0</v>
      </c>
      <c r="K725" s="283">
        <f>РПЗ!Z725</f>
        <v>0</v>
      </c>
      <c r="L725" s="17"/>
      <c r="M725" s="18">
        <f>РПЗ!O725</f>
        <v>42767.5</v>
      </c>
      <c r="N725" s="238">
        <f>Таблица5[[#This Row],[10]]</f>
        <v>42767.5</v>
      </c>
      <c r="O725" s="17"/>
      <c r="P725" s="17"/>
      <c r="Q725" s="17"/>
      <c r="R725" s="17"/>
      <c r="S725" s="17"/>
      <c r="T725" s="686"/>
      <c r="U725" s="18">
        <f>РПЗ!P725</f>
        <v>42826.5</v>
      </c>
      <c r="V725" s="686"/>
      <c r="W725" s="236">
        <f>РПЗ!L725</f>
        <v>110000</v>
      </c>
      <c r="X725" s="689"/>
      <c r="Y725" s="689"/>
      <c r="Z725" s="690"/>
      <c r="AA725" s="691"/>
      <c r="AB725" s="111"/>
      <c r="AC725" s="17"/>
      <c r="AD725" s="690"/>
      <c r="AE725" s="686"/>
      <c r="AF725" s="474"/>
      <c r="AG725" s="692"/>
      <c r="AH725" s="236" t="str">
        <f>IF(Таблица5[[#This Row],[30]]=0,"НД",Таблица5[[#This Row],[20]]-Таблица5[[#This Row],[30]])</f>
        <v>НД</v>
      </c>
      <c r="AI725" s="511" t="str">
        <f>IF(((1-Таблица5[[#This Row],[30]]/Таблица5[[#This Row],[20]])=1),"НД",(1-Таблица5[[#This Row],[30]]/Таблица5[[#This Row],[20]]))</f>
        <v>НД</v>
      </c>
      <c r="AJ725" s="111"/>
      <c r="AK725" s="111"/>
      <c r="AL725" s="512"/>
      <c r="AM725" s="513"/>
      <c r="AN725" s="465"/>
      <c r="AO725" s="468" t="str">
        <f>РПЗ!AD725</f>
        <v>Нет</v>
      </c>
      <c r="AP725" s="472">
        <f>РПЗ!V725</f>
        <v>0</v>
      </c>
      <c r="AQ725" s="470">
        <f>IF(Таблица5[[#This Row],[11]]=0,,MONTH(Таблица5[[#This Row],[11]]))</f>
        <v>2</v>
      </c>
    </row>
    <row r="726" spans="1:43" ht="38.25" x14ac:dyDescent="0.25">
      <c r="A726" s="233" t="str">
        <f t="shared" si="11"/>
        <v>1004-2017-00711</v>
      </c>
      <c r="B726" s="233" t="str">
        <f>РПЗ!$D726</f>
        <v>1004-2017-00711Поставка Переключатель ПКН 105-1В вар. 1</v>
      </c>
      <c r="C726" s="233" t="str">
        <f>РПЗ!$AA726</f>
        <v>АО "НИИ "Полюс" им. М.Ф. Стельмаха" тел. отдела закупок 8-495-333-05-02</v>
      </c>
      <c r="D726" s="633" t="str">
        <f>РПЗ!$AB726</f>
        <v>Заказчик</v>
      </c>
      <c r="E726" s="510" t="s">
        <v>62</v>
      </c>
      <c r="F726" s="233" t="str">
        <f>РПЗ!Q726</f>
        <v>ЕП</v>
      </c>
      <c r="G726" s="237" t="str">
        <f>Таблица5[[#This Row],[6]]</f>
        <v>ЕП</v>
      </c>
      <c r="H726" s="237" t="str">
        <f>РПЗ!R726</f>
        <v>нет</v>
      </c>
      <c r="I726" s="15" t="str">
        <f>РПЗ!W726</f>
        <v>6.6.2(11)</v>
      </c>
      <c r="J726" s="233" t="str">
        <f>РПЗ!X726</f>
        <v>7706265403</v>
      </c>
      <c r="K726" s="283" t="str">
        <f>РПЗ!Z726</f>
        <v>120 360</v>
      </c>
      <c r="L726" s="17">
        <v>42767</v>
      </c>
      <c r="M726" s="18">
        <f>РПЗ!O726</f>
        <v>42795</v>
      </c>
      <c r="N726" s="238">
        <f>Таблица5[[#This Row],[10]]</f>
        <v>42795</v>
      </c>
      <c r="O726" s="17"/>
      <c r="P726" s="17"/>
      <c r="Q726" s="17"/>
      <c r="R726" s="17"/>
      <c r="S726" s="17"/>
      <c r="T726" s="695" t="s">
        <v>3090</v>
      </c>
      <c r="U726" s="18">
        <f>РПЗ!P726</f>
        <v>42826.5</v>
      </c>
      <c r="V726" s="760">
        <v>42826</v>
      </c>
      <c r="W726" s="236">
        <f>РПЗ!L726</f>
        <v>120360</v>
      </c>
      <c r="X726" s="689">
        <v>1</v>
      </c>
      <c r="Y726" s="689">
        <v>0</v>
      </c>
      <c r="Z726" s="1055">
        <v>7706265403</v>
      </c>
      <c r="AA726" s="704" t="s">
        <v>3088</v>
      </c>
      <c r="AB726" s="700">
        <v>120360</v>
      </c>
      <c r="AC726" s="808">
        <v>42826</v>
      </c>
      <c r="AD726" s="810" t="s">
        <v>3091</v>
      </c>
      <c r="AE726" s="703" t="s">
        <v>3090</v>
      </c>
      <c r="AF726" s="474"/>
      <c r="AG726" s="827">
        <v>120360</v>
      </c>
      <c r="AH726" s="236">
        <f>IF(Таблица5[[#This Row],[30]]=0,"НД",Таблица5[[#This Row],[20]]-Таблица5[[#This Row],[30]])</f>
        <v>0</v>
      </c>
      <c r="AI726" s="511">
        <f>IF(((1-Таблица5[[#This Row],[30]]/Таблица5[[#This Row],[20]])=1),"НД",(1-Таблица5[[#This Row],[30]]/Таблица5[[#This Row],[20]]))</f>
        <v>0</v>
      </c>
      <c r="AJ726" s="111"/>
      <c r="AK726" s="111"/>
      <c r="AL726" s="512"/>
      <c r="AM726" s="513" t="s">
        <v>113</v>
      </c>
      <c r="AN726" s="801">
        <v>31704759153</v>
      </c>
      <c r="AO726" s="468" t="str">
        <f>РПЗ!AD726</f>
        <v>Нет</v>
      </c>
      <c r="AP726" s="472">
        <f>РПЗ!V726</f>
        <v>0</v>
      </c>
      <c r="AQ726" s="470">
        <f>IF(Таблица5[[#This Row],[11]]=0,,MONTH(Таблица5[[#This Row],[11]]))</f>
        <v>3</v>
      </c>
    </row>
    <row r="727" spans="1:43" ht="38.25" x14ac:dyDescent="0.25">
      <c r="A727" s="233" t="str">
        <f t="shared" si="11"/>
        <v>1004-2017-00712</v>
      </c>
      <c r="B727" s="233" t="str">
        <f>РПЗ!$D727</f>
        <v>1004-2017-00712Поставка Вилки, розетки</v>
      </c>
      <c r="C727" s="233" t="str">
        <f>РПЗ!$AA727</f>
        <v>АО "НИИ "Полюс" им. М.Ф. Стельмаха" тел. отдела закупок 8-495-333-05-02</v>
      </c>
      <c r="D727" s="633" t="str">
        <f>РПЗ!$AB727</f>
        <v>Заказчик</v>
      </c>
      <c r="E727" s="510" t="s">
        <v>62</v>
      </c>
      <c r="F727" s="233" t="str">
        <f>РПЗ!Q727</f>
        <v>ЕП</v>
      </c>
      <c r="G727" s="237" t="str">
        <f>Таблица5[[#This Row],[6]]</f>
        <v>ЕП</v>
      </c>
      <c r="H727" s="237" t="str">
        <f>РПЗ!R727</f>
        <v>нет</v>
      </c>
      <c r="I727" s="15" t="str">
        <f>РПЗ!W727</f>
        <v>6.6.2(10)</v>
      </c>
      <c r="J727" s="233" t="str">
        <f>РПЗ!X727</f>
        <v>2607000333</v>
      </c>
      <c r="K727" s="283">
        <f>РПЗ!Z727</f>
        <v>124585.58</v>
      </c>
      <c r="L727" s="17">
        <v>42786</v>
      </c>
      <c r="M727" s="18">
        <f>РПЗ!O727</f>
        <v>42795</v>
      </c>
      <c r="N727" s="238">
        <f>Таблица5[[#This Row],[10]]</f>
        <v>42795</v>
      </c>
      <c r="O727" s="17"/>
      <c r="P727" s="17"/>
      <c r="Q727" s="17"/>
      <c r="R727" s="17"/>
      <c r="S727" s="17"/>
      <c r="T727" s="661" t="s">
        <v>3101</v>
      </c>
      <c r="U727" s="18">
        <f>РПЗ!P727</f>
        <v>42826.5</v>
      </c>
      <c r="V727" s="761">
        <v>42826</v>
      </c>
      <c r="W727" s="236">
        <f>РПЗ!L727</f>
        <v>124585.58</v>
      </c>
      <c r="X727" s="689">
        <v>1</v>
      </c>
      <c r="Y727" s="689">
        <v>0</v>
      </c>
      <c r="Z727" s="691">
        <v>2607000333</v>
      </c>
      <c r="AA727" s="691" t="s">
        <v>3312</v>
      </c>
      <c r="AB727" s="111">
        <v>124585.58</v>
      </c>
      <c r="AC727" s="686">
        <v>42826</v>
      </c>
      <c r="AD727" s="690" t="s">
        <v>3313</v>
      </c>
      <c r="AE727" s="686">
        <v>42814</v>
      </c>
      <c r="AF727" s="474"/>
      <c r="AG727" s="691">
        <v>124585.58</v>
      </c>
      <c r="AH727" s="236">
        <f>IF(Таблица5[[#This Row],[30]]=0,"НД",Таблица5[[#This Row],[20]]-Таблица5[[#This Row],[30]])</f>
        <v>0</v>
      </c>
      <c r="AI727" s="511">
        <f>IF(((1-Таблица5[[#This Row],[30]]/Таблица5[[#This Row],[20]])=1),"НД",(1-Таблица5[[#This Row],[30]]/Таблица5[[#This Row],[20]]))</f>
        <v>0</v>
      </c>
      <c r="AJ727" s="111"/>
      <c r="AK727" s="111"/>
      <c r="AL727" s="512"/>
      <c r="AM727" s="513" t="s">
        <v>113</v>
      </c>
      <c r="AN727" s="801">
        <v>31704759153</v>
      </c>
      <c r="AO727" s="468" t="str">
        <f>РПЗ!AD727</f>
        <v>Нет</v>
      </c>
      <c r="AP727" s="472">
        <f>РПЗ!V727</f>
        <v>0</v>
      </c>
      <c r="AQ727" s="470">
        <f>IF(Таблица5[[#This Row],[11]]=0,,MONTH(Таблица5[[#This Row],[11]]))</f>
        <v>3</v>
      </c>
    </row>
    <row r="728" spans="1:43" ht="39" thickBot="1" x14ac:dyDescent="0.3">
      <c r="A728" s="233" t="str">
        <f t="shared" si="11"/>
        <v>1004-2017-00713</v>
      </c>
      <c r="B728" s="233" t="str">
        <f>РПЗ!$D728</f>
        <v>1004-2017-00713Поставка Вилки, розетки</v>
      </c>
      <c r="C728" s="233" t="str">
        <f>РПЗ!$AA728</f>
        <v>АО "НИИ "Полюс" им. М.Ф. Стельмаха" тел. отдела закупок 8-495-333-05-02</v>
      </c>
      <c r="D728" s="633" t="str">
        <f>РПЗ!$AB728</f>
        <v>Заказчик</v>
      </c>
      <c r="E728" s="510" t="s">
        <v>62</v>
      </c>
      <c r="F728" s="233" t="str">
        <f>РПЗ!Q728</f>
        <v>ЕП</v>
      </c>
      <c r="G728" s="237" t="str">
        <f>Таблица5[[#This Row],[6]]</f>
        <v>ЕП</v>
      </c>
      <c r="H728" s="237" t="str">
        <f>РПЗ!R728</f>
        <v>нет</v>
      </c>
      <c r="I728" s="15" t="str">
        <f>РПЗ!W728</f>
        <v>6.6.2(10)</v>
      </c>
      <c r="J728" s="233">
        <f>РПЗ!X728</f>
        <v>103006.74</v>
      </c>
      <c r="K728" s="283" t="str">
        <f>РПЗ!Z728</f>
        <v>103 006,74</v>
      </c>
      <c r="L728" s="17">
        <v>42786</v>
      </c>
      <c r="M728" s="18">
        <f>РПЗ!O728</f>
        <v>42795</v>
      </c>
      <c r="N728" s="238">
        <f>Таблица5[[#This Row],[10]]</f>
        <v>42795</v>
      </c>
      <c r="O728" s="17"/>
      <c r="P728" s="17"/>
      <c r="Q728" s="17"/>
      <c r="R728" s="17"/>
      <c r="S728" s="17"/>
      <c r="T728" s="661" t="s">
        <v>3267</v>
      </c>
      <c r="U728" s="18">
        <f>РПЗ!P728</f>
        <v>42826.5</v>
      </c>
      <c r="V728" s="762">
        <v>42856</v>
      </c>
      <c r="W728" s="236">
        <f>РПЗ!L728</f>
        <v>103006.74</v>
      </c>
      <c r="X728" s="689">
        <v>1</v>
      </c>
      <c r="Y728" s="689">
        <v>0</v>
      </c>
      <c r="Z728" s="803">
        <v>103006.74</v>
      </c>
      <c r="AA728" s="691" t="s">
        <v>3299</v>
      </c>
      <c r="AB728" s="766">
        <v>103006.74</v>
      </c>
      <c r="AC728" s="809">
        <v>42856</v>
      </c>
      <c r="AD728" s="832" t="s">
        <v>3300</v>
      </c>
      <c r="AE728" s="700" t="s">
        <v>3267</v>
      </c>
      <c r="AF728" s="474"/>
      <c r="AG728" s="829">
        <v>103006.74</v>
      </c>
      <c r="AH728" s="236">
        <f>IF(Таблица5[[#This Row],[30]]=0,"НД",Таблица5[[#This Row],[20]]-Таблица5[[#This Row],[30]])</f>
        <v>0</v>
      </c>
      <c r="AI728" s="511">
        <f>IF(((1-Таблица5[[#This Row],[30]]/Таблица5[[#This Row],[20]])=1),"НД",(1-Таблица5[[#This Row],[30]]/Таблица5[[#This Row],[20]]))</f>
        <v>0</v>
      </c>
      <c r="AJ728" s="111"/>
      <c r="AK728" s="111"/>
      <c r="AL728" s="512"/>
      <c r="AM728" s="513" t="s">
        <v>113</v>
      </c>
      <c r="AN728" s="801">
        <v>31704937631</v>
      </c>
      <c r="AO728" s="468" t="str">
        <f>РПЗ!AD728</f>
        <v>Нет</v>
      </c>
      <c r="AP728" s="472">
        <f>РПЗ!V728</f>
        <v>0</v>
      </c>
      <c r="AQ728" s="470">
        <f>IF(Таблица5[[#This Row],[11]]=0,,MONTH(Таблица5[[#This Row],[11]]))</f>
        <v>3</v>
      </c>
    </row>
    <row r="729" spans="1:43" ht="39" thickBot="1" x14ac:dyDescent="0.3">
      <c r="A729" s="233" t="str">
        <f t="shared" si="11"/>
        <v>1004-2017-00714</v>
      </c>
      <c r="B729" s="233" t="str">
        <f>РПЗ!$D729</f>
        <v>1004-2017-00714Поставка  Контакторы КНЕ-020У 24В</v>
      </c>
      <c r="C729" s="233" t="str">
        <f>РПЗ!$AA729</f>
        <v>АО "НИИ "Полюс" им. М.Ф. Стельмаха" тел. отдела закупок 8-495-333-05-02</v>
      </c>
      <c r="D729" s="633" t="str">
        <f>РПЗ!$AB729</f>
        <v>Заказчик</v>
      </c>
      <c r="E729" s="96" t="s">
        <v>46</v>
      </c>
      <c r="F729" s="233" t="str">
        <f>РПЗ!Q729</f>
        <v>ЕП</v>
      </c>
      <c r="G729" s="237"/>
      <c r="H729" s="237" t="str">
        <f>РПЗ!R729</f>
        <v>нет</v>
      </c>
      <c r="I729" s="15" t="str">
        <f>РПЗ!W729</f>
        <v>6.6.2(11)</v>
      </c>
      <c r="J729" s="233">
        <f>РПЗ!X729</f>
        <v>0</v>
      </c>
      <c r="K729" s="283">
        <f>РПЗ!Z729</f>
        <v>0</v>
      </c>
      <c r="L729" s="17"/>
      <c r="M729" s="18">
        <f>РПЗ!O729</f>
        <v>42795</v>
      </c>
      <c r="N729" s="238">
        <f>Таблица5[[#This Row],[10]]</f>
        <v>42795</v>
      </c>
      <c r="O729" s="17"/>
      <c r="P729" s="17"/>
      <c r="Q729" s="17"/>
      <c r="R729" s="17"/>
      <c r="S729" s="17"/>
      <c r="T729" s="686"/>
      <c r="U729" s="18">
        <f>РПЗ!P729</f>
        <v>42826.5</v>
      </c>
      <c r="V729" s="686"/>
      <c r="W729" s="236">
        <f>РПЗ!L729</f>
        <v>111394.36</v>
      </c>
      <c r="X729" s="689"/>
      <c r="Y729" s="689"/>
      <c r="Z729" s="690"/>
      <c r="AA729" s="691"/>
      <c r="AB729" s="111"/>
      <c r="AC729" s="17"/>
      <c r="AD729" s="690"/>
      <c r="AE729" s="686"/>
      <c r="AF729" s="474"/>
      <c r="AG729" s="692"/>
      <c r="AH729" s="236" t="str">
        <f>IF(Таблица5[[#This Row],[30]]=0,"НД",Таблица5[[#This Row],[20]]-Таблица5[[#This Row],[30]])</f>
        <v>НД</v>
      </c>
      <c r="AI729" s="511" t="str">
        <f>IF(((1-Таблица5[[#This Row],[30]]/Таблица5[[#This Row],[20]])=1),"НД",(1-Таблица5[[#This Row],[30]]/Таблица5[[#This Row],[20]]))</f>
        <v>НД</v>
      </c>
      <c r="AJ729" s="111"/>
      <c r="AK729" s="111"/>
      <c r="AL729" s="512"/>
      <c r="AM729" s="513"/>
      <c r="AN729" s="465"/>
      <c r="AO729" s="468" t="str">
        <f>РПЗ!AD729</f>
        <v>Нет</v>
      </c>
      <c r="AP729" s="472">
        <f>РПЗ!V729</f>
        <v>0</v>
      </c>
      <c r="AQ729" s="470">
        <f>IF(Таблица5[[#This Row],[11]]=0,,MONTH(Таблица5[[#This Row],[11]]))</f>
        <v>3</v>
      </c>
    </row>
    <row r="730" spans="1:43" ht="38.25" x14ac:dyDescent="0.25">
      <c r="A730" s="233" t="str">
        <f t="shared" si="11"/>
        <v>1004-2017-00715</v>
      </c>
      <c r="B730" s="233" t="str">
        <f>РПЗ!$D730</f>
        <v>1004-2017-00715Поставка Лакокрасочных материалов</v>
      </c>
      <c r="C730" s="233" t="str">
        <f>РПЗ!$AA730</f>
        <v>АО "НИИ "Полюс" им. М.Ф. Стельмаха" тел. отдела закупок 8-495-333-05-02</v>
      </c>
      <c r="D730" s="633" t="str">
        <f>РПЗ!$AB730</f>
        <v>Заказчик</v>
      </c>
      <c r="E730" s="96" t="s">
        <v>46</v>
      </c>
      <c r="F730" s="233" t="str">
        <f>РПЗ!Q730</f>
        <v>ЕП</v>
      </c>
      <c r="G730" s="237"/>
      <c r="H730" s="237" t="str">
        <f>РПЗ!R730</f>
        <v>нет</v>
      </c>
      <c r="I730" s="15" t="str">
        <f>РПЗ!W730</f>
        <v>6.6.2(11)</v>
      </c>
      <c r="J730" s="233">
        <f>РПЗ!X730</f>
        <v>0</v>
      </c>
      <c r="K730" s="283">
        <f>РПЗ!Z730</f>
        <v>0</v>
      </c>
      <c r="L730" s="17"/>
      <c r="M730" s="18">
        <f>РПЗ!O730</f>
        <v>42767.5</v>
      </c>
      <c r="N730" s="238">
        <f>Таблица5[[#This Row],[10]]</f>
        <v>42767.5</v>
      </c>
      <c r="O730" s="17"/>
      <c r="P730" s="17"/>
      <c r="Q730" s="17"/>
      <c r="R730" s="17"/>
      <c r="S730" s="17"/>
      <c r="T730" s="686"/>
      <c r="U730" s="18">
        <f>РПЗ!P730</f>
        <v>42826.5</v>
      </c>
      <c r="V730" s="686"/>
      <c r="W730" s="236">
        <f>РПЗ!L730</f>
        <v>38862.120000000003</v>
      </c>
      <c r="X730" s="689"/>
      <c r="Y730" s="689"/>
      <c r="Z730" s="690"/>
      <c r="AA730" s="691"/>
      <c r="AB730" s="111"/>
      <c r="AC730" s="17"/>
      <c r="AD730" s="690"/>
      <c r="AE730" s="686"/>
      <c r="AF730" s="474"/>
      <c r="AG730" s="692"/>
      <c r="AH730" s="236" t="str">
        <f>IF(Таблица5[[#This Row],[30]]=0,"НД",Таблица5[[#This Row],[20]]-Таблица5[[#This Row],[30]])</f>
        <v>НД</v>
      </c>
      <c r="AI730" s="511" t="str">
        <f>IF(((1-Таблица5[[#This Row],[30]]/Таблица5[[#This Row],[20]])=1),"НД",(1-Таблица5[[#This Row],[30]]/Таблица5[[#This Row],[20]]))</f>
        <v>НД</v>
      </c>
      <c r="AJ730" s="111"/>
      <c r="AK730" s="111"/>
      <c r="AL730" s="512"/>
      <c r="AM730" s="513"/>
      <c r="AN730" s="465"/>
      <c r="AO730" s="468" t="str">
        <f>РПЗ!AD730</f>
        <v>Нет</v>
      </c>
      <c r="AP730" s="472">
        <f>РПЗ!V730</f>
        <v>0</v>
      </c>
      <c r="AQ730" s="470">
        <f>IF(Таблица5[[#This Row],[11]]=0,,MONTH(Таблица5[[#This Row],[11]]))</f>
        <v>2</v>
      </c>
    </row>
    <row r="731" spans="1:43" ht="39" thickBot="1" x14ac:dyDescent="0.3">
      <c r="A731" s="233" t="str">
        <f t="shared" si="11"/>
        <v>1004-2017-00716</v>
      </c>
      <c r="B731" s="233" t="str">
        <f>РПЗ!$D731</f>
        <v>1004-2017-00716Поставка розетки, вилки</v>
      </c>
      <c r="C731" s="233" t="str">
        <f>РПЗ!$AA731</f>
        <v>АО "НИИ "Полюс" им. М.Ф. Стельмаха" тел. отдела закупок 8-495-333-05-02</v>
      </c>
      <c r="D731" s="633" t="str">
        <f>РПЗ!$AB731</f>
        <v>Заказчик</v>
      </c>
      <c r="E731" s="510" t="s">
        <v>62</v>
      </c>
      <c r="F731" s="233" t="str">
        <f>РПЗ!Q731</f>
        <v>ЕП</v>
      </c>
      <c r="G731" s="237" t="str">
        <f>Таблица5[[#This Row],[6]]</f>
        <v>ЕП</v>
      </c>
      <c r="H731" s="237" t="str">
        <f>РПЗ!R731</f>
        <v>нет</v>
      </c>
      <c r="I731" s="15" t="str">
        <f>РПЗ!W731</f>
        <v>6.6.2(11)</v>
      </c>
      <c r="J731" s="233" t="str">
        <f>РПЗ!X731</f>
        <v>3254511340</v>
      </c>
      <c r="K731" s="283" t="str">
        <f>РПЗ!Z731</f>
        <v>130 552,13</v>
      </c>
      <c r="L731" s="17">
        <v>42794</v>
      </c>
      <c r="M731" s="18">
        <f>РПЗ!O731</f>
        <v>42795</v>
      </c>
      <c r="N731" s="238">
        <f>Таблица5[[#This Row],[10]]</f>
        <v>42795</v>
      </c>
      <c r="O731" s="17"/>
      <c r="P731" s="17"/>
      <c r="Q731" s="17"/>
      <c r="R731" s="17"/>
      <c r="S731" s="17"/>
      <c r="T731" s="695" t="s">
        <v>3068</v>
      </c>
      <c r="U731" s="18">
        <f>РПЗ!P731</f>
        <v>42826.5</v>
      </c>
      <c r="V731" s="760">
        <v>43070</v>
      </c>
      <c r="W731" s="236">
        <f>РПЗ!L731</f>
        <v>130552.13</v>
      </c>
      <c r="X731" s="689">
        <v>1</v>
      </c>
      <c r="Y731" s="689">
        <v>0</v>
      </c>
      <c r="Z731" s="1055">
        <v>3254511340</v>
      </c>
      <c r="AA731" s="704" t="s">
        <v>2383</v>
      </c>
      <c r="AB731" s="766">
        <v>130552.13</v>
      </c>
      <c r="AC731" s="808">
        <v>43070</v>
      </c>
      <c r="AD731" s="810" t="s">
        <v>3069</v>
      </c>
      <c r="AE731" s="703" t="s">
        <v>3068</v>
      </c>
      <c r="AF731" s="474"/>
      <c r="AG731" s="827">
        <v>130552.13</v>
      </c>
      <c r="AH731" s="236">
        <f>IF(Таблица5[[#This Row],[30]]=0,"НД",Таблица5[[#This Row],[20]]-Таблица5[[#This Row],[30]])</f>
        <v>0</v>
      </c>
      <c r="AI731" s="511">
        <f>IF(((1-Таблица5[[#This Row],[30]]/Таблица5[[#This Row],[20]])=1),"НД",(1-Таблица5[[#This Row],[30]]/Таблица5[[#This Row],[20]]))</f>
        <v>0</v>
      </c>
      <c r="AJ731" s="111"/>
      <c r="AK731" s="111"/>
      <c r="AL731" s="512"/>
      <c r="AM731" s="513" t="s">
        <v>113</v>
      </c>
      <c r="AN731" s="801">
        <v>31704838543</v>
      </c>
      <c r="AO731" s="468" t="str">
        <f>РПЗ!AD731</f>
        <v>Нет</v>
      </c>
      <c r="AP731" s="472">
        <f>РПЗ!V731</f>
        <v>0</v>
      </c>
      <c r="AQ731" s="470">
        <f>IF(Таблица5[[#This Row],[11]]=0,,MONTH(Таблица5[[#This Row],[11]]))</f>
        <v>3</v>
      </c>
    </row>
    <row r="732" spans="1:43" ht="51" x14ac:dyDescent="0.25">
      <c r="A732" s="233" t="str">
        <f t="shared" si="11"/>
        <v>1004-2017-00717</v>
      </c>
      <c r="B732" s="233" t="str">
        <f>РПЗ!$D732</f>
        <v>1004-2017-00717Поставка  импортные м/сх, диоды, транзисторы,конденсаторы, тиристоры</v>
      </c>
      <c r="C732" s="233" t="str">
        <f>РПЗ!$AA732</f>
        <v>АО "НИИ "Полюс" им. М.Ф. Стельмаха" тел. отдела закупок 8-495-333-05-02</v>
      </c>
      <c r="D732" s="633" t="str">
        <f>РПЗ!$AB732</f>
        <v>Заказчик</v>
      </c>
      <c r="E732" s="96" t="s">
        <v>46</v>
      </c>
      <c r="F732" s="233" t="str">
        <f>РПЗ!Q732</f>
        <v>ЕП</v>
      </c>
      <c r="G732" s="237"/>
      <c r="H732" s="237" t="str">
        <f>РПЗ!R732</f>
        <v>нет</v>
      </c>
      <c r="I732" s="15" t="str">
        <f>РПЗ!W732</f>
        <v>6.6.2(11)</v>
      </c>
      <c r="J732" s="233">
        <f>РПЗ!X732</f>
        <v>0</v>
      </c>
      <c r="K732" s="283">
        <f>РПЗ!Z732</f>
        <v>0</v>
      </c>
      <c r="L732" s="17"/>
      <c r="M732" s="18">
        <f>РПЗ!O732</f>
        <v>42767.5</v>
      </c>
      <c r="N732" s="238">
        <f>Таблица5[[#This Row],[10]]</f>
        <v>42767.5</v>
      </c>
      <c r="O732" s="17"/>
      <c r="P732" s="17"/>
      <c r="Q732" s="17"/>
      <c r="R732" s="17"/>
      <c r="S732" s="17"/>
      <c r="T732" s="686"/>
      <c r="U732" s="18">
        <f>РПЗ!P732</f>
        <v>42826.5</v>
      </c>
      <c r="V732" s="686"/>
      <c r="W732" s="236">
        <f>РПЗ!L732</f>
        <v>260000</v>
      </c>
      <c r="X732" s="689"/>
      <c r="Y732" s="689"/>
      <c r="Z732" s="690"/>
      <c r="AA732" s="691"/>
      <c r="AB732" s="111"/>
      <c r="AC732" s="17"/>
      <c r="AD732" s="690"/>
      <c r="AE732" s="686"/>
      <c r="AF732" s="474"/>
      <c r="AG732" s="692"/>
      <c r="AH732" s="236" t="str">
        <f>IF(Таблица5[[#This Row],[30]]=0,"НД",Таблица5[[#This Row],[20]]-Таблица5[[#This Row],[30]])</f>
        <v>НД</v>
      </c>
      <c r="AI732" s="511" t="str">
        <f>IF(((1-Таблица5[[#This Row],[30]]/Таблица5[[#This Row],[20]])=1),"НД",(1-Таблица5[[#This Row],[30]]/Таблица5[[#This Row],[20]]))</f>
        <v>НД</v>
      </c>
      <c r="AJ732" s="111"/>
      <c r="AK732" s="111"/>
      <c r="AL732" s="512"/>
      <c r="AM732" s="513"/>
      <c r="AN732" s="465"/>
      <c r="AO732" s="468" t="str">
        <f>РПЗ!AD732</f>
        <v>Нет</v>
      </c>
      <c r="AP732" s="472">
        <f>РПЗ!V732</f>
        <v>0</v>
      </c>
      <c r="AQ732" s="470">
        <f>IF(Таблица5[[#This Row],[11]]=0,,MONTH(Таблица5[[#This Row],[11]]))</f>
        <v>2</v>
      </c>
    </row>
    <row r="733" spans="1:43" ht="39" thickBot="1" x14ac:dyDescent="0.3">
      <c r="A733" s="233" t="str">
        <f t="shared" si="11"/>
        <v>1004-2017-00718</v>
      </c>
      <c r="B733" s="233" t="str">
        <f>РПЗ!$D733</f>
        <v>1004-2017-00718Предоставление права на использование товарного знака</v>
      </c>
      <c r="C733" s="233" t="str">
        <f>РПЗ!$AA733</f>
        <v>АО "НИИ "Полюс" им. М.Ф. Стельмаха" тел. отдела закупок 8-495-333-05-02</v>
      </c>
      <c r="D733" s="633" t="str">
        <f>РПЗ!$AB733</f>
        <v>Заказчик</v>
      </c>
      <c r="E733" s="510" t="s">
        <v>62</v>
      </c>
      <c r="F733" s="233" t="str">
        <f>РПЗ!Q733</f>
        <v>ЕП</v>
      </c>
      <c r="G733" s="237" t="str">
        <f>Таблица5[[#This Row],[6]]</f>
        <v>ЕП</v>
      </c>
      <c r="H733" s="237" t="str">
        <f>РПЗ!R733</f>
        <v>нет</v>
      </c>
      <c r="I733" s="15" t="str">
        <f>РПЗ!W733</f>
        <v>6.6.2(16)</v>
      </c>
      <c r="J733" s="233" t="str">
        <f>РПЗ!X733</f>
        <v>7717671799</v>
      </c>
      <c r="K733" s="283" t="str">
        <f>РПЗ!Z733</f>
        <v>3 229 565</v>
      </c>
      <c r="L733" s="661" t="s">
        <v>2332</v>
      </c>
      <c r="M733" s="18">
        <f>РПЗ!O733</f>
        <v>42767.5</v>
      </c>
      <c r="N733" s="238">
        <f>Таблица5[[#This Row],[10]]</f>
        <v>42767.5</v>
      </c>
      <c r="O733" s="17"/>
      <c r="P733" s="17"/>
      <c r="Q733" s="17"/>
      <c r="R733" s="17"/>
      <c r="S733" s="17"/>
      <c r="T733" s="695" t="s">
        <v>2340</v>
      </c>
      <c r="U733" s="18">
        <f>РПЗ!P733</f>
        <v>44866</v>
      </c>
      <c r="V733" s="760">
        <v>44136</v>
      </c>
      <c r="W733" s="236">
        <f>РПЗ!L733</f>
        <v>3229565</v>
      </c>
      <c r="X733" s="689">
        <v>1</v>
      </c>
      <c r="Y733" s="689">
        <v>0</v>
      </c>
      <c r="Z733" s="1055">
        <v>7717671799</v>
      </c>
      <c r="AA733" s="810" t="s">
        <v>2354</v>
      </c>
      <c r="AB733" s="700">
        <v>3229565</v>
      </c>
      <c r="AC733" s="818">
        <v>44136</v>
      </c>
      <c r="AD733" s="810" t="s">
        <v>2356</v>
      </c>
      <c r="AE733" s="703" t="s">
        <v>2340</v>
      </c>
      <c r="AF733" s="474"/>
      <c r="AG733" s="827">
        <v>3229565</v>
      </c>
      <c r="AH733" s="236">
        <f>IF(Таблица5[[#This Row],[30]]=0,"НД",Таблица5[[#This Row],[20]]-Таблица5[[#This Row],[30]])</f>
        <v>0</v>
      </c>
      <c r="AI733" s="511">
        <f>IF(((1-Таблица5[[#This Row],[30]]/Таблица5[[#This Row],[20]])=1),"НД",(1-Таблица5[[#This Row],[30]]/Таблица5[[#This Row],[20]]))</f>
        <v>0</v>
      </c>
      <c r="AJ733" s="111"/>
      <c r="AK733" s="111"/>
      <c r="AL733" s="512"/>
      <c r="AM733" s="513" t="s">
        <v>113</v>
      </c>
      <c r="AN733" s="801">
        <v>31704755749</v>
      </c>
      <c r="AO733" s="468" t="str">
        <f>РПЗ!AD733</f>
        <v>Нет</v>
      </c>
      <c r="AP733" s="472">
        <f>РПЗ!V733</f>
        <v>0</v>
      </c>
      <c r="AQ733" s="470">
        <f>IF(Таблица5[[#This Row],[11]]=0,,MONTH(Таблица5[[#This Row],[11]]))</f>
        <v>2</v>
      </c>
    </row>
    <row r="734" spans="1:43" ht="38.25" x14ac:dyDescent="0.25">
      <c r="A734" s="233" t="str">
        <f t="shared" si="11"/>
        <v>1004-2017-00719</v>
      </c>
      <c r="B734" s="233" t="str">
        <f>РПЗ!$D734</f>
        <v>1004-2017-00719Реставрационные работы оптических деталей из ситалла</v>
      </c>
      <c r="C734" s="233" t="str">
        <f>РПЗ!$AA734</f>
        <v>АО "НИИ "Полюс" им. М.Ф. Стельмаха" тел. отдела закупок 8-495-333-05-02</v>
      </c>
      <c r="D734" s="633" t="str">
        <f>РПЗ!$AB734</f>
        <v>Заказчик</v>
      </c>
      <c r="E734" s="96" t="s">
        <v>46</v>
      </c>
      <c r="F734" s="233" t="str">
        <f>РПЗ!Q734</f>
        <v>ЕП</v>
      </c>
      <c r="G734" s="237"/>
      <c r="H734" s="237" t="str">
        <f>РПЗ!R734</f>
        <v>нет</v>
      </c>
      <c r="I734" s="15" t="str">
        <f>РПЗ!W734</f>
        <v>6.6.2(10)</v>
      </c>
      <c r="J734" s="233">
        <f>РПЗ!X734</f>
        <v>0</v>
      </c>
      <c r="K734" s="283">
        <f>РПЗ!Z734</f>
        <v>0</v>
      </c>
      <c r="L734" s="17"/>
      <c r="M734" s="18">
        <f>РПЗ!O734</f>
        <v>42767.5</v>
      </c>
      <c r="N734" s="238">
        <f>Таблица5[[#This Row],[10]]</f>
        <v>42767.5</v>
      </c>
      <c r="O734" s="17"/>
      <c r="P734" s="17"/>
      <c r="Q734" s="17"/>
      <c r="R734" s="17"/>
      <c r="S734" s="17"/>
      <c r="T734" s="686"/>
      <c r="U734" s="18">
        <f>РПЗ!P734</f>
        <v>42826.5</v>
      </c>
      <c r="V734" s="686"/>
      <c r="W734" s="236">
        <f>РПЗ!L734</f>
        <v>3632219.36</v>
      </c>
      <c r="X734" s="689"/>
      <c r="Y734" s="689"/>
      <c r="Z734" s="690"/>
      <c r="AA734" s="691"/>
      <c r="AB734" s="111"/>
      <c r="AC734" s="17"/>
      <c r="AD734" s="690"/>
      <c r="AE734" s="686"/>
      <c r="AF734" s="474"/>
      <c r="AG734" s="692"/>
      <c r="AH734" s="236" t="str">
        <f>IF(Таблица5[[#This Row],[30]]=0,"НД",Таблица5[[#This Row],[20]]-Таблица5[[#This Row],[30]])</f>
        <v>НД</v>
      </c>
      <c r="AI734" s="511" t="str">
        <f>IF(((1-Таблица5[[#This Row],[30]]/Таблица5[[#This Row],[20]])=1),"НД",(1-Таблица5[[#This Row],[30]]/Таблица5[[#This Row],[20]]))</f>
        <v>НД</v>
      </c>
      <c r="AJ734" s="111"/>
      <c r="AK734" s="111"/>
      <c r="AL734" s="512"/>
      <c r="AM734" s="513"/>
      <c r="AN734" s="465"/>
      <c r="AO734" s="468" t="str">
        <f>РПЗ!AD734</f>
        <v>Нет</v>
      </c>
      <c r="AP734" s="472">
        <f>РПЗ!V734</f>
        <v>0</v>
      </c>
      <c r="AQ734" s="470">
        <f>IF(Таблица5[[#This Row],[11]]=0,,MONTH(Таблица5[[#This Row],[11]]))</f>
        <v>2</v>
      </c>
    </row>
    <row r="735" spans="1:43" ht="166.5" thickBot="1" x14ac:dyDescent="0.3">
      <c r="A735" s="233" t="str">
        <f t="shared" si="11"/>
        <v>1004-2017-00720</v>
      </c>
      <c r="B735" s="233" t="str">
        <f>РПЗ!$D735</f>
        <v xml:space="preserve">1004-2017-00720Поставка Реактор инжекционный МР-6000-4000-16-КС, ТУ 4859.003.27572664.16 с обвязкой, Корпус фильтра пятипатронного для картриджей АМФЭ 20-3-05-2-Р-2,  ТУ 4859.007.27572664.16, Картридж АМФЭ 20-3-05-2-Р-2 исполнение 2, ТУ4859.001.27572664.16, Узел коротковолновой УФ стерилизации с аргоновым барьером УК-186-4000, ТУ 4859.008.27572664.16, Узел теплозащитный УТ-12-4, ТУ 4859.009.27572664.16 </v>
      </c>
      <c r="C735" s="233" t="str">
        <f>РПЗ!$AA735</f>
        <v>АО "НИИ "Полюс" им. М.Ф. Стельмаха" тел. отдела закупок 8-495-333-05-02</v>
      </c>
      <c r="D735" s="633" t="str">
        <f>РПЗ!$AB735</f>
        <v>Заказчик</v>
      </c>
      <c r="E735" s="510" t="s">
        <v>62</v>
      </c>
      <c r="F735" s="233" t="str">
        <f>РПЗ!Q735</f>
        <v>ЕП</v>
      </c>
      <c r="G735" s="237" t="str">
        <f>Таблица5[[#This Row],[6]]</f>
        <v>ЕП</v>
      </c>
      <c r="H735" s="237" t="str">
        <f>РПЗ!R735</f>
        <v>нет</v>
      </c>
      <c r="I735" s="15" t="str">
        <f>РПЗ!W735</f>
        <v>6.6.2(11)</v>
      </c>
      <c r="J735" s="233" t="str">
        <f>РПЗ!X735</f>
        <v>7704855904</v>
      </c>
      <c r="K735" s="283" t="str">
        <f>РПЗ!Z735</f>
        <v>884 795</v>
      </c>
      <c r="L735" s="661" t="s">
        <v>3046</v>
      </c>
      <c r="M735" s="18">
        <f>РПЗ!O735</f>
        <v>42767.5</v>
      </c>
      <c r="N735" s="238">
        <f>Таблица5[[#This Row],[10]]</f>
        <v>42767.5</v>
      </c>
      <c r="O735" s="17"/>
      <c r="P735" s="17"/>
      <c r="Q735" s="17"/>
      <c r="R735" s="17"/>
      <c r="S735" s="17"/>
      <c r="T735" s="695" t="s">
        <v>2359</v>
      </c>
      <c r="U735" s="18">
        <f>РПЗ!P735</f>
        <v>42795.5</v>
      </c>
      <c r="V735" s="760">
        <v>42795</v>
      </c>
      <c r="W735" s="236">
        <f>РПЗ!L735</f>
        <v>884795</v>
      </c>
      <c r="X735" s="689">
        <v>1</v>
      </c>
      <c r="Y735" s="689">
        <v>0</v>
      </c>
      <c r="Z735" s="1055">
        <v>7704855904</v>
      </c>
      <c r="AA735" s="704" t="s">
        <v>3044</v>
      </c>
      <c r="AB735" s="700">
        <v>884795</v>
      </c>
      <c r="AC735" s="808">
        <v>42795</v>
      </c>
      <c r="AD735" s="810" t="s">
        <v>3047</v>
      </c>
      <c r="AE735" s="703" t="s">
        <v>2359</v>
      </c>
      <c r="AF735" s="474"/>
      <c r="AG735" s="827">
        <v>884795</v>
      </c>
      <c r="AH735" s="236">
        <f>IF(Таблица5[[#This Row],[30]]=0,"НД",Таблица5[[#This Row],[20]]-Таблица5[[#This Row],[30]])</f>
        <v>0</v>
      </c>
      <c r="AI735" s="511">
        <f>IF(((1-Таблица5[[#This Row],[30]]/Таблица5[[#This Row],[20]])=1),"НД",(1-Таблица5[[#This Row],[30]]/Таблица5[[#This Row],[20]]))</f>
        <v>0</v>
      </c>
      <c r="AJ735" s="700" t="s">
        <v>3045</v>
      </c>
      <c r="AK735" s="111"/>
      <c r="AL735" s="512"/>
      <c r="AM735" s="513" t="s">
        <v>113</v>
      </c>
      <c r="AN735" s="801">
        <v>31704774653</v>
      </c>
      <c r="AO735" s="468" t="str">
        <f>РПЗ!AD735</f>
        <v>Нет</v>
      </c>
      <c r="AP735" s="472">
        <f>РПЗ!V735</f>
        <v>0</v>
      </c>
      <c r="AQ735" s="470">
        <f>IF(Таблица5[[#This Row],[11]]=0,,MONTH(Таблица5[[#This Row],[11]]))</f>
        <v>2</v>
      </c>
    </row>
    <row r="736" spans="1:43" ht="39" thickBot="1" x14ac:dyDescent="0.3">
      <c r="A736" s="233" t="str">
        <f t="shared" si="11"/>
        <v>1004-2017-00721</v>
      </c>
      <c r="B736" s="233" t="str">
        <f>РПЗ!$D736</f>
        <v>1004-2017-00721Изготовление и поставка комплекта оптических деталей для изделия ЛЦД-296</v>
      </c>
      <c r="C736" s="233" t="str">
        <f>РПЗ!$AA736</f>
        <v>АО "НИИ "Полюс" им. М.Ф. Стельмаха" тел. отдела закупок 8-495-333-05-02</v>
      </c>
      <c r="D736" s="633" t="str">
        <f>РПЗ!$AB736</f>
        <v>Заказчик</v>
      </c>
      <c r="E736" s="96" t="s">
        <v>46</v>
      </c>
      <c r="F736" s="233" t="str">
        <f>РПЗ!Q736</f>
        <v>ЕП</v>
      </c>
      <c r="G736" s="237"/>
      <c r="H736" s="237" t="str">
        <f>РПЗ!R736</f>
        <v>нет</v>
      </c>
      <c r="I736" s="15" t="str">
        <f>РПЗ!W736</f>
        <v>6.6.2(11)</v>
      </c>
      <c r="J736" s="233">
        <f>РПЗ!X736</f>
        <v>0</v>
      </c>
      <c r="K736" s="283">
        <f>РПЗ!Z736</f>
        <v>0</v>
      </c>
      <c r="L736" s="17"/>
      <c r="M736" s="18">
        <f>РПЗ!O736</f>
        <v>42767.5</v>
      </c>
      <c r="N736" s="238">
        <f>Таблица5[[#This Row],[10]]</f>
        <v>42767.5</v>
      </c>
      <c r="O736" s="17"/>
      <c r="P736" s="17"/>
      <c r="Q736" s="17"/>
      <c r="R736" s="17"/>
      <c r="S736" s="17"/>
      <c r="T736" s="686"/>
      <c r="U736" s="18">
        <f>РПЗ!P736</f>
        <v>42795.5</v>
      </c>
      <c r="V736" s="686"/>
      <c r="W736" s="236">
        <f>РПЗ!L736</f>
        <v>1623393.59</v>
      </c>
      <c r="X736" s="689"/>
      <c r="Y736" s="689"/>
      <c r="Z736" s="690"/>
      <c r="AA736" s="691"/>
      <c r="AB736" s="111"/>
      <c r="AC736" s="17"/>
      <c r="AD736" s="690"/>
      <c r="AE736" s="686"/>
      <c r="AF736" s="474"/>
      <c r="AG736" s="692"/>
      <c r="AH736" s="236" t="str">
        <f>IF(Таблица5[[#This Row],[30]]=0,"НД",Таблица5[[#This Row],[20]]-Таблица5[[#This Row],[30]])</f>
        <v>НД</v>
      </c>
      <c r="AI736" s="511" t="str">
        <f>IF(((1-Таблица5[[#This Row],[30]]/Таблица5[[#This Row],[20]])=1),"НД",(1-Таблица5[[#This Row],[30]]/Таблица5[[#This Row],[20]]))</f>
        <v>НД</v>
      </c>
      <c r="AJ736" s="111"/>
      <c r="AK736" s="111"/>
      <c r="AL736" s="512"/>
      <c r="AM736" s="513"/>
      <c r="AN736" s="465"/>
      <c r="AO736" s="468" t="str">
        <f>РПЗ!AD736</f>
        <v>Нет</v>
      </c>
      <c r="AP736" s="472">
        <f>РПЗ!V736</f>
        <v>0</v>
      </c>
      <c r="AQ736" s="470">
        <f>IF(Таблица5[[#This Row],[11]]=0,,MONTH(Таблица5[[#This Row],[11]]))</f>
        <v>2</v>
      </c>
    </row>
    <row r="737" spans="1:43" ht="39" thickBot="1" x14ac:dyDescent="0.3">
      <c r="A737" s="233" t="str">
        <f t="shared" si="11"/>
        <v>1004-2017-00722</v>
      </c>
      <c r="B737" s="233" t="str">
        <f>РПЗ!$D737</f>
        <v>1004-2017-00722Поставка Диоды</v>
      </c>
      <c r="C737" s="233" t="str">
        <f>РПЗ!$AA737</f>
        <v>АО "НИИ "Полюс" им. М.Ф. Стельмаха" тел. отдела закупок 8-495-333-05-02</v>
      </c>
      <c r="D737" s="633" t="str">
        <f>РПЗ!$AB737</f>
        <v>Заказчик</v>
      </c>
      <c r="E737" s="96" t="s">
        <v>46</v>
      </c>
      <c r="F737" s="233" t="str">
        <f>РПЗ!Q737</f>
        <v>ОЗК</v>
      </c>
      <c r="G737" s="237"/>
      <c r="H737" s="237" t="str">
        <f>РПЗ!R737</f>
        <v>да</v>
      </c>
      <c r="I737" s="15">
        <f>РПЗ!W737</f>
        <v>0</v>
      </c>
      <c r="J737" s="233">
        <f>РПЗ!X737</f>
        <v>0</v>
      </c>
      <c r="K737" s="283">
        <f>РПЗ!Z737</f>
        <v>0</v>
      </c>
      <c r="L737" s="17"/>
      <c r="M737" s="18">
        <f>РПЗ!O737</f>
        <v>42767.5</v>
      </c>
      <c r="N737" s="238">
        <f>Таблица5[[#This Row],[10]]</f>
        <v>42767.5</v>
      </c>
      <c r="O737" s="17"/>
      <c r="P737" s="17"/>
      <c r="Q737" s="17"/>
      <c r="R737" s="17"/>
      <c r="S737" s="17"/>
      <c r="T737" s="686"/>
      <c r="U737" s="18">
        <f>РПЗ!P737</f>
        <v>42887</v>
      </c>
      <c r="V737" s="686"/>
      <c r="W737" s="236">
        <f>РПЗ!L737</f>
        <v>3435452</v>
      </c>
      <c r="X737" s="689"/>
      <c r="Y737" s="689"/>
      <c r="Z737" s="690"/>
      <c r="AA737" s="691"/>
      <c r="AB737" s="111"/>
      <c r="AC737" s="17"/>
      <c r="AD737" s="690"/>
      <c r="AE737" s="686"/>
      <c r="AF737" s="474"/>
      <c r="AG737" s="692"/>
      <c r="AH737" s="236" t="str">
        <f>IF(Таблица5[[#This Row],[30]]=0,"НД",Таблица5[[#This Row],[20]]-Таблица5[[#This Row],[30]])</f>
        <v>НД</v>
      </c>
      <c r="AI737" s="511" t="str">
        <f>IF(((1-Таблица5[[#This Row],[30]]/Таблица5[[#This Row],[20]])=1),"НД",(1-Таблица5[[#This Row],[30]]/Таблица5[[#This Row],[20]]))</f>
        <v>НД</v>
      </c>
      <c r="AJ737" s="111"/>
      <c r="AK737" s="111"/>
      <c r="AL737" s="512"/>
      <c r="AM737" s="513"/>
      <c r="AN737" s="465"/>
      <c r="AO737" s="468" t="str">
        <f>РПЗ!AD737</f>
        <v>Нет</v>
      </c>
      <c r="AP737" s="472">
        <f>РПЗ!V737</f>
        <v>0</v>
      </c>
      <c r="AQ737" s="470">
        <f>IF(Таблица5[[#This Row],[11]]=0,,MONTH(Таблица5[[#This Row],[11]]))</f>
        <v>2</v>
      </c>
    </row>
    <row r="738" spans="1:43" ht="38.25" x14ac:dyDescent="0.25">
      <c r="A738" s="233" t="str">
        <f t="shared" si="11"/>
        <v>1004-2017-00723</v>
      </c>
      <c r="B738" s="233" t="str">
        <f>РПЗ!$D738</f>
        <v>1004-2017-00723Поставка Изделия оптические из кристаллов ниобата лития 8.0х18.2х33.3 мм</v>
      </c>
      <c r="C738" s="233" t="str">
        <f>РПЗ!$AA738</f>
        <v>АО "НИИ "Полюс" им. М.Ф. Стельмаха" тел. отдела закупок 8-495-333-05-02</v>
      </c>
      <c r="D738" s="633" t="str">
        <f>РПЗ!$AB738</f>
        <v>Заказчик</v>
      </c>
      <c r="E738" s="96" t="s">
        <v>46</v>
      </c>
      <c r="F738" s="233" t="str">
        <f>РПЗ!Q738</f>
        <v>ОЗК</v>
      </c>
      <c r="G738" s="237"/>
      <c r="H738" s="237" t="str">
        <f>РПЗ!R738</f>
        <v>да</v>
      </c>
      <c r="I738" s="15">
        <f>РПЗ!W738</f>
        <v>0</v>
      </c>
      <c r="J738" s="233">
        <f>РПЗ!X738</f>
        <v>0</v>
      </c>
      <c r="K738" s="283">
        <f>РПЗ!Z738</f>
        <v>0</v>
      </c>
      <c r="L738" s="17"/>
      <c r="M738" s="18">
        <f>РПЗ!O738</f>
        <v>42795</v>
      </c>
      <c r="N738" s="238">
        <f>Таблица5[[#This Row],[10]]</f>
        <v>42795</v>
      </c>
      <c r="O738" s="17"/>
      <c r="P738" s="17"/>
      <c r="Q738" s="17"/>
      <c r="R738" s="17"/>
      <c r="S738" s="17"/>
      <c r="T738" s="686"/>
      <c r="U738" s="18">
        <f>РПЗ!P738</f>
        <v>42856</v>
      </c>
      <c r="V738" s="686"/>
      <c r="W738" s="236">
        <f>РПЗ!L738</f>
        <v>596324.80000000005</v>
      </c>
      <c r="X738" s="689"/>
      <c r="Y738" s="689"/>
      <c r="Z738" s="690"/>
      <c r="AA738" s="691"/>
      <c r="AB738" s="111"/>
      <c r="AC738" s="17"/>
      <c r="AD738" s="690"/>
      <c r="AE738" s="686"/>
      <c r="AF738" s="474"/>
      <c r="AG738" s="692"/>
      <c r="AH738" s="236" t="str">
        <f>IF(Таблица5[[#This Row],[30]]=0,"НД",Таблица5[[#This Row],[20]]-Таблица5[[#This Row],[30]])</f>
        <v>НД</v>
      </c>
      <c r="AI738" s="511" t="str">
        <f>IF(((1-Таблица5[[#This Row],[30]]/Таблица5[[#This Row],[20]])=1),"НД",(1-Таблица5[[#This Row],[30]]/Таблица5[[#This Row],[20]]))</f>
        <v>НД</v>
      </c>
      <c r="AJ738" s="111"/>
      <c r="AK738" s="111"/>
      <c r="AL738" s="512"/>
      <c r="AM738" s="513"/>
      <c r="AN738" s="465"/>
      <c r="AO738" s="468" t="str">
        <f>РПЗ!AD738</f>
        <v>Нет</v>
      </c>
      <c r="AP738" s="472">
        <f>РПЗ!V738</f>
        <v>0</v>
      </c>
      <c r="AQ738" s="470">
        <f>IF(Таблица5[[#This Row],[11]]=0,,MONTH(Таблица5[[#This Row],[11]]))</f>
        <v>3</v>
      </c>
    </row>
    <row r="739" spans="1:43" ht="64.5" thickBot="1" x14ac:dyDescent="0.3">
      <c r="A739" s="233" t="str">
        <f t="shared" si="11"/>
        <v>1004-2017-00724</v>
      </c>
      <c r="B739" s="233" t="str">
        <f>РПЗ!$D739</f>
        <v>1004-2017-00724 Поставка модуль лазерных диодов с волоконным выводом излучения с выходной мощностью излучения 150 Вт с источником питания</v>
      </c>
      <c r="C739" s="233" t="str">
        <f>РПЗ!$AA739</f>
        <v>АО "НИИ "Полюс" им. М.Ф. Стельмаха" тел. отдела закупок 8-495-333-05-02</v>
      </c>
      <c r="D739" s="633" t="str">
        <f>РПЗ!$AB739</f>
        <v>Заказчик</v>
      </c>
      <c r="E739" s="510" t="s">
        <v>62</v>
      </c>
      <c r="F739" s="233" t="str">
        <f>РПЗ!Q739</f>
        <v>ЕП</v>
      </c>
      <c r="G739" s="237" t="str">
        <f>Таблица5[[#This Row],[6]]</f>
        <v>ЕП</v>
      </c>
      <c r="H739" s="237" t="str">
        <f>РПЗ!R739</f>
        <v>нет</v>
      </c>
      <c r="I739" s="15" t="str">
        <f>РПЗ!W739</f>
        <v>6.6.2(11)</v>
      </c>
      <c r="J739" s="233" t="str">
        <f>РПЗ!X739</f>
        <v>6453142068</v>
      </c>
      <c r="K739" s="283">
        <f>РПЗ!Z739</f>
        <v>519200</v>
      </c>
      <c r="L739" s="17">
        <v>42920</v>
      </c>
      <c r="M739" s="18">
        <f>РПЗ!O739</f>
        <v>42917</v>
      </c>
      <c r="N739" s="238">
        <f>Таблица5[[#This Row],[10]]</f>
        <v>42917</v>
      </c>
      <c r="O739" s="17"/>
      <c r="P739" s="17"/>
      <c r="Q739" s="17"/>
      <c r="R739" s="17"/>
      <c r="S739" s="17"/>
      <c r="T739" s="686">
        <v>42950</v>
      </c>
      <c r="U739" s="18">
        <f>РПЗ!P739</f>
        <v>42979</v>
      </c>
      <c r="V739" s="686">
        <v>43009</v>
      </c>
      <c r="W739" s="236">
        <f>РПЗ!L739</f>
        <v>519200</v>
      </c>
      <c r="X739" s="689">
        <v>1</v>
      </c>
      <c r="Y739" s="689">
        <v>0</v>
      </c>
      <c r="Z739" s="691">
        <v>6453142068</v>
      </c>
      <c r="AA739" s="691" t="s">
        <v>6425</v>
      </c>
      <c r="AB739" s="111">
        <v>519200</v>
      </c>
      <c r="AC739" s="17">
        <v>43009</v>
      </c>
      <c r="AD739" s="690" t="s">
        <v>6426</v>
      </c>
      <c r="AE739" s="686">
        <v>42950</v>
      </c>
      <c r="AF739" s="474"/>
      <c r="AG739" s="692">
        <v>519200</v>
      </c>
      <c r="AH739" s="236">
        <f>IF(Таблица5[[#This Row],[30]]=0,"НД",Таблица5[[#This Row],[20]]-Таблица5[[#This Row],[30]])</f>
        <v>0</v>
      </c>
      <c r="AI739" s="511">
        <f>IF(((1-Таблица5[[#This Row],[30]]/Таблица5[[#This Row],[20]])=1),"НД",(1-Таблица5[[#This Row],[30]]/Таблица5[[#This Row],[20]]))</f>
        <v>0</v>
      </c>
      <c r="AJ739" s="111">
        <v>519200</v>
      </c>
      <c r="AK739" s="111"/>
      <c r="AL739" s="512"/>
      <c r="AM739" s="513" t="s">
        <v>113</v>
      </c>
      <c r="AN739" s="801">
        <v>31705353263</v>
      </c>
      <c r="AO739" s="468" t="str">
        <f>РПЗ!AD739</f>
        <v>Нет</v>
      </c>
      <c r="AP739" s="472">
        <f>РПЗ!V739</f>
        <v>0</v>
      </c>
      <c r="AQ739" s="470">
        <f>IF(Таблица5[[#This Row],[11]]=0,,MONTH(Таблица5[[#This Row],[11]]))</f>
        <v>7</v>
      </c>
    </row>
    <row r="740" spans="1:43" ht="63.75" x14ac:dyDescent="0.25">
      <c r="A740" s="233" t="str">
        <f t="shared" si="11"/>
        <v>1004-2017-00725</v>
      </c>
      <c r="B740" s="233" t="str">
        <f>РПЗ!$D740</f>
        <v>1004-2017-00725Поставка комплект из двух модулей лазерных диодов с волоконным выводом излучения с выходной мощностью излучения 75 Вт каждый и источником питания</v>
      </c>
      <c r="C740" s="233" t="str">
        <f>РПЗ!$AA740</f>
        <v>АО "НИИ "Полюс" им. М.Ф. Стельмаха" тел. отдела закупок 8-495-333-05-02</v>
      </c>
      <c r="D740" s="633" t="str">
        <f>РПЗ!$AB740</f>
        <v>Заказчик</v>
      </c>
      <c r="E740" s="96" t="s">
        <v>46</v>
      </c>
      <c r="F740" s="233" t="str">
        <f>РПЗ!Q740</f>
        <v>ЕП</v>
      </c>
      <c r="G740" s="237"/>
      <c r="H740" s="237" t="str">
        <f>РПЗ!R740</f>
        <v>нет</v>
      </c>
      <c r="I740" s="15" t="str">
        <f>РПЗ!W740</f>
        <v>6.6.2(11)</v>
      </c>
      <c r="J740" s="233">
        <f>РПЗ!X740</f>
        <v>0</v>
      </c>
      <c r="K740" s="283">
        <f>РПЗ!Z740</f>
        <v>0</v>
      </c>
      <c r="L740" s="17"/>
      <c r="M740" s="18">
        <f>РПЗ!O740</f>
        <v>42795</v>
      </c>
      <c r="N740" s="238">
        <f>Таблица5[[#This Row],[10]]</f>
        <v>42795</v>
      </c>
      <c r="O740" s="17"/>
      <c r="P740" s="17"/>
      <c r="Q740" s="17"/>
      <c r="R740" s="17"/>
      <c r="S740" s="17"/>
      <c r="T740" s="686"/>
      <c r="U740" s="18">
        <f>РПЗ!P740</f>
        <v>42826</v>
      </c>
      <c r="V740" s="686"/>
      <c r="W740" s="236">
        <f>РПЗ!L740</f>
        <v>419200</v>
      </c>
      <c r="X740" s="689"/>
      <c r="Y740" s="689"/>
      <c r="Z740" s="690"/>
      <c r="AA740" s="691"/>
      <c r="AB740" s="111"/>
      <c r="AC740" s="17"/>
      <c r="AD740" s="690"/>
      <c r="AE740" s="686"/>
      <c r="AF740" s="474"/>
      <c r="AG740" s="692"/>
      <c r="AH740" s="236" t="str">
        <f>IF(Таблица5[[#This Row],[30]]=0,"НД",Таблица5[[#This Row],[20]]-Таблица5[[#This Row],[30]])</f>
        <v>НД</v>
      </c>
      <c r="AI740" s="511" t="str">
        <f>IF(((1-Таблица5[[#This Row],[30]]/Таблица5[[#This Row],[20]])=1),"НД",(1-Таблица5[[#This Row],[30]]/Таблица5[[#This Row],[20]]))</f>
        <v>НД</v>
      </c>
      <c r="AJ740" s="111"/>
      <c r="AK740" s="111"/>
      <c r="AL740" s="512"/>
      <c r="AM740" s="513"/>
      <c r="AN740" s="465"/>
      <c r="AO740" s="468" t="str">
        <f>РПЗ!AD740</f>
        <v>Нет</v>
      </c>
      <c r="AP740" s="472">
        <f>РПЗ!V740</f>
        <v>0</v>
      </c>
      <c r="AQ740" s="470">
        <f>IF(Таблица5[[#This Row],[11]]=0,,MONTH(Таблица5[[#This Row],[11]]))</f>
        <v>3</v>
      </c>
    </row>
    <row r="741" spans="1:43" ht="39" thickBot="1" x14ac:dyDescent="0.3">
      <c r="A741" s="233" t="str">
        <f t="shared" si="11"/>
        <v>1004-2017-00726</v>
      </c>
      <c r="B741" s="233" t="str">
        <f>РПЗ!$D741</f>
        <v>1004-2017-00726Поставка теплоотводы из алмаз-кремниевого композита</v>
      </c>
      <c r="C741" s="233" t="str">
        <f>РПЗ!$AA741</f>
        <v>АО "НИИ "Полюс" им. М.Ф. Стельмаха" тел. отдела закупок 8-495-333-05-02</v>
      </c>
      <c r="D741" s="633" t="str">
        <f>РПЗ!$AB741</f>
        <v>Заказчик</v>
      </c>
      <c r="E741" s="510" t="s">
        <v>62</v>
      </c>
      <c r="F741" s="233" t="str">
        <f>РПЗ!Q741</f>
        <v>ОЗК</v>
      </c>
      <c r="G741" s="237" t="str">
        <f>Таблица5[[#This Row],[6]]</f>
        <v>ОЗК</v>
      </c>
      <c r="H741" s="237" t="str">
        <f>РПЗ!R741</f>
        <v>да</v>
      </c>
      <c r="I741" s="15">
        <f>РПЗ!W741</f>
        <v>0</v>
      </c>
      <c r="J741" s="233">
        <f>РПЗ!X741</f>
        <v>0</v>
      </c>
      <c r="K741" s="283">
        <f>РПЗ!Z741</f>
        <v>0</v>
      </c>
      <c r="L741" s="17">
        <v>42976</v>
      </c>
      <c r="M741" s="18">
        <f>РПЗ!O741</f>
        <v>42948</v>
      </c>
      <c r="N741" s="238">
        <f>Таблица5[[#This Row],[10]]</f>
        <v>42948</v>
      </c>
      <c r="O741" s="17">
        <v>42982</v>
      </c>
      <c r="P741" s="17">
        <v>42985</v>
      </c>
      <c r="Q741" s="17">
        <v>42985</v>
      </c>
      <c r="R741" s="17">
        <v>42983</v>
      </c>
      <c r="S741" s="17">
        <v>42983</v>
      </c>
      <c r="T741" s="686">
        <v>42993</v>
      </c>
      <c r="U741" s="18">
        <f>РПЗ!P741</f>
        <v>43040</v>
      </c>
      <c r="V741" s="686">
        <v>43040</v>
      </c>
      <c r="W741" s="236">
        <f>РПЗ!L741</f>
        <v>450000</v>
      </c>
      <c r="X741" s="689">
        <v>1</v>
      </c>
      <c r="Y741" s="689">
        <v>0</v>
      </c>
      <c r="Z741" s="691">
        <v>7842436263</v>
      </c>
      <c r="AA741" s="691" t="s">
        <v>7189</v>
      </c>
      <c r="AB741" s="111">
        <v>450000</v>
      </c>
      <c r="AC741" s="17">
        <v>43040</v>
      </c>
      <c r="AD741" s="690" t="s">
        <v>7188</v>
      </c>
      <c r="AE741" s="686">
        <v>42993</v>
      </c>
      <c r="AF741" s="474"/>
      <c r="AG741" s="692">
        <v>450000</v>
      </c>
      <c r="AH741" s="236">
        <f>IF(Таблица5[[#This Row],[30]]=0,"НД",Таблица5[[#This Row],[20]]-Таблица5[[#This Row],[30]])</f>
        <v>0</v>
      </c>
      <c r="AI741" s="511">
        <f>IF(((1-Таблица5[[#This Row],[30]]/Таблица5[[#This Row],[20]])=1),"НД",(1-Таблица5[[#This Row],[30]]/Таблица5[[#This Row],[20]]))</f>
        <v>0</v>
      </c>
      <c r="AJ741" s="111"/>
      <c r="AK741" s="111"/>
      <c r="AL741" s="512"/>
      <c r="AM741" s="513" t="s">
        <v>113</v>
      </c>
      <c r="AN741" s="801">
        <v>31705466202</v>
      </c>
      <c r="AO741" s="468" t="str">
        <f>РПЗ!AD741</f>
        <v>Нет</v>
      </c>
      <c r="AP741" s="472">
        <f>РПЗ!V741</f>
        <v>0</v>
      </c>
      <c r="AQ741" s="470">
        <f>IF(Таблица5[[#This Row],[11]]=0,,MONTH(Таблица5[[#This Row],[11]]))</f>
        <v>8</v>
      </c>
    </row>
    <row r="742" spans="1:43" ht="39" thickBot="1" x14ac:dyDescent="0.3">
      <c r="A742" s="233" t="str">
        <f t="shared" si="11"/>
        <v>1004-2017-00727</v>
      </c>
      <c r="B742" s="233" t="str">
        <f>РПЗ!$D742</f>
        <v>1004-2017-00727Поставка теплоотводы металлические</v>
      </c>
      <c r="C742" s="233" t="str">
        <f>РПЗ!$AA742</f>
        <v>АО "НИИ "Полюс" им. М.Ф. Стельмаха" тел. отдела закупок 8-495-333-05-02</v>
      </c>
      <c r="D742" s="633" t="str">
        <f>РПЗ!$AB742</f>
        <v>Заказчик</v>
      </c>
      <c r="E742" s="96" t="s">
        <v>46</v>
      </c>
      <c r="F742" s="233" t="str">
        <f>РПЗ!Q742</f>
        <v>ОЗК</v>
      </c>
      <c r="G742" s="237"/>
      <c r="H742" s="237" t="str">
        <f>РПЗ!R742</f>
        <v>да</v>
      </c>
      <c r="I742" s="15">
        <f>РПЗ!W742</f>
        <v>0</v>
      </c>
      <c r="J742" s="233">
        <f>РПЗ!X742</f>
        <v>0</v>
      </c>
      <c r="K742" s="283">
        <f>РПЗ!Z742</f>
        <v>0</v>
      </c>
      <c r="L742" s="17"/>
      <c r="M742" s="18">
        <f>РПЗ!O742</f>
        <v>42795</v>
      </c>
      <c r="N742" s="238">
        <f>Таблица5[[#This Row],[10]]</f>
        <v>42795</v>
      </c>
      <c r="O742" s="17"/>
      <c r="P742" s="17"/>
      <c r="Q742" s="17"/>
      <c r="R742" s="17"/>
      <c r="S742" s="17"/>
      <c r="T742" s="686"/>
      <c r="U742" s="18">
        <f>РПЗ!P742</f>
        <v>42826</v>
      </c>
      <c r="V742" s="686"/>
      <c r="W742" s="236">
        <f>РПЗ!L742</f>
        <v>177000</v>
      </c>
      <c r="X742" s="689"/>
      <c r="Y742" s="689"/>
      <c r="Z742" s="690"/>
      <c r="AA742" s="691"/>
      <c r="AB742" s="111"/>
      <c r="AC742" s="17"/>
      <c r="AD742" s="690"/>
      <c r="AE742" s="686"/>
      <c r="AF742" s="474"/>
      <c r="AG742" s="692"/>
      <c r="AH742" s="236" t="str">
        <f>IF(Таблица5[[#This Row],[30]]=0,"НД",Таблица5[[#This Row],[20]]-Таблица5[[#This Row],[30]])</f>
        <v>НД</v>
      </c>
      <c r="AI742" s="511" t="str">
        <f>IF(((1-Таблица5[[#This Row],[30]]/Таблица5[[#This Row],[20]])=1),"НД",(1-Таблица5[[#This Row],[30]]/Таблица5[[#This Row],[20]]))</f>
        <v>НД</v>
      </c>
      <c r="AJ742" s="111"/>
      <c r="AK742" s="111"/>
      <c r="AL742" s="512"/>
      <c r="AM742" s="513"/>
      <c r="AN742" s="465"/>
      <c r="AO742" s="468" t="str">
        <f>РПЗ!AD742</f>
        <v>Нет</v>
      </c>
      <c r="AP742" s="472">
        <f>РПЗ!V742</f>
        <v>0</v>
      </c>
      <c r="AQ742" s="470">
        <f>IF(Таблица5[[#This Row],[11]]=0,,MONTH(Таблица5[[#This Row],[11]]))</f>
        <v>3</v>
      </c>
    </row>
    <row r="743" spans="1:43" ht="39" thickBot="1" x14ac:dyDescent="0.3">
      <c r="A743" s="233" t="str">
        <f t="shared" si="11"/>
        <v>1004-2017-00728</v>
      </c>
      <c r="B743" s="233" t="str">
        <f>РПЗ!$D743</f>
        <v>1004-2017-00728Выполнение работ по нанесение металло-диэлектрических покрытий</v>
      </c>
      <c r="C743" s="233" t="str">
        <f>РПЗ!$AA743</f>
        <v>АО "НИИ "Полюс" им. М.Ф. Стельмаха" тел. отдела закупок 8-495-333-05-02</v>
      </c>
      <c r="D743" s="633" t="str">
        <f>РПЗ!$AB743</f>
        <v>Заказчик</v>
      </c>
      <c r="E743" s="96" t="s">
        <v>46</v>
      </c>
      <c r="F743" s="233" t="str">
        <f>РПЗ!Q743</f>
        <v>ОЗК</v>
      </c>
      <c r="G743" s="237"/>
      <c r="H743" s="237" t="str">
        <f>РПЗ!R743</f>
        <v>да</v>
      </c>
      <c r="I743" s="15">
        <f>РПЗ!W743</f>
        <v>0</v>
      </c>
      <c r="J743" s="233">
        <f>РПЗ!X743</f>
        <v>0</v>
      </c>
      <c r="K743" s="283">
        <f>РПЗ!Z743</f>
        <v>0</v>
      </c>
      <c r="L743" s="17"/>
      <c r="M743" s="18">
        <f>РПЗ!O743</f>
        <v>42795</v>
      </c>
      <c r="N743" s="238">
        <f>Таблица5[[#This Row],[10]]</f>
        <v>42795</v>
      </c>
      <c r="O743" s="17"/>
      <c r="P743" s="17"/>
      <c r="Q743" s="17"/>
      <c r="R743" s="17"/>
      <c r="S743" s="17"/>
      <c r="T743" s="686"/>
      <c r="U743" s="18">
        <f>РПЗ!P743</f>
        <v>42826</v>
      </c>
      <c r="V743" s="686"/>
      <c r="W743" s="236">
        <f>РПЗ!L743</f>
        <v>500000</v>
      </c>
      <c r="X743" s="689"/>
      <c r="Y743" s="689"/>
      <c r="Z743" s="690"/>
      <c r="AA743" s="691"/>
      <c r="AB743" s="111"/>
      <c r="AC743" s="17"/>
      <c r="AD743" s="690"/>
      <c r="AE743" s="686"/>
      <c r="AF743" s="474"/>
      <c r="AG743" s="692"/>
      <c r="AH743" s="236" t="str">
        <f>IF(Таблица5[[#This Row],[30]]=0,"НД",Таблица5[[#This Row],[20]]-Таблица5[[#This Row],[30]])</f>
        <v>НД</v>
      </c>
      <c r="AI743" s="511" t="str">
        <f>IF(((1-Таблица5[[#This Row],[30]]/Таблица5[[#This Row],[20]])=1),"НД",(1-Таблица5[[#This Row],[30]]/Таблица5[[#This Row],[20]]))</f>
        <v>НД</v>
      </c>
      <c r="AJ743" s="111"/>
      <c r="AK743" s="111"/>
      <c r="AL743" s="512"/>
      <c r="AM743" s="513"/>
      <c r="AN743" s="465"/>
      <c r="AO743" s="468" t="str">
        <f>РПЗ!AD743</f>
        <v>Нет</v>
      </c>
      <c r="AP743" s="472">
        <f>РПЗ!V743</f>
        <v>0</v>
      </c>
      <c r="AQ743" s="470">
        <f>IF(Таблица5[[#This Row],[11]]=0,,MONTH(Таблица5[[#This Row],[11]]))</f>
        <v>3</v>
      </c>
    </row>
    <row r="744" spans="1:43" ht="39" thickBot="1" x14ac:dyDescent="0.3">
      <c r="A744" s="233" t="str">
        <f t="shared" si="11"/>
        <v>1004-2017-00729</v>
      </c>
      <c r="B744" s="233" t="str">
        <f>РПЗ!$D744</f>
        <v>1004-2017-00729Поставка  оптическая система формирования накачки</v>
      </c>
      <c r="C744" s="233" t="str">
        <f>РПЗ!$AA744</f>
        <v>АО "НИИ "Полюс" им. М.Ф. Стельмаха" тел. отдела закупок 8-495-333-05-02</v>
      </c>
      <c r="D744" s="633" t="str">
        <f>РПЗ!$AB744</f>
        <v>Заказчик</v>
      </c>
      <c r="E744" s="96" t="s">
        <v>46</v>
      </c>
      <c r="F744" s="233" t="str">
        <f>РПЗ!Q744</f>
        <v>ОЗК</v>
      </c>
      <c r="G744" s="237"/>
      <c r="H744" s="237" t="str">
        <f>РПЗ!R744</f>
        <v>да</v>
      </c>
      <c r="I744" s="15">
        <f>РПЗ!W744</f>
        <v>0</v>
      </c>
      <c r="J744" s="233">
        <f>РПЗ!X744</f>
        <v>0</v>
      </c>
      <c r="K744" s="283">
        <f>РПЗ!Z744</f>
        <v>0</v>
      </c>
      <c r="L744" s="17"/>
      <c r="M744" s="18">
        <f>РПЗ!O744</f>
        <v>42795</v>
      </c>
      <c r="N744" s="238">
        <f>Таблица5[[#This Row],[10]]</f>
        <v>42795</v>
      </c>
      <c r="O744" s="17"/>
      <c r="P744" s="17"/>
      <c r="Q744" s="17"/>
      <c r="R744" s="17"/>
      <c r="S744" s="17"/>
      <c r="T744" s="686"/>
      <c r="U744" s="18">
        <f>РПЗ!P744</f>
        <v>42826</v>
      </c>
      <c r="V744" s="686"/>
      <c r="W744" s="236">
        <f>РПЗ!L744</f>
        <v>2700000</v>
      </c>
      <c r="X744" s="689"/>
      <c r="Y744" s="689"/>
      <c r="Z744" s="690"/>
      <c r="AA744" s="691"/>
      <c r="AB744" s="111"/>
      <c r="AC744" s="17"/>
      <c r="AD744" s="690"/>
      <c r="AE744" s="686"/>
      <c r="AF744" s="474"/>
      <c r="AG744" s="692"/>
      <c r="AH744" s="236" t="str">
        <f>IF(Таблица5[[#This Row],[30]]=0,"НД",Таблица5[[#This Row],[20]]-Таблица5[[#This Row],[30]])</f>
        <v>НД</v>
      </c>
      <c r="AI744" s="511" t="str">
        <f>IF(((1-Таблица5[[#This Row],[30]]/Таблица5[[#This Row],[20]])=1),"НД",(1-Таблица5[[#This Row],[30]]/Таблица5[[#This Row],[20]]))</f>
        <v>НД</v>
      </c>
      <c r="AJ744" s="111"/>
      <c r="AK744" s="111"/>
      <c r="AL744" s="512"/>
      <c r="AM744" s="513"/>
      <c r="AN744" s="465"/>
      <c r="AO744" s="468" t="str">
        <f>РПЗ!AD744</f>
        <v>Нет</v>
      </c>
      <c r="AP744" s="472">
        <f>РПЗ!V744</f>
        <v>0</v>
      </c>
      <c r="AQ744" s="470">
        <f>IF(Таблица5[[#This Row],[11]]=0,,MONTH(Таблица5[[#This Row],[11]]))</f>
        <v>3</v>
      </c>
    </row>
    <row r="745" spans="1:43" ht="64.5" thickBot="1" x14ac:dyDescent="0.3">
      <c r="A745" s="233" t="str">
        <f t="shared" si="11"/>
        <v>1004-2017-00730</v>
      </c>
      <c r="B745" s="233" t="str">
        <f>РПЗ!$D745</f>
        <v>1004-2017-00730Поставка генераторы ГК323-ТК-АБ1-38,880 М-3,3-К (КЖДГ.433531.003), резонаторы РГ-05-МДВ-6БС-20000 к-В (ШЖ0.338.065)</v>
      </c>
      <c r="C745" s="233" t="str">
        <f>РПЗ!$AA745</f>
        <v>АО "НИИ "Полюс" им. М.Ф. Стельмаха" тел. отдела закупок 8-495-333-05-02</v>
      </c>
      <c r="D745" s="633" t="str">
        <f>РПЗ!$AB745</f>
        <v>Заказчик</v>
      </c>
      <c r="E745" s="96" t="s">
        <v>46</v>
      </c>
      <c r="F745" s="233" t="str">
        <f>РПЗ!Q745</f>
        <v>ЕП</v>
      </c>
      <c r="G745" s="237"/>
      <c r="H745" s="237" t="str">
        <f>РПЗ!R745</f>
        <v>нет</v>
      </c>
      <c r="I745" s="15" t="str">
        <f>РПЗ!W745</f>
        <v>6.6.2(11)</v>
      </c>
      <c r="J745" s="233">
        <f>РПЗ!X745</f>
        <v>0</v>
      </c>
      <c r="K745" s="283">
        <f>РПЗ!Z745</f>
        <v>0</v>
      </c>
      <c r="L745" s="17"/>
      <c r="M745" s="18">
        <f>РПЗ!O745</f>
        <v>42767.5</v>
      </c>
      <c r="N745" s="238">
        <f>Таблица5[[#This Row],[10]]</f>
        <v>42767.5</v>
      </c>
      <c r="O745" s="17"/>
      <c r="P745" s="17"/>
      <c r="Q745" s="17"/>
      <c r="R745" s="17"/>
      <c r="S745" s="17"/>
      <c r="T745" s="686"/>
      <c r="U745" s="18">
        <f>РПЗ!P745</f>
        <v>42795.5</v>
      </c>
      <c r="V745" s="686"/>
      <c r="W745" s="236">
        <f>РПЗ!L745</f>
        <v>205942.45</v>
      </c>
      <c r="X745" s="689"/>
      <c r="Y745" s="689"/>
      <c r="Z745" s="690"/>
      <c r="AA745" s="691"/>
      <c r="AB745" s="111"/>
      <c r="AC745" s="17"/>
      <c r="AD745" s="690"/>
      <c r="AE745" s="686"/>
      <c r="AF745" s="474"/>
      <c r="AG745" s="692"/>
      <c r="AH745" s="236" t="str">
        <f>IF(Таблица5[[#This Row],[30]]=0,"НД",Таблица5[[#This Row],[20]]-Таблица5[[#This Row],[30]])</f>
        <v>НД</v>
      </c>
      <c r="AI745" s="511" t="str">
        <f>IF(((1-Таблица5[[#This Row],[30]]/Таблица5[[#This Row],[20]])=1),"НД",(1-Таблица5[[#This Row],[30]]/Таблица5[[#This Row],[20]]))</f>
        <v>НД</v>
      </c>
      <c r="AJ745" s="111"/>
      <c r="AK745" s="111"/>
      <c r="AL745" s="512"/>
      <c r="AM745" s="513"/>
      <c r="AN745" s="465"/>
      <c r="AO745" s="468" t="str">
        <f>РПЗ!AD745</f>
        <v>Нет</v>
      </c>
      <c r="AP745" s="472">
        <f>РПЗ!V745</f>
        <v>0</v>
      </c>
      <c r="AQ745" s="470">
        <f>IF(Таблица5[[#This Row],[11]]=0,,MONTH(Таблица5[[#This Row],[11]]))</f>
        <v>2</v>
      </c>
    </row>
    <row r="746" spans="1:43" ht="38.25" x14ac:dyDescent="0.25">
      <c r="A746" s="233" t="str">
        <f t="shared" si="11"/>
        <v>1004-2017-00731</v>
      </c>
      <c r="B746" s="233" t="str">
        <f>РПЗ!$D746</f>
        <v>1004-2017-00731Поставка лампы ИНП 2/30М1</v>
      </c>
      <c r="C746" s="233" t="str">
        <f>РПЗ!$AA746</f>
        <v>АО "НИИ "Полюс" им. М.Ф. Стельмаха" тел. отдела закупок 8-495-333-05-02</v>
      </c>
      <c r="D746" s="633" t="str">
        <f>РПЗ!$AB746</f>
        <v>Заказчик</v>
      </c>
      <c r="E746" s="96" t="s">
        <v>46</v>
      </c>
      <c r="F746" s="233" t="str">
        <f>РПЗ!Q746</f>
        <v>ЕП</v>
      </c>
      <c r="G746" s="237"/>
      <c r="H746" s="237" t="str">
        <f>РПЗ!R746</f>
        <v>нет</v>
      </c>
      <c r="I746" s="15" t="str">
        <f>РПЗ!W746</f>
        <v>6.6.2(10)</v>
      </c>
      <c r="J746" s="233">
        <f>РПЗ!X746</f>
        <v>0</v>
      </c>
      <c r="K746" s="283">
        <f>РПЗ!Z746</f>
        <v>0</v>
      </c>
      <c r="L746" s="17"/>
      <c r="M746" s="18">
        <f>РПЗ!O746</f>
        <v>42767.5</v>
      </c>
      <c r="N746" s="238">
        <f>Таблица5[[#This Row],[10]]</f>
        <v>42767.5</v>
      </c>
      <c r="O746" s="17"/>
      <c r="P746" s="17"/>
      <c r="Q746" s="17"/>
      <c r="R746" s="17"/>
      <c r="S746" s="17"/>
      <c r="T746" s="686"/>
      <c r="U746" s="18">
        <f>РПЗ!P746</f>
        <v>42795.5</v>
      </c>
      <c r="V746" s="686"/>
      <c r="W746" s="236">
        <f>РПЗ!L746</f>
        <v>1403600.09</v>
      </c>
      <c r="X746" s="689"/>
      <c r="Y746" s="689"/>
      <c r="Z746" s="690"/>
      <c r="AA746" s="691"/>
      <c r="AB746" s="111"/>
      <c r="AC746" s="17"/>
      <c r="AD746" s="690"/>
      <c r="AE746" s="686"/>
      <c r="AF746" s="474"/>
      <c r="AG746" s="692"/>
      <c r="AH746" s="236" t="str">
        <f>IF(Таблица5[[#This Row],[30]]=0,"НД",Таблица5[[#This Row],[20]]-Таблица5[[#This Row],[30]])</f>
        <v>НД</v>
      </c>
      <c r="AI746" s="511" t="str">
        <f>IF(((1-Таблица5[[#This Row],[30]]/Таблица5[[#This Row],[20]])=1),"НД",(1-Таблица5[[#This Row],[30]]/Таблица5[[#This Row],[20]]))</f>
        <v>НД</v>
      </c>
      <c r="AJ746" s="111"/>
      <c r="AK746" s="111"/>
      <c r="AL746" s="512"/>
      <c r="AM746" s="513"/>
      <c r="AN746" s="465"/>
      <c r="AO746" s="468" t="str">
        <f>РПЗ!AD746</f>
        <v>Нет</v>
      </c>
      <c r="AP746" s="472">
        <f>РПЗ!V746</f>
        <v>0</v>
      </c>
      <c r="AQ746" s="470">
        <f>IF(Таблица5[[#This Row],[11]]=0,,MONTH(Таблица5[[#This Row],[11]]))</f>
        <v>2</v>
      </c>
    </row>
    <row r="747" spans="1:43" ht="38.25" x14ac:dyDescent="0.25">
      <c r="A747" s="233" t="str">
        <f t="shared" si="11"/>
        <v>1004-2017-00732</v>
      </c>
      <c r="B747" s="233" t="str">
        <f>РПЗ!$D747</f>
        <v>1004-2017-00732выполение работ по УКЛАДКА АСФАЛЬТОВОГО ПОКРЫТИЯ</v>
      </c>
      <c r="C747" s="233" t="str">
        <f>РПЗ!$AA747</f>
        <v>АО "НИИ "Полюс" им. М.Ф. Стельмаха" тел. отдела закупок 8-495-333-05-02</v>
      </c>
      <c r="D747" s="633" t="str">
        <f>РПЗ!$AB747</f>
        <v>Заказчик</v>
      </c>
      <c r="E747" s="510" t="s">
        <v>62</v>
      </c>
      <c r="F747" s="233" t="str">
        <f>РПЗ!Q747</f>
        <v>ОЗК</v>
      </c>
      <c r="G747" s="237" t="str">
        <f>Таблица5[[#This Row],[6]]</f>
        <v>ОЗК</v>
      </c>
      <c r="H747" s="237" t="str">
        <f>РПЗ!R747</f>
        <v>да</v>
      </c>
      <c r="I747" s="15">
        <f>РПЗ!W747</f>
        <v>0</v>
      </c>
      <c r="J747" s="233">
        <f>РПЗ!X747</f>
        <v>0</v>
      </c>
      <c r="K747" s="283">
        <f>РПЗ!Z747</f>
        <v>0</v>
      </c>
      <c r="L747" s="17"/>
      <c r="M747" s="18">
        <f>РПЗ!O747</f>
        <v>42795</v>
      </c>
      <c r="N747" s="238">
        <f>Таблица5[[#This Row],[10]]</f>
        <v>42795</v>
      </c>
      <c r="O747" s="17">
        <v>42807</v>
      </c>
      <c r="P747" s="17">
        <v>42810</v>
      </c>
      <c r="Q747" s="17">
        <v>42810</v>
      </c>
      <c r="R747" s="17">
        <v>42809</v>
      </c>
      <c r="S747" s="17">
        <v>42809</v>
      </c>
      <c r="T747" s="808" t="s">
        <v>3254</v>
      </c>
      <c r="U747" s="18">
        <f>РПЗ!P747</f>
        <v>42795.5</v>
      </c>
      <c r="V747" s="760">
        <v>42826</v>
      </c>
      <c r="W747" s="236">
        <f>РПЗ!L747</f>
        <v>2884801.68</v>
      </c>
      <c r="X747" s="689">
        <v>4</v>
      </c>
      <c r="Y747" s="689">
        <v>1</v>
      </c>
      <c r="Z747" s="1055">
        <v>7701364680</v>
      </c>
      <c r="AA747" s="810" t="s">
        <v>3283</v>
      </c>
      <c r="AB747" s="111">
        <v>1926036.94</v>
      </c>
      <c r="AC747" s="17">
        <v>42826</v>
      </c>
      <c r="AD747" s="810" t="s">
        <v>3284</v>
      </c>
      <c r="AE747" s="694" t="s">
        <v>3254</v>
      </c>
      <c r="AF747" s="474"/>
      <c r="AG747" s="827">
        <v>1926036.94</v>
      </c>
      <c r="AH747" s="236">
        <f>IF(Таблица5[[#This Row],[30]]=0,"НД",Таблица5[[#This Row],[20]]-Таблица5[[#This Row],[30]])</f>
        <v>958764.74000000022</v>
      </c>
      <c r="AI747" s="511">
        <f>IF(((1-Таблица5[[#This Row],[30]]/Таблица5[[#This Row],[20]])=1),"НД",(1-Таблица5[[#This Row],[30]]/Таблица5[[#This Row],[20]]))</f>
        <v>0.33235031255250802</v>
      </c>
      <c r="AJ747" s="111">
        <v>1926036.94</v>
      </c>
      <c r="AK747" s="111"/>
      <c r="AL747" s="512"/>
      <c r="AM747" s="513" t="s">
        <v>113</v>
      </c>
      <c r="AN747" s="801">
        <v>31704859273</v>
      </c>
      <c r="AO747" s="468" t="str">
        <f>РПЗ!AD747</f>
        <v>Нет</v>
      </c>
      <c r="AP747" s="472">
        <f>РПЗ!V747</f>
        <v>0</v>
      </c>
      <c r="AQ747" s="470">
        <f>IF(Таблица5[[#This Row],[11]]=0,,MONTH(Таблица5[[#This Row],[11]]))</f>
        <v>3</v>
      </c>
    </row>
    <row r="748" spans="1:43" ht="39" thickBot="1" x14ac:dyDescent="0.3">
      <c r="A748" s="233" t="str">
        <f t="shared" si="11"/>
        <v>1004-2017-00733</v>
      </c>
      <c r="B748" s="233" t="str">
        <f>РПЗ!$D748</f>
        <v>1004-2017-00733Поставка Проволока</v>
      </c>
      <c r="C748" s="233" t="str">
        <f>РПЗ!$AA748</f>
        <v>АО "НИИ "Полюс" им. М.Ф. Стельмаха" тел. отдела закупок 8-495-333-05-02</v>
      </c>
      <c r="D748" s="633" t="str">
        <f>РПЗ!$AB748</f>
        <v>Заказчик</v>
      </c>
      <c r="E748" s="510" t="s">
        <v>62</v>
      </c>
      <c r="F748" s="233" t="str">
        <f>РПЗ!Q748</f>
        <v>ЕП</v>
      </c>
      <c r="G748" s="237" t="str">
        <f>Таблица5[[#This Row],[6]]</f>
        <v>ЕП</v>
      </c>
      <c r="H748" s="237" t="str">
        <f>РПЗ!R748</f>
        <v>нет</v>
      </c>
      <c r="I748" s="15" t="str">
        <f>РПЗ!W748</f>
        <v>6.6.2(9)</v>
      </c>
      <c r="J748" s="233" t="str">
        <f>РПЗ!X748</f>
        <v>7728010663</v>
      </c>
      <c r="K748" s="283" t="str">
        <f>РПЗ!Z748</f>
        <v>685 723,9</v>
      </c>
      <c r="L748" s="661" t="s">
        <v>2399</v>
      </c>
      <c r="M748" s="18">
        <f>РПЗ!O748</f>
        <v>42776.5</v>
      </c>
      <c r="N748" s="238">
        <f>Таблица5[[#This Row],[10]]</f>
        <v>42776.5</v>
      </c>
      <c r="O748" s="17"/>
      <c r="P748" s="17"/>
      <c r="Q748" s="17"/>
      <c r="R748" s="17"/>
      <c r="S748" s="17"/>
      <c r="T748" s="695" t="s">
        <v>2379</v>
      </c>
      <c r="U748" s="18">
        <f>РПЗ!P748</f>
        <v>43070.5</v>
      </c>
      <c r="V748" s="760">
        <v>42826</v>
      </c>
      <c r="W748" s="236">
        <f>РПЗ!L748</f>
        <v>685723.9</v>
      </c>
      <c r="X748" s="689">
        <v>1</v>
      </c>
      <c r="Y748" s="689">
        <v>0</v>
      </c>
      <c r="Z748" s="1055">
        <v>7728010663</v>
      </c>
      <c r="AA748" s="704" t="s">
        <v>3027</v>
      </c>
      <c r="AB748" s="700">
        <v>685723.9</v>
      </c>
      <c r="AC748" s="808">
        <v>42826</v>
      </c>
      <c r="AD748" s="810" t="s">
        <v>3029</v>
      </c>
      <c r="AE748" s="703" t="s">
        <v>2379</v>
      </c>
      <c r="AF748" s="474"/>
      <c r="AG748" s="827">
        <v>685723.9</v>
      </c>
      <c r="AH748" s="236">
        <f>IF(Таблица5[[#This Row],[30]]=0,"НД",Таблица5[[#This Row],[20]]-Таблица5[[#This Row],[30]])</f>
        <v>0</v>
      </c>
      <c r="AI748" s="511">
        <f>IF(((1-Таблица5[[#This Row],[30]]/Таблица5[[#This Row],[20]])=1),"НД",(1-Таблица5[[#This Row],[30]]/Таблица5[[#This Row],[20]]))</f>
        <v>0</v>
      </c>
      <c r="AJ748" s="111"/>
      <c r="AK748" s="111"/>
      <c r="AL748" s="512"/>
      <c r="AM748" s="513" t="s">
        <v>113</v>
      </c>
      <c r="AN748" s="801">
        <v>31704815403</v>
      </c>
      <c r="AO748" s="468" t="str">
        <f>РПЗ!AD748</f>
        <v>Нет</v>
      </c>
      <c r="AP748" s="472">
        <f>РПЗ!V748</f>
        <v>0</v>
      </c>
      <c r="AQ748" s="470">
        <f>IF(Таблица5[[#This Row],[11]]=0,,MONTH(Таблица5[[#This Row],[11]]))</f>
        <v>2</v>
      </c>
    </row>
    <row r="749" spans="1:43" ht="51" x14ac:dyDescent="0.25">
      <c r="A749" s="233" t="str">
        <f t="shared" si="11"/>
        <v>1004-2017-00734</v>
      </c>
      <c r="B749" s="233" t="str">
        <f>РПЗ!$D749</f>
        <v>1004-2017-00734Поставка Термоэлектрический охладитель 1МС06-060-15-9901-AOS ТУ 8420-001-34609988-08</v>
      </c>
      <c r="C749" s="233" t="str">
        <f>РПЗ!$AA749</f>
        <v>АО "НИИ "Полюс" им. М.Ф. Стельмаха" тел. отдела закупок 8-495-333-05-02</v>
      </c>
      <c r="D749" s="633" t="str">
        <f>РПЗ!$AB749</f>
        <v>Заказчик</v>
      </c>
      <c r="E749" s="96" t="s">
        <v>46</v>
      </c>
      <c r="F749" s="233" t="str">
        <f>РПЗ!Q749</f>
        <v>ЕП</v>
      </c>
      <c r="G749" s="237"/>
      <c r="H749" s="237" t="str">
        <f>РПЗ!R749</f>
        <v>нет</v>
      </c>
      <c r="I749" s="15" t="str">
        <f>РПЗ!W749</f>
        <v>6.6.2(10)</v>
      </c>
      <c r="J749" s="233">
        <f>РПЗ!X749</f>
        <v>0</v>
      </c>
      <c r="K749" s="283">
        <f>РПЗ!Z749</f>
        <v>0</v>
      </c>
      <c r="L749" s="17"/>
      <c r="M749" s="18">
        <f>РПЗ!O749</f>
        <v>42776.5</v>
      </c>
      <c r="N749" s="238">
        <f>Таблица5[[#This Row],[10]]</f>
        <v>42776.5</v>
      </c>
      <c r="O749" s="17"/>
      <c r="P749" s="17"/>
      <c r="Q749" s="17"/>
      <c r="R749" s="17"/>
      <c r="S749" s="17"/>
      <c r="T749" s="686"/>
      <c r="U749" s="18">
        <f>РПЗ!P749</f>
        <v>42826.5</v>
      </c>
      <c r="V749" s="686"/>
      <c r="W749" s="236">
        <f>РПЗ!L749</f>
        <v>150000</v>
      </c>
      <c r="X749" s="689"/>
      <c r="Y749" s="689"/>
      <c r="Z749" s="690"/>
      <c r="AA749" s="691"/>
      <c r="AB749" s="111"/>
      <c r="AC749" s="17"/>
      <c r="AD749" s="690"/>
      <c r="AE749" s="686"/>
      <c r="AF749" s="474"/>
      <c r="AG749" s="692"/>
      <c r="AH749" s="236" t="str">
        <f>IF(Таблица5[[#This Row],[30]]=0,"НД",Таблица5[[#This Row],[20]]-Таблица5[[#This Row],[30]])</f>
        <v>НД</v>
      </c>
      <c r="AI749" s="511" t="str">
        <f>IF(((1-Таблица5[[#This Row],[30]]/Таблица5[[#This Row],[20]])=1),"НД",(1-Таблица5[[#This Row],[30]]/Таблица5[[#This Row],[20]]))</f>
        <v>НД</v>
      </c>
      <c r="AJ749" s="111"/>
      <c r="AK749" s="111"/>
      <c r="AL749" s="512"/>
      <c r="AM749" s="513"/>
      <c r="AN749" s="465"/>
      <c r="AO749" s="468" t="str">
        <f>РПЗ!AD749</f>
        <v>Нет</v>
      </c>
      <c r="AP749" s="472">
        <f>РПЗ!V749</f>
        <v>0</v>
      </c>
      <c r="AQ749" s="470">
        <f>IF(Таблица5[[#This Row],[11]]=0,,MONTH(Таблица5[[#This Row],[11]]))</f>
        <v>2</v>
      </c>
    </row>
    <row r="750" spans="1:43" ht="39" thickBot="1" x14ac:dyDescent="0.3">
      <c r="A750" s="233" t="str">
        <f t="shared" si="11"/>
        <v>1004-2017-00735</v>
      </c>
      <c r="B750" s="233" t="str">
        <f>РПЗ!$D750</f>
        <v>1004-2017-00735Поставка Кабель соединительный оптический (двойной) ТУ6665-017-41085936-2009</v>
      </c>
      <c r="C750" s="233" t="str">
        <f>РПЗ!$AA750</f>
        <v>АО "НИИ "Полюс" им. М.Ф. Стельмаха" тел. отдела закупок 8-495-333-05-02</v>
      </c>
      <c r="D750" s="633" t="str">
        <f>РПЗ!$AB750</f>
        <v>Заказчик</v>
      </c>
      <c r="E750" s="510" t="s">
        <v>62</v>
      </c>
      <c r="F750" s="233" t="str">
        <f>РПЗ!Q750</f>
        <v>ЕП</v>
      </c>
      <c r="G750" s="237" t="str">
        <f>Таблица5[[#This Row],[6]]</f>
        <v>ЕП</v>
      </c>
      <c r="H750" s="237" t="str">
        <f>РПЗ!R750</f>
        <v>нет</v>
      </c>
      <c r="I750" s="15" t="str">
        <f>РПЗ!W750</f>
        <v>6.6.2(11)</v>
      </c>
      <c r="J750" s="233" t="str">
        <f>РПЗ!X750</f>
        <v>7731163035</v>
      </c>
      <c r="K750" s="283">
        <f>РПЗ!Z750</f>
        <v>1442807.24</v>
      </c>
      <c r="L750" s="17">
        <v>42852</v>
      </c>
      <c r="M750" s="18">
        <f>РПЗ!O750</f>
        <v>42776.5</v>
      </c>
      <c r="N750" s="238">
        <f>Таблица5[[#This Row],[10]]</f>
        <v>42776.5</v>
      </c>
      <c r="O750" s="17"/>
      <c r="P750" s="17"/>
      <c r="Q750" s="17"/>
      <c r="R750" s="17"/>
      <c r="S750" s="17"/>
      <c r="T750" s="686">
        <v>42884</v>
      </c>
      <c r="U750" s="18">
        <f>РПЗ!P750</f>
        <v>42826.5</v>
      </c>
      <c r="V750" s="686">
        <v>42917</v>
      </c>
      <c r="W750" s="236">
        <f>РПЗ!L750</f>
        <v>1442807.24</v>
      </c>
      <c r="X750" s="689">
        <v>1</v>
      </c>
      <c r="Y750" s="689">
        <v>0</v>
      </c>
      <c r="Z750" s="691">
        <v>7731163035</v>
      </c>
      <c r="AA750" s="691" t="s">
        <v>5134</v>
      </c>
      <c r="AB750" s="111">
        <v>1442807.24</v>
      </c>
      <c r="AC750" s="17">
        <v>42917</v>
      </c>
      <c r="AD750" s="690" t="s">
        <v>5135</v>
      </c>
      <c r="AE750" s="686">
        <v>42884</v>
      </c>
      <c r="AF750" s="474"/>
      <c r="AG750" s="692">
        <v>1442807.24</v>
      </c>
      <c r="AH750" s="236">
        <f>IF(Таблица5[[#This Row],[30]]=0,"НД",Таблица5[[#This Row],[20]]-Таблица5[[#This Row],[30]])</f>
        <v>0</v>
      </c>
      <c r="AI750" s="511">
        <f>IF(((1-Таблица5[[#This Row],[30]]/Таблица5[[#This Row],[20]])=1),"НД",(1-Таблица5[[#This Row],[30]]/Таблица5[[#This Row],[20]]))</f>
        <v>0</v>
      </c>
      <c r="AJ750" s="111">
        <v>1442807.24</v>
      </c>
      <c r="AK750" s="111"/>
      <c r="AL750" s="512"/>
      <c r="AM750" s="513" t="s">
        <v>113</v>
      </c>
      <c r="AN750" s="801">
        <v>31705122116</v>
      </c>
      <c r="AO750" s="468" t="str">
        <f>РПЗ!AD750</f>
        <v>Нет</v>
      </c>
      <c r="AP750" s="472">
        <f>РПЗ!V750</f>
        <v>0</v>
      </c>
      <c r="AQ750" s="470">
        <f>IF(Таблица5[[#This Row],[11]]=0,,MONTH(Таблица5[[#This Row],[11]]))</f>
        <v>2</v>
      </c>
    </row>
    <row r="751" spans="1:43" ht="39" thickBot="1" x14ac:dyDescent="0.3">
      <c r="A751" s="233" t="str">
        <f t="shared" si="11"/>
        <v>1004-2017-00736</v>
      </c>
      <c r="B751" s="233" t="str">
        <f>РПЗ!$D751</f>
        <v>1004-2017-00736Поставка Компенсатор CuW СПИ.302.001Б</v>
      </c>
      <c r="C751" s="233" t="str">
        <f>РПЗ!$AA751</f>
        <v>АО "НИИ "Полюс" им. М.Ф. Стельмаха" тел. отдела закупок 8-495-333-05-02</v>
      </c>
      <c r="D751" s="633" t="str">
        <f>РПЗ!$AB751</f>
        <v>Заказчик</v>
      </c>
      <c r="E751" s="96" t="s">
        <v>46</v>
      </c>
      <c r="F751" s="233" t="str">
        <f>РПЗ!Q751</f>
        <v>ЕП</v>
      </c>
      <c r="G751" s="237"/>
      <c r="H751" s="237" t="str">
        <f>РПЗ!R751</f>
        <v>нет</v>
      </c>
      <c r="I751" s="15" t="str">
        <f>РПЗ!W751</f>
        <v>6.6.2(10)</v>
      </c>
      <c r="J751" s="233">
        <f>РПЗ!X751</f>
        <v>0</v>
      </c>
      <c r="K751" s="283">
        <f>РПЗ!Z751</f>
        <v>0</v>
      </c>
      <c r="L751" s="17"/>
      <c r="M751" s="18">
        <f>РПЗ!O751</f>
        <v>42776.5</v>
      </c>
      <c r="N751" s="238">
        <f>Таблица5[[#This Row],[10]]</f>
        <v>42776.5</v>
      </c>
      <c r="O751" s="17"/>
      <c r="P751" s="17"/>
      <c r="Q751" s="17"/>
      <c r="R751" s="17"/>
      <c r="S751" s="17"/>
      <c r="T751" s="686"/>
      <c r="U751" s="18">
        <f>РПЗ!P751</f>
        <v>42826.5</v>
      </c>
      <c r="V751" s="686"/>
      <c r="W751" s="236">
        <f>РПЗ!L751</f>
        <v>200000</v>
      </c>
      <c r="X751" s="689"/>
      <c r="Y751" s="689"/>
      <c r="Z751" s="690"/>
      <c r="AA751" s="691"/>
      <c r="AB751" s="111"/>
      <c r="AC751" s="17"/>
      <c r="AD751" s="690"/>
      <c r="AE751" s="686"/>
      <c r="AF751" s="474"/>
      <c r="AG751" s="692"/>
      <c r="AH751" s="236" t="str">
        <f>IF(Таблица5[[#This Row],[30]]=0,"НД",Таблица5[[#This Row],[20]]-Таблица5[[#This Row],[30]])</f>
        <v>НД</v>
      </c>
      <c r="AI751" s="511" t="str">
        <f>IF(((1-Таблица5[[#This Row],[30]]/Таблица5[[#This Row],[20]])=1),"НД",(1-Таблица5[[#This Row],[30]]/Таблица5[[#This Row],[20]]))</f>
        <v>НД</v>
      </c>
      <c r="AJ751" s="111"/>
      <c r="AK751" s="111"/>
      <c r="AL751" s="512"/>
      <c r="AM751" s="513"/>
      <c r="AN751" s="465"/>
      <c r="AO751" s="468" t="str">
        <f>РПЗ!AD751</f>
        <v>Нет</v>
      </c>
      <c r="AP751" s="472">
        <f>РПЗ!V751</f>
        <v>0</v>
      </c>
      <c r="AQ751" s="470">
        <f>IF(Таблица5[[#This Row],[11]]=0,,MONTH(Таблица5[[#This Row],[11]]))</f>
        <v>2</v>
      </c>
    </row>
    <row r="752" spans="1:43" ht="39" thickBot="1" x14ac:dyDescent="0.3">
      <c r="A752" s="233" t="str">
        <f t="shared" si="11"/>
        <v>1004-2017-00737</v>
      </c>
      <c r="B752" s="233" t="str">
        <f>РПЗ!$D752</f>
        <v xml:space="preserve">1004-2017-00737Поставка  Комплект корпусных деталей для ПОМ </v>
      </c>
      <c r="C752" s="233" t="str">
        <f>РПЗ!$AA752</f>
        <v>АО "НИИ "Полюс" им. М.Ф. Стельмаха" тел. отдела закупок 8-495-333-05-02</v>
      </c>
      <c r="D752" s="633" t="str">
        <f>РПЗ!$AB752</f>
        <v>Заказчик</v>
      </c>
      <c r="E752" s="96" t="s">
        <v>46</v>
      </c>
      <c r="F752" s="233" t="str">
        <f>РПЗ!Q752</f>
        <v>ЕП</v>
      </c>
      <c r="G752" s="237"/>
      <c r="H752" s="237" t="str">
        <f>РПЗ!R752</f>
        <v>нет</v>
      </c>
      <c r="I752" s="15" t="str">
        <f>РПЗ!W752</f>
        <v>6.6.2(10)</v>
      </c>
      <c r="J752" s="233">
        <f>РПЗ!X752</f>
        <v>0</v>
      </c>
      <c r="K752" s="283">
        <f>РПЗ!Z752</f>
        <v>0</v>
      </c>
      <c r="L752" s="17"/>
      <c r="M752" s="18">
        <f>РПЗ!O752</f>
        <v>42776.5</v>
      </c>
      <c r="N752" s="238">
        <f>Таблица5[[#This Row],[10]]</f>
        <v>42776.5</v>
      </c>
      <c r="O752" s="17"/>
      <c r="P752" s="17"/>
      <c r="Q752" s="17"/>
      <c r="R752" s="17"/>
      <c r="S752" s="17"/>
      <c r="T752" s="686"/>
      <c r="U752" s="18">
        <f>РПЗ!P752</f>
        <v>42826.5</v>
      </c>
      <c r="V752" s="686"/>
      <c r="W752" s="236">
        <f>РПЗ!L752</f>
        <v>1000000</v>
      </c>
      <c r="X752" s="689"/>
      <c r="Y752" s="689"/>
      <c r="Z752" s="690"/>
      <c r="AA752" s="691"/>
      <c r="AB752" s="111"/>
      <c r="AC752" s="17"/>
      <c r="AD752" s="690"/>
      <c r="AE752" s="686"/>
      <c r="AF752" s="474"/>
      <c r="AG752" s="692"/>
      <c r="AH752" s="236" t="str">
        <f>IF(Таблица5[[#This Row],[30]]=0,"НД",Таблица5[[#This Row],[20]]-Таблица5[[#This Row],[30]])</f>
        <v>НД</v>
      </c>
      <c r="AI752" s="511" t="str">
        <f>IF(((1-Таблица5[[#This Row],[30]]/Таблица5[[#This Row],[20]])=1),"НД",(1-Таблица5[[#This Row],[30]]/Таблица5[[#This Row],[20]]))</f>
        <v>НД</v>
      </c>
      <c r="AJ752" s="111"/>
      <c r="AK752" s="111"/>
      <c r="AL752" s="512"/>
      <c r="AM752" s="513"/>
      <c r="AN752" s="465"/>
      <c r="AO752" s="468" t="str">
        <f>РПЗ!AD752</f>
        <v>Нет</v>
      </c>
      <c r="AP752" s="472">
        <f>РПЗ!V752</f>
        <v>0</v>
      </c>
      <c r="AQ752" s="470">
        <f>IF(Таблица5[[#This Row],[11]]=0,,MONTH(Таблица5[[#This Row],[11]]))</f>
        <v>2</v>
      </c>
    </row>
    <row r="753" spans="1:43" ht="39" thickBot="1" x14ac:dyDescent="0.3">
      <c r="A753" s="233" t="str">
        <f t="shared" si="11"/>
        <v>1004-2017-00738</v>
      </c>
      <c r="B753" s="233" t="str">
        <f>РПЗ!$D753</f>
        <v>1004-2017-00738Поставка Комплект корпусных деталей для ПрОМ</v>
      </c>
      <c r="C753" s="233" t="str">
        <f>РПЗ!$AA753</f>
        <v>АО "НИИ "Полюс" им. М.Ф. Стельмаха" тел. отдела закупок 8-495-333-05-02</v>
      </c>
      <c r="D753" s="633" t="str">
        <f>РПЗ!$AB753</f>
        <v>Заказчик</v>
      </c>
      <c r="E753" s="96" t="s">
        <v>46</v>
      </c>
      <c r="F753" s="233" t="str">
        <f>РПЗ!Q753</f>
        <v>ЕП</v>
      </c>
      <c r="G753" s="237"/>
      <c r="H753" s="237" t="str">
        <f>РПЗ!R753</f>
        <v>нет</v>
      </c>
      <c r="I753" s="15" t="str">
        <f>РПЗ!W753</f>
        <v>6.6.2(10)</v>
      </c>
      <c r="J753" s="233">
        <f>РПЗ!X753</f>
        <v>0</v>
      </c>
      <c r="K753" s="283">
        <f>РПЗ!Z753</f>
        <v>0</v>
      </c>
      <c r="L753" s="17"/>
      <c r="M753" s="18">
        <f>РПЗ!O753</f>
        <v>42776.5</v>
      </c>
      <c r="N753" s="238">
        <f>Таблица5[[#This Row],[10]]</f>
        <v>42776.5</v>
      </c>
      <c r="O753" s="17"/>
      <c r="P753" s="17"/>
      <c r="Q753" s="17"/>
      <c r="R753" s="17"/>
      <c r="S753" s="17"/>
      <c r="T753" s="686"/>
      <c r="U753" s="18">
        <f>РПЗ!P753</f>
        <v>42826.5</v>
      </c>
      <c r="V753" s="686"/>
      <c r="W753" s="236">
        <f>РПЗ!L753</f>
        <v>750000</v>
      </c>
      <c r="X753" s="689"/>
      <c r="Y753" s="689"/>
      <c r="Z753" s="690"/>
      <c r="AA753" s="691"/>
      <c r="AB753" s="111"/>
      <c r="AC753" s="17"/>
      <c r="AD753" s="690"/>
      <c r="AE753" s="686"/>
      <c r="AF753" s="474"/>
      <c r="AG753" s="692"/>
      <c r="AH753" s="236" t="str">
        <f>IF(Таблица5[[#This Row],[30]]=0,"НД",Таблица5[[#This Row],[20]]-Таблица5[[#This Row],[30]])</f>
        <v>НД</v>
      </c>
      <c r="AI753" s="511" t="str">
        <f>IF(((1-Таблица5[[#This Row],[30]]/Таблица5[[#This Row],[20]])=1),"НД",(1-Таблица5[[#This Row],[30]]/Таблица5[[#This Row],[20]]))</f>
        <v>НД</v>
      </c>
      <c r="AJ753" s="111"/>
      <c r="AK753" s="111"/>
      <c r="AL753" s="512"/>
      <c r="AM753" s="513"/>
      <c r="AN753" s="465"/>
      <c r="AO753" s="468" t="str">
        <f>РПЗ!AD753</f>
        <v>Нет</v>
      </c>
      <c r="AP753" s="472">
        <f>РПЗ!V753</f>
        <v>0</v>
      </c>
      <c r="AQ753" s="470">
        <f>IF(Таблица5[[#This Row],[11]]=0,,MONTH(Таблица5[[#This Row],[11]]))</f>
        <v>2</v>
      </c>
    </row>
    <row r="754" spans="1:43" ht="38.25" x14ac:dyDescent="0.25">
      <c r="A754" s="233" t="str">
        <f t="shared" si="11"/>
        <v>1004-2017-00739</v>
      </c>
      <c r="B754" s="233" t="str">
        <f>РПЗ!$D754</f>
        <v>1004-2017-00739Поставка Вставка 4-х выводная 300 Э 724.20</v>
      </c>
      <c r="C754" s="233" t="str">
        <f>РПЗ!$AA754</f>
        <v>АО "НИИ "Полюс" им. М.Ф. Стельмаха" тел. отдела закупок 8-495-333-05-02</v>
      </c>
      <c r="D754" s="633" t="str">
        <f>РПЗ!$AB754</f>
        <v>Заказчик</v>
      </c>
      <c r="E754" s="96" t="s">
        <v>46</v>
      </c>
      <c r="F754" s="233" t="str">
        <f>РПЗ!Q754</f>
        <v>ЕП</v>
      </c>
      <c r="G754" s="237"/>
      <c r="H754" s="237" t="str">
        <f>РПЗ!R754</f>
        <v>нет</v>
      </c>
      <c r="I754" s="15" t="str">
        <f>РПЗ!W754</f>
        <v>6.6.2(11)</v>
      </c>
      <c r="J754" s="233">
        <f>РПЗ!X754</f>
        <v>0</v>
      </c>
      <c r="K754" s="283">
        <f>РПЗ!Z754</f>
        <v>0</v>
      </c>
      <c r="L754" s="17"/>
      <c r="M754" s="18">
        <f>РПЗ!O754</f>
        <v>42776.5</v>
      </c>
      <c r="N754" s="238">
        <f>Таблица5[[#This Row],[10]]</f>
        <v>42776.5</v>
      </c>
      <c r="O754" s="17"/>
      <c r="P754" s="17"/>
      <c r="Q754" s="17"/>
      <c r="R754" s="17"/>
      <c r="S754" s="17"/>
      <c r="T754" s="686"/>
      <c r="U754" s="18">
        <f>РПЗ!P754</f>
        <v>42826.5</v>
      </c>
      <c r="V754" s="686"/>
      <c r="W754" s="236">
        <f>РПЗ!L754</f>
        <v>172000</v>
      </c>
      <c r="X754" s="689"/>
      <c r="Y754" s="689"/>
      <c r="Z754" s="690"/>
      <c r="AA754" s="691"/>
      <c r="AB754" s="111"/>
      <c r="AC754" s="17"/>
      <c r="AD754" s="690"/>
      <c r="AE754" s="686"/>
      <c r="AF754" s="474"/>
      <c r="AG754" s="692"/>
      <c r="AH754" s="236" t="str">
        <f>IF(Таблица5[[#This Row],[30]]=0,"НД",Таблица5[[#This Row],[20]]-Таблица5[[#This Row],[30]])</f>
        <v>НД</v>
      </c>
      <c r="AI754" s="511" t="str">
        <f>IF(((1-Таблица5[[#This Row],[30]]/Таблица5[[#This Row],[20]])=1),"НД",(1-Таблица5[[#This Row],[30]]/Таблица5[[#This Row],[20]]))</f>
        <v>НД</v>
      </c>
      <c r="AJ754" s="111"/>
      <c r="AK754" s="111"/>
      <c r="AL754" s="512"/>
      <c r="AM754" s="513"/>
      <c r="AN754" s="465"/>
      <c r="AO754" s="468" t="str">
        <f>РПЗ!AD754</f>
        <v>Нет</v>
      </c>
      <c r="AP754" s="472">
        <f>РПЗ!V754</f>
        <v>0</v>
      </c>
      <c r="AQ754" s="470">
        <f>IF(Таблица5[[#This Row],[11]]=0,,MONTH(Таблица5[[#This Row],[11]]))</f>
        <v>2</v>
      </c>
    </row>
    <row r="755" spans="1:43" ht="39" thickBot="1" x14ac:dyDescent="0.3">
      <c r="A755" s="233" t="str">
        <f t="shared" ref="A755:A818" si="12">INDEX(Диапазон1,ROW(), COLUMN())</f>
        <v>1004-2017-00740</v>
      </c>
      <c r="B755" s="233" t="str">
        <f>РПЗ!$D755</f>
        <v>1004-2017-00740Поставка  Оптический усилитель EFA-200C-20-E-FA-UM</v>
      </c>
      <c r="C755" s="233" t="str">
        <f>РПЗ!$AA755</f>
        <v>АО "НИИ "Полюс" им. М.Ф. Стельмаха" тел. отдела закупок 8-495-333-05-02</v>
      </c>
      <c r="D755" s="633" t="str">
        <f>РПЗ!$AB755</f>
        <v>Заказчик</v>
      </c>
      <c r="E755" s="510" t="s">
        <v>62</v>
      </c>
      <c r="F755" s="233" t="str">
        <f>РПЗ!Q755</f>
        <v>ЕП</v>
      </c>
      <c r="G755" s="237" t="str">
        <f>Таблица5[[#This Row],[6]]</f>
        <v>ЕП</v>
      </c>
      <c r="H755" s="237" t="str">
        <f>РПЗ!R755</f>
        <v>нет</v>
      </c>
      <c r="I755" s="15" t="str">
        <f>РПЗ!W755</f>
        <v>6.6.2(9)</v>
      </c>
      <c r="J755" s="233" t="str">
        <f>РПЗ!X755</f>
        <v>7840422875</v>
      </c>
      <c r="K755" s="283">
        <f>РПЗ!Z755</f>
        <v>435714.55</v>
      </c>
      <c r="L755" s="17">
        <v>42842</v>
      </c>
      <c r="M755" s="18">
        <f>РПЗ!O755</f>
        <v>42835.5</v>
      </c>
      <c r="N755" s="238">
        <f>Таблица5[[#This Row],[10]]</f>
        <v>42835.5</v>
      </c>
      <c r="O755" s="17"/>
      <c r="P755" s="17"/>
      <c r="Q755" s="17"/>
      <c r="R755" s="17"/>
      <c r="S755" s="17"/>
      <c r="T755" s="686">
        <v>42852</v>
      </c>
      <c r="U755" s="18">
        <f>РПЗ!P755</f>
        <v>42826.5</v>
      </c>
      <c r="V755" s="686">
        <v>43070</v>
      </c>
      <c r="W755" s="236">
        <f>РПЗ!L755</f>
        <v>435714.55</v>
      </c>
      <c r="X755" s="689">
        <v>1</v>
      </c>
      <c r="Y755" s="689">
        <v>0</v>
      </c>
      <c r="Z755" s="691">
        <v>7840422875</v>
      </c>
      <c r="AA755" s="691" t="s">
        <v>6044</v>
      </c>
      <c r="AB755" s="111">
        <v>435714.55</v>
      </c>
      <c r="AC755" s="17">
        <v>43070</v>
      </c>
      <c r="AD755" s="690" t="s">
        <v>6046</v>
      </c>
      <c r="AE755" s="686">
        <v>42852</v>
      </c>
      <c r="AF755" s="474"/>
      <c r="AG755" s="692">
        <v>435714.55</v>
      </c>
      <c r="AH755" s="236">
        <f>IF(Таблица5[[#This Row],[30]]=0,"НД",Таблица5[[#This Row],[20]]-Таблица5[[#This Row],[30]])</f>
        <v>0</v>
      </c>
      <c r="AI755" s="511">
        <f>IF(((1-Таблица5[[#This Row],[30]]/Таблица5[[#This Row],[20]])=1),"НД",(1-Таблица5[[#This Row],[30]]/Таблица5[[#This Row],[20]]))</f>
        <v>0</v>
      </c>
      <c r="AJ755" s="111">
        <v>435714.55</v>
      </c>
      <c r="AK755" s="111"/>
      <c r="AL755" s="512"/>
      <c r="AM755" s="513" t="s">
        <v>113</v>
      </c>
      <c r="AN755" s="801">
        <v>31705027586</v>
      </c>
      <c r="AO755" s="468" t="str">
        <f>РПЗ!AD755</f>
        <v>Нет</v>
      </c>
      <c r="AP755" s="472">
        <f>РПЗ!V755</f>
        <v>0</v>
      </c>
      <c r="AQ755" s="470">
        <f>IF(Таблица5[[#This Row],[11]]=0,,MONTH(Таблица5[[#This Row],[11]]))</f>
        <v>4</v>
      </c>
    </row>
    <row r="756" spans="1:43" ht="63.75" x14ac:dyDescent="0.25">
      <c r="A756" s="233" t="str">
        <f t="shared" si="12"/>
        <v>1004-2017-00741</v>
      </c>
      <c r="B756" s="233" t="str">
        <f>РПЗ!$D756</f>
        <v>1004-2017-00741Поставка Набор из 3-осной платформы, 3 дифференциальных микрометров и пьезоконтроллера THORLABS MDT630B/M</v>
      </c>
      <c r="C756" s="233" t="str">
        <f>РПЗ!$AA756</f>
        <v>АО "НИИ "Полюс" им. М.Ф. Стельмаха" тел. отдела закупок 8-495-333-05-02</v>
      </c>
      <c r="D756" s="633" t="str">
        <f>РПЗ!$AB756</f>
        <v>Заказчик</v>
      </c>
      <c r="E756" s="96" t="s">
        <v>46</v>
      </c>
      <c r="F756" s="233" t="str">
        <f>РПЗ!Q756</f>
        <v>ЕП</v>
      </c>
      <c r="G756" s="237"/>
      <c r="H756" s="237" t="str">
        <f>РПЗ!R756</f>
        <v>нет</v>
      </c>
      <c r="I756" s="15" t="str">
        <f>РПЗ!W756</f>
        <v>6.6.2(9)</v>
      </c>
      <c r="J756" s="233">
        <f>РПЗ!X756</f>
        <v>0</v>
      </c>
      <c r="K756" s="283">
        <f>РПЗ!Z756</f>
        <v>0</v>
      </c>
      <c r="L756" s="17"/>
      <c r="M756" s="18">
        <f>РПЗ!O756</f>
        <v>42776.5</v>
      </c>
      <c r="N756" s="238">
        <f>Таблица5[[#This Row],[10]]</f>
        <v>42776.5</v>
      </c>
      <c r="O756" s="17"/>
      <c r="P756" s="17"/>
      <c r="Q756" s="17"/>
      <c r="R756" s="17"/>
      <c r="S756" s="17"/>
      <c r="T756" s="686"/>
      <c r="U756" s="18">
        <f>РПЗ!P756</f>
        <v>42826.5</v>
      </c>
      <c r="V756" s="686"/>
      <c r="W756" s="236">
        <f>РПЗ!L756</f>
        <v>615576</v>
      </c>
      <c r="X756" s="689"/>
      <c r="Y756" s="689"/>
      <c r="Z756" s="690"/>
      <c r="AA756" s="691"/>
      <c r="AB756" s="111"/>
      <c r="AC756" s="17"/>
      <c r="AD756" s="690"/>
      <c r="AE756" s="686"/>
      <c r="AF756" s="474"/>
      <c r="AG756" s="692"/>
      <c r="AH756" s="236" t="str">
        <f>IF(Таблица5[[#This Row],[30]]=0,"НД",Таблица5[[#This Row],[20]]-Таблица5[[#This Row],[30]])</f>
        <v>НД</v>
      </c>
      <c r="AI756" s="511" t="str">
        <f>IF(((1-Таблица5[[#This Row],[30]]/Таблица5[[#This Row],[20]])=1),"НД",(1-Таблица5[[#This Row],[30]]/Таблица5[[#This Row],[20]]))</f>
        <v>НД</v>
      </c>
      <c r="AJ756" s="111"/>
      <c r="AK756" s="111"/>
      <c r="AL756" s="512"/>
      <c r="AM756" s="513"/>
      <c r="AN756" s="465"/>
      <c r="AO756" s="468" t="str">
        <f>РПЗ!AD756</f>
        <v>Нет</v>
      </c>
      <c r="AP756" s="472">
        <f>РПЗ!V756</f>
        <v>0</v>
      </c>
      <c r="AQ756" s="470">
        <f>IF(Таблица5[[#This Row],[11]]=0,,MONTH(Таблица5[[#This Row],[11]]))</f>
        <v>2</v>
      </c>
    </row>
    <row r="757" spans="1:43" ht="51" x14ac:dyDescent="0.25">
      <c r="A757" s="233" t="str">
        <f t="shared" si="12"/>
        <v>1004-2017-00742</v>
      </c>
      <c r="B757" s="233" t="str">
        <f>РПЗ!$D757</f>
        <v>1004-2017-00742Поставка Мощный одномодовый лазер PSL-450 с одномодовым волокном на     =9/125</v>
      </c>
      <c r="C757" s="233" t="str">
        <f>РПЗ!$AA757</f>
        <v>АО "НИИ "Полюс" им. М.Ф. Стельмаха" тел. отдела закупок 8-495-333-05-02</v>
      </c>
      <c r="D757" s="633" t="str">
        <f>РПЗ!$AB757</f>
        <v>Заказчик</v>
      </c>
      <c r="E757" s="510" t="s">
        <v>62</v>
      </c>
      <c r="F757" s="233" t="str">
        <f>РПЗ!Q757</f>
        <v>ЕП</v>
      </c>
      <c r="G757" s="237" t="str">
        <f>Таблица5[[#This Row],[6]]</f>
        <v>ЕП</v>
      </c>
      <c r="H757" s="237" t="str">
        <f>РПЗ!R757</f>
        <v>нет</v>
      </c>
      <c r="I757" s="15" t="str">
        <f>РПЗ!W757</f>
        <v>6.6.2(9)</v>
      </c>
      <c r="J757" s="233" t="str">
        <f>РПЗ!X757</f>
        <v>7721166661</v>
      </c>
      <c r="K757" s="283">
        <f>РПЗ!Z757</f>
        <v>227622</v>
      </c>
      <c r="L757" s="17">
        <v>42842</v>
      </c>
      <c r="M757" s="18">
        <f>РПЗ!O757</f>
        <v>42835.5</v>
      </c>
      <c r="N757" s="238">
        <f>Таблица5[[#This Row],[10]]</f>
        <v>42835.5</v>
      </c>
      <c r="O757" s="17"/>
      <c r="P757" s="17"/>
      <c r="Q757" s="17"/>
      <c r="R757" s="17"/>
      <c r="S757" s="17"/>
      <c r="T757" s="686">
        <v>42846</v>
      </c>
      <c r="U757" s="18">
        <f>РПЗ!P757</f>
        <v>42826.5</v>
      </c>
      <c r="V757" s="686">
        <v>42887</v>
      </c>
      <c r="W757" s="236">
        <f>РПЗ!L757</f>
        <v>227622</v>
      </c>
      <c r="X757" s="689">
        <v>1</v>
      </c>
      <c r="Y757" s="689">
        <v>0</v>
      </c>
      <c r="Z757" s="691">
        <v>7721166661</v>
      </c>
      <c r="AA757" s="691" t="s">
        <v>3346</v>
      </c>
      <c r="AB757" s="111">
        <v>227622</v>
      </c>
      <c r="AC757" s="17">
        <v>42887</v>
      </c>
      <c r="AD757" s="690" t="s">
        <v>6035</v>
      </c>
      <c r="AE757" s="686">
        <v>42846</v>
      </c>
      <c r="AF757" s="474"/>
      <c r="AG757" s="692">
        <v>227622</v>
      </c>
      <c r="AH757" s="236">
        <f>IF(Таблица5[[#This Row],[30]]=0,"НД",Таблица5[[#This Row],[20]]-Таблица5[[#This Row],[30]])</f>
        <v>0</v>
      </c>
      <c r="AI757" s="511">
        <f>IF(((1-Таблица5[[#This Row],[30]]/Таблица5[[#This Row],[20]])=1),"НД",(1-Таблица5[[#This Row],[30]]/Таблица5[[#This Row],[20]]))</f>
        <v>0</v>
      </c>
      <c r="AJ757" s="111">
        <v>227622</v>
      </c>
      <c r="AK757" s="111"/>
      <c r="AL757" s="512"/>
      <c r="AM757" s="513" t="s">
        <v>113</v>
      </c>
      <c r="AN757" s="801">
        <v>31705027599</v>
      </c>
      <c r="AO757" s="468" t="str">
        <f>РПЗ!AD757</f>
        <v>Нет</v>
      </c>
      <c r="AP757" s="472">
        <f>РПЗ!V757</f>
        <v>0</v>
      </c>
      <c r="AQ757" s="470">
        <f>IF(Таблица5[[#This Row],[11]]=0,,MONTH(Таблица5[[#This Row],[11]]))</f>
        <v>4</v>
      </c>
    </row>
    <row r="758" spans="1:43" ht="102" x14ac:dyDescent="0.25">
      <c r="A758" s="233" t="str">
        <f t="shared" si="12"/>
        <v>1004-2017-00743</v>
      </c>
      <c r="B758" s="233" t="str">
        <f>РПЗ!$D758</f>
        <v>1004-2017-00743Проведение совместных исследований лазерных диодов на основе гетероструктур GaAlInP, анализ полученных результатов и разработка предложений по оптимизации конструкции и технологии лазерных диодов.</v>
      </c>
      <c r="C758" s="233" t="str">
        <f>РПЗ!$AA758</f>
        <v>АО "НИИ "Полюс" им. М.Ф. Стельмаха" тел. отдела закупок 8-495-333-05-02</v>
      </c>
      <c r="D758" s="633" t="str">
        <f>РПЗ!$AB758</f>
        <v>Заказчик</v>
      </c>
      <c r="E758" s="510" t="s">
        <v>62</v>
      </c>
      <c r="F758" s="233" t="str">
        <f>РПЗ!Q758</f>
        <v>ЕП</v>
      </c>
      <c r="G758" s="237" t="str">
        <f>Таблица5[[#This Row],[6]]</f>
        <v>ЕП</v>
      </c>
      <c r="H758" s="237" t="str">
        <f>РПЗ!R758</f>
        <v>нет</v>
      </c>
      <c r="I758" s="15" t="str">
        <f>РПЗ!W758</f>
        <v>6.6.2(7)</v>
      </c>
      <c r="J758" s="233" t="str">
        <f>РПЗ!X758</f>
        <v>7802072267</v>
      </c>
      <c r="K758" s="283" t="str">
        <f>РПЗ!Z758</f>
        <v>6 000 000</v>
      </c>
      <c r="L758" s="661" t="s">
        <v>2412</v>
      </c>
      <c r="M758" s="18">
        <f>РПЗ!O758</f>
        <v>42776.5</v>
      </c>
      <c r="N758" s="238">
        <f>Таблица5[[#This Row],[10]]</f>
        <v>42776.5</v>
      </c>
      <c r="O758" s="17"/>
      <c r="P758" s="17"/>
      <c r="Q758" s="17"/>
      <c r="R758" s="17"/>
      <c r="S758" s="17"/>
      <c r="T758" s="695" t="s">
        <v>3032</v>
      </c>
      <c r="U758" s="18">
        <f>РПЗ!P758</f>
        <v>43009.5</v>
      </c>
      <c r="V758" s="760">
        <v>43009</v>
      </c>
      <c r="W758" s="236">
        <f>РПЗ!L758</f>
        <v>6000000</v>
      </c>
      <c r="X758" s="689">
        <v>1</v>
      </c>
      <c r="Y758" s="689">
        <v>0</v>
      </c>
      <c r="Z758" s="765">
        <v>7802072267</v>
      </c>
      <c r="AA758" s="704" t="s">
        <v>3037</v>
      </c>
      <c r="AB758" s="700">
        <v>6000000</v>
      </c>
      <c r="AC758" s="808">
        <v>43009</v>
      </c>
      <c r="AD758" s="810" t="s">
        <v>3039</v>
      </c>
      <c r="AE758" s="703" t="s">
        <v>3032</v>
      </c>
      <c r="AF758" s="474"/>
      <c r="AG758" s="827">
        <v>6000000</v>
      </c>
      <c r="AH758" s="236">
        <f>IF(Таблица5[[#This Row],[30]]=0,"НД",Таблица5[[#This Row],[20]]-Таблица5[[#This Row],[30]])</f>
        <v>0</v>
      </c>
      <c r="AI758" s="511">
        <f>IF(((1-Таблица5[[#This Row],[30]]/Таблица5[[#This Row],[20]])=1),"НД",(1-Таблица5[[#This Row],[30]]/Таблица5[[#This Row],[20]]))</f>
        <v>0</v>
      </c>
      <c r="AJ758" s="111"/>
      <c r="AK758" s="111"/>
      <c r="AL758" s="512"/>
      <c r="AM758" s="513" t="s">
        <v>113</v>
      </c>
      <c r="AN758" s="801">
        <v>31704789069</v>
      </c>
      <c r="AO758" s="468" t="str">
        <f>РПЗ!AD758</f>
        <v>Нет</v>
      </c>
      <c r="AP758" s="472">
        <f>РПЗ!V758</f>
        <v>0</v>
      </c>
      <c r="AQ758" s="470">
        <f>IF(Таблица5[[#This Row],[11]]=0,,MONTH(Таблица5[[#This Row],[11]]))</f>
        <v>2</v>
      </c>
    </row>
    <row r="759" spans="1:43" ht="39" thickBot="1" x14ac:dyDescent="0.3">
      <c r="A759" s="233" t="str">
        <f t="shared" si="12"/>
        <v>1004-2017-00744</v>
      </c>
      <c r="B759" s="233" t="str">
        <f>РПЗ!$D759</f>
        <v>1004-2017-00744Выполнение Научно-техническое обоснование методики испытаний на безотказность</v>
      </c>
      <c r="C759" s="233" t="str">
        <f>РПЗ!$AA759</f>
        <v>АО "НИИ "Полюс" им. М.Ф. Стельмаха" тел. отдела закупок 8-495-333-05-02</v>
      </c>
      <c r="D759" s="633" t="str">
        <f>РПЗ!$AB759</f>
        <v>Заказчик</v>
      </c>
      <c r="E759" s="510" t="s">
        <v>62</v>
      </c>
      <c r="F759" s="233" t="str">
        <f>РПЗ!Q759</f>
        <v>ЕП</v>
      </c>
      <c r="G759" s="237" t="str">
        <f>Таблица5[[#This Row],[6]]</f>
        <v>ЕП</v>
      </c>
      <c r="H759" s="237" t="str">
        <f>РПЗ!R759</f>
        <v>нет</v>
      </c>
      <c r="I759" s="15" t="str">
        <f>РПЗ!W759</f>
        <v>6.6.2(7)</v>
      </c>
      <c r="J759" s="233" t="str">
        <f>РПЗ!X759</f>
        <v>5029008940</v>
      </c>
      <c r="K759" s="283" t="str">
        <f>РПЗ!Z759</f>
        <v>4 200 000</v>
      </c>
      <c r="L759" s="661" t="s">
        <v>2412</v>
      </c>
      <c r="M759" s="18">
        <f>РПЗ!O759</f>
        <v>42776.5</v>
      </c>
      <c r="N759" s="238">
        <f>Таблица5[[#This Row],[10]]</f>
        <v>42776.5</v>
      </c>
      <c r="O759" s="17"/>
      <c r="P759" s="17"/>
      <c r="Q759" s="17"/>
      <c r="R759" s="17"/>
      <c r="S759" s="17"/>
      <c r="T759" s="695" t="s">
        <v>3032</v>
      </c>
      <c r="U759" s="18">
        <f>РПЗ!P759</f>
        <v>42795.5</v>
      </c>
      <c r="V759" s="760">
        <v>42826</v>
      </c>
      <c r="W759" s="236">
        <f>РПЗ!L759</f>
        <v>4200000</v>
      </c>
      <c r="X759" s="689">
        <v>1</v>
      </c>
      <c r="Y759" s="689">
        <v>0</v>
      </c>
      <c r="Z759" s="765">
        <v>5029008940</v>
      </c>
      <c r="AA759" s="704" t="s">
        <v>3033</v>
      </c>
      <c r="AB759" s="700">
        <v>4200000</v>
      </c>
      <c r="AC759" s="808">
        <v>42826</v>
      </c>
      <c r="AD759" s="810" t="s">
        <v>3035</v>
      </c>
      <c r="AE759" s="703" t="s">
        <v>3032</v>
      </c>
      <c r="AF759" s="474"/>
      <c r="AG759" s="827">
        <v>4200000</v>
      </c>
      <c r="AH759" s="236">
        <f>IF(Таблица5[[#This Row],[30]]=0,"НД",Таблица5[[#This Row],[20]]-Таблица5[[#This Row],[30]])</f>
        <v>0</v>
      </c>
      <c r="AI759" s="511">
        <f>IF(((1-Таблица5[[#This Row],[30]]/Таблица5[[#This Row],[20]])=1),"НД",(1-Таблица5[[#This Row],[30]]/Таблица5[[#This Row],[20]]))</f>
        <v>0</v>
      </c>
      <c r="AJ759" s="111"/>
      <c r="AK759" s="111"/>
      <c r="AL759" s="512"/>
      <c r="AM759" s="513" t="s">
        <v>113</v>
      </c>
      <c r="AN759" s="801">
        <v>31704789145</v>
      </c>
      <c r="AO759" s="468" t="str">
        <f>РПЗ!AD759</f>
        <v>Нет</v>
      </c>
      <c r="AP759" s="472">
        <f>РПЗ!V759</f>
        <v>0</v>
      </c>
      <c r="AQ759" s="470">
        <f>IF(Таблица5[[#This Row],[11]]=0,,MONTH(Таблица5[[#This Row],[11]]))</f>
        <v>2</v>
      </c>
    </row>
    <row r="760" spans="1:43" ht="39" thickBot="1" x14ac:dyDescent="0.3">
      <c r="A760" s="233" t="str">
        <f t="shared" si="12"/>
        <v>1004-2017-00745</v>
      </c>
      <c r="B760" s="233" t="str">
        <f>РПЗ!$D760</f>
        <v>1004-2017-00745Поставка Сантехнические материалы</v>
      </c>
      <c r="C760" s="233" t="str">
        <f>РПЗ!$AA760</f>
        <v>АО "НИИ "Полюс" им. М.Ф. Стельмаха" тел. отдела закупок 8-495-333-05-02</v>
      </c>
      <c r="D760" s="633" t="str">
        <f>РПЗ!$AB760</f>
        <v>Заказчик</v>
      </c>
      <c r="E760" s="96" t="s">
        <v>46</v>
      </c>
      <c r="F760" s="233" t="str">
        <f>РПЗ!Q760</f>
        <v>ОЗК</v>
      </c>
      <c r="G760" s="237"/>
      <c r="H760" s="237" t="str">
        <f>РПЗ!R760</f>
        <v>да</v>
      </c>
      <c r="I760" s="15">
        <f>РПЗ!W760</f>
        <v>0</v>
      </c>
      <c r="J760" s="233">
        <f>РПЗ!X760</f>
        <v>0</v>
      </c>
      <c r="K760" s="283">
        <f>РПЗ!Z760</f>
        <v>0</v>
      </c>
      <c r="L760" s="17"/>
      <c r="M760" s="18">
        <f>РПЗ!O760</f>
        <v>42776.5</v>
      </c>
      <c r="N760" s="238">
        <f>Таблица5[[#This Row],[10]]</f>
        <v>42776.5</v>
      </c>
      <c r="O760" s="17"/>
      <c r="P760" s="17"/>
      <c r="Q760" s="17"/>
      <c r="R760" s="17"/>
      <c r="S760" s="17"/>
      <c r="T760" s="686"/>
      <c r="U760" s="18">
        <f>РПЗ!P760</f>
        <v>43070.5</v>
      </c>
      <c r="V760" s="686"/>
      <c r="W760" s="236">
        <f>РПЗ!L760</f>
        <v>194281.91</v>
      </c>
      <c r="X760" s="689"/>
      <c r="Y760" s="689"/>
      <c r="Z760" s="690"/>
      <c r="AA760" s="691"/>
      <c r="AB760" s="111"/>
      <c r="AC760" s="17"/>
      <c r="AD760" s="690"/>
      <c r="AE760" s="686"/>
      <c r="AF760" s="474"/>
      <c r="AG760" s="692"/>
      <c r="AH760" s="236" t="str">
        <f>IF(Таблица5[[#This Row],[30]]=0,"НД",Таблица5[[#This Row],[20]]-Таблица5[[#This Row],[30]])</f>
        <v>НД</v>
      </c>
      <c r="AI760" s="511" t="str">
        <f>IF(((1-Таблица5[[#This Row],[30]]/Таблица5[[#This Row],[20]])=1),"НД",(1-Таблица5[[#This Row],[30]]/Таблица5[[#This Row],[20]]))</f>
        <v>НД</v>
      </c>
      <c r="AJ760" s="111"/>
      <c r="AK760" s="111"/>
      <c r="AL760" s="512"/>
      <c r="AM760" s="513"/>
      <c r="AN760" s="465"/>
      <c r="AO760" s="468" t="str">
        <f>РПЗ!AD760</f>
        <v>Нет</v>
      </c>
      <c r="AP760" s="472">
        <f>РПЗ!V760</f>
        <v>0</v>
      </c>
      <c r="AQ760" s="470">
        <f>IF(Таблица5[[#This Row],[11]]=0,,MONTH(Таблица5[[#This Row],[11]]))</f>
        <v>2</v>
      </c>
    </row>
    <row r="761" spans="1:43" ht="51" x14ac:dyDescent="0.25">
      <c r="A761" s="233" t="str">
        <f t="shared" si="12"/>
        <v>1004-2017-00746</v>
      </c>
      <c r="B761" s="233" t="str">
        <f>РПЗ!$D761</f>
        <v>1004-2017-00746Поставка оказание услуг и по сопровождению закупочных процедур хаказчика на 2017г.</v>
      </c>
      <c r="C761" s="233" t="str">
        <f>РПЗ!$AA761</f>
        <v>АО "НИИ "Полюс" им. М.Ф. Стельмаха" тел. отдела закупок 8-495-333-05-02</v>
      </c>
      <c r="D761" s="633" t="str">
        <f>РПЗ!$AB761</f>
        <v>Заказчик</v>
      </c>
      <c r="E761" s="96" t="s">
        <v>46</v>
      </c>
      <c r="F761" s="233" t="str">
        <f>РПЗ!Q761</f>
        <v>ОЗК</v>
      </c>
      <c r="G761" s="237"/>
      <c r="H761" s="237" t="str">
        <f>РПЗ!R761</f>
        <v>да</v>
      </c>
      <c r="I761" s="15">
        <f>РПЗ!W761</f>
        <v>0</v>
      </c>
      <c r="J761" s="233">
        <f>РПЗ!X761</f>
        <v>0</v>
      </c>
      <c r="K761" s="283">
        <f>РПЗ!Z761</f>
        <v>0</v>
      </c>
      <c r="L761" s="17"/>
      <c r="M761" s="18">
        <f>РПЗ!O761</f>
        <v>42776.5</v>
      </c>
      <c r="N761" s="238">
        <f>Таблица5[[#This Row],[10]]</f>
        <v>42776.5</v>
      </c>
      <c r="O761" s="17"/>
      <c r="P761" s="17"/>
      <c r="Q761" s="17"/>
      <c r="R761" s="17"/>
      <c r="S761" s="17"/>
      <c r="T761" s="686"/>
      <c r="U761" s="18">
        <f>РПЗ!P761</f>
        <v>43100</v>
      </c>
      <c r="V761" s="686"/>
      <c r="W761" s="236">
        <f>РПЗ!L761</f>
        <v>115784</v>
      </c>
      <c r="X761" s="689"/>
      <c r="Y761" s="689"/>
      <c r="Z761" s="690"/>
      <c r="AA761" s="691"/>
      <c r="AB761" s="111"/>
      <c r="AC761" s="17"/>
      <c r="AD761" s="690"/>
      <c r="AE761" s="686"/>
      <c r="AF761" s="474"/>
      <c r="AG761" s="692"/>
      <c r="AH761" s="236" t="str">
        <f>IF(Таблица5[[#This Row],[30]]=0,"НД",Таблица5[[#This Row],[20]]-Таблица5[[#This Row],[30]])</f>
        <v>НД</v>
      </c>
      <c r="AI761" s="511" t="str">
        <f>IF(((1-Таблица5[[#This Row],[30]]/Таблица5[[#This Row],[20]])=1),"НД",(1-Таблица5[[#This Row],[30]]/Таблица5[[#This Row],[20]]))</f>
        <v>НД</v>
      </c>
      <c r="AJ761" s="111"/>
      <c r="AK761" s="111"/>
      <c r="AL761" s="512"/>
      <c r="AM761" s="513"/>
      <c r="AN761" s="465"/>
      <c r="AO761" s="468" t="str">
        <f>РПЗ!AD761</f>
        <v>Нет</v>
      </c>
      <c r="AP761" s="472">
        <f>РПЗ!V761</f>
        <v>0</v>
      </c>
      <c r="AQ761" s="470">
        <f>IF(Таблица5[[#This Row],[11]]=0,,MONTH(Таблица5[[#This Row],[11]]))</f>
        <v>2</v>
      </c>
    </row>
    <row r="762" spans="1:43" ht="38.25" x14ac:dyDescent="0.25">
      <c r="A762" s="233" t="str">
        <f t="shared" si="12"/>
        <v>1004-2017-00747</v>
      </c>
      <c r="B762" s="233" t="str">
        <f>РПЗ!$D762</f>
        <v xml:space="preserve">1004-2017-00747Поставка комплект электроизделий </v>
      </c>
      <c r="C762" s="233" t="str">
        <f>РПЗ!$AA762</f>
        <v>АО "НИИ "Полюс" им. М.Ф. Стельмаха" тел. отдела закупок 8-495-333-05-02</v>
      </c>
      <c r="D762" s="633" t="str">
        <f>РПЗ!$AB762</f>
        <v>Заказчик</v>
      </c>
      <c r="E762" s="510" t="s">
        <v>62</v>
      </c>
      <c r="F762" s="233" t="str">
        <f>РПЗ!Q762</f>
        <v>ОЗК</v>
      </c>
      <c r="G762" s="237" t="str">
        <f>Таблица5[[#This Row],[6]]</f>
        <v>ОЗК</v>
      </c>
      <c r="H762" s="237" t="str">
        <f>РПЗ!R762</f>
        <v>да</v>
      </c>
      <c r="I762" s="15">
        <f>РПЗ!W762</f>
        <v>0</v>
      </c>
      <c r="J762" s="233">
        <f>РПЗ!X762</f>
        <v>0</v>
      </c>
      <c r="K762" s="283">
        <f>РПЗ!Z762</f>
        <v>0</v>
      </c>
      <c r="L762" s="17">
        <v>42895</v>
      </c>
      <c r="M762" s="18">
        <f>РПЗ!O762</f>
        <v>42896.5</v>
      </c>
      <c r="N762" s="238">
        <f>Таблица5[[#This Row],[10]]</f>
        <v>42896.5</v>
      </c>
      <c r="O762" s="17">
        <v>42906</v>
      </c>
      <c r="P762" s="17">
        <v>42909</v>
      </c>
      <c r="Q762" s="17">
        <v>42909</v>
      </c>
      <c r="R762" s="17">
        <v>42909</v>
      </c>
      <c r="S762" s="17">
        <v>42909</v>
      </c>
      <c r="T762" s="686">
        <v>42922</v>
      </c>
      <c r="U762" s="18">
        <f>РПЗ!P762</f>
        <v>43100</v>
      </c>
      <c r="V762" s="686">
        <v>42948</v>
      </c>
      <c r="W762" s="236">
        <f>РПЗ!L762</f>
        <v>174772.74</v>
      </c>
      <c r="X762" s="689">
        <v>2</v>
      </c>
      <c r="Y762" s="689">
        <v>0</v>
      </c>
      <c r="Z762" s="691">
        <v>7804274156</v>
      </c>
      <c r="AA762" s="691" t="s">
        <v>6469</v>
      </c>
      <c r="AB762" s="111">
        <v>153492.04</v>
      </c>
      <c r="AC762" s="17">
        <v>42948</v>
      </c>
      <c r="AD762" s="690" t="s">
        <v>6468</v>
      </c>
      <c r="AE762" s="686">
        <v>42922</v>
      </c>
      <c r="AF762" s="474"/>
      <c r="AG762" s="692">
        <v>153492.04</v>
      </c>
      <c r="AH762" s="236">
        <f>IF(Таблица5[[#This Row],[30]]=0,"НД",Таблица5[[#This Row],[20]]-Таблица5[[#This Row],[30]])</f>
        <v>21280.699999999983</v>
      </c>
      <c r="AI762" s="511">
        <f>IF(((1-Таблица5[[#This Row],[30]]/Таблица5[[#This Row],[20]])=1),"НД",(1-Таблица5[[#This Row],[30]]/Таблица5[[#This Row],[20]]))</f>
        <v>0.12176212377284912</v>
      </c>
      <c r="AJ762" s="111">
        <v>153492.04</v>
      </c>
      <c r="AK762" s="111"/>
      <c r="AL762" s="512"/>
      <c r="AM762" s="513" t="s">
        <v>113</v>
      </c>
      <c r="AN762" s="801">
        <v>31705206893</v>
      </c>
      <c r="AO762" s="468" t="str">
        <f>РПЗ!AD762</f>
        <v>Нет</v>
      </c>
      <c r="AP762" s="472">
        <f>РПЗ!V762</f>
        <v>0</v>
      </c>
      <c r="AQ762" s="470">
        <f>IF(Таблица5[[#This Row],[11]]=0,,MONTH(Таблица5[[#This Row],[11]]))</f>
        <v>6</v>
      </c>
    </row>
    <row r="763" spans="1:43" s="681" customFormat="1" ht="39" thickBot="1" x14ac:dyDescent="0.3">
      <c r="A763" s="691" t="str">
        <f t="shared" si="12"/>
        <v>1004-2017-00748</v>
      </c>
      <c r="B763" s="691" t="str">
        <f>РПЗ!$D763</f>
        <v xml:space="preserve">1004-2017-00748Поставка Комплект электрических изделий </v>
      </c>
      <c r="C763" s="691" t="str">
        <f>РПЗ!$AA763</f>
        <v>АО "НИИ "Полюс" им. М.Ф. Стельмаха" тел. отдела закупок 8-495-333-05-02</v>
      </c>
      <c r="D763" s="706" t="str">
        <f>РПЗ!$AB763</f>
        <v>Заказчик</v>
      </c>
      <c r="E763" s="691" t="s">
        <v>62</v>
      </c>
      <c r="F763" s="691" t="str">
        <f>РПЗ!Q763</f>
        <v>ОЗК</v>
      </c>
      <c r="G763" s="691" t="str">
        <f>Таблица5[[#This Row],[6]]</f>
        <v>ОЗК</v>
      </c>
      <c r="H763" s="691" t="str">
        <f>РПЗ!R763</f>
        <v>да</v>
      </c>
      <c r="I763" s="707">
        <f>РПЗ!W763</f>
        <v>0</v>
      </c>
      <c r="J763" s="691">
        <f>РПЗ!X763</f>
        <v>0</v>
      </c>
      <c r="K763" s="708">
        <f>РПЗ!Z763</f>
        <v>0</v>
      </c>
      <c r="L763" s="686">
        <v>42830</v>
      </c>
      <c r="M763" s="687">
        <f>РПЗ!O763</f>
        <v>42776.5</v>
      </c>
      <c r="N763" s="687">
        <f>Таблица5[[#This Row],[10]]</f>
        <v>42776.5</v>
      </c>
      <c r="O763" s="686">
        <v>42836</v>
      </c>
      <c r="P763" s="686">
        <v>42839</v>
      </c>
      <c r="Q763" s="686">
        <v>42839</v>
      </c>
      <c r="R763" s="686">
        <v>42836</v>
      </c>
      <c r="S763" s="686">
        <v>42836</v>
      </c>
      <c r="T763" s="686">
        <v>42850</v>
      </c>
      <c r="U763" s="687">
        <f>РПЗ!P763</f>
        <v>43100</v>
      </c>
      <c r="V763" s="761">
        <v>42856</v>
      </c>
      <c r="W763" s="692">
        <f>РПЗ!L763</f>
        <v>146443.94</v>
      </c>
      <c r="X763" s="689">
        <v>2</v>
      </c>
      <c r="Y763" s="689">
        <v>0</v>
      </c>
      <c r="Z763" s="691">
        <v>7811483520</v>
      </c>
      <c r="AA763" s="691" t="s">
        <v>3352</v>
      </c>
      <c r="AB763" s="692">
        <v>134378.07999999999</v>
      </c>
      <c r="AC763" s="686">
        <v>42856</v>
      </c>
      <c r="AD763" s="690" t="s">
        <v>6080</v>
      </c>
      <c r="AE763" s="686">
        <v>42850</v>
      </c>
      <c r="AF763" s="690"/>
      <c r="AG763" s="913">
        <v>134378.07999999999</v>
      </c>
      <c r="AH763" s="692">
        <f>IF(Таблица5[[#This Row],[30]]=0,"НД",Таблица5[[#This Row],[20]]-Таблица5[[#This Row],[30]])</f>
        <v>12065.860000000015</v>
      </c>
      <c r="AI763" s="709">
        <f>IF(((1-Таблица5[[#This Row],[30]]/Таблица5[[#This Row],[20]])=1),"НД",(1-Таблица5[[#This Row],[30]]/Таблица5[[#This Row],[20]]))</f>
        <v>8.2392347542684319E-2</v>
      </c>
      <c r="AJ763" s="692">
        <v>134378.07999999999</v>
      </c>
      <c r="AK763" s="692"/>
      <c r="AL763" s="710"/>
      <c r="AM763" s="711" t="s">
        <v>113</v>
      </c>
      <c r="AN763" s="800">
        <v>31704977986</v>
      </c>
      <c r="AO763" s="712" t="str">
        <f>РПЗ!AD763</f>
        <v>Нет</v>
      </c>
      <c r="AP763" s="713">
        <f>РПЗ!V763</f>
        <v>0</v>
      </c>
      <c r="AQ763" s="714">
        <f>IF(Таблица5[[#This Row],[11]]=0,,MONTH(Таблица5[[#This Row],[11]]))</f>
        <v>2</v>
      </c>
    </row>
    <row r="764" spans="1:43" ht="39" thickBot="1" x14ac:dyDescent="0.3">
      <c r="A764" s="233" t="str">
        <f t="shared" si="12"/>
        <v>1004-2017-00749</v>
      </c>
      <c r="B764" s="233" t="str">
        <f>РПЗ!$D764</f>
        <v>1004-2017-00749Поставка  Комплект светильников</v>
      </c>
      <c r="C764" s="233" t="str">
        <f>РПЗ!$AA764</f>
        <v>АО "НИИ "Полюс" им. М.Ф. Стельмаха" тел. отдела закупок 8-495-333-05-02</v>
      </c>
      <c r="D764" s="633" t="str">
        <f>РПЗ!$AB764</f>
        <v>Заказчик</v>
      </c>
      <c r="E764" s="96" t="s">
        <v>46</v>
      </c>
      <c r="F764" s="233" t="str">
        <f>РПЗ!Q764</f>
        <v>ОЗК</v>
      </c>
      <c r="G764" s="237"/>
      <c r="H764" s="237" t="str">
        <f>РПЗ!R764</f>
        <v>да</v>
      </c>
      <c r="I764" s="15">
        <f>РПЗ!W764</f>
        <v>0</v>
      </c>
      <c r="J764" s="233">
        <f>РПЗ!X764</f>
        <v>0</v>
      </c>
      <c r="K764" s="283">
        <f>РПЗ!Z764</f>
        <v>0</v>
      </c>
      <c r="L764" s="17"/>
      <c r="M764" s="18">
        <f>РПЗ!O764</f>
        <v>42776.5</v>
      </c>
      <c r="N764" s="238">
        <f>Таблица5[[#This Row],[10]]</f>
        <v>42776.5</v>
      </c>
      <c r="O764" s="17"/>
      <c r="P764" s="17"/>
      <c r="Q764" s="17"/>
      <c r="R764" s="17"/>
      <c r="S764" s="17"/>
      <c r="T764" s="686"/>
      <c r="U764" s="18">
        <f>РПЗ!P764</f>
        <v>43100</v>
      </c>
      <c r="V764" s="686"/>
      <c r="W764" s="236">
        <f>РПЗ!L764</f>
        <v>72478.16</v>
      </c>
      <c r="X764" s="689"/>
      <c r="Y764" s="689"/>
      <c r="Z764" s="690"/>
      <c r="AA764" s="691"/>
      <c r="AB764" s="111"/>
      <c r="AC764" s="17"/>
      <c r="AD764" s="690"/>
      <c r="AE764" s="686"/>
      <c r="AF764" s="474"/>
      <c r="AG764" s="692"/>
      <c r="AH764" s="236" t="str">
        <f>IF(Таблица5[[#This Row],[30]]=0,"НД",Таблица5[[#This Row],[20]]-Таблица5[[#This Row],[30]])</f>
        <v>НД</v>
      </c>
      <c r="AI764" s="511" t="str">
        <f>IF(((1-Таблица5[[#This Row],[30]]/Таблица5[[#This Row],[20]])=1),"НД",(1-Таблица5[[#This Row],[30]]/Таблица5[[#This Row],[20]]))</f>
        <v>НД</v>
      </c>
      <c r="AJ764" s="111"/>
      <c r="AK764" s="111"/>
      <c r="AL764" s="512"/>
      <c r="AM764" s="513"/>
      <c r="AN764" s="465"/>
      <c r="AO764" s="468" t="str">
        <f>РПЗ!AD764</f>
        <v>Нет</v>
      </c>
      <c r="AP764" s="472">
        <f>РПЗ!V764</f>
        <v>0</v>
      </c>
      <c r="AQ764" s="470">
        <f>IF(Таблица5[[#This Row],[11]]=0,,MONTH(Таблица5[[#This Row],[11]]))</f>
        <v>2</v>
      </c>
    </row>
    <row r="765" spans="1:43" ht="39" thickBot="1" x14ac:dyDescent="0.3">
      <c r="A765" s="233" t="str">
        <f t="shared" si="12"/>
        <v>1004-2017-00750</v>
      </c>
      <c r="B765" s="233" t="str">
        <f>РПЗ!$D765</f>
        <v>1004-2017-00750Изготовление и поставка механических деталей</v>
      </c>
      <c r="C765" s="233" t="str">
        <f>РПЗ!$AA765</f>
        <v>АО "НИИ "Полюс" им. М.Ф. Стельмаха" тел. отдела закупок 8-495-333-05-02</v>
      </c>
      <c r="D765" s="633" t="str">
        <f>РПЗ!$AB765</f>
        <v>Заказчик</v>
      </c>
      <c r="E765" s="96" t="s">
        <v>46</v>
      </c>
      <c r="F765" s="233" t="str">
        <f>РПЗ!Q765</f>
        <v>ЕП</v>
      </c>
      <c r="G765" s="237"/>
      <c r="H765" s="237" t="str">
        <f>РПЗ!R765</f>
        <v>нет</v>
      </c>
      <c r="I765" s="15" t="str">
        <f>РПЗ!W765</f>
        <v>6.6.2(7)</v>
      </c>
      <c r="J765" s="233">
        <f>РПЗ!X765</f>
        <v>0</v>
      </c>
      <c r="K765" s="283">
        <f>РПЗ!Z765</f>
        <v>0</v>
      </c>
      <c r="L765" s="17"/>
      <c r="M765" s="18">
        <f>РПЗ!O765</f>
        <v>42776.5</v>
      </c>
      <c r="N765" s="238">
        <f>Таблица5[[#This Row],[10]]</f>
        <v>42776.5</v>
      </c>
      <c r="O765" s="17"/>
      <c r="P765" s="17"/>
      <c r="Q765" s="17"/>
      <c r="R765" s="17"/>
      <c r="S765" s="17"/>
      <c r="T765" s="686"/>
      <c r="U765" s="18">
        <f>РПЗ!P765</f>
        <v>42948</v>
      </c>
      <c r="V765" s="686"/>
      <c r="W765" s="236">
        <f>РПЗ!L765</f>
        <v>651081.42000000004</v>
      </c>
      <c r="X765" s="689"/>
      <c r="Y765" s="689"/>
      <c r="Z765" s="690"/>
      <c r="AA765" s="691"/>
      <c r="AB765" s="111"/>
      <c r="AC765" s="17"/>
      <c r="AD765" s="690"/>
      <c r="AE765" s="686"/>
      <c r="AF765" s="474"/>
      <c r="AG765" s="692"/>
      <c r="AH765" s="236" t="str">
        <f>IF(Таблица5[[#This Row],[30]]=0,"НД",Таблица5[[#This Row],[20]]-Таблица5[[#This Row],[30]])</f>
        <v>НД</v>
      </c>
      <c r="AI765" s="511" t="str">
        <f>IF(((1-Таблица5[[#This Row],[30]]/Таблица5[[#This Row],[20]])=1),"НД",(1-Таблица5[[#This Row],[30]]/Таблица5[[#This Row],[20]]))</f>
        <v>НД</v>
      </c>
      <c r="AJ765" s="111"/>
      <c r="AK765" s="111"/>
      <c r="AL765" s="512"/>
      <c r="AM765" s="513"/>
      <c r="AN765" s="465"/>
      <c r="AO765" s="468" t="str">
        <f>РПЗ!AD765</f>
        <v>Нет</v>
      </c>
      <c r="AP765" s="472">
        <f>РПЗ!V765</f>
        <v>0</v>
      </c>
      <c r="AQ765" s="470">
        <f>IF(Таблица5[[#This Row],[11]]=0,,MONTH(Таблица5[[#This Row],[11]]))</f>
        <v>2</v>
      </c>
    </row>
    <row r="766" spans="1:43" ht="38.25" x14ac:dyDescent="0.25">
      <c r="A766" s="233" t="str">
        <f t="shared" si="12"/>
        <v>1004-2017-00751</v>
      </c>
      <c r="B766" s="233" t="str">
        <f>РПЗ!$D766</f>
        <v>1004-2017-00751Выполнение СЧ ОКР шифр "Ангстрем-КНИТУ"</v>
      </c>
      <c r="C766" s="233" t="str">
        <f>РПЗ!$AA766</f>
        <v>АО "НИИ "Полюс" им. М.Ф. Стельмаха" тел. отдела закупок 8-495-333-05-02</v>
      </c>
      <c r="D766" s="633" t="str">
        <f>РПЗ!$AB766</f>
        <v>Заказчик</v>
      </c>
      <c r="E766" s="96" t="s">
        <v>46</v>
      </c>
      <c r="F766" s="233" t="str">
        <f>РПЗ!Q766</f>
        <v>ЕП</v>
      </c>
      <c r="G766" s="237"/>
      <c r="H766" s="237" t="str">
        <f>РПЗ!R766</f>
        <v>нет</v>
      </c>
      <c r="I766" s="15" t="str">
        <f>РПЗ!W766</f>
        <v>6.6.2(7)</v>
      </c>
      <c r="J766" s="233">
        <f>РПЗ!X766</f>
        <v>0</v>
      </c>
      <c r="K766" s="283">
        <f>РПЗ!Z766</f>
        <v>0</v>
      </c>
      <c r="L766" s="17"/>
      <c r="M766" s="18">
        <f>РПЗ!O766</f>
        <v>42776.5</v>
      </c>
      <c r="N766" s="238">
        <f>Таблица5[[#This Row],[10]]</f>
        <v>42776.5</v>
      </c>
      <c r="O766" s="17"/>
      <c r="P766" s="17"/>
      <c r="Q766" s="17"/>
      <c r="R766" s="17"/>
      <c r="S766" s="17"/>
      <c r="T766" s="686"/>
      <c r="U766" s="18">
        <f>РПЗ!P766</f>
        <v>43070.5</v>
      </c>
      <c r="V766" s="686"/>
      <c r="W766" s="236">
        <f>РПЗ!L766</f>
        <v>30300000</v>
      </c>
      <c r="X766" s="689"/>
      <c r="Y766" s="689"/>
      <c r="Z766" s="690"/>
      <c r="AA766" s="691"/>
      <c r="AB766" s="111"/>
      <c r="AC766" s="17"/>
      <c r="AD766" s="690"/>
      <c r="AE766" s="686"/>
      <c r="AF766" s="474"/>
      <c r="AG766" s="692"/>
      <c r="AH766" s="236" t="str">
        <f>IF(Таблица5[[#This Row],[30]]=0,"НД",Таблица5[[#This Row],[20]]-Таблица5[[#This Row],[30]])</f>
        <v>НД</v>
      </c>
      <c r="AI766" s="511" t="str">
        <f>IF(((1-Таблица5[[#This Row],[30]]/Таблица5[[#This Row],[20]])=1),"НД",(1-Таблица5[[#This Row],[30]]/Таблица5[[#This Row],[20]]))</f>
        <v>НД</v>
      </c>
      <c r="AJ766" s="111"/>
      <c r="AK766" s="111"/>
      <c r="AL766" s="512"/>
      <c r="AM766" s="513"/>
      <c r="AN766" s="465"/>
      <c r="AO766" s="468" t="str">
        <f>РПЗ!AD766</f>
        <v>Нет</v>
      </c>
      <c r="AP766" s="472">
        <f>РПЗ!V766</f>
        <v>0</v>
      </c>
      <c r="AQ766" s="470">
        <f>IF(Таблица5[[#This Row],[11]]=0,,MONTH(Таблица5[[#This Row],[11]]))</f>
        <v>2</v>
      </c>
    </row>
    <row r="767" spans="1:43" ht="165.75" x14ac:dyDescent="0.25">
      <c r="A767" s="233" t="str">
        <f t="shared" si="12"/>
        <v>1004-2017-00752</v>
      </c>
      <c r="B767" s="233" t="str">
        <f>РПЗ!$D767</f>
        <v>1004-2017-00752Выполнение СЧ ОКР шифр "Ангстрем-КНИТУ"</v>
      </c>
      <c r="C767" s="233" t="str">
        <f>РПЗ!$AA767</f>
        <v>АО "НИИ "Полюс" им. М.Ф. Стельмаха" тел. отдела закупок 8-495-333-05-02</v>
      </c>
      <c r="D767" s="633" t="str">
        <f>РПЗ!$AB767</f>
        <v>Заказчик</v>
      </c>
      <c r="E767" s="510" t="s">
        <v>62</v>
      </c>
      <c r="F767" s="233" t="str">
        <f>РПЗ!Q767</f>
        <v>ЕП</v>
      </c>
      <c r="G767" s="237" t="str">
        <f>Таблица5[[#This Row],[6]]</f>
        <v>ЕП</v>
      </c>
      <c r="H767" s="237" t="str">
        <f>РПЗ!R767</f>
        <v>нет</v>
      </c>
      <c r="I767" s="15" t="str">
        <f>РПЗ!W767</f>
        <v>6.6.2(7)</v>
      </c>
      <c r="J767" s="233" t="str">
        <f>РПЗ!X767</f>
        <v>1655018804</v>
      </c>
      <c r="K767" s="283">
        <f>РПЗ!Z767</f>
        <v>30300000</v>
      </c>
      <c r="L767" s="17">
        <v>42786</v>
      </c>
      <c r="M767" s="18">
        <f>РПЗ!O767</f>
        <v>42776.5</v>
      </c>
      <c r="N767" s="238">
        <f>Таблица5[[#This Row],[10]]</f>
        <v>42776.5</v>
      </c>
      <c r="O767" s="17"/>
      <c r="P767" s="17"/>
      <c r="Q767" s="17"/>
      <c r="R767" s="17"/>
      <c r="S767" s="17"/>
      <c r="T767" s="686">
        <v>42817</v>
      </c>
      <c r="U767" s="18">
        <f>РПЗ!P767</f>
        <v>43070.5</v>
      </c>
      <c r="V767" s="686">
        <v>43009</v>
      </c>
      <c r="W767" s="236">
        <f>РПЗ!L767</f>
        <v>30300000</v>
      </c>
      <c r="X767" s="689">
        <v>1</v>
      </c>
      <c r="Y767" s="689">
        <v>0</v>
      </c>
      <c r="Z767" s="691">
        <v>1655018804</v>
      </c>
      <c r="AA767" s="691" t="s">
        <v>6056</v>
      </c>
      <c r="AB767" s="111">
        <v>30300000</v>
      </c>
      <c r="AC767" s="17">
        <v>43009</v>
      </c>
      <c r="AD767" s="690"/>
      <c r="AE767" s="686"/>
      <c r="AF767" s="474"/>
      <c r="AG767" s="692">
        <v>30300000</v>
      </c>
      <c r="AH767" s="236">
        <f>IF(Таблица5[[#This Row],[30]]=0,"НД",Таблица5[[#This Row],[20]]-Таблица5[[#This Row],[30]])</f>
        <v>0</v>
      </c>
      <c r="AI767" s="511">
        <f>IF(((1-Таблица5[[#This Row],[30]]/Таблица5[[#This Row],[20]])=1),"НД",(1-Таблица5[[#This Row],[30]]/Таблица5[[#This Row],[20]]))</f>
        <v>0</v>
      </c>
      <c r="AJ767" s="111"/>
      <c r="AK767" s="111"/>
      <c r="AL767" s="512"/>
      <c r="AM767" s="513" t="s">
        <v>113</v>
      </c>
      <c r="AN767" s="465">
        <v>31704843971</v>
      </c>
      <c r="AO767" s="468" t="str">
        <f>РПЗ!AD767</f>
        <v>Нет</v>
      </c>
      <c r="AP767" s="472">
        <f>РПЗ!V767</f>
        <v>0</v>
      </c>
      <c r="AQ767" s="470">
        <f>IF(Таблица5[[#This Row],[11]]=0,,MONTH(Таблица5[[#This Row],[11]]))</f>
        <v>2</v>
      </c>
    </row>
    <row r="768" spans="1:43" ht="102" x14ac:dyDescent="0.25">
      <c r="A768" s="233" t="str">
        <f t="shared" si="12"/>
        <v>1004-2017-00753</v>
      </c>
      <c r="B768" s="233" t="str">
        <f>РПЗ!$D768</f>
        <v>1004-2017-007533Выполнение составной части опытно-конструкторской работы шифр  "Ангстрем-МонАлиТ"</v>
      </c>
      <c r="C768" s="233" t="str">
        <f>РПЗ!$AA768</f>
        <v>АО "НИИ "Полюс" им. М.Ф. Стельмаха" тел. отдела закупок 8-495-333-05-02</v>
      </c>
      <c r="D768" s="633" t="str">
        <f>РПЗ!$AB768</f>
        <v>Заказчик</v>
      </c>
      <c r="E768" s="510" t="s">
        <v>62</v>
      </c>
      <c r="F768" s="233" t="str">
        <f>РПЗ!Q768</f>
        <v>ЕП</v>
      </c>
      <c r="G768" s="237" t="str">
        <f>Таблица5[[#This Row],[6]]</f>
        <v>ЕП</v>
      </c>
      <c r="H768" s="237" t="str">
        <f>РПЗ!R768</f>
        <v>нет</v>
      </c>
      <c r="I768" s="15" t="str">
        <f>РПЗ!W768</f>
        <v>6.6.2(7)</v>
      </c>
      <c r="J768" s="233" t="str">
        <f>РПЗ!X768</f>
        <v>5008006211</v>
      </c>
      <c r="K768" s="283">
        <f>РПЗ!Z768</f>
        <v>81000000</v>
      </c>
      <c r="L768" s="17">
        <v>42786</v>
      </c>
      <c r="M768" s="18">
        <f>РПЗ!O768</f>
        <v>42776.5</v>
      </c>
      <c r="N768" s="238">
        <f>Таблица5[[#This Row],[10]]</f>
        <v>42776.5</v>
      </c>
      <c r="O768" s="17"/>
      <c r="P768" s="17"/>
      <c r="Q768" s="17"/>
      <c r="R768" s="17"/>
      <c r="S768" s="17"/>
      <c r="T768" s="686">
        <v>42817</v>
      </c>
      <c r="U768" s="18">
        <f>РПЗ!P768</f>
        <v>43070.5</v>
      </c>
      <c r="V768" s="686">
        <v>43009</v>
      </c>
      <c r="W768" s="236">
        <f>РПЗ!L768</f>
        <v>81000000</v>
      </c>
      <c r="X768" s="689">
        <v>1</v>
      </c>
      <c r="Y768" s="689">
        <v>0</v>
      </c>
      <c r="Z768" s="691">
        <v>5008006211</v>
      </c>
      <c r="AA768" s="691" t="s">
        <v>6066</v>
      </c>
      <c r="AB768" s="111">
        <v>81000000</v>
      </c>
      <c r="AC768" s="17">
        <v>43009</v>
      </c>
      <c r="AD768" s="690" t="s">
        <v>6067</v>
      </c>
      <c r="AE768" s="686">
        <v>42817</v>
      </c>
      <c r="AF768" s="474"/>
      <c r="AG768" s="692">
        <v>81000000</v>
      </c>
      <c r="AH768" s="236">
        <f>IF(Таблица5[[#This Row],[30]]=0,"НД",Таблица5[[#This Row],[20]]-Таблица5[[#This Row],[30]])</f>
        <v>0</v>
      </c>
      <c r="AI768" s="511">
        <f>IF(((1-Таблица5[[#This Row],[30]]/Таблица5[[#This Row],[20]])=1),"НД",(1-Таблица5[[#This Row],[30]]/Таблица5[[#This Row],[20]]))</f>
        <v>0</v>
      </c>
      <c r="AJ768" s="111"/>
      <c r="AK768" s="111"/>
      <c r="AL768" s="512"/>
      <c r="AM768" s="513" t="s">
        <v>113</v>
      </c>
      <c r="AN768" s="801">
        <v>31704838729</v>
      </c>
      <c r="AO768" s="468" t="str">
        <f>РПЗ!AD768</f>
        <v>Нет</v>
      </c>
      <c r="AP768" s="472">
        <f>РПЗ!V768</f>
        <v>0</v>
      </c>
      <c r="AQ768" s="470">
        <f>IF(Таблица5[[#This Row],[11]]=0,,MONTH(Таблица5[[#This Row],[11]]))</f>
        <v>2</v>
      </c>
    </row>
    <row r="769" spans="1:43" ht="39" thickBot="1" x14ac:dyDescent="0.3">
      <c r="A769" s="233" t="str">
        <f t="shared" si="12"/>
        <v>1004-2017-00754</v>
      </c>
      <c r="B769" s="233" t="str">
        <f>РПЗ!$D769</f>
        <v>1004-2017-00754Разработка и изготовление оборудования для испытаний акселерометров</v>
      </c>
      <c r="C769" s="233" t="str">
        <f>РПЗ!$AA769</f>
        <v>АО "НИИ "Полюс" им. М.Ф. Стельмаха" тел. отдела закупок 8-495-333-05-02</v>
      </c>
      <c r="D769" s="633" t="str">
        <f>РПЗ!$AB769</f>
        <v>Заказчик</v>
      </c>
      <c r="E769" s="510" t="s">
        <v>62</v>
      </c>
      <c r="F769" s="233" t="str">
        <f>РПЗ!Q769</f>
        <v>ЕП</v>
      </c>
      <c r="G769" s="237" t="str">
        <f>Таблица5[[#This Row],[6]]</f>
        <v>ЕП</v>
      </c>
      <c r="H769" s="237" t="str">
        <f>РПЗ!R769</f>
        <v>нет</v>
      </c>
      <c r="I769" s="15" t="str">
        <f>РПЗ!W769</f>
        <v>6.6.2(7)</v>
      </c>
      <c r="J769" s="233" t="str">
        <f>РПЗ!X769</f>
        <v>7729689776</v>
      </c>
      <c r="K769" s="283">
        <f>РПЗ!Z769</f>
        <v>25000000</v>
      </c>
      <c r="L769" s="17">
        <v>42786</v>
      </c>
      <c r="M769" s="18">
        <f>РПЗ!O769</f>
        <v>42776.5</v>
      </c>
      <c r="N769" s="238">
        <f>Таблица5[[#This Row],[10]]</f>
        <v>42776.5</v>
      </c>
      <c r="O769" s="17"/>
      <c r="P769" s="17"/>
      <c r="Q769" s="17"/>
      <c r="R769" s="17"/>
      <c r="S769" s="17"/>
      <c r="T769" s="686">
        <v>42817</v>
      </c>
      <c r="U769" s="18">
        <f>РПЗ!P769</f>
        <v>43070.5</v>
      </c>
      <c r="V769" s="686">
        <v>43009</v>
      </c>
      <c r="W769" s="236">
        <f>РПЗ!L769</f>
        <v>25000000</v>
      </c>
      <c r="X769" s="689">
        <v>1</v>
      </c>
      <c r="Y769" s="689">
        <v>0</v>
      </c>
      <c r="Z769" s="691">
        <v>7729689776</v>
      </c>
      <c r="AA769" s="691" t="s">
        <v>6059</v>
      </c>
      <c r="AB769" s="111">
        <v>25000000</v>
      </c>
      <c r="AC769" s="17">
        <v>43009</v>
      </c>
      <c r="AD769" s="690"/>
      <c r="AE769" s="686">
        <v>42817</v>
      </c>
      <c r="AF769" s="474"/>
      <c r="AG769" s="692">
        <v>25000000</v>
      </c>
      <c r="AH769" s="236">
        <f>IF(Таблица5[[#This Row],[30]]=0,"НД",Таблица5[[#This Row],[20]]-Таблица5[[#This Row],[30]])</f>
        <v>0</v>
      </c>
      <c r="AI769" s="511">
        <f>IF(((1-Таблица5[[#This Row],[30]]/Таблица5[[#This Row],[20]])=1),"НД",(1-Таблица5[[#This Row],[30]]/Таблица5[[#This Row],[20]]))</f>
        <v>0</v>
      </c>
      <c r="AJ769" s="111"/>
      <c r="AK769" s="111"/>
      <c r="AL769" s="512"/>
      <c r="AM769" s="513" t="s">
        <v>113</v>
      </c>
      <c r="AN769" s="801">
        <v>31704836294</v>
      </c>
      <c r="AO769" s="468" t="str">
        <f>РПЗ!AD769</f>
        <v>Нет</v>
      </c>
      <c r="AP769" s="472">
        <f>РПЗ!V769</f>
        <v>0</v>
      </c>
      <c r="AQ769" s="470">
        <f>IF(Таблица5[[#This Row],[11]]=0,,MONTH(Таблица5[[#This Row],[11]]))</f>
        <v>2</v>
      </c>
    </row>
    <row r="770" spans="1:43" ht="114.75" x14ac:dyDescent="0.25">
      <c r="A770" s="233" t="str">
        <f t="shared" si="12"/>
        <v>1004-2017-00755</v>
      </c>
      <c r="B770" s="233" t="str">
        <f>РПЗ!$D770</f>
        <v>1004-2017-00755Разработка и изготовление оборудования для испытаний аналогово-цифрового преобразователя (АЦП), оборудования для регулировки и испытаний бортового цифрового вычислительного устройства (БЦВУ), оборудования для программирования БЦВУ</v>
      </c>
      <c r="C770" s="233" t="str">
        <f>РПЗ!$AA770</f>
        <v>АО "НИИ "Полюс" им. М.Ф. Стельмаха" тел. отдела закупок 8-495-333-05-02</v>
      </c>
      <c r="D770" s="633" t="str">
        <f>РПЗ!$AB770</f>
        <v>Заказчик</v>
      </c>
      <c r="E770" s="96" t="s">
        <v>46</v>
      </c>
      <c r="F770" s="233" t="str">
        <f>РПЗ!Q770</f>
        <v>ЕП</v>
      </c>
      <c r="G770" s="237"/>
      <c r="H770" s="237" t="str">
        <f>РПЗ!R770</f>
        <v>нет</v>
      </c>
      <c r="I770" s="15" t="str">
        <f>РПЗ!W770</f>
        <v>6.6.2(10)</v>
      </c>
      <c r="J770" s="233">
        <f>РПЗ!X770</f>
        <v>0</v>
      </c>
      <c r="K770" s="283">
        <f>РПЗ!Z770</f>
        <v>0</v>
      </c>
      <c r="L770" s="17"/>
      <c r="M770" s="18">
        <f>РПЗ!O770</f>
        <v>42776.5</v>
      </c>
      <c r="N770" s="238">
        <f>Таблица5[[#This Row],[10]]</f>
        <v>42776.5</v>
      </c>
      <c r="O770" s="17"/>
      <c r="P770" s="17"/>
      <c r="Q770" s="17"/>
      <c r="R770" s="17"/>
      <c r="S770" s="17"/>
      <c r="T770" s="686"/>
      <c r="U770" s="18">
        <f>РПЗ!P770</f>
        <v>43070.5</v>
      </c>
      <c r="V770" s="686"/>
      <c r="W770" s="236">
        <f>РПЗ!L770</f>
        <v>4230000</v>
      </c>
      <c r="X770" s="689"/>
      <c r="Y770" s="689"/>
      <c r="Z770" s="690"/>
      <c r="AA770" s="691"/>
      <c r="AB770" s="111"/>
      <c r="AC770" s="17"/>
      <c r="AD770" s="690"/>
      <c r="AE770" s="686"/>
      <c r="AF770" s="474"/>
      <c r="AG770" s="692"/>
      <c r="AH770" s="236" t="str">
        <f>IF(Таблица5[[#This Row],[30]]=0,"НД",Таблица5[[#This Row],[20]]-Таблица5[[#This Row],[30]])</f>
        <v>НД</v>
      </c>
      <c r="AI770" s="511" t="str">
        <f>IF(((1-Таблица5[[#This Row],[30]]/Таблица5[[#This Row],[20]])=1),"НД",(1-Таблица5[[#This Row],[30]]/Таблица5[[#This Row],[20]]))</f>
        <v>НД</v>
      </c>
      <c r="AJ770" s="111"/>
      <c r="AK770" s="111"/>
      <c r="AL770" s="512"/>
      <c r="AM770" s="513"/>
      <c r="AN770" s="465"/>
      <c r="AO770" s="468" t="str">
        <f>РПЗ!AD770</f>
        <v>Нет</v>
      </c>
      <c r="AP770" s="472">
        <f>РПЗ!V770</f>
        <v>0</v>
      </c>
      <c r="AQ770" s="470">
        <f>IF(Таблица5[[#This Row],[11]]=0,,MONTH(Таблица5[[#This Row],[11]]))</f>
        <v>2</v>
      </c>
    </row>
    <row r="771" spans="1:43" s="681" customFormat="1" ht="114.75" x14ac:dyDescent="0.25">
      <c r="A771" s="691" t="str">
        <f t="shared" si="12"/>
        <v>1004-2017-00756</v>
      </c>
      <c r="B771" s="691" t="str">
        <f>РПЗ!$D771</f>
        <v>1004-2017-00756Подготовка и проведение процедур на оказания услуг по провождению ежемесячного контроля и регулировки топливной системы автотранспортных средств 15 автотранспортных средств, принадлежащих АО «НИИ «Полюс» им. М.Ф. Стельмаха».</v>
      </c>
      <c r="C771" s="691" t="str">
        <f>РПЗ!$AA771</f>
        <v>АО "НИИ "Полюс" им. М.Ф. Стельмаха" тел. отдела закупок 8-495-333-05-02</v>
      </c>
      <c r="D771" s="706" t="str">
        <f>РПЗ!$AB771</f>
        <v>Заказчик</v>
      </c>
      <c r="E771" s="510" t="s">
        <v>59</v>
      </c>
      <c r="F771" s="691" t="str">
        <f>РПЗ!Q771</f>
        <v>ОЗК</v>
      </c>
      <c r="G771" s="691" t="str">
        <f>Таблица5[[#This Row],[6]]</f>
        <v>ОЗК</v>
      </c>
      <c r="H771" s="691" t="str">
        <f>РПЗ!R771</f>
        <v>да</v>
      </c>
      <c r="I771" s="707">
        <f>РПЗ!W771</f>
        <v>0</v>
      </c>
      <c r="J771" s="691">
        <f>РПЗ!X771</f>
        <v>0</v>
      </c>
      <c r="K771" s="708">
        <f>РПЗ!Z771</f>
        <v>0</v>
      </c>
      <c r="L771" s="686">
        <v>42810</v>
      </c>
      <c r="M771" s="687">
        <f>РПЗ!O771</f>
        <v>42821.5</v>
      </c>
      <c r="N771" s="687">
        <f>Таблица5[[#This Row],[10]]</f>
        <v>42821.5</v>
      </c>
      <c r="O771" s="686">
        <v>42816</v>
      </c>
      <c r="P771" s="686">
        <v>42821</v>
      </c>
      <c r="Q771" s="686">
        <v>42821</v>
      </c>
      <c r="R771" s="686">
        <v>42821</v>
      </c>
      <c r="S771" s="686">
        <v>42821</v>
      </c>
      <c r="T771" s="686"/>
      <c r="U771" s="687">
        <f>РПЗ!P771</f>
        <v>43890.5</v>
      </c>
      <c r="V771" s="761"/>
      <c r="W771" s="692">
        <f>РПЗ!L771</f>
        <v>208417.5</v>
      </c>
      <c r="X771" s="689">
        <v>0</v>
      </c>
      <c r="Y771" s="689">
        <v>0</v>
      </c>
      <c r="Z771" s="690"/>
      <c r="AA771" s="691"/>
      <c r="AB771" s="692"/>
      <c r="AC771" s="686"/>
      <c r="AD771" s="690"/>
      <c r="AE771" s="686"/>
      <c r="AF771" s="690"/>
      <c r="AG771" s="814"/>
      <c r="AH771" s="692" t="str">
        <f>IF(Таблица5[[#This Row],[30]]=0,"НД",Таблица5[[#This Row],[20]]-Таблица5[[#This Row],[30]])</f>
        <v>НД</v>
      </c>
      <c r="AI771" s="709" t="str">
        <f>IF(((1-Таблица5[[#This Row],[30]]/Таблица5[[#This Row],[20]])=1),"НД",(1-Таблица5[[#This Row],[30]]/Таблица5[[#This Row],[20]]))</f>
        <v>НД</v>
      </c>
      <c r="AJ771" s="692"/>
      <c r="AK771" s="692"/>
      <c r="AL771" s="710"/>
      <c r="AM771" s="711" t="s">
        <v>113</v>
      </c>
      <c r="AN771" s="800">
        <v>31704897115</v>
      </c>
      <c r="AO771" s="712" t="str">
        <f>РПЗ!AD771</f>
        <v>Нет</v>
      </c>
      <c r="AP771" s="713">
        <f>РПЗ!V771</f>
        <v>0</v>
      </c>
      <c r="AQ771" s="714">
        <f>IF(Таблица5[[#This Row],[11]]=0,,MONTH(Таблица5[[#This Row],[11]]))</f>
        <v>3</v>
      </c>
    </row>
    <row r="772" spans="1:43" ht="76.5" x14ac:dyDescent="0.25">
      <c r="A772" s="233" t="str">
        <f t="shared" si="12"/>
        <v>1004-2017-00757</v>
      </c>
      <c r="B772" s="233" t="str">
        <f>РПЗ!$D772</f>
        <v>1004-2017-00757Поставка Контактная пластина ВАНЕ.741221.001; Крышка ет.8.050.477 (без стекла);                          Доработка корпуса ЖГДК 203129.010;     Корпус ет.4106654.СБ</v>
      </c>
      <c r="C772" s="233" t="str">
        <f>РПЗ!$AA772</f>
        <v>АО "НИИ "Полюс" им. М.Ф. Стельмаха" тел. отдела закупок 8-495-333-05-02</v>
      </c>
      <c r="D772" s="633" t="str">
        <f>РПЗ!$AB772</f>
        <v>Заказчик</v>
      </c>
      <c r="E772" s="510" t="s">
        <v>62</v>
      </c>
      <c r="F772" s="233" t="str">
        <f>РПЗ!Q772</f>
        <v>ЕП</v>
      </c>
      <c r="G772" s="237" t="str">
        <f>Таблица5[[#This Row],[6]]</f>
        <v>ЕП</v>
      </c>
      <c r="H772" s="237" t="str">
        <f>РПЗ!R772</f>
        <v>нет</v>
      </c>
      <c r="I772" s="15" t="str">
        <f>РПЗ!W772</f>
        <v>6.6.2(11)</v>
      </c>
      <c r="J772" s="233" t="str">
        <f>РПЗ!X772</f>
        <v>4026000108</v>
      </c>
      <c r="K772" s="283">
        <f>РПЗ!Z772</f>
        <v>212931</v>
      </c>
      <c r="L772" s="17">
        <v>42933</v>
      </c>
      <c r="M772" s="18">
        <f>РПЗ!O772</f>
        <v>42917</v>
      </c>
      <c r="N772" s="238">
        <f>Таблица5[[#This Row],[10]]</f>
        <v>42917</v>
      </c>
      <c r="O772" s="17"/>
      <c r="P772" s="17"/>
      <c r="Q772" s="17"/>
      <c r="R772" s="17"/>
      <c r="S772" s="17"/>
      <c r="T772" s="686">
        <v>42948</v>
      </c>
      <c r="U772" s="18">
        <f>РПЗ!P772</f>
        <v>43070.5</v>
      </c>
      <c r="V772" s="686">
        <v>43070</v>
      </c>
      <c r="W772" s="236">
        <f>РПЗ!L772</f>
        <v>212931</v>
      </c>
      <c r="X772" s="689">
        <v>1</v>
      </c>
      <c r="Y772" s="689">
        <v>0</v>
      </c>
      <c r="Z772" s="691">
        <v>4026000108</v>
      </c>
      <c r="AA772" s="691" t="s">
        <v>5084</v>
      </c>
      <c r="AB772" s="111">
        <v>212931</v>
      </c>
      <c r="AC772" s="17">
        <v>43070</v>
      </c>
      <c r="AD772" s="690" t="s">
        <v>6428</v>
      </c>
      <c r="AE772" s="686">
        <v>42948</v>
      </c>
      <c r="AF772" s="474"/>
      <c r="AG772" s="692">
        <v>212931</v>
      </c>
      <c r="AH772" s="236">
        <f>IF(Таблица5[[#This Row],[30]]=0,"НД",Таблица5[[#This Row],[20]]-Таблица5[[#This Row],[30]])</f>
        <v>0</v>
      </c>
      <c r="AI772" s="511">
        <f>IF(((1-Таблица5[[#This Row],[30]]/Таблица5[[#This Row],[20]])=1),"НД",(1-Таблица5[[#This Row],[30]]/Таблица5[[#This Row],[20]]))</f>
        <v>0</v>
      </c>
      <c r="AJ772" s="111"/>
      <c r="AK772" s="111"/>
      <c r="AL772" s="512"/>
      <c r="AM772" s="513" t="s">
        <v>113</v>
      </c>
      <c r="AN772" s="801">
        <v>31705335328</v>
      </c>
      <c r="AO772" s="468" t="str">
        <f>РПЗ!AD772</f>
        <v>Нет</v>
      </c>
      <c r="AP772" s="472" t="str">
        <f>РПЗ!V772</f>
        <v>ГОЗ</v>
      </c>
      <c r="AQ772" s="470">
        <f>IF(Таблица5[[#This Row],[11]]=0,,MONTH(Таблица5[[#This Row],[11]]))</f>
        <v>7</v>
      </c>
    </row>
    <row r="773" spans="1:43" ht="77.25" thickBot="1" x14ac:dyDescent="0.3">
      <c r="A773" s="233" t="str">
        <f t="shared" si="12"/>
        <v>1004-2017-00758</v>
      </c>
      <c r="B773" s="233" t="str">
        <f>РПЗ!$D773</f>
        <v>1004-2017-00758Поставка Контактная пластина ВАНЕ.741221.001; Крышка ет.8.050.477 (без стекла);                          Доработка корпуса ЖГДК 203129.010;     Корпус ет.4106654.СБ</v>
      </c>
      <c r="C773" s="233" t="str">
        <f>РПЗ!$AA773</f>
        <v>АО "НИИ "Полюс" им. М.Ф. Стельмаха" тел. отдела закупок 8-495-333-05-02</v>
      </c>
      <c r="D773" s="633" t="str">
        <f>РПЗ!$AB773</f>
        <v>Заказчик</v>
      </c>
      <c r="E773" s="510" t="s">
        <v>62</v>
      </c>
      <c r="F773" s="233" t="str">
        <f>РПЗ!Q773</f>
        <v>ЕП</v>
      </c>
      <c r="G773" s="237" t="str">
        <f>Таблица5[[#This Row],[6]]</f>
        <v>ЕП</v>
      </c>
      <c r="H773" s="237" t="str">
        <f>РПЗ!R773</f>
        <v>нет</v>
      </c>
      <c r="I773" s="15" t="str">
        <f>РПЗ!W773</f>
        <v>6.6.2(11)</v>
      </c>
      <c r="J773" s="233" t="str">
        <f>РПЗ!X773</f>
        <v>4026000108</v>
      </c>
      <c r="K773" s="283">
        <f>РПЗ!Z773</f>
        <v>303507.8</v>
      </c>
      <c r="L773" s="17">
        <v>42933</v>
      </c>
      <c r="M773" s="18">
        <f>РПЗ!O773</f>
        <v>42917</v>
      </c>
      <c r="N773" s="238">
        <f>Таблица5[[#This Row],[10]]</f>
        <v>42917</v>
      </c>
      <c r="O773" s="17"/>
      <c r="P773" s="17"/>
      <c r="Q773" s="17"/>
      <c r="R773" s="17"/>
      <c r="S773" s="17"/>
      <c r="T773" s="686">
        <v>42948</v>
      </c>
      <c r="U773" s="18">
        <f>РПЗ!P773</f>
        <v>43070</v>
      </c>
      <c r="V773" s="686">
        <v>43070</v>
      </c>
      <c r="W773" s="236">
        <f>РПЗ!L773</f>
        <v>303507.8</v>
      </c>
      <c r="X773" s="689">
        <v>1</v>
      </c>
      <c r="Y773" s="689">
        <v>0</v>
      </c>
      <c r="Z773" s="691">
        <v>4026000108</v>
      </c>
      <c r="AA773" s="691" t="s">
        <v>5084</v>
      </c>
      <c r="AB773" s="111">
        <v>303507.8</v>
      </c>
      <c r="AC773" s="17">
        <v>43070</v>
      </c>
      <c r="AD773" s="690" t="s">
        <v>6430</v>
      </c>
      <c r="AE773" s="686">
        <v>42948</v>
      </c>
      <c r="AF773" s="474"/>
      <c r="AG773" s="692">
        <v>303507.8</v>
      </c>
      <c r="AH773" s="236">
        <f>IF(Таблица5[[#This Row],[30]]=0,"НД",Таблица5[[#This Row],[20]]-Таблица5[[#This Row],[30]])</f>
        <v>0</v>
      </c>
      <c r="AI773" s="511">
        <f>IF(((1-Таблица5[[#This Row],[30]]/Таблица5[[#This Row],[20]])=1),"НД",(1-Таблица5[[#This Row],[30]]/Таблица5[[#This Row],[20]]))</f>
        <v>0</v>
      </c>
      <c r="AJ773" s="111"/>
      <c r="AK773" s="111"/>
      <c r="AL773" s="512"/>
      <c r="AM773" s="513" t="s">
        <v>113</v>
      </c>
      <c r="AN773" s="801">
        <v>31705335369</v>
      </c>
      <c r="AO773" s="468" t="str">
        <f>РПЗ!AD773</f>
        <v>Нет</v>
      </c>
      <c r="AP773" s="472" t="str">
        <f>РПЗ!V773</f>
        <v>ГОЗ</v>
      </c>
      <c r="AQ773" s="470">
        <f>IF(Таблица5[[#This Row],[11]]=0,,MONTH(Таблица5[[#This Row],[11]]))</f>
        <v>7</v>
      </c>
    </row>
    <row r="774" spans="1:43" ht="51" x14ac:dyDescent="0.25">
      <c r="A774" s="233" t="str">
        <f t="shared" si="12"/>
        <v>1004-2017-00759</v>
      </c>
      <c r="B774" s="233" t="str">
        <f>РПЗ!$D774</f>
        <v>1004-2017-00759Изготовление и поставка Стеклокерамики Zerodur class 0 Extreme RA 1,6 (полуфабрикат)</v>
      </c>
      <c r="C774" s="233" t="str">
        <f>РПЗ!$AA774</f>
        <v>АО "НИИ "Полюс" им. М.Ф. Стельмаха" тел. отдела закупок 8-495-333-05-02</v>
      </c>
      <c r="D774" s="633" t="str">
        <f>РПЗ!$AB774</f>
        <v>Заказчик</v>
      </c>
      <c r="E774" s="96" t="s">
        <v>46</v>
      </c>
      <c r="F774" s="233" t="str">
        <f>РПЗ!Q774</f>
        <v>ОЗК</v>
      </c>
      <c r="G774" s="237"/>
      <c r="H774" s="237" t="str">
        <f>РПЗ!R774</f>
        <v>да</v>
      </c>
      <c r="I774" s="15">
        <f>РПЗ!W774</f>
        <v>0</v>
      </c>
      <c r="J774" s="233">
        <f>РПЗ!X774</f>
        <v>0</v>
      </c>
      <c r="K774" s="283">
        <f>РПЗ!Z774</f>
        <v>0</v>
      </c>
      <c r="L774" s="17"/>
      <c r="M774" s="18">
        <f>РПЗ!O774</f>
        <v>42795</v>
      </c>
      <c r="N774" s="238">
        <f>Таблица5[[#This Row],[10]]</f>
        <v>42795</v>
      </c>
      <c r="O774" s="17"/>
      <c r="P774" s="17"/>
      <c r="Q774" s="17"/>
      <c r="R774" s="17"/>
      <c r="S774" s="17"/>
      <c r="T774" s="686"/>
      <c r="U774" s="18">
        <f>РПЗ!P774</f>
        <v>42795</v>
      </c>
      <c r="V774" s="686"/>
      <c r="W774" s="236">
        <f>РПЗ!L774</f>
        <v>684508</v>
      </c>
      <c r="X774" s="689"/>
      <c r="Y774" s="689"/>
      <c r="Z774" s="690"/>
      <c r="AA774" s="691"/>
      <c r="AB774" s="111"/>
      <c r="AC774" s="17"/>
      <c r="AD774" s="690"/>
      <c r="AE774" s="686"/>
      <c r="AF774" s="474"/>
      <c r="AG774" s="692"/>
      <c r="AH774" s="236" t="str">
        <f>IF(Таблица5[[#This Row],[30]]=0,"НД",Таблица5[[#This Row],[20]]-Таблица5[[#This Row],[30]])</f>
        <v>НД</v>
      </c>
      <c r="AI774" s="511" t="str">
        <f>IF(((1-Таблица5[[#This Row],[30]]/Таблица5[[#This Row],[20]])=1),"НД",(1-Таблица5[[#This Row],[30]]/Таблица5[[#This Row],[20]]))</f>
        <v>НД</v>
      </c>
      <c r="AJ774" s="111"/>
      <c r="AK774" s="111"/>
      <c r="AL774" s="512"/>
      <c r="AM774" s="513"/>
      <c r="AN774" s="465"/>
      <c r="AO774" s="468" t="str">
        <f>РПЗ!AD774</f>
        <v>Нет</v>
      </c>
      <c r="AP774" s="472">
        <f>РПЗ!V774</f>
        <v>0</v>
      </c>
      <c r="AQ774" s="470">
        <f>IF(Таблица5[[#This Row],[11]]=0,,MONTH(Таблица5[[#This Row],[11]]))</f>
        <v>3</v>
      </c>
    </row>
    <row r="775" spans="1:43" s="681" customFormat="1" ht="114.75" x14ac:dyDescent="0.25">
      <c r="A775" s="691" t="str">
        <f t="shared" si="12"/>
        <v>1004-2017-00760</v>
      </c>
      <c r="B775" s="691" t="str">
        <f>РПЗ!$D775</f>
        <v xml:space="preserve">1004-2017-00760Поставка Платы (плата усилителей акселерометров БИНС-РК ЖГДК434661.022 – 4 шт., плата счетчиков БИНС-РК ЖГДК431321.051 – 4шт., плату защиты акселерометров БИНС-РК ЖГДК687243.066 – 4шт., блок ВИП прибора МТ-502 ЖГДК431421.025 – 5шт., плата </v>
      </c>
      <c r="C775" s="691" t="str">
        <f>РПЗ!$AA775</f>
        <v>АО "НИИ "Полюс" им. М.Ф. Стельмаха" тел. отдела закупок 8-495-333-05-02</v>
      </c>
      <c r="D775" s="706" t="str">
        <f>РПЗ!$AB775</f>
        <v>Заказчик</v>
      </c>
      <c r="E775" s="510" t="s">
        <v>62</v>
      </c>
      <c r="F775" s="691" t="str">
        <f>РПЗ!Q775</f>
        <v>ОЗК</v>
      </c>
      <c r="G775" s="691" t="str">
        <f>Таблица5[[#This Row],[6]]</f>
        <v>ОЗК</v>
      </c>
      <c r="H775" s="691" t="str">
        <f>РПЗ!R775</f>
        <v>да</v>
      </c>
      <c r="I775" s="707">
        <f>РПЗ!W775</f>
        <v>0</v>
      </c>
      <c r="J775" s="691">
        <f>РПЗ!X775</f>
        <v>0</v>
      </c>
      <c r="K775" s="708">
        <f>РПЗ!Z775</f>
        <v>0</v>
      </c>
      <c r="L775" s="686"/>
      <c r="M775" s="687">
        <f>РПЗ!O775</f>
        <v>42795</v>
      </c>
      <c r="N775" s="687">
        <f>Таблица5[[#This Row],[10]]</f>
        <v>42795</v>
      </c>
      <c r="O775" s="686">
        <v>42816</v>
      </c>
      <c r="P775" s="686">
        <v>42821</v>
      </c>
      <c r="Q775" s="686">
        <v>42821</v>
      </c>
      <c r="R775" s="686">
        <v>42818</v>
      </c>
      <c r="S775" s="686">
        <v>42818</v>
      </c>
      <c r="T775" s="686">
        <v>42822</v>
      </c>
      <c r="U775" s="687">
        <f>РПЗ!P775</f>
        <v>43070.5</v>
      </c>
      <c r="V775" s="761">
        <v>43070</v>
      </c>
      <c r="W775" s="692">
        <f>РПЗ!L775</f>
        <v>1665400</v>
      </c>
      <c r="X775" s="689">
        <v>1</v>
      </c>
      <c r="Y775" s="689">
        <v>0</v>
      </c>
      <c r="Z775" s="691">
        <v>3301031150</v>
      </c>
      <c r="AA775" s="691" t="s">
        <v>3349</v>
      </c>
      <c r="AB775" s="692">
        <v>1665400</v>
      </c>
      <c r="AC775" s="686">
        <v>43070</v>
      </c>
      <c r="AD775" s="690" t="s">
        <v>3353</v>
      </c>
      <c r="AE775" s="686">
        <v>42822</v>
      </c>
      <c r="AF775" s="690"/>
      <c r="AG775" s="691">
        <v>1665400</v>
      </c>
      <c r="AH775" s="692">
        <f>IF(Таблица5[[#This Row],[30]]=0,"НД",Таблица5[[#This Row],[20]]-Таблица5[[#This Row],[30]])</f>
        <v>0</v>
      </c>
      <c r="AI775" s="709">
        <f>IF(((1-Таблица5[[#This Row],[30]]/Таблица5[[#This Row],[20]])=1),"НД",(1-Таблица5[[#This Row],[30]]/Таблица5[[#This Row],[20]]))</f>
        <v>0</v>
      </c>
      <c r="AJ775" s="692">
        <v>1665400</v>
      </c>
      <c r="AK775" s="692"/>
      <c r="AL775" s="710"/>
      <c r="AM775" s="711" t="s">
        <v>113</v>
      </c>
      <c r="AN775" s="800">
        <v>31704891499</v>
      </c>
      <c r="AO775" s="712" t="str">
        <f>РПЗ!AD775</f>
        <v>Нет</v>
      </c>
      <c r="AP775" s="713">
        <f>РПЗ!V775</f>
        <v>0</v>
      </c>
      <c r="AQ775" s="714">
        <f>IF(Таблица5[[#This Row],[11]]=0,,MONTH(Таблица5[[#This Row],[11]]))</f>
        <v>3</v>
      </c>
    </row>
    <row r="776" spans="1:43" s="681" customFormat="1" ht="76.5" x14ac:dyDescent="0.25">
      <c r="A776" s="691" t="str">
        <f t="shared" si="12"/>
        <v>1004-2017-00761</v>
      </c>
      <c r="B776" s="691" t="str">
        <f>РПЗ!$D776</f>
        <v>1004-2017-00761Поставка Комплекты механических деталей МТ-502 ЖГДК.402121.061, комплекты механических деталей модуля цифрового акселерометрического МЦА-50 ЖГДК.431321.061</v>
      </c>
      <c r="C776" s="691" t="str">
        <f>РПЗ!$AA776</f>
        <v>АО "НИИ "Полюс" им. М.Ф. Стельмаха" тел. отдела закупок 8-495-333-05-02</v>
      </c>
      <c r="D776" s="706" t="str">
        <f>РПЗ!$AB776</f>
        <v>Заказчик</v>
      </c>
      <c r="E776" s="510" t="s">
        <v>62</v>
      </c>
      <c r="F776" s="691" t="str">
        <f>РПЗ!Q776</f>
        <v>ОЗК</v>
      </c>
      <c r="G776" s="691" t="str">
        <f>Таблица5[[#This Row],[6]]</f>
        <v>ОЗК</v>
      </c>
      <c r="H776" s="691" t="str">
        <f>РПЗ!R776</f>
        <v>да</v>
      </c>
      <c r="I776" s="707">
        <f>РПЗ!W776</f>
        <v>0</v>
      </c>
      <c r="J776" s="691">
        <f>РПЗ!X776</f>
        <v>0</v>
      </c>
      <c r="K776" s="708">
        <f>РПЗ!Z776</f>
        <v>0</v>
      </c>
      <c r="L776" s="686">
        <v>42809</v>
      </c>
      <c r="M776" s="687">
        <f>РПЗ!O776</f>
        <v>42795</v>
      </c>
      <c r="N776" s="687">
        <f>Таблица5[[#This Row],[10]]</f>
        <v>42795</v>
      </c>
      <c r="O776" s="686">
        <v>42816</v>
      </c>
      <c r="P776" s="686">
        <v>42821</v>
      </c>
      <c r="Q776" s="686">
        <v>42821</v>
      </c>
      <c r="R776" s="686">
        <v>42818</v>
      </c>
      <c r="S776" s="686">
        <v>42818</v>
      </c>
      <c r="T776" s="686">
        <v>42852</v>
      </c>
      <c r="U776" s="687">
        <f>РПЗ!P776</f>
        <v>43070.5</v>
      </c>
      <c r="V776" s="761">
        <v>43070</v>
      </c>
      <c r="W776" s="692">
        <f>РПЗ!L776</f>
        <v>1416320.02</v>
      </c>
      <c r="X776" s="689">
        <v>2</v>
      </c>
      <c r="Y776" s="689">
        <v>0</v>
      </c>
      <c r="Z776" s="765">
        <v>6732135230</v>
      </c>
      <c r="AA776" s="810" t="s">
        <v>3292</v>
      </c>
      <c r="AB776" s="692">
        <v>1350864</v>
      </c>
      <c r="AC776" s="686">
        <v>43070</v>
      </c>
      <c r="AD776" s="703" t="s">
        <v>6121</v>
      </c>
      <c r="AE776" s="686">
        <v>42852</v>
      </c>
      <c r="AF776" s="690"/>
      <c r="AG776" s="918">
        <v>1350864</v>
      </c>
      <c r="AH776" s="692">
        <f>IF(Таблица5[[#This Row],[30]]=0,"НД",Таблица5[[#This Row],[20]]-Таблица5[[#This Row],[30]])</f>
        <v>65456.020000000019</v>
      </c>
      <c r="AI776" s="709">
        <f>IF(((1-Таблица5[[#This Row],[30]]/Таблица5[[#This Row],[20]])=1),"НД",(1-Таблица5[[#This Row],[30]]/Таблица5[[#This Row],[20]]))</f>
        <v>4.6215557978203314E-2</v>
      </c>
      <c r="AJ776" s="692">
        <v>1350864</v>
      </c>
      <c r="AK776" s="692"/>
      <c r="AL776" s="710"/>
      <c r="AM776" s="711" t="s">
        <v>113</v>
      </c>
      <c r="AN776" s="800">
        <v>31704891542</v>
      </c>
      <c r="AO776" s="712" t="str">
        <f>РПЗ!AD776</f>
        <v>Нет</v>
      </c>
      <c r="AP776" s="713">
        <f>РПЗ!V776</f>
        <v>0</v>
      </c>
      <c r="AQ776" s="714">
        <f>IF(Таблица5[[#This Row],[11]]=0,,MONTH(Таблица5[[#This Row],[11]]))</f>
        <v>3</v>
      </c>
    </row>
    <row r="777" spans="1:43" s="681" customFormat="1" ht="38.25" x14ac:dyDescent="0.25">
      <c r="A777" s="691" t="str">
        <f t="shared" si="12"/>
        <v>1004-2017-00762</v>
      </c>
      <c r="B777" s="691" t="str">
        <f>РПЗ!$D777</f>
        <v>1004-2017-00762Поставка БОПИ ПИРШ.466229.002</v>
      </c>
      <c r="C777" s="691" t="str">
        <f>РПЗ!$AA777</f>
        <v>АО "НИИ "Полюс" им. М.Ф. Стельмаха" тел. отдела закупок 8-495-333-05-02</v>
      </c>
      <c r="D777" s="706" t="str">
        <f>РПЗ!$AB777</f>
        <v>Заказчик</v>
      </c>
      <c r="E777" s="510" t="s">
        <v>62</v>
      </c>
      <c r="F777" s="691" t="str">
        <f>РПЗ!Q777</f>
        <v>ОЗК</v>
      </c>
      <c r="G777" s="691" t="str">
        <f>Таблица5[[#This Row],[6]]</f>
        <v>ОЗК</v>
      </c>
      <c r="H777" s="691" t="str">
        <f>РПЗ!R777</f>
        <v>да</v>
      </c>
      <c r="I777" s="707">
        <f>РПЗ!W777</f>
        <v>0</v>
      </c>
      <c r="J777" s="691">
        <f>РПЗ!X777</f>
        <v>0</v>
      </c>
      <c r="K777" s="708">
        <f>РПЗ!Z777</f>
        <v>0</v>
      </c>
      <c r="L777" s="686">
        <v>42809</v>
      </c>
      <c r="M777" s="687">
        <f>РПЗ!O777</f>
        <v>42795</v>
      </c>
      <c r="N777" s="687">
        <f>Таблица5[[#This Row],[10]]</f>
        <v>42795</v>
      </c>
      <c r="O777" s="686">
        <v>42821</v>
      </c>
      <c r="P777" s="686">
        <v>42824</v>
      </c>
      <c r="Q777" s="686">
        <v>42824</v>
      </c>
      <c r="R777" s="686">
        <v>42821</v>
      </c>
      <c r="S777" s="686">
        <v>42821</v>
      </c>
      <c r="T777" s="686">
        <v>42850</v>
      </c>
      <c r="U777" s="687">
        <f>РПЗ!P777</f>
        <v>43070.5</v>
      </c>
      <c r="V777" s="761">
        <v>42826</v>
      </c>
      <c r="W777" s="692">
        <f>РПЗ!L777</f>
        <v>1355014.1</v>
      </c>
      <c r="X777" s="689">
        <v>1</v>
      </c>
      <c r="Y777" s="689">
        <v>0</v>
      </c>
      <c r="Z777" s="691">
        <v>3301031150</v>
      </c>
      <c r="AA777" s="691" t="s">
        <v>3349</v>
      </c>
      <c r="AB777" s="692">
        <v>1355014.1</v>
      </c>
      <c r="AC777" s="686">
        <v>42826</v>
      </c>
      <c r="AD777" s="690" t="s">
        <v>6039</v>
      </c>
      <c r="AE777" s="686">
        <v>42850</v>
      </c>
      <c r="AF777" s="690"/>
      <c r="AG777" s="814">
        <v>1355014.1</v>
      </c>
      <c r="AH777" s="692">
        <f>IF(Таблица5[[#This Row],[30]]=0,"НД",Таблица5[[#This Row],[20]]-Таблица5[[#This Row],[30]])</f>
        <v>0</v>
      </c>
      <c r="AI777" s="709">
        <f>IF(((1-Таблица5[[#This Row],[30]]/Таблица5[[#This Row],[20]])=1),"НД",(1-Таблица5[[#This Row],[30]]/Таблица5[[#This Row],[20]]))</f>
        <v>0</v>
      </c>
      <c r="AJ777" s="692">
        <v>1355014.1</v>
      </c>
      <c r="AK777" s="692"/>
      <c r="AL777" s="710"/>
      <c r="AM777" s="711" t="s">
        <v>113</v>
      </c>
      <c r="AN777" s="800">
        <v>31704891605</v>
      </c>
      <c r="AO777" s="712" t="str">
        <f>РПЗ!AD777</f>
        <v>Нет</v>
      </c>
      <c r="AP777" s="713">
        <f>РПЗ!V777</f>
        <v>0</v>
      </c>
      <c r="AQ777" s="714">
        <f>IF(Таблица5[[#This Row],[11]]=0,,MONTH(Таблица5[[#This Row],[11]]))</f>
        <v>3</v>
      </c>
    </row>
    <row r="778" spans="1:43" ht="51.75" thickBot="1" x14ac:dyDescent="0.3">
      <c r="A778" s="233" t="str">
        <f t="shared" si="12"/>
        <v>1004-2017-00763</v>
      </c>
      <c r="B778" s="233" t="str">
        <f>РПЗ!$D778</f>
        <v xml:space="preserve">1004-2017-00763Поставка Вакуумная печь Climats XT050 с вакуумным разъемом и  насосом масляным Duo 20M/TPR280 </v>
      </c>
      <c r="C778" s="233" t="str">
        <f>РПЗ!$AA778</f>
        <v>АО "НИИ "Полюс" им. М.Ф. Стельмаха" тел. отдела закупок 8-495-333-05-02</v>
      </c>
      <c r="D778" s="633" t="str">
        <f>РПЗ!$AB778</f>
        <v>Заказчик</v>
      </c>
      <c r="E778" s="510" t="s">
        <v>62</v>
      </c>
      <c r="F778" s="691" t="str">
        <f>РПЗ!Q778</f>
        <v>ОЗК</v>
      </c>
      <c r="G778" s="237" t="str">
        <f>Таблица5[[#This Row],[6]]</f>
        <v>ОЗК</v>
      </c>
      <c r="H778" s="237" t="str">
        <f>РПЗ!R778</f>
        <v>да</v>
      </c>
      <c r="I778" s="707">
        <f>РПЗ!W778</f>
        <v>0</v>
      </c>
      <c r="J778" s="691">
        <f>РПЗ!X778</f>
        <v>0</v>
      </c>
      <c r="K778" s="708">
        <f>РПЗ!Z778</f>
        <v>0</v>
      </c>
      <c r="L778" s="17"/>
      <c r="M778" s="18">
        <f>РПЗ!O778</f>
        <v>42795</v>
      </c>
      <c r="N778" s="238">
        <f>Таблица5[[#This Row],[10]]</f>
        <v>42795</v>
      </c>
      <c r="O778" s="17">
        <v>42816</v>
      </c>
      <c r="P778" s="17">
        <v>42821</v>
      </c>
      <c r="Q778" s="17">
        <v>42821</v>
      </c>
      <c r="R778" s="17">
        <v>42818</v>
      </c>
      <c r="S778" s="17">
        <v>42818</v>
      </c>
      <c r="T778" s="808" t="s">
        <v>3289</v>
      </c>
      <c r="U778" s="687">
        <f>РПЗ!P778</f>
        <v>43070.5</v>
      </c>
      <c r="V778" s="760">
        <v>42979</v>
      </c>
      <c r="W778" s="692">
        <f>РПЗ!L778</f>
        <v>1396083.34</v>
      </c>
      <c r="X778" s="689">
        <v>3</v>
      </c>
      <c r="Y778" s="689">
        <v>0</v>
      </c>
      <c r="Z778" s="765">
        <v>7722793270</v>
      </c>
      <c r="AA778" s="810" t="s">
        <v>3290</v>
      </c>
      <c r="AB778" s="111">
        <v>1150000</v>
      </c>
      <c r="AC778" s="17">
        <v>42979</v>
      </c>
      <c r="AD778" s="810" t="s">
        <v>3291</v>
      </c>
      <c r="AE778" s="694" t="s">
        <v>3289</v>
      </c>
      <c r="AF778" s="474"/>
      <c r="AG778" s="827">
        <v>1150000</v>
      </c>
      <c r="AH778" s="236">
        <f>IF(Таблица5[[#This Row],[30]]=0,"НД",Таблица5[[#This Row],[20]]-Таблица5[[#This Row],[30]])</f>
        <v>246083.34000000008</v>
      </c>
      <c r="AI778" s="511">
        <f>IF(((1-Таблица5[[#This Row],[30]]/Таблица5[[#This Row],[20]])=1),"НД",(1-Таблица5[[#This Row],[30]]/Таблица5[[#This Row],[20]]))</f>
        <v>0.1762669411985105</v>
      </c>
      <c r="AJ778" s="111">
        <v>1150000</v>
      </c>
      <c r="AK778" s="111"/>
      <c r="AL778" s="512"/>
      <c r="AM778" s="513" t="s">
        <v>113</v>
      </c>
      <c r="AN778" s="801">
        <v>31704891517</v>
      </c>
      <c r="AO778" s="468" t="str">
        <f>РПЗ!AD778</f>
        <v>Нет</v>
      </c>
      <c r="AP778" s="472">
        <f>РПЗ!V778</f>
        <v>0</v>
      </c>
      <c r="AQ778" s="470">
        <f>IF(Таблица5[[#This Row],[11]]=0,,MONTH(Таблица5[[#This Row],[11]]))</f>
        <v>3</v>
      </c>
    </row>
    <row r="779" spans="1:43" ht="39" thickBot="1" x14ac:dyDescent="0.3">
      <c r="A779" s="233" t="str">
        <f t="shared" si="12"/>
        <v>1004-2017-00764</v>
      </c>
      <c r="B779" s="233" t="str">
        <f>РПЗ!$D779</f>
        <v>1004-2017-00764Поставка СО 115М 160х160х50, 145х145х50</v>
      </c>
      <c r="C779" s="233" t="str">
        <f>РПЗ!$AA779</f>
        <v>АО "НИИ "Полюс" им. М.Ф. Стельмаха" тел. отдела закупок 8-495-333-05-02</v>
      </c>
      <c r="D779" s="633" t="str">
        <f>РПЗ!$AB779</f>
        <v>Заказчик</v>
      </c>
      <c r="E779" s="96" t="s">
        <v>46</v>
      </c>
      <c r="F779" s="233" t="str">
        <f>РПЗ!Q779</f>
        <v>ЕП</v>
      </c>
      <c r="G779" s="237"/>
      <c r="H779" s="237" t="str">
        <f>РПЗ!R779</f>
        <v>нет</v>
      </c>
      <c r="I779" s="15" t="str">
        <f>РПЗ!W779</f>
        <v>6.6.2(10)</v>
      </c>
      <c r="J779" s="233">
        <f>РПЗ!X779</f>
        <v>0</v>
      </c>
      <c r="K779" s="283">
        <f>РПЗ!Z779</f>
        <v>0</v>
      </c>
      <c r="L779" s="17"/>
      <c r="M779" s="18">
        <f>РПЗ!O779</f>
        <v>42795</v>
      </c>
      <c r="N779" s="238">
        <f>Таблица5[[#This Row],[10]]</f>
        <v>42795</v>
      </c>
      <c r="O779" s="17"/>
      <c r="P779" s="17"/>
      <c r="Q779" s="17"/>
      <c r="R779" s="17"/>
      <c r="S779" s="17"/>
      <c r="T779" s="686"/>
      <c r="U779" s="18">
        <f>РПЗ!P779</f>
        <v>43070.5</v>
      </c>
      <c r="V779" s="686"/>
      <c r="W779" s="236">
        <f>РПЗ!L779</f>
        <v>1739927.3</v>
      </c>
      <c r="X779" s="689"/>
      <c r="Y779" s="689"/>
      <c r="Z779" s="690"/>
      <c r="AA779" s="691"/>
      <c r="AB779" s="111"/>
      <c r="AC779" s="17"/>
      <c r="AD779" s="690"/>
      <c r="AE779" s="686"/>
      <c r="AF779" s="474"/>
      <c r="AG779" s="692"/>
      <c r="AH779" s="236" t="str">
        <f>IF(Таблица5[[#This Row],[30]]=0,"НД",Таблица5[[#This Row],[20]]-Таблица5[[#This Row],[30]])</f>
        <v>НД</v>
      </c>
      <c r="AI779" s="511" t="str">
        <f>IF(((1-Таблица5[[#This Row],[30]]/Таблица5[[#This Row],[20]])=1),"НД",(1-Таблица5[[#This Row],[30]]/Таблица5[[#This Row],[20]]))</f>
        <v>НД</v>
      </c>
      <c r="AJ779" s="111"/>
      <c r="AK779" s="111"/>
      <c r="AL779" s="512"/>
      <c r="AM779" s="513"/>
      <c r="AN779" s="465"/>
      <c r="AO779" s="468" t="str">
        <f>РПЗ!AD779</f>
        <v>Нет</v>
      </c>
      <c r="AP779" s="472">
        <f>РПЗ!V779</f>
        <v>0</v>
      </c>
      <c r="AQ779" s="470">
        <f>IF(Таблица5[[#This Row],[11]]=0,,MONTH(Таблица5[[#This Row],[11]]))</f>
        <v>3</v>
      </c>
    </row>
    <row r="780" spans="1:43" ht="39" thickBot="1" x14ac:dyDescent="0.3">
      <c r="A780" s="233" t="str">
        <f t="shared" si="12"/>
        <v>1004-2017-00765</v>
      </c>
      <c r="B780" s="233" t="str">
        <f>РПЗ!$D780</f>
        <v>1004-2017-00765 Поставка 5СО 115М 145х145х50</v>
      </c>
      <c r="C780" s="233" t="str">
        <f>РПЗ!$AA780</f>
        <v>АО "НИИ "Полюс" им. М.Ф. Стельмаха" тел. отдела закупок 8-495-333-05-02</v>
      </c>
      <c r="D780" s="633" t="str">
        <f>РПЗ!$AB780</f>
        <v>Заказчик</v>
      </c>
      <c r="E780" s="96" t="s">
        <v>46</v>
      </c>
      <c r="F780" s="233" t="str">
        <f>РПЗ!Q780</f>
        <v>ЕП</v>
      </c>
      <c r="G780" s="237"/>
      <c r="H780" s="237" t="str">
        <f>РПЗ!R780</f>
        <v>нет</v>
      </c>
      <c r="I780" s="15" t="str">
        <f>РПЗ!W780</f>
        <v>6.6.2(11)</v>
      </c>
      <c r="J780" s="233">
        <f>РПЗ!X780</f>
        <v>0</v>
      </c>
      <c r="K780" s="283">
        <f>РПЗ!Z780</f>
        <v>0</v>
      </c>
      <c r="L780" s="17"/>
      <c r="M780" s="18">
        <f>РПЗ!O780</f>
        <v>42795</v>
      </c>
      <c r="N780" s="238">
        <f>Таблица5[[#This Row],[10]]</f>
        <v>42795</v>
      </c>
      <c r="O780" s="17"/>
      <c r="P780" s="17"/>
      <c r="Q780" s="17"/>
      <c r="R780" s="17"/>
      <c r="S780" s="17"/>
      <c r="T780" s="686"/>
      <c r="U780" s="18">
        <f>РПЗ!P780</f>
        <v>43070.5</v>
      </c>
      <c r="V780" s="686"/>
      <c r="W780" s="236">
        <f>РПЗ!L780</f>
        <v>5012065.5</v>
      </c>
      <c r="X780" s="689"/>
      <c r="Y780" s="689"/>
      <c r="Z780" s="690"/>
      <c r="AA780" s="691"/>
      <c r="AB780" s="111"/>
      <c r="AC780" s="17"/>
      <c r="AD780" s="690"/>
      <c r="AE780" s="686"/>
      <c r="AF780" s="474"/>
      <c r="AG780" s="692"/>
      <c r="AH780" s="236" t="str">
        <f>IF(Таблица5[[#This Row],[30]]=0,"НД",Таблица5[[#This Row],[20]]-Таблица5[[#This Row],[30]])</f>
        <v>НД</v>
      </c>
      <c r="AI780" s="511" t="str">
        <f>IF(((1-Таблица5[[#This Row],[30]]/Таблица5[[#This Row],[20]])=1),"НД",(1-Таблица5[[#This Row],[30]]/Таблица5[[#This Row],[20]]))</f>
        <v>НД</v>
      </c>
      <c r="AJ780" s="111"/>
      <c r="AK780" s="111"/>
      <c r="AL780" s="512"/>
      <c r="AM780" s="513"/>
      <c r="AN780" s="465"/>
      <c r="AO780" s="468" t="str">
        <f>РПЗ!AD780</f>
        <v>Нет</v>
      </c>
      <c r="AP780" s="472">
        <f>РПЗ!V780</f>
        <v>0</v>
      </c>
      <c r="AQ780" s="470">
        <f>IF(Таблица5[[#This Row],[11]]=0,,MONTH(Таблица5[[#This Row],[11]]))</f>
        <v>3</v>
      </c>
    </row>
    <row r="781" spans="1:43" ht="38.25" x14ac:dyDescent="0.25">
      <c r="A781" s="233" t="str">
        <f t="shared" si="12"/>
        <v>1004-2017-00766</v>
      </c>
      <c r="B781" s="233" t="str">
        <f>РПЗ!$D781</f>
        <v>1004-2017-00766Поставка  6СО 115М 160х160х50, 145х145х50</v>
      </c>
      <c r="C781" s="233" t="str">
        <f>РПЗ!$AA781</f>
        <v>АО "НИИ "Полюс" им. М.Ф. Стельмаха" тел. отдела закупок 8-495-333-05-02</v>
      </c>
      <c r="D781" s="633" t="str">
        <f>РПЗ!$AB781</f>
        <v>Заказчик</v>
      </c>
      <c r="E781" s="96" t="s">
        <v>46</v>
      </c>
      <c r="F781" s="233" t="str">
        <f>РПЗ!Q781</f>
        <v>ЕП</v>
      </c>
      <c r="G781" s="237"/>
      <c r="H781" s="237" t="str">
        <f>РПЗ!R781</f>
        <v>нет</v>
      </c>
      <c r="I781" s="15" t="str">
        <f>РПЗ!W781</f>
        <v>6.6.2(11)</v>
      </c>
      <c r="J781" s="233">
        <f>РПЗ!X781</f>
        <v>0</v>
      </c>
      <c r="K781" s="283">
        <f>РПЗ!Z781</f>
        <v>0</v>
      </c>
      <c r="L781" s="17"/>
      <c r="M781" s="18">
        <f>РПЗ!O781</f>
        <v>42795</v>
      </c>
      <c r="N781" s="238">
        <f>Таблица5[[#This Row],[10]]</f>
        <v>42795</v>
      </c>
      <c r="O781" s="17"/>
      <c r="P781" s="17"/>
      <c r="Q781" s="17"/>
      <c r="R781" s="17"/>
      <c r="S781" s="17"/>
      <c r="T781" s="686"/>
      <c r="U781" s="18">
        <f>РПЗ!P781</f>
        <v>43070.5</v>
      </c>
      <c r="V781" s="686"/>
      <c r="W781" s="236">
        <f>РПЗ!L781</f>
        <v>4896798.0999999996</v>
      </c>
      <c r="X781" s="689"/>
      <c r="Y781" s="689"/>
      <c r="Z781" s="690"/>
      <c r="AA781" s="691"/>
      <c r="AB781" s="111"/>
      <c r="AC781" s="17"/>
      <c r="AD781" s="690"/>
      <c r="AE781" s="686"/>
      <c r="AF781" s="474"/>
      <c r="AG781" s="692"/>
      <c r="AH781" s="236" t="str">
        <f>IF(Таблица5[[#This Row],[30]]=0,"НД",Таблица5[[#This Row],[20]]-Таблица5[[#This Row],[30]])</f>
        <v>НД</v>
      </c>
      <c r="AI781" s="511" t="str">
        <f>IF(((1-Таблица5[[#This Row],[30]]/Таблица5[[#This Row],[20]])=1),"НД",(1-Таблица5[[#This Row],[30]]/Таблица5[[#This Row],[20]]))</f>
        <v>НД</v>
      </c>
      <c r="AJ781" s="111"/>
      <c r="AK781" s="111"/>
      <c r="AL781" s="512"/>
      <c r="AM781" s="513"/>
      <c r="AN781" s="465"/>
      <c r="AO781" s="468" t="str">
        <f>РПЗ!AD781</f>
        <v>Нет</v>
      </c>
      <c r="AP781" s="472">
        <f>РПЗ!V781</f>
        <v>0</v>
      </c>
      <c r="AQ781" s="470">
        <f>IF(Таблица5[[#This Row],[11]]=0,,MONTH(Таблица5[[#This Row],[11]]))</f>
        <v>3</v>
      </c>
    </row>
    <row r="782" spans="1:43" ht="38.25" x14ac:dyDescent="0.25">
      <c r="A782" s="233" t="str">
        <f t="shared" si="12"/>
        <v>1004-2017-00767</v>
      </c>
      <c r="B782" s="233" t="str">
        <f>РПЗ!$D782</f>
        <v>1004-2017-00767Поставка  Оптические детали</v>
      </c>
      <c r="C782" s="233" t="str">
        <f>РПЗ!$AA782</f>
        <v>АО "НИИ "Полюс" им. М.Ф. Стельмаха" тел. отдела закупок 8-495-333-05-02</v>
      </c>
      <c r="D782" s="633" t="str">
        <f>РПЗ!$AB782</f>
        <v>Заказчик</v>
      </c>
      <c r="E782" s="510" t="s">
        <v>62</v>
      </c>
      <c r="F782" s="233" t="str">
        <f>РПЗ!Q782</f>
        <v>ЕП</v>
      </c>
      <c r="G782" s="237" t="str">
        <f>Таблица5[[#This Row],[6]]</f>
        <v>ЕП</v>
      </c>
      <c r="H782" s="237" t="str">
        <f>РПЗ!R782</f>
        <v>нет</v>
      </c>
      <c r="I782" s="15" t="str">
        <f>РПЗ!W782</f>
        <v>6.6.2(11)</v>
      </c>
      <c r="J782" s="233" t="str">
        <f>РПЗ!X782</f>
        <v>101394957</v>
      </c>
      <c r="K782" s="283">
        <f>РПЗ!Z782</f>
        <v>3972620</v>
      </c>
      <c r="L782" s="17">
        <v>42851</v>
      </c>
      <c r="M782" s="18">
        <f>РПЗ!O782</f>
        <v>42826</v>
      </c>
      <c r="N782" s="238">
        <f>Таблица5[[#This Row],[10]]</f>
        <v>42826</v>
      </c>
      <c r="O782" s="17"/>
      <c r="P782" s="17"/>
      <c r="Q782" s="17"/>
      <c r="R782" s="17"/>
      <c r="S782" s="17"/>
      <c r="T782" s="686">
        <v>42857</v>
      </c>
      <c r="U782" s="18">
        <f>РПЗ!P782</f>
        <v>43070.5</v>
      </c>
      <c r="V782" s="686">
        <v>43009</v>
      </c>
      <c r="W782" s="236">
        <f>РПЗ!L782</f>
        <v>3972620</v>
      </c>
      <c r="X782" s="689">
        <v>1</v>
      </c>
      <c r="Y782" s="689">
        <v>0</v>
      </c>
      <c r="Z782" s="691">
        <v>101394957</v>
      </c>
      <c r="AA782" s="691" t="s">
        <v>6027</v>
      </c>
      <c r="AB782" s="111">
        <v>3972620</v>
      </c>
      <c r="AC782" s="17">
        <v>43009</v>
      </c>
      <c r="AD782" s="690" t="s">
        <v>6029</v>
      </c>
      <c r="AE782" s="686">
        <v>42857</v>
      </c>
      <c r="AF782" s="474"/>
      <c r="AG782" s="692">
        <v>3972620</v>
      </c>
      <c r="AH782" s="236">
        <f>IF(Таблица5[[#This Row],[30]]=0,"НД",Таблица5[[#This Row],[20]]-Таблица5[[#This Row],[30]])</f>
        <v>0</v>
      </c>
      <c r="AI782" s="511">
        <f>IF(((1-Таблица5[[#This Row],[30]]/Таблица5[[#This Row],[20]])=1),"НД",(1-Таблица5[[#This Row],[30]]/Таблица5[[#This Row],[20]]))</f>
        <v>0</v>
      </c>
      <c r="AJ782" s="111"/>
      <c r="AK782" s="111"/>
      <c r="AL782" s="512"/>
      <c r="AM782" s="513" t="s">
        <v>113</v>
      </c>
      <c r="AN782" s="801">
        <v>31705058551</v>
      </c>
      <c r="AO782" s="468" t="str">
        <f>РПЗ!AD782</f>
        <v>Нет</v>
      </c>
      <c r="AP782" s="472">
        <f>РПЗ!V782</f>
        <v>0</v>
      </c>
      <c r="AQ782" s="470">
        <f>IF(Таблица5[[#This Row],[11]]=0,,MONTH(Таблица5[[#This Row],[11]]))</f>
        <v>4</v>
      </c>
    </row>
    <row r="783" spans="1:43" ht="39" thickBot="1" x14ac:dyDescent="0.3">
      <c r="A783" s="233" t="str">
        <f t="shared" si="12"/>
        <v>1004-2017-00768</v>
      </c>
      <c r="B783" s="233" t="str">
        <f>РПЗ!$D783</f>
        <v>1004-2017-00768Поставка Оптические детали</v>
      </c>
      <c r="C783" s="233" t="str">
        <f>РПЗ!$AA783</f>
        <v>АО "НИИ "Полюс" им. М.Ф. Стельмаха" тел. отдела закупок 8-495-333-05-02</v>
      </c>
      <c r="D783" s="633" t="str">
        <f>РПЗ!$AB783</f>
        <v>Заказчик</v>
      </c>
      <c r="E783" s="510" t="s">
        <v>62</v>
      </c>
      <c r="F783" s="233" t="str">
        <f>РПЗ!Q783</f>
        <v>ЕП</v>
      </c>
      <c r="G783" s="237" t="str">
        <f>Таблица5[[#This Row],[6]]</f>
        <v>ЕП</v>
      </c>
      <c r="H783" s="237" t="str">
        <f>РПЗ!R783</f>
        <v>нет</v>
      </c>
      <c r="I783" s="15" t="str">
        <f>РПЗ!W783</f>
        <v>6.6.2(11)</v>
      </c>
      <c r="J783" s="233" t="str">
        <f>РПЗ!X783</f>
        <v>101394957</v>
      </c>
      <c r="K783" s="283">
        <f>РПЗ!Z783</f>
        <v>6562448</v>
      </c>
      <c r="L783" s="17">
        <v>42844</v>
      </c>
      <c r="M783" s="18">
        <f>РПЗ!O783</f>
        <v>42826</v>
      </c>
      <c r="N783" s="238">
        <f>Таблица5[[#This Row],[10]]</f>
        <v>42826</v>
      </c>
      <c r="O783" s="17"/>
      <c r="P783" s="17"/>
      <c r="Q783" s="17"/>
      <c r="R783" s="17"/>
      <c r="S783" s="17"/>
      <c r="T783" s="686">
        <v>42857</v>
      </c>
      <c r="U783" s="18">
        <f>РПЗ!P783</f>
        <v>43070.5</v>
      </c>
      <c r="V783" s="686">
        <v>43009</v>
      </c>
      <c r="W783" s="236">
        <f>РПЗ!L783</f>
        <v>6562448</v>
      </c>
      <c r="X783" s="689">
        <v>1</v>
      </c>
      <c r="Y783" s="689">
        <v>0</v>
      </c>
      <c r="Z783" s="691">
        <v>101394957</v>
      </c>
      <c r="AA783" s="691" t="s">
        <v>6027</v>
      </c>
      <c r="AB783" s="111">
        <v>6562448</v>
      </c>
      <c r="AC783" s="17">
        <v>43009</v>
      </c>
      <c r="AD783" s="690" t="s">
        <v>6028</v>
      </c>
      <c r="AE783" s="686">
        <v>42857</v>
      </c>
      <c r="AF783" s="474"/>
      <c r="AG783" s="692">
        <v>6562448</v>
      </c>
      <c r="AH783" s="236">
        <f>IF(Таблица5[[#This Row],[30]]=0,"НД",Таблица5[[#This Row],[20]]-Таблица5[[#This Row],[30]])</f>
        <v>0</v>
      </c>
      <c r="AI783" s="511">
        <f>IF(((1-Таблица5[[#This Row],[30]]/Таблица5[[#This Row],[20]])=1),"НД",(1-Таблица5[[#This Row],[30]]/Таблица5[[#This Row],[20]]))</f>
        <v>0</v>
      </c>
      <c r="AJ783" s="111"/>
      <c r="AK783" s="111"/>
      <c r="AL783" s="512"/>
      <c r="AM783" s="513" t="s">
        <v>113</v>
      </c>
      <c r="AN783" s="801">
        <v>31705054295</v>
      </c>
      <c r="AO783" s="468" t="str">
        <f>РПЗ!AD783</f>
        <v>Нет</v>
      </c>
      <c r="AP783" s="472">
        <f>РПЗ!V783</f>
        <v>0</v>
      </c>
      <c r="AQ783" s="470">
        <f>IF(Таблица5[[#This Row],[11]]=0,,MONTH(Таблица5[[#This Row],[11]]))</f>
        <v>4</v>
      </c>
    </row>
    <row r="784" spans="1:43" ht="39" thickBot="1" x14ac:dyDescent="0.3">
      <c r="A784" s="233" t="str">
        <f t="shared" si="12"/>
        <v>1004-2017-00769</v>
      </c>
      <c r="B784" s="233" t="str">
        <f>РПЗ!$D784</f>
        <v>1004-2017-00769Оказание услуг Аренда установки МОС-гидридной эпитаксии</v>
      </c>
      <c r="C784" s="233" t="str">
        <f>РПЗ!$AA784</f>
        <v>АО "НИИ "Полюс" им. М.Ф. Стельмаха" тел. отдела закупок 8-495-333-05-02</v>
      </c>
      <c r="D784" s="633" t="str">
        <f>РПЗ!$AB784</f>
        <v>Заказчик</v>
      </c>
      <c r="E784" s="96" t="s">
        <v>46</v>
      </c>
      <c r="F784" s="233" t="str">
        <f>РПЗ!Q784</f>
        <v>ЕП</v>
      </c>
      <c r="G784" s="237"/>
      <c r="H784" s="237" t="str">
        <f>РПЗ!R784</f>
        <v>нет</v>
      </c>
      <c r="I784" s="15" t="str">
        <f>РПЗ!W784</f>
        <v>6.6.2(7)</v>
      </c>
      <c r="J784" s="233">
        <f>РПЗ!X784</f>
        <v>0</v>
      </c>
      <c r="K784" s="283">
        <f>РПЗ!Z784</f>
        <v>0</v>
      </c>
      <c r="L784" s="17"/>
      <c r="M784" s="18">
        <f>РПЗ!O784</f>
        <v>42793.5</v>
      </c>
      <c r="N784" s="238">
        <f>Таблица5[[#This Row],[10]]</f>
        <v>42793.5</v>
      </c>
      <c r="O784" s="17"/>
      <c r="P784" s="17"/>
      <c r="Q784" s="17"/>
      <c r="R784" s="17"/>
      <c r="S784" s="17"/>
      <c r="T784" s="686"/>
      <c r="U784" s="18">
        <f>РПЗ!P784</f>
        <v>43070.5</v>
      </c>
      <c r="V784" s="686"/>
      <c r="W784" s="236">
        <f>РПЗ!L784</f>
        <v>1203800</v>
      </c>
      <c r="X784" s="689"/>
      <c r="Y784" s="689"/>
      <c r="Z784" s="690"/>
      <c r="AA784" s="691"/>
      <c r="AB784" s="111"/>
      <c r="AC784" s="17"/>
      <c r="AD784" s="690"/>
      <c r="AE784" s="686"/>
      <c r="AF784" s="474"/>
      <c r="AG784" s="692"/>
      <c r="AH784" s="236" t="str">
        <f>IF(Таблица5[[#This Row],[30]]=0,"НД",Таблица5[[#This Row],[20]]-Таблица5[[#This Row],[30]])</f>
        <v>НД</v>
      </c>
      <c r="AI784" s="511" t="str">
        <f>IF(((1-Таблица5[[#This Row],[30]]/Таблица5[[#This Row],[20]])=1),"НД",(1-Таблица5[[#This Row],[30]]/Таблица5[[#This Row],[20]]))</f>
        <v>НД</v>
      </c>
      <c r="AJ784" s="111"/>
      <c r="AK784" s="111"/>
      <c r="AL784" s="512"/>
      <c r="AM784" s="513"/>
      <c r="AN784" s="465"/>
      <c r="AO784" s="468" t="str">
        <f>РПЗ!AD784</f>
        <v>Нет</v>
      </c>
      <c r="AP784" s="472">
        <f>РПЗ!V784</f>
        <v>0</v>
      </c>
      <c r="AQ784" s="470">
        <f>IF(Таблица5[[#This Row],[11]]=0,,MONTH(Таблица5[[#This Row],[11]]))</f>
        <v>2</v>
      </c>
    </row>
    <row r="785" spans="1:43" ht="51.75" thickBot="1" x14ac:dyDescent="0.3">
      <c r="A785" s="233" t="str">
        <f t="shared" si="12"/>
        <v>1004-2017-00770</v>
      </c>
      <c r="B785" s="233" t="str">
        <f>РПЗ!$D785</f>
        <v>1004-2017-00770Поставка Установка химико-механической полировки Logitech PM-6, Производитель "Logitech"</v>
      </c>
      <c r="C785" s="233" t="str">
        <f>РПЗ!$AA785</f>
        <v>АО "НИИ "Полюс" им. М.Ф. Стельмаха" тел. отдела закупок 8-495-333-05-02</v>
      </c>
      <c r="D785" s="633" t="str">
        <f>РПЗ!$AB785</f>
        <v>Заказчик</v>
      </c>
      <c r="E785" s="96" t="s">
        <v>46</v>
      </c>
      <c r="F785" s="233" t="str">
        <f>РПЗ!Q785</f>
        <v>ОК</v>
      </c>
      <c r="G785" s="237"/>
      <c r="H785" s="237" t="str">
        <f>РПЗ!R785</f>
        <v>да</v>
      </c>
      <c r="I785" s="15">
        <f>РПЗ!W785</f>
        <v>0</v>
      </c>
      <c r="J785" s="233">
        <f>РПЗ!X785</f>
        <v>0</v>
      </c>
      <c r="K785" s="283">
        <f>РПЗ!Z785</f>
        <v>0</v>
      </c>
      <c r="L785" s="17"/>
      <c r="M785" s="18">
        <f>РПЗ!O785</f>
        <v>42795</v>
      </c>
      <c r="N785" s="238">
        <f>Таблица5[[#This Row],[10]]</f>
        <v>42795</v>
      </c>
      <c r="O785" s="17"/>
      <c r="P785" s="17"/>
      <c r="Q785" s="17"/>
      <c r="R785" s="17"/>
      <c r="S785" s="17"/>
      <c r="T785" s="686"/>
      <c r="U785" s="18">
        <f>РПЗ!P785</f>
        <v>42979</v>
      </c>
      <c r="V785" s="686"/>
      <c r="W785" s="236">
        <f>РПЗ!L785</f>
        <v>13909887.9</v>
      </c>
      <c r="X785" s="689"/>
      <c r="Y785" s="689"/>
      <c r="Z785" s="690"/>
      <c r="AA785" s="691"/>
      <c r="AB785" s="111"/>
      <c r="AC785" s="17"/>
      <c r="AD785" s="690"/>
      <c r="AE785" s="686"/>
      <c r="AF785" s="474"/>
      <c r="AG785" s="692"/>
      <c r="AH785" s="236" t="str">
        <f>IF(Таблица5[[#This Row],[30]]=0,"НД",Таблица5[[#This Row],[20]]-Таблица5[[#This Row],[30]])</f>
        <v>НД</v>
      </c>
      <c r="AI785" s="511" t="str">
        <f>IF(((1-Таблица5[[#This Row],[30]]/Таблица5[[#This Row],[20]])=1),"НД",(1-Таблица5[[#This Row],[30]]/Таблица5[[#This Row],[20]]))</f>
        <v>НД</v>
      </c>
      <c r="AJ785" s="111"/>
      <c r="AK785" s="111"/>
      <c r="AL785" s="512"/>
      <c r="AM785" s="513"/>
      <c r="AN785" s="465"/>
      <c r="AO785" s="468" t="str">
        <f>РПЗ!AD785</f>
        <v>Нет</v>
      </c>
      <c r="AP785" s="472">
        <f>РПЗ!V785</f>
        <v>0</v>
      </c>
      <c r="AQ785" s="470">
        <f>IF(Таблица5[[#This Row],[11]]=0,,MONTH(Таблица5[[#This Row],[11]]))</f>
        <v>3</v>
      </c>
    </row>
    <row r="786" spans="1:43" ht="38.25" x14ac:dyDescent="0.25">
      <c r="A786" s="233" t="str">
        <f t="shared" si="12"/>
        <v>1004-2017-00771</v>
      </c>
      <c r="B786" s="233" t="str">
        <f>РПЗ!$D786</f>
        <v xml:space="preserve">1004-2017-00771Поставка  Установка дисковой резки типа ADT 7122 </v>
      </c>
      <c r="C786" s="233" t="str">
        <f>РПЗ!$AA786</f>
        <v>АО "НИИ "Полюс" им. М.Ф. Стельмаха" тел. отдела закупок 8-495-333-05-02</v>
      </c>
      <c r="D786" s="633" t="str">
        <f>РПЗ!$AB786</f>
        <v>Заказчик</v>
      </c>
      <c r="E786" s="96" t="s">
        <v>46</v>
      </c>
      <c r="F786" s="233" t="str">
        <f>РПЗ!Q786</f>
        <v>ОК</v>
      </c>
      <c r="G786" s="237"/>
      <c r="H786" s="237" t="str">
        <f>РПЗ!R786</f>
        <v>да</v>
      </c>
      <c r="I786" s="15">
        <f>РПЗ!W786</f>
        <v>0</v>
      </c>
      <c r="J786" s="233">
        <f>РПЗ!X786</f>
        <v>0</v>
      </c>
      <c r="K786" s="283">
        <f>РПЗ!Z786</f>
        <v>0</v>
      </c>
      <c r="L786" s="17"/>
      <c r="M786" s="18">
        <f>РПЗ!O786</f>
        <v>42795</v>
      </c>
      <c r="N786" s="238">
        <f>Таблица5[[#This Row],[10]]</f>
        <v>42795</v>
      </c>
      <c r="O786" s="17"/>
      <c r="P786" s="17"/>
      <c r="Q786" s="17"/>
      <c r="R786" s="17"/>
      <c r="S786" s="17"/>
      <c r="T786" s="686"/>
      <c r="U786" s="18">
        <f>РПЗ!P786</f>
        <v>42948</v>
      </c>
      <c r="V786" s="686"/>
      <c r="W786" s="236">
        <f>РПЗ!L786</f>
        <v>16102217.300000001</v>
      </c>
      <c r="X786" s="689"/>
      <c r="Y786" s="689"/>
      <c r="Z786" s="690"/>
      <c r="AA786" s="691"/>
      <c r="AB786" s="111"/>
      <c r="AC786" s="17"/>
      <c r="AD786" s="690"/>
      <c r="AE786" s="686"/>
      <c r="AF786" s="474"/>
      <c r="AG786" s="692"/>
      <c r="AH786" s="236" t="str">
        <f>IF(Таблица5[[#This Row],[30]]=0,"НД",Таблица5[[#This Row],[20]]-Таблица5[[#This Row],[30]])</f>
        <v>НД</v>
      </c>
      <c r="AI786" s="511" t="str">
        <f>IF(((1-Таблица5[[#This Row],[30]]/Таблица5[[#This Row],[20]])=1),"НД",(1-Таблица5[[#This Row],[30]]/Таблица5[[#This Row],[20]]))</f>
        <v>НД</v>
      </c>
      <c r="AJ786" s="111"/>
      <c r="AK786" s="111"/>
      <c r="AL786" s="512"/>
      <c r="AM786" s="513"/>
      <c r="AN786" s="465"/>
      <c r="AO786" s="468" t="str">
        <f>РПЗ!AD786</f>
        <v>Нет</v>
      </c>
      <c r="AP786" s="472">
        <f>РПЗ!V786</f>
        <v>0</v>
      </c>
      <c r="AQ786" s="470">
        <f>IF(Таблица5[[#This Row],[11]]=0,,MONTH(Таблица5[[#This Row],[11]]))</f>
        <v>3</v>
      </c>
    </row>
    <row r="787" spans="1:43" ht="64.5" thickBot="1" x14ac:dyDescent="0.3">
      <c r="A787" s="233" t="str">
        <f t="shared" si="12"/>
        <v>1004-2017-00772</v>
      </c>
      <c r="B787" s="233" t="str">
        <f>РПЗ!$D787</f>
        <v xml:space="preserve">1004-2017-00772Поставка Вакуумно-напылительная установка для термического нанесения припоев (In, AgSn, SnAu) на базе установки "ЭЛАТТО 600" </v>
      </c>
      <c r="C787" s="233" t="str">
        <f>РПЗ!$AA787</f>
        <v>АО "НИИ "Полюс" им. М.Ф. Стельмаха" тел. отдела закупок 8-495-333-05-02</v>
      </c>
      <c r="D787" s="633" t="str">
        <f>РПЗ!$AB787</f>
        <v>Заказчик</v>
      </c>
      <c r="E787" s="510" t="s">
        <v>62</v>
      </c>
      <c r="F787" s="233" t="str">
        <f>РПЗ!Q787</f>
        <v>ОК</v>
      </c>
      <c r="G787" s="237" t="str">
        <f>Таблица5[[#This Row],[6]]</f>
        <v>ОК</v>
      </c>
      <c r="H787" s="237" t="str">
        <f>РПЗ!R787</f>
        <v>да</v>
      </c>
      <c r="I787" s="15">
        <f>РПЗ!W787</f>
        <v>0</v>
      </c>
      <c r="J787" s="233">
        <f>РПЗ!X787</f>
        <v>0</v>
      </c>
      <c r="K787" s="283">
        <f>РПЗ!Z787</f>
        <v>0</v>
      </c>
      <c r="L787" s="17">
        <v>42874</v>
      </c>
      <c r="M787" s="18">
        <f>РПЗ!O787</f>
        <v>42856</v>
      </c>
      <c r="N787" s="238">
        <f>Таблица5[[#This Row],[10]]</f>
        <v>42856</v>
      </c>
      <c r="O787" s="17">
        <v>42900</v>
      </c>
      <c r="P787" s="17">
        <v>42906</v>
      </c>
      <c r="Q787" s="17">
        <v>42906</v>
      </c>
      <c r="R787" s="17">
        <v>42912</v>
      </c>
      <c r="S787" s="17">
        <v>42912</v>
      </c>
      <c r="T787" s="686">
        <v>42923</v>
      </c>
      <c r="U787" s="18">
        <f>РПЗ!P787</f>
        <v>43040</v>
      </c>
      <c r="V787" s="686">
        <v>43132</v>
      </c>
      <c r="W787" s="236">
        <f>РПЗ!L787</f>
        <v>30993332.98</v>
      </c>
      <c r="X787" s="689">
        <v>2</v>
      </c>
      <c r="Y787" s="689">
        <v>1</v>
      </c>
      <c r="Z787" s="691">
        <v>7735594498</v>
      </c>
      <c r="AA787" s="691" t="s">
        <v>6108</v>
      </c>
      <c r="AB787" s="111">
        <v>30992700</v>
      </c>
      <c r="AC787" s="17">
        <v>43132</v>
      </c>
      <c r="AD787" s="690" t="s">
        <v>6470</v>
      </c>
      <c r="AE787" s="686">
        <v>42923</v>
      </c>
      <c r="AF787" s="474"/>
      <c r="AG787" s="692">
        <v>30992700</v>
      </c>
      <c r="AH787" s="236">
        <f>IF(Таблица5[[#This Row],[30]]=0,"НД",Таблица5[[#This Row],[20]]-Таблица5[[#This Row],[30]])</f>
        <v>632.98000000044703</v>
      </c>
      <c r="AI787" s="511">
        <f>IF(((1-Таблица5[[#This Row],[30]]/Таблица5[[#This Row],[20]])=1),"НД",(1-Таблица5[[#This Row],[30]]/Таблица5[[#This Row],[20]]))</f>
        <v>2.0423101975142188E-5</v>
      </c>
      <c r="AJ787" s="111">
        <v>30992700</v>
      </c>
      <c r="AK787" s="111"/>
      <c r="AL787" s="512"/>
      <c r="AM787" s="513" t="s">
        <v>113</v>
      </c>
      <c r="AN787" s="801">
        <v>31705128296</v>
      </c>
      <c r="AO787" s="468" t="str">
        <f>РПЗ!AD787</f>
        <v>Нет</v>
      </c>
      <c r="AP787" s="472">
        <f>РПЗ!V787</f>
        <v>0</v>
      </c>
      <c r="AQ787" s="470">
        <f>IF(Таблица5[[#This Row],[11]]=0,,MONTH(Таблица5[[#This Row],[11]]))</f>
        <v>5</v>
      </c>
    </row>
    <row r="788" spans="1:43" ht="39" thickBot="1" x14ac:dyDescent="0.3">
      <c r="A788" s="233" t="str">
        <f t="shared" si="12"/>
        <v>1004-2017-00773</v>
      </c>
      <c r="B788" s="233" t="str">
        <f>РПЗ!$D788</f>
        <v>1004-2017-00773Поставка Транзисторы 2Т354Б1-2</v>
      </c>
      <c r="C788" s="233" t="str">
        <f>РПЗ!$AA788</f>
        <v>АО "НИИ "Полюс" им. М.Ф. Стельмаха" тел. отдела закупок 8-495-333-05-02</v>
      </c>
      <c r="D788" s="633" t="str">
        <f>РПЗ!$AB788</f>
        <v>Заказчик</v>
      </c>
      <c r="E788" s="96" t="s">
        <v>46</v>
      </c>
      <c r="F788" s="233" t="str">
        <f>РПЗ!Q788</f>
        <v>ЕП</v>
      </c>
      <c r="G788" s="237"/>
      <c r="H788" s="237" t="str">
        <f>РПЗ!R788</f>
        <v>нет</v>
      </c>
      <c r="I788" s="15" t="str">
        <f>РПЗ!W788</f>
        <v>6.6.2(7)</v>
      </c>
      <c r="J788" s="233">
        <f>РПЗ!X788</f>
        <v>0</v>
      </c>
      <c r="K788" s="283">
        <f>РПЗ!Z788</f>
        <v>0</v>
      </c>
      <c r="L788" s="17"/>
      <c r="M788" s="18">
        <f>РПЗ!O788</f>
        <v>42795</v>
      </c>
      <c r="N788" s="238">
        <f>Таблица5[[#This Row],[10]]</f>
        <v>42795</v>
      </c>
      <c r="O788" s="17"/>
      <c r="P788" s="17"/>
      <c r="Q788" s="17"/>
      <c r="R788" s="17"/>
      <c r="S788" s="17"/>
      <c r="T788" s="686"/>
      <c r="U788" s="18">
        <f>РПЗ!P788</f>
        <v>43070.5</v>
      </c>
      <c r="V788" s="686"/>
      <c r="W788" s="236">
        <f>РПЗ!L788</f>
        <v>765000</v>
      </c>
      <c r="X788" s="689"/>
      <c r="Y788" s="689"/>
      <c r="Z788" s="690"/>
      <c r="AA788" s="691"/>
      <c r="AB788" s="111"/>
      <c r="AC788" s="17"/>
      <c r="AD788" s="690"/>
      <c r="AE788" s="686"/>
      <c r="AF788" s="474"/>
      <c r="AG788" s="692"/>
      <c r="AH788" s="236" t="str">
        <f>IF(Таблица5[[#This Row],[30]]=0,"НД",Таблица5[[#This Row],[20]]-Таблица5[[#This Row],[30]])</f>
        <v>НД</v>
      </c>
      <c r="AI788" s="511" t="str">
        <f>IF(((1-Таблица5[[#This Row],[30]]/Таблица5[[#This Row],[20]])=1),"НД",(1-Таблица5[[#This Row],[30]]/Таблица5[[#This Row],[20]]))</f>
        <v>НД</v>
      </c>
      <c r="AJ788" s="111"/>
      <c r="AK788" s="111"/>
      <c r="AL788" s="512"/>
      <c r="AM788" s="513"/>
      <c r="AN788" s="465"/>
      <c r="AO788" s="468" t="str">
        <f>РПЗ!AD788</f>
        <v>Нет</v>
      </c>
      <c r="AP788" s="472">
        <f>РПЗ!V788</f>
        <v>0</v>
      </c>
      <c r="AQ788" s="470">
        <f>IF(Таблица5[[#This Row],[11]]=0,,MONTH(Таблица5[[#This Row],[11]]))</f>
        <v>3</v>
      </c>
    </row>
    <row r="789" spans="1:43" ht="39" thickBot="1" x14ac:dyDescent="0.3">
      <c r="A789" s="233" t="str">
        <f t="shared" si="12"/>
        <v>1004-2017-00774</v>
      </c>
      <c r="B789" s="233" t="str">
        <f>РПЗ!$D789</f>
        <v>1004-2017-00774ТПоставка ранзисторы 2Т354Б1-2</v>
      </c>
      <c r="C789" s="233" t="str">
        <f>РПЗ!$AA789</f>
        <v>АО "НИИ "Полюс" им. М.Ф. Стельмаха" тел. отдела закупок 8-495-333-05-02</v>
      </c>
      <c r="D789" s="633" t="str">
        <f>РПЗ!$AB789</f>
        <v>Заказчик</v>
      </c>
      <c r="E789" s="96" t="s">
        <v>46</v>
      </c>
      <c r="F789" s="233" t="str">
        <f>РПЗ!Q789</f>
        <v>ЕП</v>
      </c>
      <c r="G789" s="237"/>
      <c r="H789" s="237" t="str">
        <f>РПЗ!R789</f>
        <v>нет</v>
      </c>
      <c r="I789" s="15" t="str">
        <f>РПЗ!W789</f>
        <v>6.6.2(7)</v>
      </c>
      <c r="J789" s="233">
        <f>РПЗ!X789</f>
        <v>0</v>
      </c>
      <c r="K789" s="283">
        <f>РПЗ!Z789</f>
        <v>0</v>
      </c>
      <c r="L789" s="17"/>
      <c r="M789" s="18">
        <f>РПЗ!O789</f>
        <v>42795</v>
      </c>
      <c r="N789" s="238">
        <f>Таблица5[[#This Row],[10]]</f>
        <v>42795</v>
      </c>
      <c r="O789" s="17"/>
      <c r="P789" s="17"/>
      <c r="Q789" s="17"/>
      <c r="R789" s="17"/>
      <c r="S789" s="17"/>
      <c r="T789" s="686"/>
      <c r="U789" s="18">
        <f>РПЗ!P789</f>
        <v>43070.5</v>
      </c>
      <c r="V789" s="686"/>
      <c r="W789" s="236">
        <f>РПЗ!L789</f>
        <v>162000</v>
      </c>
      <c r="X789" s="689"/>
      <c r="Y789" s="689"/>
      <c r="Z789" s="690"/>
      <c r="AA789" s="691"/>
      <c r="AB789" s="111"/>
      <c r="AC789" s="17"/>
      <c r="AD789" s="690"/>
      <c r="AE789" s="686"/>
      <c r="AF789" s="474"/>
      <c r="AG789" s="692"/>
      <c r="AH789" s="236" t="str">
        <f>IF(Таблица5[[#This Row],[30]]=0,"НД",Таблица5[[#This Row],[20]]-Таблица5[[#This Row],[30]])</f>
        <v>НД</v>
      </c>
      <c r="AI789" s="511" t="str">
        <f>IF(((1-Таблица5[[#This Row],[30]]/Таблица5[[#This Row],[20]])=1),"НД",(1-Таблица5[[#This Row],[30]]/Таблица5[[#This Row],[20]]))</f>
        <v>НД</v>
      </c>
      <c r="AJ789" s="111"/>
      <c r="AK789" s="111"/>
      <c r="AL789" s="512"/>
      <c r="AM789" s="513"/>
      <c r="AN789" s="465"/>
      <c r="AO789" s="468" t="str">
        <f>РПЗ!AD789</f>
        <v>Нет</v>
      </c>
      <c r="AP789" s="472">
        <f>РПЗ!V789</f>
        <v>0</v>
      </c>
      <c r="AQ789" s="470">
        <f>IF(Таблица5[[#This Row],[11]]=0,,MONTH(Таблица5[[#This Row],[11]]))</f>
        <v>3</v>
      </c>
    </row>
    <row r="790" spans="1:43" ht="39" thickBot="1" x14ac:dyDescent="0.3">
      <c r="A790" s="233" t="str">
        <f t="shared" si="12"/>
        <v>1004-2017-00775</v>
      </c>
      <c r="B790" s="233" t="str">
        <f>РПЗ!$D790</f>
        <v>1004-2017-00775Поставка Конденсаторы К53-68</v>
      </c>
      <c r="C790" s="233" t="str">
        <f>РПЗ!$AA790</f>
        <v>АО "НИИ "Полюс" им. М.Ф. Стельмаха" тел. отдела закупок 8-495-333-05-02</v>
      </c>
      <c r="D790" s="633" t="str">
        <f>РПЗ!$AB790</f>
        <v>Заказчик</v>
      </c>
      <c r="E790" s="96" t="s">
        <v>46</v>
      </c>
      <c r="F790" s="233" t="str">
        <f>РПЗ!Q790</f>
        <v>ЕП</v>
      </c>
      <c r="G790" s="237"/>
      <c r="H790" s="237" t="str">
        <f>РПЗ!R790</f>
        <v>нет</v>
      </c>
      <c r="I790" s="15" t="str">
        <f>РПЗ!W790</f>
        <v>6.6.2(11)</v>
      </c>
      <c r="J790" s="233">
        <f>РПЗ!X790</f>
        <v>0</v>
      </c>
      <c r="K790" s="283">
        <f>РПЗ!Z790</f>
        <v>0</v>
      </c>
      <c r="L790" s="17"/>
      <c r="M790" s="18">
        <f>РПЗ!O790</f>
        <v>42795</v>
      </c>
      <c r="N790" s="238">
        <f>Таблица5[[#This Row],[10]]</f>
        <v>42795</v>
      </c>
      <c r="O790" s="17"/>
      <c r="P790" s="17"/>
      <c r="Q790" s="17"/>
      <c r="R790" s="17"/>
      <c r="S790" s="17"/>
      <c r="T790" s="686"/>
      <c r="U790" s="18">
        <f>РПЗ!P790</f>
        <v>43070.5</v>
      </c>
      <c r="V790" s="686"/>
      <c r="W790" s="236">
        <f>РПЗ!L790</f>
        <v>1406000</v>
      </c>
      <c r="X790" s="689"/>
      <c r="Y790" s="689"/>
      <c r="Z790" s="690"/>
      <c r="AA790" s="691"/>
      <c r="AB790" s="111"/>
      <c r="AC790" s="17"/>
      <c r="AD790" s="690"/>
      <c r="AE790" s="686"/>
      <c r="AF790" s="474"/>
      <c r="AG790" s="692"/>
      <c r="AH790" s="236" t="str">
        <f>IF(Таблица5[[#This Row],[30]]=0,"НД",Таблица5[[#This Row],[20]]-Таблица5[[#This Row],[30]])</f>
        <v>НД</v>
      </c>
      <c r="AI790" s="511" t="str">
        <f>IF(((1-Таблица5[[#This Row],[30]]/Таблица5[[#This Row],[20]])=1),"НД",(1-Таблица5[[#This Row],[30]]/Таблица5[[#This Row],[20]]))</f>
        <v>НД</v>
      </c>
      <c r="AJ790" s="111"/>
      <c r="AK790" s="111"/>
      <c r="AL790" s="512"/>
      <c r="AM790" s="513"/>
      <c r="AN790" s="465"/>
      <c r="AO790" s="468" t="str">
        <f>РПЗ!AD790</f>
        <v>Нет</v>
      </c>
      <c r="AP790" s="472">
        <f>РПЗ!V790</f>
        <v>0</v>
      </c>
      <c r="AQ790" s="470">
        <f>IF(Таблица5[[#This Row],[11]]=0,,MONTH(Таблица5[[#This Row],[11]]))</f>
        <v>3</v>
      </c>
    </row>
    <row r="791" spans="1:43" ht="39" thickBot="1" x14ac:dyDescent="0.3">
      <c r="A791" s="233" t="str">
        <f t="shared" si="12"/>
        <v>1004-2017-00776</v>
      </c>
      <c r="B791" s="233" t="str">
        <f>РПЗ!$D791</f>
        <v>1004-2017-00776Поставка Транзисторы</v>
      </c>
      <c r="C791" s="233" t="str">
        <f>РПЗ!$AA791</f>
        <v>АО "НИИ "Полюс" им. М.Ф. Стельмаха" тел. отдела закупок 8-495-333-05-02</v>
      </c>
      <c r="D791" s="633" t="str">
        <f>РПЗ!$AB791</f>
        <v>Заказчик</v>
      </c>
      <c r="E791" s="96" t="s">
        <v>46</v>
      </c>
      <c r="F791" s="233" t="str">
        <f>РПЗ!Q791</f>
        <v>ЕП</v>
      </c>
      <c r="G791" s="237"/>
      <c r="H791" s="237" t="str">
        <f>РПЗ!R791</f>
        <v>нет</v>
      </c>
      <c r="I791" s="15" t="str">
        <f>РПЗ!W791</f>
        <v>6.6.2(11)</v>
      </c>
      <c r="J791" s="233">
        <f>РПЗ!X791</f>
        <v>0</v>
      </c>
      <c r="K791" s="283">
        <f>РПЗ!Z791</f>
        <v>0</v>
      </c>
      <c r="L791" s="17"/>
      <c r="M791" s="18">
        <f>РПЗ!O791</f>
        <v>42795</v>
      </c>
      <c r="N791" s="238">
        <f>Таблица5[[#This Row],[10]]</f>
        <v>42795</v>
      </c>
      <c r="O791" s="17"/>
      <c r="P791" s="17"/>
      <c r="Q791" s="17"/>
      <c r="R791" s="17"/>
      <c r="S791" s="17"/>
      <c r="T791" s="686"/>
      <c r="U791" s="18">
        <f>РПЗ!P791</f>
        <v>43070.5</v>
      </c>
      <c r="V791" s="686"/>
      <c r="W791" s="236">
        <f>РПЗ!L791</f>
        <v>256000</v>
      </c>
      <c r="X791" s="689"/>
      <c r="Y791" s="689"/>
      <c r="Z791" s="690"/>
      <c r="AA791" s="691"/>
      <c r="AB791" s="111"/>
      <c r="AC791" s="17"/>
      <c r="AD791" s="690"/>
      <c r="AE791" s="686"/>
      <c r="AF791" s="474"/>
      <c r="AG791" s="692"/>
      <c r="AH791" s="236" t="str">
        <f>IF(Таблица5[[#This Row],[30]]=0,"НД",Таблица5[[#This Row],[20]]-Таблица5[[#This Row],[30]])</f>
        <v>НД</v>
      </c>
      <c r="AI791" s="511" t="str">
        <f>IF(((1-Таблица5[[#This Row],[30]]/Таблица5[[#This Row],[20]])=1),"НД",(1-Таблица5[[#This Row],[30]]/Таблица5[[#This Row],[20]]))</f>
        <v>НД</v>
      </c>
      <c r="AJ791" s="111"/>
      <c r="AK791" s="111"/>
      <c r="AL791" s="512"/>
      <c r="AM791" s="513"/>
      <c r="AN791" s="465"/>
      <c r="AO791" s="468" t="str">
        <f>РПЗ!AD791</f>
        <v>Нет</v>
      </c>
      <c r="AP791" s="472">
        <f>РПЗ!V791</f>
        <v>0</v>
      </c>
      <c r="AQ791" s="470">
        <f>IF(Таблица5[[#This Row],[11]]=0,,MONTH(Таблица5[[#This Row],[11]]))</f>
        <v>3</v>
      </c>
    </row>
    <row r="792" spans="1:43" ht="39" thickBot="1" x14ac:dyDescent="0.3">
      <c r="A792" s="233" t="str">
        <f t="shared" si="12"/>
        <v>1004-2017-00777</v>
      </c>
      <c r="B792" s="233" t="str">
        <f>РПЗ!$D792</f>
        <v xml:space="preserve">1004-2017-00777Поставка Печатные платы </v>
      </c>
      <c r="C792" s="233" t="str">
        <f>РПЗ!$AA792</f>
        <v>АО "НИИ "Полюс" им. М.Ф. Стельмаха" тел. отдела закупок 8-495-333-05-02</v>
      </c>
      <c r="D792" s="633" t="str">
        <f>РПЗ!$AB792</f>
        <v>Заказчик</v>
      </c>
      <c r="E792" s="96" t="s">
        <v>46</v>
      </c>
      <c r="F792" s="233" t="str">
        <f>РПЗ!Q792</f>
        <v>ЕП</v>
      </c>
      <c r="G792" s="237"/>
      <c r="H792" s="237" t="str">
        <f>РПЗ!R792</f>
        <v>нет</v>
      </c>
      <c r="I792" s="15" t="str">
        <f>РПЗ!W792</f>
        <v>6.6.2(9)</v>
      </c>
      <c r="J792" s="233">
        <f>РПЗ!X792</f>
        <v>0</v>
      </c>
      <c r="K792" s="283">
        <f>РПЗ!Z792</f>
        <v>0</v>
      </c>
      <c r="L792" s="17"/>
      <c r="M792" s="18">
        <f>РПЗ!O792</f>
        <v>42795</v>
      </c>
      <c r="N792" s="238">
        <f>Таблица5[[#This Row],[10]]</f>
        <v>42795</v>
      </c>
      <c r="O792" s="17"/>
      <c r="P792" s="17"/>
      <c r="Q792" s="17"/>
      <c r="R792" s="17"/>
      <c r="S792" s="17"/>
      <c r="T792" s="686"/>
      <c r="U792" s="18">
        <f>РПЗ!P792</f>
        <v>43070.5</v>
      </c>
      <c r="V792" s="686"/>
      <c r="W792" s="236">
        <f>РПЗ!L792</f>
        <v>1194750</v>
      </c>
      <c r="X792" s="689"/>
      <c r="Y792" s="689"/>
      <c r="Z792" s="690"/>
      <c r="AA792" s="691"/>
      <c r="AB792" s="111"/>
      <c r="AC792" s="17"/>
      <c r="AD792" s="690"/>
      <c r="AE792" s="686"/>
      <c r="AF792" s="474"/>
      <c r="AG792" s="692"/>
      <c r="AH792" s="236" t="str">
        <f>IF(Таблица5[[#This Row],[30]]=0,"НД",Таблица5[[#This Row],[20]]-Таблица5[[#This Row],[30]])</f>
        <v>НД</v>
      </c>
      <c r="AI792" s="511" t="str">
        <f>IF(((1-Таблица5[[#This Row],[30]]/Таблица5[[#This Row],[20]])=1),"НД",(1-Таблица5[[#This Row],[30]]/Таблица5[[#This Row],[20]]))</f>
        <v>НД</v>
      </c>
      <c r="AJ792" s="111"/>
      <c r="AK792" s="111"/>
      <c r="AL792" s="512"/>
      <c r="AM792" s="513"/>
      <c r="AN792" s="465"/>
      <c r="AO792" s="468" t="str">
        <f>РПЗ!AD792</f>
        <v>Нет</v>
      </c>
      <c r="AP792" s="472">
        <f>РПЗ!V792</f>
        <v>0</v>
      </c>
      <c r="AQ792" s="470">
        <f>IF(Таблица5[[#This Row],[11]]=0,,MONTH(Таблица5[[#This Row],[11]]))</f>
        <v>3</v>
      </c>
    </row>
    <row r="793" spans="1:43" ht="39" thickBot="1" x14ac:dyDescent="0.3">
      <c r="A793" s="233" t="str">
        <f t="shared" si="12"/>
        <v>1004-2017-00778</v>
      </c>
      <c r="B793" s="233" t="str">
        <f>РПЗ!$D793</f>
        <v>1004-2017-00778Поставка Крышка ЖГДК.735214.049</v>
      </c>
      <c r="C793" s="233" t="str">
        <f>РПЗ!$AA793</f>
        <v>АО "НИИ "Полюс" им. М.Ф. Стельмаха" тел. отдела закупок 8-495-333-05-02</v>
      </c>
      <c r="D793" s="633" t="str">
        <f>РПЗ!$AB793</f>
        <v>Заказчик</v>
      </c>
      <c r="E793" s="96" t="s">
        <v>46</v>
      </c>
      <c r="F793" s="233" t="str">
        <f>РПЗ!Q793</f>
        <v>ОЗК</v>
      </c>
      <c r="G793" s="237"/>
      <c r="H793" s="237" t="str">
        <f>РПЗ!R793</f>
        <v>да</v>
      </c>
      <c r="I793" s="15">
        <f>РПЗ!W793</f>
        <v>0</v>
      </c>
      <c r="J793" s="233">
        <f>РПЗ!X793</f>
        <v>0</v>
      </c>
      <c r="K793" s="283">
        <f>РПЗ!Z793</f>
        <v>0</v>
      </c>
      <c r="L793" s="17"/>
      <c r="M793" s="18">
        <f>РПЗ!O793</f>
        <v>42795</v>
      </c>
      <c r="N793" s="238">
        <f>Таблица5[[#This Row],[10]]</f>
        <v>42795</v>
      </c>
      <c r="O793" s="17"/>
      <c r="P793" s="17"/>
      <c r="Q793" s="17"/>
      <c r="R793" s="17"/>
      <c r="S793" s="17"/>
      <c r="T793" s="686"/>
      <c r="U793" s="18">
        <f>РПЗ!P793</f>
        <v>43070.5</v>
      </c>
      <c r="V793" s="686"/>
      <c r="W793" s="236">
        <f>РПЗ!L793</f>
        <v>147960</v>
      </c>
      <c r="X793" s="689"/>
      <c r="Y793" s="689"/>
      <c r="Z793" s="690"/>
      <c r="AA793" s="691"/>
      <c r="AB793" s="111"/>
      <c r="AC793" s="17"/>
      <c r="AD793" s="690"/>
      <c r="AE793" s="686"/>
      <c r="AF793" s="474"/>
      <c r="AG793" s="692"/>
      <c r="AH793" s="236" t="str">
        <f>IF(Таблица5[[#This Row],[30]]=0,"НД",Таблица5[[#This Row],[20]]-Таблица5[[#This Row],[30]])</f>
        <v>НД</v>
      </c>
      <c r="AI793" s="511" t="str">
        <f>IF(((1-Таблица5[[#This Row],[30]]/Таблица5[[#This Row],[20]])=1),"НД",(1-Таблица5[[#This Row],[30]]/Таблица5[[#This Row],[20]]))</f>
        <v>НД</v>
      </c>
      <c r="AJ793" s="111"/>
      <c r="AK793" s="111"/>
      <c r="AL793" s="512"/>
      <c r="AM793" s="513"/>
      <c r="AN793" s="465"/>
      <c r="AO793" s="468" t="str">
        <f>РПЗ!AD793</f>
        <v>Нет</v>
      </c>
      <c r="AP793" s="472">
        <f>РПЗ!V793</f>
        <v>0</v>
      </c>
      <c r="AQ793" s="470">
        <f>IF(Таблица5[[#This Row],[11]]=0,,MONTH(Таблица5[[#This Row],[11]]))</f>
        <v>3</v>
      </c>
    </row>
    <row r="794" spans="1:43" ht="51.75" thickBot="1" x14ac:dyDescent="0.3">
      <c r="A794" s="233" t="str">
        <f t="shared" si="12"/>
        <v>1004-2017-00779</v>
      </c>
      <c r="B794" s="233" t="str">
        <f>РПЗ!$D794</f>
        <v>1004-2017-00779Изготовление в соответствии с требованиями, установленными заказчиком. Приемка "5"</v>
      </c>
      <c r="C794" s="233" t="str">
        <f>РПЗ!$AA794</f>
        <v>АО "НИИ "Полюс" им. М.Ф. Стельмаха" тел. отдела закупок 8-495-333-05-02</v>
      </c>
      <c r="D794" s="633" t="str">
        <f>РПЗ!$AB794</f>
        <v>Заказчик</v>
      </c>
      <c r="E794" s="96" t="s">
        <v>46</v>
      </c>
      <c r="F794" s="233" t="str">
        <f>РПЗ!Q794</f>
        <v>ЕП</v>
      </c>
      <c r="G794" s="237"/>
      <c r="H794" s="237" t="str">
        <f>РПЗ!R794</f>
        <v>нет</v>
      </c>
      <c r="I794" s="15" t="str">
        <f>РПЗ!W794</f>
        <v>6.6.2(11)</v>
      </c>
      <c r="J794" s="233">
        <f>РПЗ!X794</f>
        <v>0</v>
      </c>
      <c r="K794" s="283">
        <f>РПЗ!Z794</f>
        <v>0</v>
      </c>
      <c r="L794" s="17"/>
      <c r="M794" s="18">
        <f>РПЗ!O794</f>
        <v>42795</v>
      </c>
      <c r="N794" s="238">
        <f>Таблица5[[#This Row],[10]]</f>
        <v>42795</v>
      </c>
      <c r="O794" s="17"/>
      <c r="P794" s="17"/>
      <c r="Q794" s="17"/>
      <c r="R794" s="17"/>
      <c r="S794" s="17"/>
      <c r="T794" s="686"/>
      <c r="U794" s="18">
        <f>РПЗ!P794</f>
        <v>43070.5</v>
      </c>
      <c r="V794" s="686"/>
      <c r="W794" s="236">
        <f>РПЗ!L794</f>
        <v>6840000</v>
      </c>
      <c r="X794" s="689"/>
      <c r="Y794" s="689"/>
      <c r="Z794" s="690"/>
      <c r="AA794" s="691"/>
      <c r="AB794" s="111"/>
      <c r="AC794" s="17"/>
      <c r="AD794" s="690"/>
      <c r="AE794" s="686"/>
      <c r="AF794" s="474"/>
      <c r="AG794" s="692"/>
      <c r="AH794" s="236" t="str">
        <f>IF(Таблица5[[#This Row],[30]]=0,"НД",Таблица5[[#This Row],[20]]-Таблица5[[#This Row],[30]])</f>
        <v>НД</v>
      </c>
      <c r="AI794" s="511" t="str">
        <f>IF(((1-Таблица5[[#This Row],[30]]/Таблица5[[#This Row],[20]])=1),"НД",(1-Таблица5[[#This Row],[30]]/Таблица5[[#This Row],[20]]))</f>
        <v>НД</v>
      </c>
      <c r="AJ794" s="111"/>
      <c r="AK794" s="111"/>
      <c r="AL794" s="512"/>
      <c r="AM794" s="513"/>
      <c r="AN794" s="465"/>
      <c r="AO794" s="468" t="str">
        <f>РПЗ!AD794</f>
        <v>Нет</v>
      </c>
      <c r="AP794" s="472">
        <f>РПЗ!V794</f>
        <v>0</v>
      </c>
      <c r="AQ794" s="470">
        <f>IF(Таблица5[[#This Row],[11]]=0,,MONTH(Таблица5[[#This Row],[11]]))</f>
        <v>3</v>
      </c>
    </row>
    <row r="795" spans="1:43" ht="39" thickBot="1" x14ac:dyDescent="0.3">
      <c r="A795" s="233" t="str">
        <f t="shared" si="12"/>
        <v>1004-2017-00780</v>
      </c>
      <c r="B795" s="233" t="str">
        <f>РПЗ!$D795</f>
        <v>1004-2017-00780Поставка Структура эпитаксиальная германиевая ЭГС-39-1а</v>
      </c>
      <c r="C795" s="233" t="str">
        <f>РПЗ!$AA795</f>
        <v>АО "НИИ "Полюс" им. М.Ф. Стельмаха" тел. отдела закупок 8-495-333-05-02</v>
      </c>
      <c r="D795" s="633" t="str">
        <f>РПЗ!$AB795</f>
        <v>Заказчик</v>
      </c>
      <c r="E795" s="96" t="s">
        <v>46</v>
      </c>
      <c r="F795" s="233" t="str">
        <f>РПЗ!Q795</f>
        <v>ОЗК</v>
      </c>
      <c r="G795" s="237"/>
      <c r="H795" s="237" t="str">
        <f>РПЗ!R795</f>
        <v>да</v>
      </c>
      <c r="I795" s="15">
        <f>РПЗ!W795</f>
        <v>0</v>
      </c>
      <c r="J795" s="233">
        <f>РПЗ!X795</f>
        <v>0</v>
      </c>
      <c r="K795" s="283">
        <f>РПЗ!Z795</f>
        <v>0</v>
      </c>
      <c r="L795" s="17"/>
      <c r="M795" s="18">
        <f>РПЗ!O795</f>
        <v>42795</v>
      </c>
      <c r="N795" s="238">
        <f>Таблица5[[#This Row],[10]]</f>
        <v>42795</v>
      </c>
      <c r="O795" s="17"/>
      <c r="P795" s="17"/>
      <c r="Q795" s="17"/>
      <c r="R795" s="17"/>
      <c r="S795" s="17"/>
      <c r="T795" s="686"/>
      <c r="U795" s="18">
        <f>РПЗ!P795</f>
        <v>43070.5</v>
      </c>
      <c r="V795" s="686"/>
      <c r="W795" s="236">
        <f>РПЗ!L795</f>
        <v>2762500</v>
      </c>
      <c r="X795" s="689"/>
      <c r="Y795" s="689"/>
      <c r="Z795" s="690"/>
      <c r="AA795" s="691"/>
      <c r="AB795" s="111"/>
      <c r="AC795" s="17"/>
      <c r="AD795" s="690"/>
      <c r="AE795" s="686"/>
      <c r="AF795" s="474"/>
      <c r="AG795" s="692"/>
      <c r="AH795" s="236" t="str">
        <f>IF(Таблица5[[#This Row],[30]]=0,"НД",Таблица5[[#This Row],[20]]-Таблица5[[#This Row],[30]])</f>
        <v>НД</v>
      </c>
      <c r="AI795" s="511" t="str">
        <f>IF(((1-Таблица5[[#This Row],[30]]/Таблица5[[#This Row],[20]])=1),"НД",(1-Таблица5[[#This Row],[30]]/Таблица5[[#This Row],[20]]))</f>
        <v>НД</v>
      </c>
      <c r="AJ795" s="111"/>
      <c r="AK795" s="111"/>
      <c r="AL795" s="512"/>
      <c r="AM795" s="513"/>
      <c r="AN795" s="465"/>
      <c r="AO795" s="468" t="str">
        <f>РПЗ!AD795</f>
        <v>Нет</v>
      </c>
      <c r="AP795" s="472">
        <f>РПЗ!V795</f>
        <v>0</v>
      </c>
      <c r="AQ795" s="470">
        <f>IF(Таблица5[[#This Row],[11]]=0,,MONTH(Таблица5[[#This Row],[11]]))</f>
        <v>3</v>
      </c>
    </row>
    <row r="796" spans="1:43" ht="39" thickBot="1" x14ac:dyDescent="0.3">
      <c r="A796" s="233" t="str">
        <f t="shared" si="12"/>
        <v>1004-2017-00781</v>
      </c>
      <c r="B796" s="233" t="str">
        <f>РПЗ!$D796</f>
        <v>1004-2017-00781Поставка Транзисторы 2Т354Б1-2</v>
      </c>
      <c r="C796" s="233" t="str">
        <f>РПЗ!$AA796</f>
        <v>АО "НИИ "Полюс" им. М.Ф. Стельмаха" тел. отдела закупок 8-495-333-05-02</v>
      </c>
      <c r="D796" s="633" t="str">
        <f>РПЗ!$AB796</f>
        <v>Заказчик</v>
      </c>
      <c r="E796" s="96" t="s">
        <v>46</v>
      </c>
      <c r="F796" s="233" t="str">
        <f>РПЗ!Q796</f>
        <v>ЕП</v>
      </c>
      <c r="G796" s="237"/>
      <c r="H796" s="237" t="str">
        <f>РПЗ!R796</f>
        <v>нет</v>
      </c>
      <c r="I796" s="15" t="str">
        <f>РПЗ!W796</f>
        <v>6.6.2(9)</v>
      </c>
      <c r="J796" s="233">
        <f>РПЗ!X796</f>
        <v>0</v>
      </c>
      <c r="K796" s="283">
        <f>РПЗ!Z796</f>
        <v>0</v>
      </c>
      <c r="L796" s="17"/>
      <c r="M796" s="18">
        <f>РПЗ!O796</f>
        <v>42795</v>
      </c>
      <c r="N796" s="238">
        <f>Таблица5[[#This Row],[10]]</f>
        <v>42795</v>
      </c>
      <c r="O796" s="17"/>
      <c r="P796" s="17"/>
      <c r="Q796" s="17"/>
      <c r="R796" s="17"/>
      <c r="S796" s="17"/>
      <c r="T796" s="686"/>
      <c r="U796" s="18">
        <f>РПЗ!P796</f>
        <v>43070.5</v>
      </c>
      <c r="V796" s="686"/>
      <c r="W796" s="236">
        <f>РПЗ!L796</f>
        <v>215160</v>
      </c>
      <c r="X796" s="689"/>
      <c r="Y796" s="689"/>
      <c r="Z796" s="690"/>
      <c r="AA796" s="691"/>
      <c r="AB796" s="111"/>
      <c r="AC796" s="17"/>
      <c r="AD796" s="690"/>
      <c r="AE796" s="686"/>
      <c r="AF796" s="474"/>
      <c r="AG796" s="692"/>
      <c r="AH796" s="236" t="str">
        <f>IF(Таблица5[[#This Row],[30]]=0,"НД",Таблица5[[#This Row],[20]]-Таблица5[[#This Row],[30]])</f>
        <v>НД</v>
      </c>
      <c r="AI796" s="511" t="str">
        <f>IF(((1-Таблица5[[#This Row],[30]]/Таблица5[[#This Row],[20]])=1),"НД",(1-Таблица5[[#This Row],[30]]/Таблица5[[#This Row],[20]]))</f>
        <v>НД</v>
      </c>
      <c r="AJ796" s="111"/>
      <c r="AK796" s="111"/>
      <c r="AL796" s="512"/>
      <c r="AM796" s="513"/>
      <c r="AN796" s="465"/>
      <c r="AO796" s="468" t="str">
        <f>РПЗ!AD796</f>
        <v>Нет</v>
      </c>
      <c r="AP796" s="472">
        <f>РПЗ!V796</f>
        <v>0</v>
      </c>
      <c r="AQ796" s="470">
        <f>IF(Таблица5[[#This Row],[11]]=0,,MONTH(Таблица5[[#This Row],[11]]))</f>
        <v>3</v>
      </c>
    </row>
    <row r="797" spans="1:43" ht="39" thickBot="1" x14ac:dyDescent="0.3">
      <c r="A797" s="233" t="str">
        <f t="shared" si="12"/>
        <v>1004-2017-00782</v>
      </c>
      <c r="B797" s="233" t="str">
        <f>РПЗ!$D797</f>
        <v>1004-2017-00782Поставка Транзисторы 2Т354Б1-2</v>
      </c>
      <c r="C797" s="233" t="str">
        <f>РПЗ!$AA797</f>
        <v>АО "НИИ "Полюс" им. М.Ф. Стельмаха" тел. отдела закупок 8-495-333-05-02</v>
      </c>
      <c r="D797" s="633" t="str">
        <f>РПЗ!$AB797</f>
        <v>Заказчик</v>
      </c>
      <c r="E797" s="96" t="s">
        <v>46</v>
      </c>
      <c r="F797" s="233" t="str">
        <f>РПЗ!Q797</f>
        <v>ЕП</v>
      </c>
      <c r="G797" s="237"/>
      <c r="H797" s="237" t="str">
        <f>РПЗ!R797</f>
        <v>нет</v>
      </c>
      <c r="I797" s="15" t="str">
        <f>РПЗ!W797</f>
        <v>6.6.2(9)</v>
      </c>
      <c r="J797" s="233">
        <f>РПЗ!X797</f>
        <v>0</v>
      </c>
      <c r="K797" s="283">
        <f>РПЗ!Z797</f>
        <v>0</v>
      </c>
      <c r="L797" s="17"/>
      <c r="M797" s="18">
        <f>РПЗ!O797</f>
        <v>42795</v>
      </c>
      <c r="N797" s="238">
        <f>Таблица5[[#This Row],[10]]</f>
        <v>42795</v>
      </c>
      <c r="O797" s="17"/>
      <c r="P797" s="17"/>
      <c r="Q797" s="17"/>
      <c r="R797" s="17"/>
      <c r="S797" s="17"/>
      <c r="T797" s="686"/>
      <c r="U797" s="18">
        <f>РПЗ!P797</f>
        <v>43070.5</v>
      </c>
      <c r="V797" s="686"/>
      <c r="W797" s="236">
        <f>РПЗ!L797</f>
        <v>145200</v>
      </c>
      <c r="X797" s="689"/>
      <c r="Y797" s="689"/>
      <c r="Z797" s="690"/>
      <c r="AA797" s="691"/>
      <c r="AB797" s="111"/>
      <c r="AC797" s="17"/>
      <c r="AD797" s="690"/>
      <c r="AE797" s="686"/>
      <c r="AF797" s="474"/>
      <c r="AG797" s="692"/>
      <c r="AH797" s="236" t="str">
        <f>IF(Таблица5[[#This Row],[30]]=0,"НД",Таблица5[[#This Row],[20]]-Таблица5[[#This Row],[30]])</f>
        <v>НД</v>
      </c>
      <c r="AI797" s="511" t="str">
        <f>IF(((1-Таблица5[[#This Row],[30]]/Таблица5[[#This Row],[20]])=1),"НД",(1-Таблица5[[#This Row],[30]]/Таблица5[[#This Row],[20]]))</f>
        <v>НД</v>
      </c>
      <c r="AJ797" s="111"/>
      <c r="AK797" s="111"/>
      <c r="AL797" s="512"/>
      <c r="AM797" s="513"/>
      <c r="AN797" s="465"/>
      <c r="AO797" s="468" t="str">
        <f>РПЗ!AD797</f>
        <v>Нет</v>
      </c>
      <c r="AP797" s="472">
        <f>РПЗ!V797</f>
        <v>0</v>
      </c>
      <c r="AQ797" s="470">
        <f>IF(Таблица5[[#This Row],[11]]=0,,MONTH(Таблица5[[#This Row],[11]]))</f>
        <v>3</v>
      </c>
    </row>
    <row r="798" spans="1:43" ht="39" thickBot="1" x14ac:dyDescent="0.3">
      <c r="A798" s="233" t="str">
        <f t="shared" si="12"/>
        <v>1004-2017-00783</v>
      </c>
      <c r="B798" s="233" t="str">
        <f>РПЗ!$D798</f>
        <v>1004-2017-00783Поставка Транзисторы 2Т354Б1-2</v>
      </c>
      <c r="C798" s="233" t="str">
        <f>РПЗ!$AA798</f>
        <v>АО "НИИ "Полюс" им. М.Ф. Стельмаха" тел. отдела закупок 8-495-333-05-02</v>
      </c>
      <c r="D798" s="633" t="str">
        <f>РПЗ!$AB798</f>
        <v>Заказчик</v>
      </c>
      <c r="E798" s="96" t="s">
        <v>46</v>
      </c>
      <c r="F798" s="233" t="str">
        <f>РПЗ!Q798</f>
        <v>ЕП</v>
      </c>
      <c r="G798" s="237"/>
      <c r="H798" s="237" t="str">
        <f>РПЗ!R798</f>
        <v>нет</v>
      </c>
      <c r="I798" s="15" t="str">
        <f>РПЗ!W798</f>
        <v>6.6.2(11)</v>
      </c>
      <c r="J798" s="233">
        <f>РПЗ!X798</f>
        <v>0</v>
      </c>
      <c r="K798" s="283">
        <f>РПЗ!Z798</f>
        <v>0</v>
      </c>
      <c r="L798" s="17"/>
      <c r="M798" s="18">
        <f>РПЗ!O798</f>
        <v>42795</v>
      </c>
      <c r="N798" s="238">
        <f>Таблица5[[#This Row],[10]]</f>
        <v>42795</v>
      </c>
      <c r="O798" s="17"/>
      <c r="P798" s="17"/>
      <c r="Q798" s="17"/>
      <c r="R798" s="17"/>
      <c r="S798" s="17"/>
      <c r="T798" s="686"/>
      <c r="U798" s="18">
        <f>РПЗ!P798</f>
        <v>43070.5</v>
      </c>
      <c r="V798" s="686"/>
      <c r="W798" s="236">
        <f>РПЗ!L798</f>
        <v>200000</v>
      </c>
      <c r="X798" s="689"/>
      <c r="Y798" s="689"/>
      <c r="Z798" s="690"/>
      <c r="AA798" s="691"/>
      <c r="AB798" s="111"/>
      <c r="AC798" s="17"/>
      <c r="AD798" s="690"/>
      <c r="AE798" s="686"/>
      <c r="AF798" s="474"/>
      <c r="AG798" s="692"/>
      <c r="AH798" s="236" t="str">
        <f>IF(Таблица5[[#This Row],[30]]=0,"НД",Таблица5[[#This Row],[20]]-Таблица5[[#This Row],[30]])</f>
        <v>НД</v>
      </c>
      <c r="AI798" s="511" t="str">
        <f>IF(((1-Таблица5[[#This Row],[30]]/Таблица5[[#This Row],[20]])=1),"НД",(1-Таблица5[[#This Row],[30]]/Таблица5[[#This Row],[20]]))</f>
        <v>НД</v>
      </c>
      <c r="AJ798" s="111"/>
      <c r="AK798" s="111"/>
      <c r="AL798" s="512"/>
      <c r="AM798" s="513"/>
      <c r="AN798" s="465"/>
      <c r="AO798" s="468" t="str">
        <f>РПЗ!AD798</f>
        <v>Нет</v>
      </c>
      <c r="AP798" s="472">
        <f>РПЗ!V798</f>
        <v>0</v>
      </c>
      <c r="AQ798" s="470">
        <f>IF(Таблица5[[#This Row],[11]]=0,,MONTH(Таблица5[[#This Row],[11]]))</f>
        <v>3</v>
      </c>
    </row>
    <row r="799" spans="1:43" ht="39" thickBot="1" x14ac:dyDescent="0.3">
      <c r="A799" s="233" t="str">
        <f t="shared" si="12"/>
        <v>1004-2017-00784</v>
      </c>
      <c r="B799" s="233" t="str">
        <f>РПЗ!$D799</f>
        <v>1004-2017-00784Поставка Конденсаторы К53-68</v>
      </c>
      <c r="C799" s="233" t="str">
        <f>РПЗ!$AA799</f>
        <v>АО "НИИ "Полюс" им. М.Ф. Стельмаха" тел. отдела закупок 8-495-333-05-02</v>
      </c>
      <c r="D799" s="633" t="str">
        <f>РПЗ!$AB799</f>
        <v>Заказчик</v>
      </c>
      <c r="E799" s="96" t="s">
        <v>46</v>
      </c>
      <c r="F799" s="233" t="str">
        <f>РПЗ!Q799</f>
        <v>ЕП</v>
      </c>
      <c r="G799" s="237"/>
      <c r="H799" s="237" t="str">
        <f>РПЗ!R799</f>
        <v>нет</v>
      </c>
      <c r="I799" s="15" t="str">
        <f>РПЗ!W799</f>
        <v>6.6.2(9)</v>
      </c>
      <c r="J799" s="233">
        <f>РПЗ!X799</f>
        <v>0</v>
      </c>
      <c r="K799" s="283">
        <f>РПЗ!Z799</f>
        <v>0</v>
      </c>
      <c r="L799" s="17"/>
      <c r="M799" s="18">
        <f>РПЗ!O799</f>
        <v>42795</v>
      </c>
      <c r="N799" s="238">
        <f>Таблица5[[#This Row],[10]]</f>
        <v>42795</v>
      </c>
      <c r="O799" s="17"/>
      <c r="P799" s="17"/>
      <c r="Q799" s="17"/>
      <c r="R799" s="17"/>
      <c r="S799" s="17"/>
      <c r="T799" s="686"/>
      <c r="U799" s="18">
        <f>РПЗ!P799</f>
        <v>43070.5</v>
      </c>
      <c r="V799" s="686"/>
      <c r="W799" s="236">
        <f>РПЗ!L799</f>
        <v>209000</v>
      </c>
      <c r="X799" s="689"/>
      <c r="Y799" s="689"/>
      <c r="Z799" s="690"/>
      <c r="AA799" s="691"/>
      <c r="AB799" s="111"/>
      <c r="AC799" s="17"/>
      <c r="AD799" s="690"/>
      <c r="AE799" s="686"/>
      <c r="AF799" s="474"/>
      <c r="AG799" s="692"/>
      <c r="AH799" s="236" t="str">
        <f>IF(Таблица5[[#This Row],[30]]=0,"НД",Таблица5[[#This Row],[20]]-Таблица5[[#This Row],[30]])</f>
        <v>НД</v>
      </c>
      <c r="AI799" s="511" t="str">
        <f>IF(((1-Таблица5[[#This Row],[30]]/Таблица5[[#This Row],[20]])=1),"НД",(1-Таблица5[[#This Row],[30]]/Таблица5[[#This Row],[20]]))</f>
        <v>НД</v>
      </c>
      <c r="AJ799" s="111"/>
      <c r="AK799" s="111"/>
      <c r="AL799" s="512"/>
      <c r="AM799" s="513"/>
      <c r="AN799" s="465"/>
      <c r="AO799" s="468" t="str">
        <f>РПЗ!AD799</f>
        <v>Нет</v>
      </c>
      <c r="AP799" s="472">
        <f>РПЗ!V799</f>
        <v>0</v>
      </c>
      <c r="AQ799" s="470">
        <f>IF(Таблица5[[#This Row],[11]]=0,,MONTH(Таблица5[[#This Row],[11]]))</f>
        <v>3</v>
      </c>
    </row>
    <row r="800" spans="1:43" ht="39" thickBot="1" x14ac:dyDescent="0.3">
      <c r="A800" s="233" t="str">
        <f t="shared" si="12"/>
        <v>1004-2017-00785</v>
      </c>
      <c r="B800" s="233" t="str">
        <f>РПЗ!$D800</f>
        <v>1004-2017-00785Поставка Конденсаторы К10-17</v>
      </c>
      <c r="C800" s="233" t="str">
        <f>РПЗ!$AA800</f>
        <v>АО "НИИ "Полюс" им. М.Ф. Стельмаха" тел. отдела закупок 8-495-333-05-02</v>
      </c>
      <c r="D800" s="633" t="str">
        <f>РПЗ!$AB800</f>
        <v>Заказчик</v>
      </c>
      <c r="E800" s="96" t="s">
        <v>46</v>
      </c>
      <c r="F800" s="233" t="str">
        <f>РПЗ!Q800</f>
        <v>ЕП</v>
      </c>
      <c r="G800" s="237"/>
      <c r="H800" s="237" t="str">
        <f>РПЗ!R800</f>
        <v>нет</v>
      </c>
      <c r="I800" s="15" t="str">
        <f>РПЗ!W800</f>
        <v>6.6.2(11)</v>
      </c>
      <c r="J800" s="233">
        <f>РПЗ!X800</f>
        <v>0</v>
      </c>
      <c r="K800" s="283">
        <f>РПЗ!Z800</f>
        <v>0</v>
      </c>
      <c r="L800" s="17"/>
      <c r="M800" s="18">
        <f>РПЗ!O800</f>
        <v>42795</v>
      </c>
      <c r="N800" s="238">
        <f>Таблица5[[#This Row],[10]]</f>
        <v>42795</v>
      </c>
      <c r="O800" s="17"/>
      <c r="P800" s="17"/>
      <c r="Q800" s="17"/>
      <c r="R800" s="17"/>
      <c r="S800" s="17"/>
      <c r="T800" s="686"/>
      <c r="U800" s="18">
        <f>РПЗ!P800</f>
        <v>43070.5</v>
      </c>
      <c r="V800" s="686"/>
      <c r="W800" s="236">
        <f>РПЗ!L800</f>
        <v>150000</v>
      </c>
      <c r="X800" s="689"/>
      <c r="Y800" s="689"/>
      <c r="Z800" s="690"/>
      <c r="AA800" s="691"/>
      <c r="AB800" s="111"/>
      <c r="AC800" s="17"/>
      <c r="AD800" s="690"/>
      <c r="AE800" s="686"/>
      <c r="AF800" s="474"/>
      <c r="AG800" s="692"/>
      <c r="AH800" s="236" t="str">
        <f>IF(Таблица5[[#This Row],[30]]=0,"НД",Таблица5[[#This Row],[20]]-Таблица5[[#This Row],[30]])</f>
        <v>НД</v>
      </c>
      <c r="AI800" s="511" t="str">
        <f>IF(((1-Таблица5[[#This Row],[30]]/Таблица5[[#This Row],[20]])=1),"НД",(1-Таблица5[[#This Row],[30]]/Таблица5[[#This Row],[20]]))</f>
        <v>НД</v>
      </c>
      <c r="AJ800" s="111"/>
      <c r="AK800" s="111"/>
      <c r="AL800" s="512"/>
      <c r="AM800" s="513"/>
      <c r="AN800" s="465"/>
      <c r="AO800" s="468" t="str">
        <f>РПЗ!AD800</f>
        <v>Нет</v>
      </c>
      <c r="AP800" s="472">
        <f>РПЗ!V800</f>
        <v>0</v>
      </c>
      <c r="AQ800" s="470">
        <f>IF(Таблица5[[#This Row],[11]]=0,,MONTH(Таблица5[[#This Row],[11]]))</f>
        <v>3</v>
      </c>
    </row>
    <row r="801" spans="1:43" ht="39" thickBot="1" x14ac:dyDescent="0.3">
      <c r="A801" s="233" t="str">
        <f t="shared" si="12"/>
        <v>1004-2017-00786</v>
      </c>
      <c r="B801" s="233" t="str">
        <f>РПЗ!$D801</f>
        <v>1004-2017-00786Поставка  Печатные платы ЖГДК.758773.011</v>
      </c>
      <c r="C801" s="233" t="str">
        <f>РПЗ!$AA801</f>
        <v>АО "НИИ "Полюс" им. М.Ф. Стельмаха" тел. отдела закупок 8-495-333-05-02</v>
      </c>
      <c r="D801" s="633" t="str">
        <f>РПЗ!$AB801</f>
        <v>Заказчик</v>
      </c>
      <c r="E801" s="96" t="s">
        <v>46</v>
      </c>
      <c r="F801" s="233" t="str">
        <f>РПЗ!Q801</f>
        <v>ОЗК</v>
      </c>
      <c r="G801" s="237"/>
      <c r="H801" s="237" t="str">
        <f>РПЗ!R801</f>
        <v>да</v>
      </c>
      <c r="I801" s="15">
        <f>РПЗ!W801</f>
        <v>0</v>
      </c>
      <c r="J801" s="233">
        <f>РПЗ!X801</f>
        <v>0</v>
      </c>
      <c r="K801" s="283">
        <f>РПЗ!Z801</f>
        <v>0</v>
      </c>
      <c r="L801" s="17"/>
      <c r="M801" s="18">
        <f>РПЗ!O801</f>
        <v>42795</v>
      </c>
      <c r="N801" s="238">
        <f>Таблица5[[#This Row],[10]]</f>
        <v>42795</v>
      </c>
      <c r="O801" s="17"/>
      <c r="P801" s="17"/>
      <c r="Q801" s="17"/>
      <c r="R801" s="17"/>
      <c r="S801" s="17"/>
      <c r="T801" s="686"/>
      <c r="U801" s="18">
        <f>РПЗ!P801</f>
        <v>43070.5</v>
      </c>
      <c r="V801" s="686"/>
      <c r="W801" s="236">
        <f>РПЗ!L801</f>
        <v>1720440</v>
      </c>
      <c r="X801" s="689"/>
      <c r="Y801" s="689"/>
      <c r="Z801" s="690"/>
      <c r="AA801" s="691"/>
      <c r="AB801" s="111"/>
      <c r="AC801" s="17"/>
      <c r="AD801" s="690"/>
      <c r="AE801" s="686"/>
      <c r="AF801" s="474"/>
      <c r="AG801" s="692"/>
      <c r="AH801" s="236" t="str">
        <f>IF(Таблица5[[#This Row],[30]]=0,"НД",Таблица5[[#This Row],[20]]-Таблица5[[#This Row],[30]])</f>
        <v>НД</v>
      </c>
      <c r="AI801" s="511" t="str">
        <f>IF(((1-Таблица5[[#This Row],[30]]/Таблица5[[#This Row],[20]])=1),"НД",(1-Таблица5[[#This Row],[30]]/Таблица5[[#This Row],[20]]))</f>
        <v>НД</v>
      </c>
      <c r="AJ801" s="111"/>
      <c r="AK801" s="111"/>
      <c r="AL801" s="512"/>
      <c r="AM801" s="513"/>
      <c r="AN801" s="465"/>
      <c r="AO801" s="468" t="str">
        <f>РПЗ!AD801</f>
        <v>Нет</v>
      </c>
      <c r="AP801" s="472">
        <f>РПЗ!V801</f>
        <v>0</v>
      </c>
      <c r="AQ801" s="470">
        <f>IF(Таблица5[[#This Row],[11]]=0,,MONTH(Таблица5[[#This Row],[11]]))</f>
        <v>3</v>
      </c>
    </row>
    <row r="802" spans="1:43" ht="64.5" thickBot="1" x14ac:dyDescent="0.3">
      <c r="A802" s="233" t="str">
        <f t="shared" si="12"/>
        <v>1004-2017-00787</v>
      </c>
      <c r="B802" s="233" t="str">
        <f>РПЗ!$D802</f>
        <v>1004-2017-00787Изготовление и поставка оснастки и приспособлений для изготовления кожухов  ЖГДК.305143.001, и корпусов ЖГДК.301172.013</v>
      </c>
      <c r="C802" s="233" t="str">
        <f>РПЗ!$AA802</f>
        <v>АО "НИИ "Полюс" им. М.Ф. Стельмаха" тел. отдела закупок 8-495-333-05-02</v>
      </c>
      <c r="D802" s="633" t="str">
        <f>РПЗ!$AB802</f>
        <v>Заказчик</v>
      </c>
      <c r="E802" s="96" t="s">
        <v>46</v>
      </c>
      <c r="F802" s="233" t="str">
        <f>РПЗ!Q802</f>
        <v>ОЗК</v>
      </c>
      <c r="G802" s="237"/>
      <c r="H802" s="237" t="str">
        <f>РПЗ!R802</f>
        <v>да</v>
      </c>
      <c r="I802" s="15">
        <f>РПЗ!W802</f>
        <v>0</v>
      </c>
      <c r="J802" s="233">
        <f>РПЗ!X802</f>
        <v>0</v>
      </c>
      <c r="K802" s="283">
        <f>РПЗ!Z802</f>
        <v>0</v>
      </c>
      <c r="L802" s="17"/>
      <c r="M802" s="18">
        <f>РПЗ!O802</f>
        <v>42795</v>
      </c>
      <c r="N802" s="238">
        <f>Таблица5[[#This Row],[10]]</f>
        <v>42795</v>
      </c>
      <c r="O802" s="17"/>
      <c r="P802" s="17"/>
      <c r="Q802" s="17"/>
      <c r="R802" s="17"/>
      <c r="S802" s="17"/>
      <c r="T802" s="686"/>
      <c r="U802" s="18">
        <f>РПЗ!P802</f>
        <v>43070.5</v>
      </c>
      <c r="V802" s="686"/>
      <c r="W802" s="236">
        <f>РПЗ!L802</f>
        <v>3355105.8</v>
      </c>
      <c r="X802" s="689"/>
      <c r="Y802" s="689"/>
      <c r="Z802" s="690"/>
      <c r="AA802" s="691"/>
      <c r="AB802" s="111"/>
      <c r="AC802" s="17"/>
      <c r="AD802" s="690"/>
      <c r="AE802" s="686"/>
      <c r="AF802" s="474"/>
      <c r="AG802" s="692"/>
      <c r="AH802" s="236" t="str">
        <f>IF(Таблица5[[#This Row],[30]]=0,"НД",Таблица5[[#This Row],[20]]-Таблица5[[#This Row],[30]])</f>
        <v>НД</v>
      </c>
      <c r="AI802" s="511" t="str">
        <f>IF(((1-Таблица5[[#This Row],[30]]/Таблица5[[#This Row],[20]])=1),"НД",(1-Таблица5[[#This Row],[30]]/Таблица5[[#This Row],[20]]))</f>
        <v>НД</v>
      </c>
      <c r="AJ802" s="111"/>
      <c r="AK802" s="111"/>
      <c r="AL802" s="512"/>
      <c r="AM802" s="513"/>
      <c r="AN802" s="465"/>
      <c r="AO802" s="468" t="str">
        <f>РПЗ!AD802</f>
        <v>Нет</v>
      </c>
      <c r="AP802" s="472">
        <f>РПЗ!V802</f>
        <v>0</v>
      </c>
      <c r="AQ802" s="470">
        <f>IF(Таблица5[[#This Row],[11]]=0,,MONTH(Таблица5[[#This Row],[11]]))</f>
        <v>3</v>
      </c>
    </row>
    <row r="803" spans="1:43" ht="39" thickBot="1" x14ac:dyDescent="0.3">
      <c r="A803" s="233" t="str">
        <f t="shared" si="12"/>
        <v>1004-2017-00788</v>
      </c>
      <c r="B803" s="233" t="str">
        <f>РПЗ!$D803</f>
        <v>1004-2017-00788Поставка Платы ЖГДК.758771.004 (Ситалл)</v>
      </c>
      <c r="C803" s="233" t="str">
        <f>РПЗ!$AA803</f>
        <v>АО "НИИ "Полюс" им. М.Ф. Стельмаха" тел. отдела закупок 8-495-333-05-02</v>
      </c>
      <c r="D803" s="633" t="str">
        <f>РПЗ!$AB803</f>
        <v>Заказчик</v>
      </c>
      <c r="E803" s="96" t="s">
        <v>46</v>
      </c>
      <c r="F803" s="233" t="str">
        <f>РПЗ!Q803</f>
        <v>ОЗК</v>
      </c>
      <c r="G803" s="237"/>
      <c r="H803" s="237" t="str">
        <f>РПЗ!R803</f>
        <v>да</v>
      </c>
      <c r="I803" s="15">
        <f>РПЗ!W803</f>
        <v>0</v>
      </c>
      <c r="J803" s="233">
        <f>РПЗ!X803</f>
        <v>0</v>
      </c>
      <c r="K803" s="283">
        <f>РПЗ!Z803</f>
        <v>0</v>
      </c>
      <c r="L803" s="17"/>
      <c r="M803" s="18">
        <f>РПЗ!O803</f>
        <v>42795</v>
      </c>
      <c r="N803" s="238">
        <f>Таблица5[[#This Row],[10]]</f>
        <v>42795</v>
      </c>
      <c r="O803" s="17"/>
      <c r="P803" s="17"/>
      <c r="Q803" s="17"/>
      <c r="R803" s="17"/>
      <c r="S803" s="17"/>
      <c r="T803" s="686"/>
      <c r="U803" s="18">
        <f>РПЗ!P803</f>
        <v>43070.5</v>
      </c>
      <c r="V803" s="686"/>
      <c r="W803" s="236">
        <f>РПЗ!L803</f>
        <v>900000</v>
      </c>
      <c r="X803" s="689"/>
      <c r="Y803" s="689"/>
      <c r="Z803" s="690"/>
      <c r="AA803" s="691"/>
      <c r="AB803" s="111"/>
      <c r="AC803" s="17"/>
      <c r="AD803" s="690"/>
      <c r="AE803" s="686"/>
      <c r="AF803" s="474"/>
      <c r="AG803" s="692"/>
      <c r="AH803" s="236" t="str">
        <f>IF(Таблица5[[#This Row],[30]]=0,"НД",Таблица5[[#This Row],[20]]-Таблица5[[#This Row],[30]])</f>
        <v>НД</v>
      </c>
      <c r="AI803" s="511" t="str">
        <f>IF(((1-Таблица5[[#This Row],[30]]/Таблица5[[#This Row],[20]])=1),"НД",(1-Таблица5[[#This Row],[30]]/Таблица5[[#This Row],[20]]))</f>
        <v>НД</v>
      </c>
      <c r="AJ803" s="111"/>
      <c r="AK803" s="111"/>
      <c r="AL803" s="512"/>
      <c r="AM803" s="513"/>
      <c r="AN803" s="465"/>
      <c r="AO803" s="468" t="str">
        <f>РПЗ!AD803</f>
        <v>Нет</v>
      </c>
      <c r="AP803" s="472">
        <f>РПЗ!V803</f>
        <v>0</v>
      </c>
      <c r="AQ803" s="470">
        <f>IF(Таблица5[[#This Row],[11]]=0,,MONTH(Таблица5[[#This Row],[11]]))</f>
        <v>3</v>
      </c>
    </row>
    <row r="804" spans="1:43" ht="39" thickBot="1" x14ac:dyDescent="0.3">
      <c r="A804" s="233" t="str">
        <f t="shared" si="12"/>
        <v>1004-2017-00789</v>
      </c>
      <c r="B804" s="233" t="str">
        <f>РПЗ!$D804</f>
        <v>1004-2017-00789Поставка камеры термоудара TSE-11</v>
      </c>
      <c r="C804" s="233" t="str">
        <f>РПЗ!$AA804</f>
        <v>АО "НИИ "Полюс" им. М.Ф. Стельмаха" тел. отдела закупок 8-495-333-05-02</v>
      </c>
      <c r="D804" s="633" t="str">
        <f>РПЗ!$AB804</f>
        <v>Заказчик</v>
      </c>
      <c r="E804" s="96" t="s">
        <v>46</v>
      </c>
      <c r="F804" s="233" t="str">
        <f>РПЗ!Q804</f>
        <v>ОЗК</v>
      </c>
      <c r="G804" s="237"/>
      <c r="H804" s="237" t="str">
        <f>РПЗ!R804</f>
        <v>да</v>
      </c>
      <c r="I804" s="15">
        <f>РПЗ!W804</f>
        <v>0</v>
      </c>
      <c r="J804" s="233">
        <f>РПЗ!X804</f>
        <v>0</v>
      </c>
      <c r="K804" s="283">
        <f>РПЗ!Z804</f>
        <v>0</v>
      </c>
      <c r="L804" s="17"/>
      <c r="M804" s="18">
        <f>РПЗ!O804</f>
        <v>42795</v>
      </c>
      <c r="N804" s="238">
        <f>Таблица5[[#This Row],[10]]</f>
        <v>42795</v>
      </c>
      <c r="O804" s="17"/>
      <c r="P804" s="17"/>
      <c r="Q804" s="17"/>
      <c r="R804" s="17"/>
      <c r="S804" s="17"/>
      <c r="T804" s="686"/>
      <c r="U804" s="18">
        <f>РПЗ!P804</f>
        <v>43070.5</v>
      </c>
      <c r="V804" s="686"/>
      <c r="W804" s="236">
        <f>РПЗ!L804</f>
        <v>2600000</v>
      </c>
      <c r="X804" s="689"/>
      <c r="Y804" s="689"/>
      <c r="Z804" s="690"/>
      <c r="AA804" s="691"/>
      <c r="AB804" s="111"/>
      <c r="AC804" s="17"/>
      <c r="AD804" s="690"/>
      <c r="AE804" s="686"/>
      <c r="AF804" s="474"/>
      <c r="AG804" s="692"/>
      <c r="AH804" s="236" t="str">
        <f>IF(Таблица5[[#This Row],[30]]=0,"НД",Таблица5[[#This Row],[20]]-Таблица5[[#This Row],[30]])</f>
        <v>НД</v>
      </c>
      <c r="AI804" s="511" t="str">
        <f>IF(((1-Таблица5[[#This Row],[30]]/Таблица5[[#This Row],[20]])=1),"НД",(1-Таблица5[[#This Row],[30]]/Таблица5[[#This Row],[20]]))</f>
        <v>НД</v>
      </c>
      <c r="AJ804" s="111"/>
      <c r="AK804" s="111"/>
      <c r="AL804" s="512"/>
      <c r="AM804" s="513"/>
      <c r="AN804" s="465"/>
      <c r="AO804" s="468" t="str">
        <f>РПЗ!AD804</f>
        <v>Нет</v>
      </c>
      <c r="AP804" s="472">
        <f>РПЗ!V804</f>
        <v>0</v>
      </c>
      <c r="AQ804" s="470">
        <f>IF(Таблица5[[#This Row],[11]]=0,,MONTH(Таблица5[[#This Row],[11]]))</f>
        <v>3</v>
      </c>
    </row>
    <row r="805" spans="1:43" ht="39" thickBot="1" x14ac:dyDescent="0.3">
      <c r="A805" s="233" t="str">
        <f t="shared" si="12"/>
        <v>1004-2017-00790</v>
      </c>
      <c r="B805" s="233" t="str">
        <f>РПЗ!$D805</f>
        <v>1004-2017-00790Поставка Печатные платы ЖГДК.758773.011</v>
      </c>
      <c r="C805" s="233" t="str">
        <f>РПЗ!$AA805</f>
        <v>АО "НИИ "Полюс" им. М.Ф. Стельмаха" тел. отдела закупок 8-495-333-05-02</v>
      </c>
      <c r="D805" s="633" t="str">
        <f>РПЗ!$AB805</f>
        <v>Заказчик</v>
      </c>
      <c r="E805" s="96" t="s">
        <v>46</v>
      </c>
      <c r="F805" s="233" t="str">
        <f>РПЗ!Q805</f>
        <v>ОЗК</v>
      </c>
      <c r="G805" s="237"/>
      <c r="H805" s="237" t="str">
        <f>РПЗ!R805</f>
        <v>да</v>
      </c>
      <c r="I805" s="15">
        <f>РПЗ!W805</f>
        <v>0</v>
      </c>
      <c r="J805" s="233">
        <f>РПЗ!X805</f>
        <v>0</v>
      </c>
      <c r="K805" s="283">
        <f>РПЗ!Z805</f>
        <v>0</v>
      </c>
      <c r="L805" s="17"/>
      <c r="M805" s="18">
        <f>РПЗ!O805</f>
        <v>42795</v>
      </c>
      <c r="N805" s="238">
        <f>Таблица5[[#This Row],[10]]</f>
        <v>42795</v>
      </c>
      <c r="O805" s="17"/>
      <c r="P805" s="17"/>
      <c r="Q805" s="17"/>
      <c r="R805" s="17"/>
      <c r="S805" s="17"/>
      <c r="T805" s="686"/>
      <c r="U805" s="18">
        <f>РПЗ!P805</f>
        <v>43070.5</v>
      </c>
      <c r="V805" s="686"/>
      <c r="W805" s="236">
        <f>РПЗ!L805</f>
        <v>1345050</v>
      </c>
      <c r="X805" s="689"/>
      <c r="Y805" s="689"/>
      <c r="Z805" s="690"/>
      <c r="AA805" s="691"/>
      <c r="AB805" s="111"/>
      <c r="AC805" s="17"/>
      <c r="AD805" s="690"/>
      <c r="AE805" s="686"/>
      <c r="AF805" s="474"/>
      <c r="AG805" s="692"/>
      <c r="AH805" s="236" t="str">
        <f>IF(Таблица5[[#This Row],[30]]=0,"НД",Таблица5[[#This Row],[20]]-Таблица5[[#This Row],[30]])</f>
        <v>НД</v>
      </c>
      <c r="AI805" s="511" t="str">
        <f>IF(((1-Таблица5[[#This Row],[30]]/Таблица5[[#This Row],[20]])=1),"НД",(1-Таблица5[[#This Row],[30]]/Таблица5[[#This Row],[20]]))</f>
        <v>НД</v>
      </c>
      <c r="AJ805" s="111"/>
      <c r="AK805" s="111"/>
      <c r="AL805" s="512"/>
      <c r="AM805" s="513"/>
      <c r="AN805" s="465"/>
      <c r="AO805" s="468" t="str">
        <f>РПЗ!AD805</f>
        <v>Нет</v>
      </c>
      <c r="AP805" s="472">
        <f>РПЗ!V805</f>
        <v>0</v>
      </c>
      <c r="AQ805" s="470">
        <f>IF(Таблица5[[#This Row],[11]]=0,,MONTH(Таблица5[[#This Row],[11]]))</f>
        <v>3</v>
      </c>
    </row>
    <row r="806" spans="1:43" ht="39" thickBot="1" x14ac:dyDescent="0.3">
      <c r="A806" s="233" t="str">
        <f t="shared" si="12"/>
        <v>1004-2017-00791</v>
      </c>
      <c r="B806" s="233" t="str">
        <f>РПЗ!$D806</f>
        <v>1004-2017-00791Поставка Печатные платы ЖГДК.758773.011</v>
      </c>
      <c r="C806" s="233" t="str">
        <f>РПЗ!$AA806</f>
        <v>АО "НИИ "Полюс" им. М.Ф. Стельмаха" тел. отдела закупок 8-495-333-05-02</v>
      </c>
      <c r="D806" s="633" t="str">
        <f>РПЗ!$AB806</f>
        <v>Заказчик</v>
      </c>
      <c r="E806" s="96" t="s">
        <v>46</v>
      </c>
      <c r="F806" s="233" t="str">
        <f>РПЗ!Q806</f>
        <v>ЕП</v>
      </c>
      <c r="G806" s="237"/>
      <c r="H806" s="237" t="str">
        <f>РПЗ!R806</f>
        <v>нет</v>
      </c>
      <c r="I806" s="15" t="str">
        <f>РПЗ!W806</f>
        <v>6.6.2(9)</v>
      </c>
      <c r="J806" s="233">
        <f>РПЗ!X806</f>
        <v>0</v>
      </c>
      <c r="K806" s="283">
        <f>РПЗ!Z806</f>
        <v>0</v>
      </c>
      <c r="L806" s="17"/>
      <c r="M806" s="18">
        <f>РПЗ!O806</f>
        <v>42795</v>
      </c>
      <c r="N806" s="238">
        <f>Таблица5[[#This Row],[10]]</f>
        <v>42795</v>
      </c>
      <c r="O806" s="17"/>
      <c r="P806" s="17"/>
      <c r="Q806" s="17"/>
      <c r="R806" s="17"/>
      <c r="S806" s="17"/>
      <c r="T806" s="686"/>
      <c r="U806" s="18">
        <f>РПЗ!P806</f>
        <v>43070.5</v>
      </c>
      <c r="V806" s="686"/>
      <c r="W806" s="236">
        <f>РПЗ!L806</f>
        <v>796500</v>
      </c>
      <c r="X806" s="689"/>
      <c r="Y806" s="689"/>
      <c r="Z806" s="690"/>
      <c r="AA806" s="691"/>
      <c r="AB806" s="111"/>
      <c r="AC806" s="17"/>
      <c r="AD806" s="690"/>
      <c r="AE806" s="686"/>
      <c r="AF806" s="474"/>
      <c r="AG806" s="692"/>
      <c r="AH806" s="236" t="str">
        <f>IF(Таблица5[[#This Row],[30]]=0,"НД",Таблица5[[#This Row],[20]]-Таблица5[[#This Row],[30]])</f>
        <v>НД</v>
      </c>
      <c r="AI806" s="511" t="str">
        <f>IF(((1-Таблица5[[#This Row],[30]]/Таблица5[[#This Row],[20]])=1),"НД",(1-Таблица5[[#This Row],[30]]/Таблица5[[#This Row],[20]]))</f>
        <v>НД</v>
      </c>
      <c r="AJ806" s="111"/>
      <c r="AK806" s="111"/>
      <c r="AL806" s="512"/>
      <c r="AM806" s="513"/>
      <c r="AN806" s="465"/>
      <c r="AO806" s="468" t="str">
        <f>РПЗ!AD806</f>
        <v>Нет</v>
      </c>
      <c r="AP806" s="472">
        <f>РПЗ!V806</f>
        <v>0</v>
      </c>
      <c r="AQ806" s="470">
        <f>IF(Таблица5[[#This Row],[11]]=0,,MONTH(Таблица5[[#This Row],[11]]))</f>
        <v>3</v>
      </c>
    </row>
    <row r="807" spans="1:43" ht="39" thickBot="1" x14ac:dyDescent="0.3">
      <c r="A807" s="233" t="str">
        <f t="shared" si="12"/>
        <v>1004-2017-00792</v>
      </c>
      <c r="B807" s="233" t="str">
        <f>РПЗ!$D807</f>
        <v>1004-2017-00792Поставка Печатные платы ЖГДК.758773.011</v>
      </c>
      <c r="C807" s="233" t="str">
        <f>РПЗ!$AA807</f>
        <v>АО "НИИ "Полюс" им. М.Ф. Стельмаха" тел. отдела закупок 8-495-333-05-02</v>
      </c>
      <c r="D807" s="633" t="str">
        <f>РПЗ!$AB807</f>
        <v>Заказчик</v>
      </c>
      <c r="E807" s="96" t="s">
        <v>46</v>
      </c>
      <c r="F807" s="233" t="str">
        <f>РПЗ!Q807</f>
        <v>ЕП</v>
      </c>
      <c r="G807" s="237"/>
      <c r="H807" s="237" t="str">
        <f>РПЗ!R807</f>
        <v>нет</v>
      </c>
      <c r="I807" s="15" t="str">
        <f>РПЗ!W807</f>
        <v>6.6.2(7)</v>
      </c>
      <c r="J807" s="233">
        <f>РПЗ!X807</f>
        <v>0</v>
      </c>
      <c r="K807" s="283">
        <f>РПЗ!Z807</f>
        <v>0</v>
      </c>
      <c r="L807" s="17"/>
      <c r="M807" s="18">
        <f>РПЗ!O807</f>
        <v>42795</v>
      </c>
      <c r="N807" s="238">
        <f>Таблица5[[#This Row],[10]]</f>
        <v>42795</v>
      </c>
      <c r="O807" s="17"/>
      <c r="P807" s="17"/>
      <c r="Q807" s="17"/>
      <c r="R807" s="17"/>
      <c r="S807" s="17"/>
      <c r="T807" s="686"/>
      <c r="U807" s="18">
        <f>РПЗ!P807</f>
        <v>43070.5</v>
      </c>
      <c r="V807" s="686"/>
      <c r="W807" s="236">
        <f>РПЗ!L807</f>
        <v>1194750</v>
      </c>
      <c r="X807" s="689"/>
      <c r="Y807" s="689"/>
      <c r="Z807" s="690"/>
      <c r="AA807" s="691"/>
      <c r="AB807" s="111"/>
      <c r="AC807" s="17"/>
      <c r="AD807" s="690"/>
      <c r="AE807" s="686"/>
      <c r="AF807" s="474"/>
      <c r="AG807" s="692"/>
      <c r="AH807" s="236" t="str">
        <f>IF(Таблица5[[#This Row],[30]]=0,"НД",Таблица5[[#This Row],[20]]-Таблица5[[#This Row],[30]])</f>
        <v>НД</v>
      </c>
      <c r="AI807" s="511" t="str">
        <f>IF(((1-Таблица5[[#This Row],[30]]/Таблица5[[#This Row],[20]])=1),"НД",(1-Таблица5[[#This Row],[30]]/Таблица5[[#This Row],[20]]))</f>
        <v>НД</v>
      </c>
      <c r="AJ807" s="111"/>
      <c r="AK807" s="111"/>
      <c r="AL807" s="512"/>
      <c r="AM807" s="513"/>
      <c r="AN807" s="465"/>
      <c r="AO807" s="468" t="str">
        <f>РПЗ!AD807</f>
        <v>Нет</v>
      </c>
      <c r="AP807" s="472">
        <f>РПЗ!V807</f>
        <v>0</v>
      </c>
      <c r="AQ807" s="470">
        <f>IF(Таблица5[[#This Row],[11]]=0,,MONTH(Таблица5[[#This Row],[11]]))</f>
        <v>3</v>
      </c>
    </row>
    <row r="808" spans="1:43" ht="39" thickBot="1" x14ac:dyDescent="0.3">
      <c r="A808" s="233" t="str">
        <f t="shared" si="12"/>
        <v>1004-2017-00793</v>
      </c>
      <c r="B808" s="233" t="str">
        <f>РПЗ!$D808</f>
        <v>1004-2017-00793Поставка Печатные платы ЖГДК.758773.011</v>
      </c>
      <c r="C808" s="233" t="str">
        <f>РПЗ!$AA808</f>
        <v>АО "НИИ "Полюс" им. М.Ф. Стельмаха" тел. отдела закупок 8-495-333-05-02</v>
      </c>
      <c r="D808" s="633" t="str">
        <f>РПЗ!$AB808</f>
        <v>Заказчик</v>
      </c>
      <c r="E808" s="96" t="s">
        <v>46</v>
      </c>
      <c r="F808" s="233" t="str">
        <f>РПЗ!Q808</f>
        <v>ЕП</v>
      </c>
      <c r="G808" s="237"/>
      <c r="H808" s="237" t="str">
        <f>РПЗ!R808</f>
        <v>нет</v>
      </c>
      <c r="I808" s="15" t="str">
        <f>РПЗ!W808</f>
        <v>6.6.2(10)</v>
      </c>
      <c r="J808" s="233">
        <f>РПЗ!X808</f>
        <v>0</v>
      </c>
      <c r="K808" s="283">
        <f>РПЗ!Z808</f>
        <v>0</v>
      </c>
      <c r="L808" s="17"/>
      <c r="M808" s="18">
        <f>РПЗ!O808</f>
        <v>42795</v>
      </c>
      <c r="N808" s="238">
        <f>Таблица5[[#This Row],[10]]</f>
        <v>42795</v>
      </c>
      <c r="O808" s="17"/>
      <c r="P808" s="17"/>
      <c r="Q808" s="17"/>
      <c r="R808" s="17"/>
      <c r="S808" s="17"/>
      <c r="T808" s="686"/>
      <c r="U808" s="18">
        <f>РПЗ!P808</f>
        <v>43070.5</v>
      </c>
      <c r="V808" s="686"/>
      <c r="W808" s="236">
        <f>РПЗ!L808</f>
        <v>298687.5</v>
      </c>
      <c r="X808" s="689"/>
      <c r="Y808" s="689"/>
      <c r="Z808" s="690"/>
      <c r="AA808" s="691"/>
      <c r="AB808" s="111"/>
      <c r="AC808" s="17"/>
      <c r="AD808" s="690"/>
      <c r="AE808" s="686"/>
      <c r="AF808" s="474"/>
      <c r="AG808" s="692"/>
      <c r="AH808" s="236" t="str">
        <f>IF(Таблица5[[#This Row],[30]]=0,"НД",Таблица5[[#This Row],[20]]-Таблица5[[#This Row],[30]])</f>
        <v>НД</v>
      </c>
      <c r="AI808" s="511" t="str">
        <f>IF(((1-Таблица5[[#This Row],[30]]/Таблица5[[#This Row],[20]])=1),"НД",(1-Таблица5[[#This Row],[30]]/Таблица5[[#This Row],[20]]))</f>
        <v>НД</v>
      </c>
      <c r="AJ808" s="111"/>
      <c r="AK808" s="111"/>
      <c r="AL808" s="512"/>
      <c r="AM808" s="513"/>
      <c r="AN808" s="465"/>
      <c r="AO808" s="468" t="str">
        <f>РПЗ!AD808</f>
        <v>Нет</v>
      </c>
      <c r="AP808" s="472">
        <f>РПЗ!V808</f>
        <v>0</v>
      </c>
      <c r="AQ808" s="470">
        <f>IF(Таблица5[[#This Row],[11]]=0,,MONTH(Таблица5[[#This Row],[11]]))</f>
        <v>3</v>
      </c>
    </row>
    <row r="809" spans="1:43" ht="38.25" x14ac:dyDescent="0.25">
      <c r="A809" s="233" t="str">
        <f t="shared" si="12"/>
        <v>1004-2017-00794</v>
      </c>
      <c r="B809" s="233" t="str">
        <f>РПЗ!$D809</f>
        <v>1004-2017-00794Поставка Печатные платы ЖГДК.758773.011</v>
      </c>
      <c r="C809" s="233" t="str">
        <f>РПЗ!$AA809</f>
        <v>АО "НИИ "Полюс" им. М.Ф. Стельмаха" тел. отдела закупок 8-495-333-05-02</v>
      </c>
      <c r="D809" s="633" t="str">
        <f>РПЗ!$AB809</f>
        <v>Заказчик</v>
      </c>
      <c r="E809" s="96" t="s">
        <v>46</v>
      </c>
      <c r="F809" s="233" t="str">
        <f>РПЗ!Q809</f>
        <v>ЕП</v>
      </c>
      <c r="G809" s="237"/>
      <c r="H809" s="237" t="str">
        <f>РПЗ!R809</f>
        <v>нет</v>
      </c>
      <c r="I809" s="15" t="str">
        <f>РПЗ!W809</f>
        <v>6.6.2(10)</v>
      </c>
      <c r="J809" s="233">
        <f>РПЗ!X809</f>
        <v>0</v>
      </c>
      <c r="K809" s="283">
        <f>РПЗ!Z809</f>
        <v>0</v>
      </c>
      <c r="L809" s="17"/>
      <c r="M809" s="18">
        <f>РПЗ!O809</f>
        <v>42795</v>
      </c>
      <c r="N809" s="238">
        <f>Таблица5[[#This Row],[10]]</f>
        <v>42795</v>
      </c>
      <c r="O809" s="17"/>
      <c r="P809" s="17"/>
      <c r="Q809" s="17"/>
      <c r="R809" s="17"/>
      <c r="S809" s="17"/>
      <c r="T809" s="686"/>
      <c r="U809" s="18">
        <f>РПЗ!P809</f>
        <v>43070.5</v>
      </c>
      <c r="V809" s="686"/>
      <c r="W809" s="236">
        <f>РПЗ!L809</f>
        <v>110000</v>
      </c>
      <c r="X809" s="689"/>
      <c r="Y809" s="689"/>
      <c r="Z809" s="690"/>
      <c r="AA809" s="691"/>
      <c r="AB809" s="111"/>
      <c r="AC809" s="17"/>
      <c r="AD809" s="690"/>
      <c r="AE809" s="686"/>
      <c r="AF809" s="474"/>
      <c r="AG809" s="692"/>
      <c r="AH809" s="236" t="str">
        <f>IF(Таблица5[[#This Row],[30]]=0,"НД",Таблица5[[#This Row],[20]]-Таблица5[[#This Row],[30]])</f>
        <v>НД</v>
      </c>
      <c r="AI809" s="511" t="str">
        <f>IF(((1-Таблица5[[#This Row],[30]]/Таблица5[[#This Row],[20]])=1),"НД",(1-Таблица5[[#This Row],[30]]/Таблица5[[#This Row],[20]]))</f>
        <v>НД</v>
      </c>
      <c r="AJ809" s="111"/>
      <c r="AK809" s="111"/>
      <c r="AL809" s="512"/>
      <c r="AM809" s="513"/>
      <c r="AN809" s="465"/>
      <c r="AO809" s="468" t="str">
        <f>РПЗ!AD809</f>
        <v>Нет</v>
      </c>
      <c r="AP809" s="472">
        <f>РПЗ!V809</f>
        <v>0</v>
      </c>
      <c r="AQ809" s="470">
        <f>IF(Таблица5[[#This Row],[11]]=0,,MONTH(Таблица5[[#This Row],[11]]))</f>
        <v>3</v>
      </c>
    </row>
    <row r="810" spans="1:43" ht="39" thickBot="1" x14ac:dyDescent="0.3">
      <c r="A810" s="233" t="str">
        <f t="shared" si="12"/>
        <v>1004-2017-00795</v>
      </c>
      <c r="B810" s="233" t="str">
        <f>РПЗ!$D810</f>
        <v>1004-2017-00795Поставка Печатные платы ЖГДК.758773.012</v>
      </c>
      <c r="C810" s="233" t="str">
        <f>РПЗ!$AA810</f>
        <v>АО "НИИ "Полюс" им. М.Ф. Стельмаха" тел. отдела закупок 8-495-333-05-02</v>
      </c>
      <c r="D810" s="633" t="str">
        <f>РПЗ!$AB810</f>
        <v>Заказчик</v>
      </c>
      <c r="E810" s="510" t="s">
        <v>62</v>
      </c>
      <c r="F810" s="233" t="str">
        <f>РПЗ!Q810</f>
        <v>ЕП</v>
      </c>
      <c r="G810" s="237" t="str">
        <f>Таблица5[[#This Row],[6]]</f>
        <v>ЕП</v>
      </c>
      <c r="H810" s="237" t="str">
        <f>РПЗ!R810</f>
        <v>нет</v>
      </c>
      <c r="I810" s="15" t="str">
        <f>РПЗ!W810</f>
        <v>6.6.2(11)</v>
      </c>
      <c r="J810" s="233" t="str">
        <f>РПЗ!X810</f>
        <v>1826000616</v>
      </c>
      <c r="K810" s="283">
        <f>РПЗ!Z810</f>
        <v>1634418</v>
      </c>
      <c r="L810" s="17">
        <v>42829</v>
      </c>
      <c r="M810" s="18">
        <f>РПЗ!O810</f>
        <v>42826</v>
      </c>
      <c r="N810" s="238">
        <f>Таблица5[[#This Row],[10]]</f>
        <v>42826</v>
      </c>
      <c r="O810" s="17"/>
      <c r="P810" s="17"/>
      <c r="Q810" s="17"/>
      <c r="R810" s="17"/>
      <c r="S810" s="17"/>
      <c r="T810" s="686">
        <v>42852</v>
      </c>
      <c r="U810" s="18">
        <f>РПЗ!P810</f>
        <v>43070.5</v>
      </c>
      <c r="V810" s="686">
        <v>43070</v>
      </c>
      <c r="W810" s="236">
        <f>РПЗ!L810</f>
        <v>1634418</v>
      </c>
      <c r="X810" s="689">
        <v>1</v>
      </c>
      <c r="Y810" s="689">
        <v>0</v>
      </c>
      <c r="Z810" s="691">
        <v>1826000616</v>
      </c>
      <c r="AA810" s="691" t="s">
        <v>2342</v>
      </c>
      <c r="AB810" s="111">
        <v>1634418</v>
      </c>
      <c r="AC810" s="17">
        <v>43070</v>
      </c>
      <c r="AD810" s="690" t="s">
        <v>6048</v>
      </c>
      <c r="AE810" s="686">
        <v>42852</v>
      </c>
      <c r="AF810" s="474"/>
      <c r="AG810" s="692">
        <v>1634418</v>
      </c>
      <c r="AH810" s="236">
        <f>IF(Таблица5[[#This Row],[30]]=0,"НД",Таблица5[[#This Row],[20]]-Таблица5[[#This Row],[30]])</f>
        <v>0</v>
      </c>
      <c r="AI810" s="511">
        <f>IF(((1-Таблица5[[#This Row],[30]]/Таблица5[[#This Row],[20]])=1),"НД",(1-Таблица5[[#This Row],[30]]/Таблица5[[#This Row],[20]]))</f>
        <v>0</v>
      </c>
      <c r="AJ810" s="111"/>
      <c r="AK810" s="111"/>
      <c r="AL810" s="512"/>
      <c r="AM810" s="513" t="s">
        <v>113</v>
      </c>
      <c r="AN810" s="801">
        <v>31704977599</v>
      </c>
      <c r="AO810" s="468" t="str">
        <f>РПЗ!AD810</f>
        <v>Нет</v>
      </c>
      <c r="AP810" s="472">
        <f>РПЗ!V810</f>
        <v>0</v>
      </c>
      <c r="AQ810" s="470">
        <f>IF(Таблица5[[#This Row],[11]]=0,,MONTH(Таблица5[[#This Row],[11]]))</f>
        <v>4</v>
      </c>
    </row>
    <row r="811" spans="1:43" ht="38.25" x14ac:dyDescent="0.25">
      <c r="A811" s="233" t="str">
        <f t="shared" si="12"/>
        <v>1004-2017-00796</v>
      </c>
      <c r="B811" s="233" t="str">
        <f>РПЗ!$D811</f>
        <v>1004-2017-00796 6Поставка Печатные платы ЖГДК.758773.012</v>
      </c>
      <c r="C811" s="233" t="str">
        <f>РПЗ!$AA811</f>
        <v>АО "НИИ "Полюс" им. М.Ф. Стельмаха" тел. отдела закупок 8-495-333-05-02</v>
      </c>
      <c r="D811" s="633" t="str">
        <f>РПЗ!$AB811</f>
        <v>Заказчик</v>
      </c>
      <c r="E811" s="96" t="s">
        <v>46</v>
      </c>
      <c r="F811" s="233" t="str">
        <f>РПЗ!Q811</f>
        <v>ЕП</v>
      </c>
      <c r="G811" s="237"/>
      <c r="H811" s="237" t="str">
        <f>РПЗ!R811</f>
        <v>нет</v>
      </c>
      <c r="I811" s="15" t="str">
        <f>РПЗ!W811</f>
        <v>6.6.2(9)</v>
      </c>
      <c r="J811" s="233">
        <f>РПЗ!X811</f>
        <v>0</v>
      </c>
      <c r="K811" s="283">
        <f>РПЗ!Z811</f>
        <v>0</v>
      </c>
      <c r="L811" s="17"/>
      <c r="M811" s="18">
        <f>РПЗ!O811</f>
        <v>42795</v>
      </c>
      <c r="N811" s="238">
        <f>Таблица5[[#This Row],[10]]</f>
        <v>42795</v>
      </c>
      <c r="O811" s="17"/>
      <c r="P811" s="17"/>
      <c r="Q811" s="17"/>
      <c r="R811" s="17"/>
      <c r="S811" s="17"/>
      <c r="T811" s="686"/>
      <c r="U811" s="18">
        <f>РПЗ!P811</f>
        <v>43070.5</v>
      </c>
      <c r="V811" s="686"/>
      <c r="W811" s="236">
        <f>РПЗ!L811</f>
        <v>3405000</v>
      </c>
      <c r="X811" s="689"/>
      <c r="Y811" s="689"/>
      <c r="Z811" s="690"/>
      <c r="AA811" s="691"/>
      <c r="AB811" s="111"/>
      <c r="AC811" s="17"/>
      <c r="AD811" s="690"/>
      <c r="AE811" s="686"/>
      <c r="AF811" s="474"/>
      <c r="AG811" s="692"/>
      <c r="AH811" s="236" t="str">
        <f>IF(Таблица5[[#This Row],[30]]=0,"НД",Таблица5[[#This Row],[20]]-Таблица5[[#This Row],[30]])</f>
        <v>НД</v>
      </c>
      <c r="AI811" s="511" t="str">
        <f>IF(((1-Таблица5[[#This Row],[30]]/Таблица5[[#This Row],[20]])=1),"НД",(1-Таблица5[[#This Row],[30]]/Таблица5[[#This Row],[20]]))</f>
        <v>НД</v>
      </c>
      <c r="AJ811" s="111"/>
      <c r="AK811" s="111"/>
      <c r="AL811" s="512"/>
      <c r="AM811" s="513"/>
      <c r="AN811" s="465"/>
      <c r="AO811" s="468" t="str">
        <f>РПЗ!AD811</f>
        <v>Нет</v>
      </c>
      <c r="AP811" s="472">
        <f>РПЗ!V811</f>
        <v>0</v>
      </c>
      <c r="AQ811" s="470">
        <f>IF(Таблица5[[#This Row],[11]]=0,,MONTH(Таблица5[[#This Row],[11]]))</f>
        <v>3</v>
      </c>
    </row>
    <row r="812" spans="1:43" ht="38.25" x14ac:dyDescent="0.25">
      <c r="A812" s="233" t="str">
        <f t="shared" si="12"/>
        <v>1004-2017-00797</v>
      </c>
      <c r="B812" s="233" t="str">
        <f>РПЗ!$D812</f>
        <v>1004-2017-00797Поставка Корпус ЖГДК.469333.005</v>
      </c>
      <c r="C812" s="233" t="str">
        <f>РПЗ!$AA812</f>
        <v>АО "НИИ "Полюс" им. М.Ф. Стельмаха" тел. отдела закупок 8-495-333-05-02</v>
      </c>
      <c r="D812" s="633" t="str">
        <f>РПЗ!$AB812</f>
        <v>Заказчик</v>
      </c>
      <c r="E812" s="510" t="s">
        <v>62</v>
      </c>
      <c r="F812" s="233" t="str">
        <f>РПЗ!Q812</f>
        <v>ЕП</v>
      </c>
      <c r="G812" s="237" t="str">
        <f>Таблица5[[#This Row],[6]]</f>
        <v>ЕП</v>
      </c>
      <c r="H812" s="237" t="str">
        <f>РПЗ!R812</f>
        <v>нет</v>
      </c>
      <c r="I812" s="15" t="str">
        <f>РПЗ!W812</f>
        <v>6.6.2(11)</v>
      </c>
      <c r="J812" s="233" t="str">
        <f>РПЗ!X812</f>
        <v>6829000109</v>
      </c>
      <c r="K812" s="283">
        <f>РПЗ!Z812</f>
        <v>246620</v>
      </c>
      <c r="L812" s="17">
        <v>42873</v>
      </c>
      <c r="M812" s="18">
        <f>РПЗ!O812</f>
        <v>42887</v>
      </c>
      <c r="N812" s="238">
        <f>Таблица5[[#This Row],[10]]</f>
        <v>42887</v>
      </c>
      <c r="O812" s="17"/>
      <c r="P812" s="17"/>
      <c r="Q812" s="17"/>
      <c r="R812" s="17"/>
      <c r="S812" s="17"/>
      <c r="T812" s="686">
        <v>42900</v>
      </c>
      <c r="U812" s="18">
        <f>РПЗ!P812</f>
        <v>43070.5</v>
      </c>
      <c r="V812" s="686">
        <v>43070</v>
      </c>
      <c r="W812" s="236">
        <f>РПЗ!L812</f>
        <v>246620</v>
      </c>
      <c r="X812" s="689">
        <v>1</v>
      </c>
      <c r="Y812" s="689">
        <v>0</v>
      </c>
      <c r="Z812" s="691">
        <v>6829000109</v>
      </c>
      <c r="AA812" s="691" t="s">
        <v>2384</v>
      </c>
      <c r="AB812" s="111">
        <v>246620</v>
      </c>
      <c r="AC812" s="17">
        <v>43070</v>
      </c>
      <c r="AD812" s="690" t="s">
        <v>5919</v>
      </c>
      <c r="AE812" s="686">
        <v>42900</v>
      </c>
      <c r="AF812" s="474"/>
      <c r="AG812" s="692">
        <v>246620</v>
      </c>
      <c r="AH812" s="236">
        <f>IF(Таблица5[[#This Row],[30]]=0,"НД",Таблица5[[#This Row],[20]]-Таблица5[[#This Row],[30]])</f>
        <v>0</v>
      </c>
      <c r="AI812" s="511">
        <f>IF(((1-Таблица5[[#This Row],[30]]/Таблица5[[#This Row],[20]])=1),"НД",(1-Таблица5[[#This Row],[30]]/Таблица5[[#This Row],[20]]))</f>
        <v>0</v>
      </c>
      <c r="AJ812" s="111"/>
      <c r="AK812" s="111"/>
      <c r="AL812" s="512"/>
      <c r="AM812" s="513" t="s">
        <v>113</v>
      </c>
      <c r="AN812" s="801">
        <v>31705148847</v>
      </c>
      <c r="AO812" s="468" t="str">
        <f>РПЗ!AD812</f>
        <v>Нет</v>
      </c>
      <c r="AP812" s="472" t="str">
        <f>РПЗ!V812</f>
        <v>ГОЗ</v>
      </c>
      <c r="AQ812" s="470">
        <f>IF(Таблица5[[#This Row],[11]]=0,,MONTH(Таблица5[[#This Row],[11]]))</f>
        <v>6</v>
      </c>
    </row>
    <row r="813" spans="1:43" ht="39" thickBot="1" x14ac:dyDescent="0.3">
      <c r="A813" s="233" t="str">
        <f t="shared" si="12"/>
        <v>1004-2017-00798</v>
      </c>
      <c r="B813" s="233" t="str">
        <f>РПЗ!$D813</f>
        <v>1004-2017-00798Поставка Корпус ЖГДК.469333.005</v>
      </c>
      <c r="C813" s="233" t="str">
        <f>РПЗ!$AA813</f>
        <v>АО "НИИ "Полюс" им. М.Ф. Стельмаха" тел. отдела закупок 8-495-333-05-02</v>
      </c>
      <c r="D813" s="633" t="str">
        <f>РПЗ!$AB813</f>
        <v>Заказчик</v>
      </c>
      <c r="E813" s="510" t="s">
        <v>62</v>
      </c>
      <c r="F813" s="233" t="str">
        <f>РПЗ!Q813</f>
        <v>ЕП</v>
      </c>
      <c r="G813" s="237" t="str">
        <f>Таблица5[[#This Row],[6]]</f>
        <v>ЕП</v>
      </c>
      <c r="H813" s="237" t="str">
        <f>РПЗ!R813</f>
        <v>нет</v>
      </c>
      <c r="I813" s="15" t="str">
        <f>РПЗ!W813</f>
        <v>6.6.2(11)</v>
      </c>
      <c r="J813" s="233" t="str">
        <f>РПЗ!X813</f>
        <v>6829000109</v>
      </c>
      <c r="K813" s="283">
        <f>РПЗ!Z813</f>
        <v>162769.20000000001</v>
      </c>
      <c r="L813" s="17">
        <v>42873</v>
      </c>
      <c r="M813" s="18">
        <f>РПЗ!O813</f>
        <v>42856</v>
      </c>
      <c r="N813" s="238">
        <f>Таблица5[[#This Row],[10]]</f>
        <v>42856</v>
      </c>
      <c r="O813" s="17"/>
      <c r="P813" s="17"/>
      <c r="Q813" s="17"/>
      <c r="R813" s="17"/>
      <c r="S813" s="17"/>
      <c r="T813" s="686">
        <v>42900</v>
      </c>
      <c r="U813" s="18">
        <f>РПЗ!P813</f>
        <v>43070.5</v>
      </c>
      <c r="V813" s="686">
        <v>43070</v>
      </c>
      <c r="W813" s="236">
        <f>РПЗ!L813</f>
        <v>162769.20000000001</v>
      </c>
      <c r="X813" s="689">
        <v>1</v>
      </c>
      <c r="Y813" s="689">
        <v>0</v>
      </c>
      <c r="Z813" s="691">
        <v>6829000109</v>
      </c>
      <c r="AA813" s="691" t="s">
        <v>2384</v>
      </c>
      <c r="AB813" s="111">
        <v>162769.20000000001</v>
      </c>
      <c r="AC813" s="17">
        <v>43070</v>
      </c>
      <c r="AD813" s="690" t="s">
        <v>5770</v>
      </c>
      <c r="AE813" s="686">
        <v>42900</v>
      </c>
      <c r="AF813" s="474"/>
      <c r="AG813" s="692">
        <v>162769.20000000001</v>
      </c>
      <c r="AH813" s="236">
        <f>IF(Таблица5[[#This Row],[30]]=0,"НД",Таблица5[[#This Row],[20]]-Таблица5[[#This Row],[30]])</f>
        <v>0</v>
      </c>
      <c r="AI813" s="511">
        <f>IF(((1-Таблица5[[#This Row],[30]]/Таблица5[[#This Row],[20]])=1),"НД",(1-Таблица5[[#This Row],[30]]/Таблица5[[#This Row],[20]]))</f>
        <v>0</v>
      </c>
      <c r="AJ813" s="111"/>
      <c r="AK813" s="111"/>
      <c r="AL813" s="512"/>
      <c r="AM813" s="513" t="s">
        <v>113</v>
      </c>
      <c r="AN813" s="465">
        <v>31705148844</v>
      </c>
      <c r="AO813" s="468" t="str">
        <f>РПЗ!AD813</f>
        <v>Нет</v>
      </c>
      <c r="AP813" s="472" t="str">
        <f>РПЗ!V813</f>
        <v>ГОЗ</v>
      </c>
      <c r="AQ813" s="470">
        <f>IF(Таблица5[[#This Row],[11]]=0,,MONTH(Таблица5[[#This Row],[11]]))</f>
        <v>5</v>
      </c>
    </row>
    <row r="814" spans="1:43" ht="39" thickBot="1" x14ac:dyDescent="0.3">
      <c r="A814" s="233" t="str">
        <f t="shared" si="12"/>
        <v>1004-2017-00799</v>
      </c>
      <c r="B814" s="233" t="str">
        <f>РПЗ!$D814</f>
        <v>1004-2017- 00799Поставка Резисторы СП3-28</v>
      </c>
      <c r="C814" s="233" t="str">
        <f>РПЗ!$AA814</f>
        <v>АО "НИИ "Полюс" им. М.Ф. Стельмаха" тел. отдела закупок 8-495-333-05-02</v>
      </c>
      <c r="D814" s="633" t="str">
        <f>РПЗ!$AB814</f>
        <v>Заказчик</v>
      </c>
      <c r="E814" s="96" t="s">
        <v>46</v>
      </c>
      <c r="F814" s="233" t="str">
        <f>РПЗ!Q814</f>
        <v>ЕП</v>
      </c>
      <c r="G814" s="237"/>
      <c r="H814" s="237" t="str">
        <f>РПЗ!R814</f>
        <v>нет</v>
      </c>
      <c r="I814" s="15" t="str">
        <f>РПЗ!W814</f>
        <v>6.6.2(11)</v>
      </c>
      <c r="J814" s="233">
        <f>РПЗ!X814</f>
        <v>0</v>
      </c>
      <c r="K814" s="283">
        <f>РПЗ!Z814</f>
        <v>0</v>
      </c>
      <c r="L814" s="17"/>
      <c r="M814" s="18">
        <f>РПЗ!O814</f>
        <v>42795</v>
      </c>
      <c r="N814" s="238">
        <f>Таблица5[[#This Row],[10]]</f>
        <v>42795</v>
      </c>
      <c r="O814" s="17"/>
      <c r="P814" s="17"/>
      <c r="Q814" s="17"/>
      <c r="R814" s="17"/>
      <c r="S814" s="17"/>
      <c r="T814" s="686"/>
      <c r="U814" s="18">
        <f>РПЗ!P814</f>
        <v>43070.5</v>
      </c>
      <c r="V814" s="686"/>
      <c r="W814" s="236">
        <f>РПЗ!L814</f>
        <v>128236.36</v>
      </c>
      <c r="X814" s="689"/>
      <c r="Y814" s="689"/>
      <c r="Z814" s="690"/>
      <c r="AA814" s="691"/>
      <c r="AB814" s="111"/>
      <c r="AC814" s="17"/>
      <c r="AD814" s="690"/>
      <c r="AE814" s="686"/>
      <c r="AF814" s="474"/>
      <c r="AG814" s="692"/>
      <c r="AH814" s="236" t="str">
        <f>IF(Таблица5[[#This Row],[30]]=0,"НД",Таблица5[[#This Row],[20]]-Таблица5[[#This Row],[30]])</f>
        <v>НД</v>
      </c>
      <c r="AI814" s="511" t="str">
        <f>IF(((1-Таблица5[[#This Row],[30]]/Таблица5[[#This Row],[20]])=1),"НД",(1-Таблица5[[#This Row],[30]]/Таблица5[[#This Row],[20]]))</f>
        <v>НД</v>
      </c>
      <c r="AJ814" s="111"/>
      <c r="AK814" s="111"/>
      <c r="AL814" s="512"/>
      <c r="AM814" s="513"/>
      <c r="AN814" s="465"/>
      <c r="AO814" s="468" t="str">
        <f>РПЗ!AD814</f>
        <v>Нет</v>
      </c>
      <c r="AP814" s="472">
        <f>РПЗ!V814</f>
        <v>0</v>
      </c>
      <c r="AQ814" s="470">
        <f>IF(Таблица5[[#This Row],[11]]=0,,MONTH(Таблица5[[#This Row],[11]]))</f>
        <v>3</v>
      </c>
    </row>
    <row r="815" spans="1:43" ht="39" thickBot="1" x14ac:dyDescent="0.3">
      <c r="A815" s="233" t="str">
        <f t="shared" si="12"/>
        <v>1004-2017-00800</v>
      </c>
      <c r="B815" s="233" t="str">
        <f>РПЗ!$D815</f>
        <v>1004-2017- 00800Поставка Транзисторы 2Т354Б1-2</v>
      </c>
      <c r="C815" s="233" t="str">
        <f>РПЗ!$AA815</f>
        <v>АО "НИИ "Полюс" им. М.Ф. Стельмаха" тел. отдела закупок 8-495-333-05-02</v>
      </c>
      <c r="D815" s="633" t="str">
        <f>РПЗ!$AB815</f>
        <v>Заказчик</v>
      </c>
      <c r="E815" s="96" t="s">
        <v>46</v>
      </c>
      <c r="F815" s="233" t="str">
        <f>РПЗ!Q815</f>
        <v>ЕП</v>
      </c>
      <c r="G815" s="237"/>
      <c r="H815" s="237" t="str">
        <f>РПЗ!R815</f>
        <v>нет</v>
      </c>
      <c r="I815" s="15" t="str">
        <f>РПЗ!W815</f>
        <v>6.6.2(11)</v>
      </c>
      <c r="J815" s="233">
        <f>РПЗ!X815</f>
        <v>0</v>
      </c>
      <c r="K815" s="283">
        <f>РПЗ!Z815</f>
        <v>0</v>
      </c>
      <c r="L815" s="17"/>
      <c r="M815" s="18">
        <f>РПЗ!O815</f>
        <v>42795</v>
      </c>
      <c r="N815" s="238">
        <f>Таблица5[[#This Row],[10]]</f>
        <v>42795</v>
      </c>
      <c r="O815" s="17"/>
      <c r="P815" s="17"/>
      <c r="Q815" s="17"/>
      <c r="R815" s="17"/>
      <c r="S815" s="17"/>
      <c r="T815" s="686"/>
      <c r="U815" s="18">
        <f>РПЗ!P815</f>
        <v>43070.5</v>
      </c>
      <c r="V815" s="686"/>
      <c r="W815" s="236">
        <f>РПЗ!L815</f>
        <v>506736</v>
      </c>
      <c r="X815" s="689"/>
      <c r="Y815" s="689"/>
      <c r="Z815" s="690"/>
      <c r="AA815" s="691"/>
      <c r="AB815" s="111"/>
      <c r="AC815" s="17"/>
      <c r="AD815" s="690"/>
      <c r="AE815" s="686"/>
      <c r="AF815" s="474"/>
      <c r="AG815" s="692"/>
      <c r="AH815" s="236" t="str">
        <f>IF(Таблица5[[#This Row],[30]]=0,"НД",Таблица5[[#This Row],[20]]-Таблица5[[#This Row],[30]])</f>
        <v>НД</v>
      </c>
      <c r="AI815" s="511" t="str">
        <f>IF(((1-Таблица5[[#This Row],[30]]/Таблица5[[#This Row],[20]])=1),"НД",(1-Таблица5[[#This Row],[30]]/Таблица5[[#This Row],[20]]))</f>
        <v>НД</v>
      </c>
      <c r="AJ815" s="111"/>
      <c r="AK815" s="111"/>
      <c r="AL815" s="512"/>
      <c r="AM815" s="513"/>
      <c r="AN815" s="465"/>
      <c r="AO815" s="468" t="str">
        <f>РПЗ!AD815</f>
        <v>Нет</v>
      </c>
      <c r="AP815" s="472">
        <f>РПЗ!V815</f>
        <v>0</v>
      </c>
      <c r="AQ815" s="470">
        <f>IF(Таблица5[[#This Row],[11]]=0,,MONTH(Таблица5[[#This Row],[11]]))</f>
        <v>3</v>
      </c>
    </row>
    <row r="816" spans="1:43" ht="38.25" x14ac:dyDescent="0.25">
      <c r="A816" s="233" t="str">
        <f t="shared" si="12"/>
        <v>1004-2017-00801</v>
      </c>
      <c r="B816" s="233" t="str">
        <f>РПЗ!$D816</f>
        <v>1004-2017- 00801Поставка Транзисторы 2Т3129А9, 2Т3130А9</v>
      </c>
      <c r="C816" s="233" t="str">
        <f>РПЗ!$AA816</f>
        <v>АО "НИИ "Полюс" им. М.Ф. Стельмаха" тел. отдела закупок 8-495-333-05-02</v>
      </c>
      <c r="D816" s="633" t="str">
        <f>РПЗ!$AB816</f>
        <v>Заказчик</v>
      </c>
      <c r="E816" s="96" t="s">
        <v>46</v>
      </c>
      <c r="F816" s="233" t="str">
        <f>РПЗ!Q816</f>
        <v>ЕП</v>
      </c>
      <c r="G816" s="237"/>
      <c r="H816" s="237" t="str">
        <f>РПЗ!R816</f>
        <v>нет</v>
      </c>
      <c r="I816" s="15" t="str">
        <f>РПЗ!W816</f>
        <v>6.6.2(11)</v>
      </c>
      <c r="J816" s="233">
        <f>РПЗ!X816</f>
        <v>0</v>
      </c>
      <c r="K816" s="283">
        <f>РПЗ!Z816</f>
        <v>0</v>
      </c>
      <c r="L816" s="17"/>
      <c r="M816" s="18">
        <f>РПЗ!O816</f>
        <v>42795</v>
      </c>
      <c r="N816" s="238">
        <f>Таблица5[[#This Row],[10]]</f>
        <v>42795</v>
      </c>
      <c r="O816" s="17"/>
      <c r="P816" s="17"/>
      <c r="Q816" s="17"/>
      <c r="R816" s="17"/>
      <c r="S816" s="17"/>
      <c r="T816" s="686"/>
      <c r="U816" s="18">
        <f>РПЗ!P816</f>
        <v>43070.5</v>
      </c>
      <c r="V816" s="686"/>
      <c r="W816" s="236">
        <f>РПЗ!L816</f>
        <v>205000</v>
      </c>
      <c r="X816" s="689"/>
      <c r="Y816" s="689"/>
      <c r="Z816" s="690"/>
      <c r="AA816" s="691"/>
      <c r="AB816" s="111"/>
      <c r="AC816" s="17"/>
      <c r="AD816" s="690"/>
      <c r="AE816" s="686"/>
      <c r="AF816" s="474"/>
      <c r="AG816" s="692"/>
      <c r="AH816" s="236" t="str">
        <f>IF(Таблица5[[#This Row],[30]]=0,"НД",Таблица5[[#This Row],[20]]-Таблица5[[#This Row],[30]])</f>
        <v>НД</v>
      </c>
      <c r="AI816" s="511" t="str">
        <f>IF(((1-Таблица5[[#This Row],[30]]/Таблица5[[#This Row],[20]])=1),"НД",(1-Таблица5[[#This Row],[30]]/Таблица5[[#This Row],[20]]))</f>
        <v>НД</v>
      </c>
      <c r="AJ816" s="111"/>
      <c r="AK816" s="111"/>
      <c r="AL816" s="512"/>
      <c r="AM816" s="513"/>
      <c r="AN816" s="465"/>
      <c r="AO816" s="468" t="str">
        <f>РПЗ!AD816</f>
        <v>Нет</v>
      </c>
      <c r="AP816" s="472">
        <f>РПЗ!V816</f>
        <v>0</v>
      </c>
      <c r="AQ816" s="470">
        <f>IF(Таблица5[[#This Row],[11]]=0,,MONTH(Таблица5[[#This Row],[11]]))</f>
        <v>3</v>
      </c>
    </row>
    <row r="817" spans="1:43" ht="51" x14ac:dyDescent="0.25">
      <c r="A817" s="233" t="str">
        <f t="shared" si="12"/>
        <v>1004-2017-00802</v>
      </c>
      <c r="B817" s="233" t="str">
        <f>РПЗ!$D817</f>
        <v>1004-2017- 00802Поставка Конденсаторы К53-68, Дроссель  ДМ-0,1, Микросхема 129НТ1А-1, Транзистор 2Т370А-1</v>
      </c>
      <c r="C817" s="233" t="str">
        <f>РПЗ!$AA817</f>
        <v>АО "НИИ "Полюс" им. М.Ф. Стельмаха" тел. отдела закупок 8-495-333-05-02</v>
      </c>
      <c r="D817" s="633" t="str">
        <f>РПЗ!$AB817</f>
        <v>Заказчик</v>
      </c>
      <c r="E817" s="510" t="s">
        <v>62</v>
      </c>
      <c r="F817" s="233" t="str">
        <f>РПЗ!Q817</f>
        <v>ЕП</v>
      </c>
      <c r="G817" s="237" t="str">
        <f>Таблица5[[#This Row],[6]]</f>
        <v>ЕП</v>
      </c>
      <c r="H817" s="237" t="str">
        <f>РПЗ!R817</f>
        <v>нет</v>
      </c>
      <c r="I817" s="15" t="str">
        <f>РПЗ!W817</f>
        <v>6.6.2(9)</v>
      </c>
      <c r="J817" s="233" t="str">
        <f>РПЗ!X817</f>
        <v>7733618993</v>
      </c>
      <c r="K817" s="283">
        <f>РПЗ!Z817</f>
        <v>1072464.24</v>
      </c>
      <c r="L817" s="17">
        <v>42803</v>
      </c>
      <c r="M817" s="18">
        <f>РПЗ!O817</f>
        <v>42795</v>
      </c>
      <c r="N817" s="238">
        <f>Таблица5[[#This Row],[10]]</f>
        <v>42795</v>
      </c>
      <c r="O817" s="17"/>
      <c r="P817" s="17"/>
      <c r="Q817" s="17"/>
      <c r="R817" s="17"/>
      <c r="S817" s="17"/>
      <c r="T817" s="695" t="s">
        <v>3068</v>
      </c>
      <c r="U817" s="18">
        <f>РПЗ!P817</f>
        <v>43070.5</v>
      </c>
      <c r="V817" s="760">
        <v>42826</v>
      </c>
      <c r="W817" s="236">
        <f>РПЗ!L817</f>
        <v>1072464.24</v>
      </c>
      <c r="X817" s="689">
        <v>1</v>
      </c>
      <c r="Y817" s="689">
        <v>0</v>
      </c>
      <c r="Z817" s="765">
        <v>7733618993</v>
      </c>
      <c r="AA817" s="704" t="s">
        <v>3071</v>
      </c>
      <c r="AB817" s="766">
        <v>1072464.24</v>
      </c>
      <c r="AC817" s="808">
        <v>42826</v>
      </c>
      <c r="AD817" s="810" t="s">
        <v>3072</v>
      </c>
      <c r="AE817" s="703" t="s">
        <v>3068</v>
      </c>
      <c r="AF817" s="474"/>
      <c r="AG817" s="827">
        <v>1072464.24</v>
      </c>
      <c r="AH817" s="236">
        <f>IF(Таблица5[[#This Row],[30]]=0,"НД",Таблица5[[#This Row],[20]]-Таблица5[[#This Row],[30]])</f>
        <v>0</v>
      </c>
      <c r="AI817" s="511">
        <f>IF(((1-Таблица5[[#This Row],[30]]/Таблица5[[#This Row],[20]])=1),"НД",(1-Таблица5[[#This Row],[30]]/Таблица5[[#This Row],[20]]))</f>
        <v>0</v>
      </c>
      <c r="AJ817" s="111"/>
      <c r="AK817" s="111"/>
      <c r="AL817" s="512"/>
      <c r="AM817" s="513" t="s">
        <v>113</v>
      </c>
      <c r="AN817" s="801">
        <v>31704875821</v>
      </c>
      <c r="AO817" s="468" t="str">
        <f>РПЗ!AD817</f>
        <v>Нет</v>
      </c>
      <c r="AP817" s="472">
        <f>РПЗ!V817</f>
        <v>0</v>
      </c>
      <c r="AQ817" s="470">
        <f>IF(Таблица5[[#This Row],[11]]=0,,MONTH(Таблица5[[#This Row],[11]]))</f>
        <v>3</v>
      </c>
    </row>
    <row r="818" spans="1:43" ht="102" x14ac:dyDescent="0.25">
      <c r="A818" s="233" t="str">
        <f t="shared" si="12"/>
        <v>1004-2017-00803</v>
      </c>
      <c r="B818" s="233" t="str">
        <f>РПЗ!$D818</f>
        <v>1004-2017-00803Поставка Резисторы ST32ETА501, Резисторы ST32ETA102, Резисторы ST32ETA103, Микросхемы  MAX999EUK+T, Микросхемы MAX1818EUT33+T, Микросхема MAX33063ADR, Микросхема LMC7101AIM5</v>
      </c>
      <c r="C818" s="233" t="str">
        <f>РПЗ!$AA818</f>
        <v>АО "НИИ "Полюс" им. М.Ф. Стельмаха" тел. отдела закупок 8-495-333-05-02</v>
      </c>
      <c r="D818" s="633" t="str">
        <f>РПЗ!$AB818</f>
        <v>Заказчик</v>
      </c>
      <c r="E818" s="510" t="s">
        <v>62</v>
      </c>
      <c r="F818" s="233" t="str">
        <f>РПЗ!Q818</f>
        <v>ЕП</v>
      </c>
      <c r="G818" s="237" t="str">
        <f>Таблица5[[#This Row],[6]]</f>
        <v>ЕП</v>
      </c>
      <c r="H818" s="237" t="str">
        <f>РПЗ!R818</f>
        <v>нет</v>
      </c>
      <c r="I818" s="15" t="str">
        <f>РПЗ!W818</f>
        <v>6.6.2(9)</v>
      </c>
      <c r="J818" s="233">
        <f>РПЗ!X818</f>
        <v>7709450926</v>
      </c>
      <c r="K818" s="283" t="str">
        <f>РПЗ!Z818</f>
        <v>564 140</v>
      </c>
      <c r="L818" s="639" t="s">
        <v>3021</v>
      </c>
      <c r="M818" s="18">
        <f>РПЗ!O818</f>
        <v>42795</v>
      </c>
      <c r="N818" s="238">
        <f>Таблица5[[#This Row],[10]]</f>
        <v>42795</v>
      </c>
      <c r="O818" s="17"/>
      <c r="P818" s="17"/>
      <c r="Q818" s="17"/>
      <c r="R818" s="17"/>
      <c r="S818" s="17"/>
      <c r="T818" s="693" t="s">
        <v>3013</v>
      </c>
      <c r="U818" s="18">
        <f>РПЗ!P818</f>
        <v>43070.5</v>
      </c>
      <c r="V818" s="693" t="s">
        <v>2341</v>
      </c>
      <c r="W818" s="236">
        <f>РПЗ!L818</f>
        <v>564140</v>
      </c>
      <c r="X818" s="689">
        <v>1</v>
      </c>
      <c r="Y818" s="689">
        <v>0</v>
      </c>
      <c r="Z818" s="691">
        <v>7709450926</v>
      </c>
      <c r="AA818" s="691" t="s">
        <v>3019</v>
      </c>
      <c r="AB818" s="698">
        <v>564140</v>
      </c>
      <c r="AC818" s="834" t="s">
        <v>2341</v>
      </c>
      <c r="AD818" s="833" t="s">
        <v>3022</v>
      </c>
      <c r="AE818" s="693" t="s">
        <v>3013</v>
      </c>
      <c r="AF818" s="474"/>
      <c r="AG818" s="810" t="s">
        <v>3020</v>
      </c>
      <c r="AH818" s="236">
        <f>IF(Таблица5[[#This Row],[30]]=0,"НД",Таблица5[[#This Row],[20]]-Таблица5[[#This Row],[30]])</f>
        <v>0</v>
      </c>
      <c r="AI818" s="511">
        <f>IF(((1-Таблица5[[#This Row],[30]]/Таблица5[[#This Row],[20]])=1),"НД",(1-Таблица5[[#This Row],[30]]/Таблица5[[#This Row],[20]]))</f>
        <v>0</v>
      </c>
      <c r="AJ818" s="111"/>
      <c r="AK818" s="111"/>
      <c r="AL818" s="512"/>
      <c r="AM818" s="513" t="s">
        <v>113</v>
      </c>
      <c r="AN818" s="465"/>
      <c r="AO818" s="468" t="str">
        <f>РПЗ!AD818</f>
        <v>Нет</v>
      </c>
      <c r="AP818" s="472">
        <f>РПЗ!V818</f>
        <v>0</v>
      </c>
      <c r="AQ818" s="470">
        <f>IF(Таблица5[[#This Row],[11]]=0,,MONTH(Таблица5[[#This Row],[11]]))</f>
        <v>3</v>
      </c>
    </row>
    <row r="819" spans="1:43" ht="38.25" x14ac:dyDescent="0.25">
      <c r="A819" s="233" t="str">
        <f t="shared" ref="A819:A882" si="13">INDEX(Диапазон1,ROW(), COLUMN())</f>
        <v>1004-2017-00804</v>
      </c>
      <c r="B819" s="233" t="str">
        <f>РПЗ!$D819</f>
        <v xml:space="preserve"> 1004-2017-00804 4Поставка Микросхема Б1407 УД3 </v>
      </c>
      <c r="C819" s="233" t="str">
        <f>РПЗ!$AA819</f>
        <v>АО "НИИ "Полюс" им. М.Ф. Стельмаха" тел. отдела закупок 8-495-333-05-02</v>
      </c>
      <c r="D819" s="633" t="str">
        <f>РПЗ!$AB819</f>
        <v>Заказчик</v>
      </c>
      <c r="E819" s="510" t="s">
        <v>62</v>
      </c>
      <c r="F819" s="233" t="str">
        <f>РПЗ!Q819</f>
        <v>ЕП</v>
      </c>
      <c r="G819" s="237" t="str">
        <f>Таблица5[[#This Row],[6]]</f>
        <v>ЕП</v>
      </c>
      <c r="H819" s="237" t="str">
        <f>РПЗ!R819</f>
        <v>нет</v>
      </c>
      <c r="I819" s="15" t="str">
        <f>РПЗ!W819</f>
        <v>6.6.2(11)</v>
      </c>
      <c r="J819" s="233" t="str">
        <f>РПЗ!X819</f>
        <v>7719565965</v>
      </c>
      <c r="K819" s="283" t="str">
        <f>РПЗ!Z819</f>
        <v>495 600</v>
      </c>
      <c r="L819" s="17">
        <v>42804</v>
      </c>
      <c r="M819" s="18">
        <f>РПЗ!O819</f>
        <v>42795</v>
      </c>
      <c r="N819" s="238">
        <f>Таблица5[[#This Row],[10]]</f>
        <v>42795</v>
      </c>
      <c r="O819" s="17"/>
      <c r="P819" s="17"/>
      <c r="Q819" s="17"/>
      <c r="R819" s="17"/>
      <c r="S819" s="17"/>
      <c r="T819" s="695" t="s">
        <v>3051</v>
      </c>
      <c r="U819" s="18">
        <f>РПЗ!P819</f>
        <v>43070.5</v>
      </c>
      <c r="V819" s="760">
        <v>42887</v>
      </c>
      <c r="W819" s="236">
        <f>РПЗ!L819</f>
        <v>495600</v>
      </c>
      <c r="X819" s="689">
        <v>1</v>
      </c>
      <c r="Y819" s="689">
        <v>0</v>
      </c>
      <c r="Z819" s="765">
        <v>7719565965</v>
      </c>
      <c r="AA819" s="704" t="s">
        <v>2390</v>
      </c>
      <c r="AB819" s="701">
        <v>495600</v>
      </c>
      <c r="AC819" s="808">
        <v>42887</v>
      </c>
      <c r="AD819" s="810" t="s">
        <v>3052</v>
      </c>
      <c r="AE819" s="703" t="s">
        <v>3051</v>
      </c>
      <c r="AF819" s="474"/>
      <c r="AG819" s="827">
        <v>495600</v>
      </c>
      <c r="AH819" s="236">
        <f>IF(Таблица5[[#This Row],[30]]=0,"НД",Таблица5[[#This Row],[20]]-Таблица5[[#This Row],[30]])</f>
        <v>0</v>
      </c>
      <c r="AI819" s="511">
        <f>IF(((1-Таблица5[[#This Row],[30]]/Таблица5[[#This Row],[20]])=1),"НД",(1-Таблица5[[#This Row],[30]]/Таблица5[[#This Row],[20]]))</f>
        <v>0</v>
      </c>
      <c r="AJ819" s="700" t="s">
        <v>3050</v>
      </c>
      <c r="AK819" s="111"/>
      <c r="AL819" s="512"/>
      <c r="AM819" s="513" t="s">
        <v>113</v>
      </c>
      <c r="AN819" s="801">
        <v>31704879005</v>
      </c>
      <c r="AO819" s="468" t="str">
        <f>РПЗ!AD819</f>
        <v>Нет</v>
      </c>
      <c r="AP819" s="472">
        <f>РПЗ!V819</f>
        <v>0</v>
      </c>
      <c r="AQ819" s="470">
        <f>IF(Таблица5[[#This Row],[11]]=0,,MONTH(Таблица5[[#This Row],[11]]))</f>
        <v>3</v>
      </c>
    </row>
    <row r="820" spans="1:43" ht="38.25" x14ac:dyDescent="0.25">
      <c r="A820" s="233" t="str">
        <f t="shared" si="13"/>
        <v>1004-2017-00805</v>
      </c>
      <c r="B820" s="233" t="str">
        <f>РПЗ!$D820</f>
        <v xml:space="preserve">1004-2017-00805Поставка Микросхема Б1407 УД3 </v>
      </c>
      <c r="C820" s="233" t="str">
        <f>РПЗ!$AA820</f>
        <v>АО "НИИ "Полюс" им. М.Ф. Стельмаха" тел. отдела закупок 8-495-333-05-02</v>
      </c>
      <c r="D820" s="633" t="str">
        <f>РПЗ!$AB820</f>
        <v>Заказчик</v>
      </c>
      <c r="E820" s="510" t="s">
        <v>62</v>
      </c>
      <c r="F820" s="233" t="str">
        <f>РПЗ!Q820</f>
        <v>ЕП</v>
      </c>
      <c r="G820" s="237" t="str">
        <f>Таблица5[[#This Row],[6]]</f>
        <v>ЕП</v>
      </c>
      <c r="H820" s="237" t="str">
        <f>РПЗ!R820</f>
        <v>нет</v>
      </c>
      <c r="I820" s="15" t="str">
        <f>РПЗ!W820</f>
        <v>6.6.2(11)</v>
      </c>
      <c r="J820" s="233" t="str">
        <f>РПЗ!X820</f>
        <v>7719565965</v>
      </c>
      <c r="K820" s="283" t="str">
        <f>РПЗ!Z820</f>
        <v>277 536</v>
      </c>
      <c r="L820" s="17">
        <v>42804</v>
      </c>
      <c r="M820" s="18">
        <f>РПЗ!O820</f>
        <v>42795</v>
      </c>
      <c r="N820" s="238">
        <f>Таблица5[[#This Row],[10]]</f>
        <v>42795</v>
      </c>
      <c r="O820" s="17"/>
      <c r="P820" s="17"/>
      <c r="Q820" s="17"/>
      <c r="R820" s="17"/>
      <c r="S820" s="17"/>
      <c r="T820" s="695" t="s">
        <v>3051</v>
      </c>
      <c r="U820" s="18">
        <f>РПЗ!P820</f>
        <v>43070.5</v>
      </c>
      <c r="V820" s="760">
        <v>42887</v>
      </c>
      <c r="W820" s="236">
        <f>РПЗ!L820</f>
        <v>277536</v>
      </c>
      <c r="X820" s="689">
        <v>1</v>
      </c>
      <c r="Y820" s="689">
        <v>0</v>
      </c>
      <c r="Z820" s="765">
        <v>7719565965</v>
      </c>
      <c r="AA820" s="704" t="s">
        <v>2390</v>
      </c>
      <c r="AB820" s="701">
        <v>277536</v>
      </c>
      <c r="AC820" s="808">
        <v>42887</v>
      </c>
      <c r="AD820" s="810" t="s">
        <v>3056</v>
      </c>
      <c r="AE820" s="703" t="s">
        <v>3051</v>
      </c>
      <c r="AF820" s="474"/>
      <c r="AG820" s="827">
        <v>277536</v>
      </c>
      <c r="AH820" s="236">
        <f>IF(Таблица5[[#This Row],[30]]=0,"НД",Таблица5[[#This Row],[20]]-Таблица5[[#This Row],[30]])</f>
        <v>0</v>
      </c>
      <c r="AI820" s="511">
        <f>IF(((1-Таблица5[[#This Row],[30]]/Таблица5[[#This Row],[20]])=1),"НД",(1-Таблица5[[#This Row],[30]]/Таблица5[[#This Row],[20]]))</f>
        <v>0</v>
      </c>
      <c r="AJ820" s="700" t="s">
        <v>3055</v>
      </c>
      <c r="AK820" s="111"/>
      <c r="AL820" s="512"/>
      <c r="AM820" s="513" t="s">
        <v>113</v>
      </c>
      <c r="AN820" s="801">
        <v>31704878998</v>
      </c>
      <c r="AO820" s="468" t="str">
        <f>РПЗ!AD820</f>
        <v>Нет</v>
      </c>
      <c r="AP820" s="472">
        <f>РПЗ!V820</f>
        <v>0</v>
      </c>
      <c r="AQ820" s="470">
        <f>IF(Таблица5[[#This Row],[11]]=0,,MONTH(Таблица5[[#This Row],[11]]))</f>
        <v>3</v>
      </c>
    </row>
    <row r="821" spans="1:43" ht="38.25" x14ac:dyDescent="0.25">
      <c r="A821" s="233" t="str">
        <f t="shared" si="13"/>
        <v>1004-2017-00806</v>
      </c>
      <c r="B821" s="233" t="str">
        <f>РПЗ!$D821</f>
        <v xml:space="preserve">1004-2017-00806Микросхема Б1407 УД3 </v>
      </c>
      <c r="C821" s="233" t="str">
        <f>РПЗ!$AA821</f>
        <v>АО "НИИ "Полюс" им. М.Ф. Стельмаха" тел. отдела закупок 8-495-333-05-02</v>
      </c>
      <c r="D821" s="633" t="str">
        <f>РПЗ!$AB821</f>
        <v>Заказчик</v>
      </c>
      <c r="E821" s="510" t="s">
        <v>62</v>
      </c>
      <c r="F821" s="233" t="str">
        <f>РПЗ!Q821</f>
        <v>ЕП</v>
      </c>
      <c r="G821" s="237" t="str">
        <f>Таблица5[[#This Row],[6]]</f>
        <v>ЕП</v>
      </c>
      <c r="H821" s="237" t="str">
        <f>РПЗ!R821</f>
        <v>нет</v>
      </c>
      <c r="I821" s="15" t="str">
        <f>РПЗ!W821</f>
        <v>6.6.2(11)</v>
      </c>
      <c r="J821" s="233" t="str">
        <f>РПЗ!X821</f>
        <v>7719565965</v>
      </c>
      <c r="K821" s="283">
        <f>РПЗ!Z821</f>
        <v>150662.39999999999</v>
      </c>
      <c r="L821" s="17">
        <v>42804</v>
      </c>
      <c r="M821" s="18">
        <f>РПЗ!O821</f>
        <v>42795</v>
      </c>
      <c r="N821" s="238">
        <f>Таблица5[[#This Row],[10]]</f>
        <v>42795</v>
      </c>
      <c r="O821" s="17"/>
      <c r="P821" s="17"/>
      <c r="Q821" s="17"/>
      <c r="R821" s="17"/>
      <c r="S821" s="17"/>
      <c r="T821" s="695" t="s">
        <v>3051</v>
      </c>
      <c r="U821" s="18">
        <f>РПЗ!P821</f>
        <v>43070.5</v>
      </c>
      <c r="V821" s="760">
        <v>42917</v>
      </c>
      <c r="W821" s="236">
        <f>РПЗ!L821</f>
        <v>150662.39999999999</v>
      </c>
      <c r="X821" s="689">
        <v>1</v>
      </c>
      <c r="Y821" s="689">
        <v>0</v>
      </c>
      <c r="Z821" s="765">
        <v>7719565965</v>
      </c>
      <c r="AA821" s="704" t="s">
        <v>2390</v>
      </c>
      <c r="AB821" s="766">
        <v>150662.39999999999</v>
      </c>
      <c r="AC821" s="808">
        <v>42917</v>
      </c>
      <c r="AD821" s="810" t="s">
        <v>3054</v>
      </c>
      <c r="AE821" s="703" t="s">
        <v>3051</v>
      </c>
      <c r="AF821" s="474"/>
      <c r="AG821" s="827">
        <v>150662.39999999999</v>
      </c>
      <c r="AH821" s="236">
        <f>IF(Таблица5[[#This Row],[30]]=0,"НД",Таблица5[[#This Row],[20]]-Таблица5[[#This Row],[30]])</f>
        <v>0</v>
      </c>
      <c r="AI821" s="511">
        <f>IF(((1-Таблица5[[#This Row],[30]]/Таблица5[[#This Row],[20]])=1),"НД",(1-Таблица5[[#This Row],[30]]/Таблица5[[#This Row],[20]]))</f>
        <v>0</v>
      </c>
      <c r="AJ821" s="700" t="s">
        <v>3053</v>
      </c>
      <c r="AK821" s="111"/>
      <c r="AL821" s="512"/>
      <c r="AM821" s="513" t="s">
        <v>113</v>
      </c>
      <c r="AN821" s="801">
        <v>31704877038</v>
      </c>
      <c r="AO821" s="468" t="str">
        <f>РПЗ!AD821</f>
        <v>Нет</v>
      </c>
      <c r="AP821" s="472">
        <f>РПЗ!V821</f>
        <v>0</v>
      </c>
      <c r="AQ821" s="470">
        <f>IF(Таблица5[[#This Row],[11]]=0,,MONTH(Таблица5[[#This Row],[11]]))</f>
        <v>3</v>
      </c>
    </row>
    <row r="822" spans="1:43" ht="38.25" x14ac:dyDescent="0.25">
      <c r="A822" s="233" t="str">
        <f t="shared" si="13"/>
        <v>1004-2017-00807</v>
      </c>
      <c r="B822" s="233" t="str">
        <f>РПЗ!$D822</f>
        <v xml:space="preserve"> 1004-2017-00807 7Поставка  Транзисторы 2Т3129А9, 2Т3130А9</v>
      </c>
      <c r="C822" s="233" t="str">
        <f>РПЗ!$AA822</f>
        <v>АО "НИИ "Полюс" им. М.Ф. Стельмаха" тел. отдела закупок 8-495-333-05-02</v>
      </c>
      <c r="D822" s="633" t="str">
        <f>РПЗ!$AB822</f>
        <v>Заказчик</v>
      </c>
      <c r="E822" s="510" t="s">
        <v>62</v>
      </c>
      <c r="F822" s="233" t="str">
        <f>РПЗ!Q822</f>
        <v>ЕП</v>
      </c>
      <c r="G822" s="237" t="str">
        <f>Таблица5[[#This Row],[6]]</f>
        <v>ЕП</v>
      </c>
      <c r="H822" s="237" t="str">
        <f>РПЗ!R822</f>
        <v>нет</v>
      </c>
      <c r="I822" s="15" t="str">
        <f>РПЗ!W822</f>
        <v>6.6.2(11)</v>
      </c>
      <c r="J822" s="233" t="str">
        <f>РПЗ!X822</f>
        <v>3301028439</v>
      </c>
      <c r="K822" s="283">
        <f>РПЗ!Z822</f>
        <v>360195</v>
      </c>
      <c r="L822" s="17">
        <v>42844</v>
      </c>
      <c r="M822" s="18">
        <f>РПЗ!O822</f>
        <v>42856</v>
      </c>
      <c r="N822" s="238">
        <f>Таблица5[[#This Row],[10]]</f>
        <v>42856</v>
      </c>
      <c r="O822" s="17"/>
      <c r="P822" s="17"/>
      <c r="Q822" s="17"/>
      <c r="R822" s="17"/>
      <c r="S822" s="17"/>
      <c r="T822" s="686">
        <v>42871</v>
      </c>
      <c r="U822" s="18">
        <f>РПЗ!P822</f>
        <v>43070.5</v>
      </c>
      <c r="V822" s="686">
        <v>43070</v>
      </c>
      <c r="W822" s="236">
        <f>РПЗ!L822</f>
        <v>360195</v>
      </c>
      <c r="X822" s="689">
        <v>1</v>
      </c>
      <c r="Y822" s="689">
        <v>0</v>
      </c>
      <c r="Z822" s="691">
        <v>3301028439</v>
      </c>
      <c r="AA822" s="691" t="s">
        <v>5079</v>
      </c>
      <c r="AB822" s="111">
        <v>360195</v>
      </c>
      <c r="AC822" s="17">
        <v>43070</v>
      </c>
      <c r="AD822" s="690" t="s">
        <v>5080</v>
      </c>
      <c r="AE822" s="686">
        <v>42871</v>
      </c>
      <c r="AF822" s="474"/>
      <c r="AG822" s="692">
        <v>360195</v>
      </c>
      <c r="AH822" s="236">
        <f>IF(Таблица5[[#This Row],[30]]=0,"НД",Таблица5[[#This Row],[20]]-Таблица5[[#This Row],[30]])</f>
        <v>0</v>
      </c>
      <c r="AI822" s="511">
        <f>IF(((1-Таблица5[[#This Row],[30]]/Таблица5[[#This Row],[20]])=1),"НД",(1-Таблица5[[#This Row],[30]]/Таблица5[[#This Row],[20]]))</f>
        <v>0</v>
      </c>
      <c r="AJ822" s="111"/>
      <c r="AK822" s="111"/>
      <c r="AL822" s="512"/>
      <c r="AM822" s="513" t="s">
        <v>113</v>
      </c>
      <c r="AN822" s="801">
        <v>31705037585</v>
      </c>
      <c r="AO822" s="468" t="str">
        <f>РПЗ!AD822</f>
        <v>Нет</v>
      </c>
      <c r="AP822" s="472">
        <f>РПЗ!V822</f>
        <v>0</v>
      </c>
      <c r="AQ822" s="470">
        <f>IF(Таблица5[[#This Row],[11]]=0,,MONTH(Таблица5[[#This Row],[11]]))</f>
        <v>5</v>
      </c>
    </row>
    <row r="823" spans="1:43" ht="38.25" x14ac:dyDescent="0.25">
      <c r="A823" s="233" t="str">
        <f t="shared" si="13"/>
        <v>1004-2017-00808</v>
      </c>
      <c r="B823" s="233" t="str">
        <f>РПЗ!$D823</f>
        <v>1004-2017-00808Поставка Печатные платы ЖГДК.687253.029, ЖГДК.687253.028</v>
      </c>
      <c r="C823" s="233" t="str">
        <f>РПЗ!$AA823</f>
        <v>АО "НИИ "Полюс" им. М.Ф. Стельмаха" тел. отдела закупок 8-495-333-05-02</v>
      </c>
      <c r="D823" s="633" t="str">
        <f>РПЗ!$AB823</f>
        <v>Заказчик</v>
      </c>
      <c r="E823" s="510" t="s">
        <v>62</v>
      </c>
      <c r="F823" s="233" t="str">
        <f>РПЗ!Q823</f>
        <v>ЕП</v>
      </c>
      <c r="G823" s="237" t="str">
        <f>Таблица5[[#This Row],[6]]</f>
        <v>ЕП</v>
      </c>
      <c r="H823" s="237" t="str">
        <f>РПЗ!R823</f>
        <v>нет</v>
      </c>
      <c r="I823" s="15" t="str">
        <f>РПЗ!W823</f>
        <v>6.6.2(11)</v>
      </c>
      <c r="J823" s="233" t="str">
        <f>РПЗ!X823</f>
        <v>7804208682</v>
      </c>
      <c r="K823" s="283">
        <f>РПЗ!Z823</f>
        <v>417635.39</v>
      </c>
      <c r="L823" s="17">
        <v>42822</v>
      </c>
      <c r="M823" s="18">
        <f>РПЗ!O823</f>
        <v>42795</v>
      </c>
      <c r="N823" s="238">
        <f>Таблица5[[#This Row],[10]]</f>
        <v>42795</v>
      </c>
      <c r="O823" s="17"/>
      <c r="P823" s="17"/>
      <c r="Q823" s="17"/>
      <c r="R823" s="17"/>
      <c r="S823" s="17"/>
      <c r="T823" s="686">
        <v>42843</v>
      </c>
      <c r="U823" s="18">
        <f>РПЗ!P823</f>
        <v>43070.5</v>
      </c>
      <c r="V823" s="686">
        <v>43070</v>
      </c>
      <c r="W823" s="236">
        <f>РПЗ!L823</f>
        <v>417635.39</v>
      </c>
      <c r="X823" s="689">
        <v>1</v>
      </c>
      <c r="Y823" s="689">
        <v>0</v>
      </c>
      <c r="Z823" s="691">
        <v>7804208682</v>
      </c>
      <c r="AA823" s="691" t="s">
        <v>5107</v>
      </c>
      <c r="AB823" s="111">
        <v>417635.39</v>
      </c>
      <c r="AC823" s="17">
        <v>43070</v>
      </c>
      <c r="AD823" s="690" t="s">
        <v>5108</v>
      </c>
      <c r="AE823" s="686">
        <v>42843</v>
      </c>
      <c r="AF823" s="474"/>
      <c r="AG823" s="692">
        <v>417635.39</v>
      </c>
      <c r="AH823" s="236">
        <f>IF(Таблица5[[#This Row],[30]]=0,"НД",Таблица5[[#This Row],[20]]-Таблица5[[#This Row],[30]])</f>
        <v>0</v>
      </c>
      <c r="AI823" s="511">
        <f>IF(((1-Таблица5[[#This Row],[30]]/Таблица5[[#This Row],[20]])=1),"НД",(1-Таблица5[[#This Row],[30]]/Таблица5[[#This Row],[20]]))</f>
        <v>0</v>
      </c>
      <c r="AJ823" s="111"/>
      <c r="AK823" s="111"/>
      <c r="AL823" s="512"/>
      <c r="AM823" s="513" t="s">
        <v>113</v>
      </c>
      <c r="AN823" s="801">
        <v>31704948848</v>
      </c>
      <c r="AO823" s="468" t="str">
        <f>РПЗ!AD823</f>
        <v>Нет</v>
      </c>
      <c r="AP823" s="472">
        <f>РПЗ!V823</f>
        <v>0</v>
      </c>
      <c r="AQ823" s="470">
        <f>IF(Таблица5[[#This Row],[11]]=0,,MONTH(Таблица5[[#This Row],[11]]))</f>
        <v>3</v>
      </c>
    </row>
    <row r="824" spans="1:43" ht="56.25" x14ac:dyDescent="0.25">
      <c r="A824" s="233" t="str">
        <f t="shared" si="13"/>
        <v>1004-2017-00809</v>
      </c>
      <c r="B824" s="233" t="str">
        <f>РПЗ!$D824</f>
        <v>1004-2017-00809Поставка Кабель ОК-БС14-1-50/125-400-3,0/1,30 (ВП)</v>
      </c>
      <c r="C824" s="233" t="str">
        <f>РПЗ!$AA824</f>
        <v>АО "НИИ "Полюс" им. М.Ф. Стельмаха" тел. отдела закупок 8-495-333-05-02</v>
      </c>
      <c r="D824" s="633" t="str">
        <f>РПЗ!$AB824</f>
        <v>Заказчик</v>
      </c>
      <c r="E824" s="510" t="s">
        <v>62</v>
      </c>
      <c r="F824" s="233" t="str">
        <f>РПЗ!Q824</f>
        <v>ЕП</v>
      </c>
      <c r="G824" s="237" t="str">
        <f>Таблица5[[#This Row],[6]]</f>
        <v>ЕП</v>
      </c>
      <c r="H824" s="237" t="str">
        <f>РПЗ!R824</f>
        <v>нет</v>
      </c>
      <c r="I824" s="15" t="str">
        <f>РПЗ!W824</f>
        <v>6.6.2(11)</v>
      </c>
      <c r="J824" s="233" t="str">
        <f>РПЗ!X824</f>
        <v>5029150262</v>
      </c>
      <c r="K824" s="283" t="str">
        <f>РПЗ!Z824</f>
        <v>2 371 564</v>
      </c>
      <c r="L824" s="17">
        <v>42804</v>
      </c>
      <c r="M824" s="18">
        <f>РПЗ!O824</f>
        <v>42795</v>
      </c>
      <c r="N824" s="238">
        <f>Таблица5[[#This Row],[10]]</f>
        <v>42795</v>
      </c>
      <c r="O824" s="17"/>
      <c r="P824" s="17"/>
      <c r="Q824" s="17"/>
      <c r="R824" s="17"/>
      <c r="S824" s="17"/>
      <c r="T824" s="695" t="s">
        <v>3051</v>
      </c>
      <c r="U824" s="18">
        <f>РПЗ!P824</f>
        <v>43070.5</v>
      </c>
      <c r="V824" s="760">
        <v>43070</v>
      </c>
      <c r="W824" s="236">
        <f>РПЗ!L824</f>
        <v>2371564</v>
      </c>
      <c r="X824" s="689">
        <v>1</v>
      </c>
      <c r="Y824" s="689">
        <v>0</v>
      </c>
      <c r="Z824" s="765">
        <v>5029150262</v>
      </c>
      <c r="AA824" s="704" t="s">
        <v>3108</v>
      </c>
      <c r="AB824" s="700">
        <v>2371564</v>
      </c>
      <c r="AC824" s="808">
        <v>43070</v>
      </c>
      <c r="AD824" s="810" t="s">
        <v>3110</v>
      </c>
      <c r="AE824" s="703" t="s">
        <v>3051</v>
      </c>
      <c r="AF824" s="474"/>
      <c r="AG824" s="827">
        <v>2371564</v>
      </c>
      <c r="AH824" s="236">
        <f>IF(Таблица5[[#This Row],[30]]=0,"НД",Таблица5[[#This Row],[20]]-Таблица5[[#This Row],[30]])</f>
        <v>0</v>
      </c>
      <c r="AI824" s="511">
        <f>IF(((1-Таблица5[[#This Row],[30]]/Таблица5[[#This Row],[20]])=1),"НД",(1-Таблица5[[#This Row],[30]]/Таблица5[[#This Row],[20]]))</f>
        <v>0</v>
      </c>
      <c r="AJ824" s="111"/>
      <c r="AK824" s="111"/>
      <c r="AL824" s="512"/>
      <c r="AM824" s="513" t="s">
        <v>113</v>
      </c>
      <c r="AN824" s="801">
        <v>31704877063</v>
      </c>
      <c r="AO824" s="468" t="str">
        <f>РПЗ!AD824</f>
        <v>Нет</v>
      </c>
      <c r="AP824" s="472">
        <f>РПЗ!V824</f>
        <v>0</v>
      </c>
      <c r="AQ824" s="470">
        <f>IF(Таблица5[[#This Row],[11]]=0,,MONTH(Таблица5[[#This Row],[11]]))</f>
        <v>3</v>
      </c>
    </row>
    <row r="825" spans="1:43" ht="39" thickBot="1" x14ac:dyDescent="0.3">
      <c r="A825" s="233" t="str">
        <f t="shared" si="13"/>
        <v>1004-2017-00810</v>
      </c>
      <c r="B825" s="233" t="str">
        <f>РПЗ!$D825</f>
        <v>1004-2017-00810Поставка Транзисторы 2Т354Б1-2</v>
      </c>
      <c r="C825" s="233" t="str">
        <f>РПЗ!$AA825</f>
        <v>АО "НИИ "Полюс" им. М.Ф. Стельмаха" тел. отдела закупок 8-495-333-05-02</v>
      </c>
      <c r="D825" s="633" t="str">
        <f>РПЗ!$AB825</f>
        <v>Заказчик</v>
      </c>
      <c r="E825" s="510" t="s">
        <v>62</v>
      </c>
      <c r="F825" s="233" t="str">
        <f>РПЗ!Q825</f>
        <v>ЕП</v>
      </c>
      <c r="G825" s="237" t="str">
        <f>Таблица5[[#This Row],[6]]</f>
        <v>ЕП</v>
      </c>
      <c r="H825" s="237" t="str">
        <f>РПЗ!R825</f>
        <v>нет</v>
      </c>
      <c r="I825" s="15" t="str">
        <f>РПЗ!W825</f>
        <v>6.6.2(11)</v>
      </c>
      <c r="J825" s="233" t="str">
        <f>РПЗ!X825</f>
        <v>7802002037</v>
      </c>
      <c r="K825" s="283">
        <f>РПЗ!Z825</f>
        <v>650453.76000000001</v>
      </c>
      <c r="L825" s="17">
        <v>42866</v>
      </c>
      <c r="M825" s="18">
        <f>РПЗ!O825</f>
        <v>42887</v>
      </c>
      <c r="N825" s="238">
        <f>Таблица5[[#This Row],[10]]</f>
        <v>42887</v>
      </c>
      <c r="O825" s="17"/>
      <c r="P825" s="17"/>
      <c r="Q825" s="17"/>
      <c r="R825" s="17"/>
      <c r="S825" s="17"/>
      <c r="T825" s="686">
        <v>42978</v>
      </c>
      <c r="U825" s="18">
        <f>РПЗ!P825</f>
        <v>43070.5</v>
      </c>
      <c r="V825" s="686">
        <v>43221</v>
      </c>
      <c r="W825" s="236">
        <f>РПЗ!L825</f>
        <v>650453.76000000001</v>
      </c>
      <c r="X825" s="689">
        <v>1</v>
      </c>
      <c r="Y825" s="689">
        <v>0</v>
      </c>
      <c r="Z825" s="691">
        <v>7802002037</v>
      </c>
      <c r="AA825" s="691" t="s">
        <v>6839</v>
      </c>
      <c r="AB825" s="111">
        <v>650453.76000000001</v>
      </c>
      <c r="AC825" s="17">
        <v>43221</v>
      </c>
      <c r="AD825" s="690" t="s">
        <v>6840</v>
      </c>
      <c r="AE825" s="686">
        <v>42978</v>
      </c>
      <c r="AF825" s="474"/>
      <c r="AG825" s="692">
        <v>650453.76000000001</v>
      </c>
      <c r="AH825" s="236">
        <f>IF(Таблица5[[#This Row],[30]]=0,"НД",Таблица5[[#This Row],[20]]-Таблица5[[#This Row],[30]])</f>
        <v>0</v>
      </c>
      <c r="AI825" s="511">
        <f>IF(((1-Таблица5[[#This Row],[30]]/Таблица5[[#This Row],[20]])=1),"НД",(1-Таблица5[[#This Row],[30]]/Таблица5[[#This Row],[20]]))</f>
        <v>0</v>
      </c>
      <c r="AJ825" s="111"/>
      <c r="AK825" s="111"/>
      <c r="AL825" s="512"/>
      <c r="AM825" s="513" t="s">
        <v>113</v>
      </c>
      <c r="AN825" s="801">
        <v>31705186859</v>
      </c>
      <c r="AO825" s="468" t="str">
        <f>РПЗ!AD825</f>
        <v>Нет</v>
      </c>
      <c r="AP825" s="472">
        <f>РПЗ!V825</f>
        <v>0</v>
      </c>
      <c r="AQ825" s="470">
        <f>IF(Таблица5[[#This Row],[11]]=0,,MONTH(Таблица5[[#This Row],[11]]))</f>
        <v>6</v>
      </c>
    </row>
    <row r="826" spans="1:43" ht="39" thickBot="1" x14ac:dyDescent="0.3">
      <c r="A826" s="233" t="str">
        <f t="shared" si="13"/>
        <v>1004-2017-00811</v>
      </c>
      <c r="B826" s="233" t="str">
        <f>РПЗ!$D826</f>
        <v>1004-2017-00811Поставка Транзисторы 2Т354Б1-2</v>
      </c>
      <c r="C826" s="233" t="str">
        <f>РПЗ!$AA826</f>
        <v>АО "НИИ "Полюс" им. М.Ф. Стельмаха" тел. отдела закупок 8-495-333-05-02</v>
      </c>
      <c r="D826" s="633" t="str">
        <f>РПЗ!$AB826</f>
        <v>Заказчик</v>
      </c>
      <c r="E826" s="96" t="s">
        <v>46</v>
      </c>
      <c r="F826" s="233" t="str">
        <f>РПЗ!Q826</f>
        <v>ЕП</v>
      </c>
      <c r="G826" s="237"/>
      <c r="H826" s="237" t="str">
        <f>РПЗ!R826</f>
        <v>нет</v>
      </c>
      <c r="I826" s="15" t="str">
        <f>РПЗ!W826</f>
        <v>6.6.2(11)</v>
      </c>
      <c r="J826" s="233">
        <f>РПЗ!X826</f>
        <v>0</v>
      </c>
      <c r="K826" s="283">
        <f>РПЗ!Z826</f>
        <v>0</v>
      </c>
      <c r="L826" s="17"/>
      <c r="M826" s="18">
        <f>РПЗ!O826</f>
        <v>42795</v>
      </c>
      <c r="N826" s="238">
        <f>Таблица5[[#This Row],[10]]</f>
        <v>42795</v>
      </c>
      <c r="O826" s="17"/>
      <c r="P826" s="17"/>
      <c r="Q826" s="17"/>
      <c r="R826" s="17"/>
      <c r="S826" s="17"/>
      <c r="T826" s="686"/>
      <c r="U826" s="18">
        <f>РПЗ!P826</f>
        <v>43070.5</v>
      </c>
      <c r="V826" s="686"/>
      <c r="W826" s="236">
        <f>РПЗ!L826</f>
        <v>146350</v>
      </c>
      <c r="X826" s="689"/>
      <c r="Y826" s="689"/>
      <c r="Z826" s="690"/>
      <c r="AA826" s="691"/>
      <c r="AB826" s="111"/>
      <c r="AC826" s="17"/>
      <c r="AD826" s="690"/>
      <c r="AE826" s="686"/>
      <c r="AF826" s="474"/>
      <c r="AG826" s="692"/>
      <c r="AH826" s="236" t="str">
        <f>IF(Таблица5[[#This Row],[30]]=0,"НД",Таблица5[[#This Row],[20]]-Таблица5[[#This Row],[30]])</f>
        <v>НД</v>
      </c>
      <c r="AI826" s="511" t="str">
        <f>IF(((1-Таблица5[[#This Row],[30]]/Таблица5[[#This Row],[20]])=1),"НД",(1-Таблица5[[#This Row],[30]]/Таблица5[[#This Row],[20]]))</f>
        <v>НД</v>
      </c>
      <c r="AJ826" s="111"/>
      <c r="AK826" s="111"/>
      <c r="AL826" s="512"/>
      <c r="AM826" s="513"/>
      <c r="AN826" s="465"/>
      <c r="AO826" s="468" t="str">
        <f>РПЗ!AD826</f>
        <v>Нет</v>
      </c>
      <c r="AP826" s="472">
        <f>РПЗ!V826</f>
        <v>0</v>
      </c>
      <c r="AQ826" s="470">
        <f>IF(Таблица5[[#This Row],[11]]=0,,MONTH(Таблица5[[#This Row],[11]]))</f>
        <v>3</v>
      </c>
    </row>
    <row r="827" spans="1:43" ht="39" thickBot="1" x14ac:dyDescent="0.3">
      <c r="A827" s="233" t="str">
        <f t="shared" si="13"/>
        <v>1004-2017-00812</v>
      </c>
      <c r="B827" s="233" t="str">
        <f>РПЗ!$D827</f>
        <v>1004-2017-00812Поставка Транзисторы 2Т354Б1-2</v>
      </c>
      <c r="C827" s="233" t="str">
        <f>РПЗ!$AA827</f>
        <v>АО "НИИ "Полюс" им. М.Ф. Стельмаха" тел. отдела закупок 8-495-333-05-02</v>
      </c>
      <c r="D827" s="633" t="str">
        <f>РПЗ!$AB827</f>
        <v>Заказчик</v>
      </c>
      <c r="E827" s="96" t="s">
        <v>46</v>
      </c>
      <c r="F827" s="233" t="str">
        <f>РПЗ!Q827</f>
        <v>ЕП</v>
      </c>
      <c r="G827" s="237"/>
      <c r="H827" s="237" t="str">
        <f>РПЗ!R827</f>
        <v>нет</v>
      </c>
      <c r="I827" s="15" t="str">
        <f>РПЗ!W827</f>
        <v>6.6.2(10)</v>
      </c>
      <c r="J827" s="233">
        <f>РПЗ!X827</f>
        <v>0</v>
      </c>
      <c r="K827" s="283">
        <f>РПЗ!Z827</f>
        <v>0</v>
      </c>
      <c r="L827" s="17"/>
      <c r="M827" s="18">
        <f>РПЗ!O827</f>
        <v>42795</v>
      </c>
      <c r="N827" s="238">
        <f>Таблица5[[#This Row],[10]]</f>
        <v>42795</v>
      </c>
      <c r="O827" s="17"/>
      <c r="P827" s="17"/>
      <c r="Q827" s="17"/>
      <c r="R827" s="17"/>
      <c r="S827" s="17"/>
      <c r="T827" s="686"/>
      <c r="U827" s="18">
        <f>РПЗ!P827</f>
        <v>43070.5</v>
      </c>
      <c r="V827" s="686"/>
      <c r="W827" s="236">
        <f>РПЗ!L827</f>
        <v>265600</v>
      </c>
      <c r="X827" s="689"/>
      <c r="Y827" s="689"/>
      <c r="Z827" s="690"/>
      <c r="AA827" s="691"/>
      <c r="AB827" s="111"/>
      <c r="AC827" s="17"/>
      <c r="AD827" s="690"/>
      <c r="AE827" s="686"/>
      <c r="AF827" s="474"/>
      <c r="AG827" s="692"/>
      <c r="AH827" s="236" t="str">
        <f>IF(Таблица5[[#This Row],[30]]=0,"НД",Таблица5[[#This Row],[20]]-Таблица5[[#This Row],[30]])</f>
        <v>НД</v>
      </c>
      <c r="AI827" s="511" t="str">
        <f>IF(((1-Таблица5[[#This Row],[30]]/Таблица5[[#This Row],[20]])=1),"НД",(1-Таблица5[[#This Row],[30]]/Таблица5[[#This Row],[20]]))</f>
        <v>НД</v>
      </c>
      <c r="AJ827" s="111"/>
      <c r="AK827" s="111"/>
      <c r="AL827" s="512"/>
      <c r="AM827" s="513"/>
      <c r="AN827" s="465"/>
      <c r="AO827" s="468" t="str">
        <f>РПЗ!AD827</f>
        <v>Нет</v>
      </c>
      <c r="AP827" s="472">
        <f>РПЗ!V827</f>
        <v>0</v>
      </c>
      <c r="AQ827" s="470">
        <f>IF(Таблица5[[#This Row],[11]]=0,,MONTH(Таблица5[[#This Row],[11]]))</f>
        <v>3</v>
      </c>
    </row>
    <row r="828" spans="1:43" ht="39" thickBot="1" x14ac:dyDescent="0.3">
      <c r="A828" s="233" t="str">
        <f t="shared" si="13"/>
        <v>1004-2017-00813</v>
      </c>
      <c r="B828" s="233" t="str">
        <f>РПЗ!$D828</f>
        <v>1004-2017-00813ТПоставка ранзисторы 2Т354Б1-2</v>
      </c>
      <c r="C828" s="233" t="str">
        <f>РПЗ!$AA828</f>
        <v>АО "НИИ "Полюс" им. М.Ф. Стельмаха" тел. отдела закупок 8-495-333-05-02</v>
      </c>
      <c r="D828" s="633" t="str">
        <f>РПЗ!$AB828</f>
        <v>Заказчик</v>
      </c>
      <c r="E828" s="96" t="s">
        <v>46</v>
      </c>
      <c r="F828" s="233" t="str">
        <f>РПЗ!Q828</f>
        <v>ЕП</v>
      </c>
      <c r="G828" s="237"/>
      <c r="H828" s="237" t="str">
        <f>РПЗ!R828</f>
        <v>нет</v>
      </c>
      <c r="I828" s="15" t="str">
        <f>РПЗ!W828</f>
        <v>6.6.2(10)</v>
      </c>
      <c r="J828" s="233">
        <f>РПЗ!X828</f>
        <v>0</v>
      </c>
      <c r="K828" s="283">
        <f>РПЗ!Z828</f>
        <v>0</v>
      </c>
      <c r="L828" s="17"/>
      <c r="M828" s="18">
        <f>РПЗ!O828</f>
        <v>42795</v>
      </c>
      <c r="N828" s="238">
        <f>Таблица5[[#This Row],[10]]</f>
        <v>42795</v>
      </c>
      <c r="O828" s="17"/>
      <c r="P828" s="17"/>
      <c r="Q828" s="17"/>
      <c r="R828" s="17"/>
      <c r="S828" s="17"/>
      <c r="T828" s="686"/>
      <c r="U828" s="18">
        <f>РПЗ!P828</f>
        <v>43070.5</v>
      </c>
      <c r="V828" s="686"/>
      <c r="W828" s="236">
        <f>РПЗ!L828</f>
        <v>177067</v>
      </c>
      <c r="X828" s="689"/>
      <c r="Y828" s="689"/>
      <c r="Z828" s="690"/>
      <c r="AA828" s="691"/>
      <c r="AB828" s="111"/>
      <c r="AC828" s="17"/>
      <c r="AD828" s="690"/>
      <c r="AE828" s="686"/>
      <c r="AF828" s="474"/>
      <c r="AG828" s="692"/>
      <c r="AH828" s="236" t="str">
        <f>IF(Таблица5[[#This Row],[30]]=0,"НД",Таблица5[[#This Row],[20]]-Таблица5[[#This Row],[30]])</f>
        <v>НД</v>
      </c>
      <c r="AI828" s="511" t="str">
        <f>IF(((1-Таблица5[[#This Row],[30]]/Таблица5[[#This Row],[20]])=1),"НД",(1-Таблица5[[#This Row],[30]]/Таблица5[[#This Row],[20]]))</f>
        <v>НД</v>
      </c>
      <c r="AJ828" s="111"/>
      <c r="AK828" s="111"/>
      <c r="AL828" s="512"/>
      <c r="AM828" s="513"/>
      <c r="AN828" s="465"/>
      <c r="AO828" s="468" t="str">
        <f>РПЗ!AD828</f>
        <v>Нет</v>
      </c>
      <c r="AP828" s="472">
        <f>РПЗ!V828</f>
        <v>0</v>
      </c>
      <c r="AQ828" s="470">
        <f>IF(Таблица5[[#This Row],[11]]=0,,MONTH(Таблица5[[#This Row],[11]]))</f>
        <v>3</v>
      </c>
    </row>
    <row r="829" spans="1:43" ht="51.75" thickBot="1" x14ac:dyDescent="0.3">
      <c r="A829" s="233" t="str">
        <f t="shared" si="13"/>
        <v>1004-2017-00814</v>
      </c>
      <c r="B829" s="233" t="str">
        <f>РПЗ!$D829</f>
        <v>1004-2017-00814Поставка сертифицированных электрорадиоизделий иностранного производства</v>
      </c>
      <c r="C829" s="233" t="str">
        <f>РПЗ!$AA829</f>
        <v>АО "НИИ "Полюс" им. М.Ф. Стельмаха" тел. отдела закупок 8-495-333-05-02</v>
      </c>
      <c r="D829" s="633" t="str">
        <f>РПЗ!$AB829</f>
        <v>Заказчик</v>
      </c>
      <c r="E829" s="96" t="s">
        <v>46</v>
      </c>
      <c r="F829" s="233" t="str">
        <f>РПЗ!Q829</f>
        <v>ЕП</v>
      </c>
      <c r="G829" s="237"/>
      <c r="H829" s="237" t="str">
        <f>РПЗ!R829</f>
        <v>нет</v>
      </c>
      <c r="I829" s="15" t="str">
        <f>РПЗ!W829</f>
        <v>6.6.2(11)</v>
      </c>
      <c r="J829" s="233">
        <f>РПЗ!X829</f>
        <v>0</v>
      </c>
      <c r="K829" s="283">
        <f>РПЗ!Z829</f>
        <v>0</v>
      </c>
      <c r="L829" s="17"/>
      <c r="M829" s="18">
        <f>РПЗ!O829</f>
        <v>42795</v>
      </c>
      <c r="N829" s="238">
        <f>Таблица5[[#This Row],[10]]</f>
        <v>42795</v>
      </c>
      <c r="O829" s="17"/>
      <c r="P829" s="17"/>
      <c r="Q829" s="17"/>
      <c r="R829" s="17"/>
      <c r="S829" s="17"/>
      <c r="T829" s="686"/>
      <c r="U829" s="18">
        <f>РПЗ!P829</f>
        <v>43070.5</v>
      </c>
      <c r="V829" s="686"/>
      <c r="W829" s="236">
        <f>РПЗ!L829</f>
        <v>667508.24</v>
      </c>
      <c r="X829" s="689"/>
      <c r="Y829" s="689"/>
      <c r="Z829" s="690"/>
      <c r="AA829" s="691"/>
      <c r="AB829" s="111"/>
      <c r="AC829" s="17"/>
      <c r="AD829" s="690"/>
      <c r="AE829" s="686"/>
      <c r="AF829" s="474"/>
      <c r="AG829" s="692"/>
      <c r="AH829" s="236" t="str">
        <f>IF(Таблица5[[#This Row],[30]]=0,"НД",Таблица5[[#This Row],[20]]-Таблица5[[#This Row],[30]])</f>
        <v>НД</v>
      </c>
      <c r="AI829" s="511" t="str">
        <f>IF(((1-Таблица5[[#This Row],[30]]/Таблица5[[#This Row],[20]])=1),"НД",(1-Таблица5[[#This Row],[30]]/Таблица5[[#This Row],[20]]))</f>
        <v>НД</v>
      </c>
      <c r="AJ829" s="111"/>
      <c r="AK829" s="111"/>
      <c r="AL829" s="512"/>
      <c r="AM829" s="513"/>
      <c r="AN829" s="465"/>
      <c r="AO829" s="468" t="str">
        <f>РПЗ!AD829</f>
        <v>Нет</v>
      </c>
      <c r="AP829" s="472">
        <f>РПЗ!V829</f>
        <v>0</v>
      </c>
      <c r="AQ829" s="470">
        <f>IF(Таблица5[[#This Row],[11]]=0,,MONTH(Таблица5[[#This Row],[11]]))</f>
        <v>3</v>
      </c>
    </row>
    <row r="830" spans="1:43" ht="38.25" x14ac:dyDescent="0.25">
      <c r="A830" s="233" t="str">
        <f t="shared" si="13"/>
        <v>1004-2017-00815</v>
      </c>
      <c r="B830" s="233" t="str">
        <f>РПЗ!$D830</f>
        <v>1004-2017-00815Поставка радиоэлектронные компоненты импортного производства</v>
      </c>
      <c r="C830" s="233" t="str">
        <f>РПЗ!$AA830</f>
        <v>АО "НИИ "Полюс" им. М.Ф. Стельмаха" тел. отдела закупок 8-495-333-05-02</v>
      </c>
      <c r="D830" s="633" t="str">
        <f>РПЗ!$AB830</f>
        <v>Заказчик</v>
      </c>
      <c r="E830" s="96" t="s">
        <v>46</v>
      </c>
      <c r="F830" s="233" t="str">
        <f>РПЗ!Q830</f>
        <v>ЕП</v>
      </c>
      <c r="G830" s="237"/>
      <c r="H830" s="237" t="str">
        <f>РПЗ!R830</f>
        <v>нет</v>
      </c>
      <c r="I830" s="15" t="str">
        <f>РПЗ!W830</f>
        <v>6.6.2(10)</v>
      </c>
      <c r="J830" s="233">
        <f>РПЗ!X830</f>
        <v>0</v>
      </c>
      <c r="K830" s="283">
        <f>РПЗ!Z830</f>
        <v>0</v>
      </c>
      <c r="L830" s="17"/>
      <c r="M830" s="18">
        <f>РПЗ!O830</f>
        <v>42795</v>
      </c>
      <c r="N830" s="238">
        <f>Таблица5[[#This Row],[10]]</f>
        <v>42795</v>
      </c>
      <c r="O830" s="17"/>
      <c r="P830" s="17"/>
      <c r="Q830" s="17"/>
      <c r="R830" s="17"/>
      <c r="S830" s="17"/>
      <c r="T830" s="686"/>
      <c r="U830" s="18">
        <f>РПЗ!P830</f>
        <v>42826</v>
      </c>
      <c r="V830" s="686"/>
      <c r="W830" s="236">
        <f>РПЗ!L830</f>
        <v>167000</v>
      </c>
      <c r="X830" s="689"/>
      <c r="Y830" s="689"/>
      <c r="Z830" s="690"/>
      <c r="AA830" s="691"/>
      <c r="AB830" s="111"/>
      <c r="AC830" s="17"/>
      <c r="AD830" s="690"/>
      <c r="AE830" s="686"/>
      <c r="AF830" s="474"/>
      <c r="AG830" s="692"/>
      <c r="AH830" s="236" t="str">
        <f>IF(Таблица5[[#This Row],[30]]=0,"НД",Таблица5[[#This Row],[20]]-Таблица5[[#This Row],[30]])</f>
        <v>НД</v>
      </c>
      <c r="AI830" s="511" t="str">
        <f>IF(((1-Таблица5[[#This Row],[30]]/Таблица5[[#This Row],[20]])=1),"НД",(1-Таблица5[[#This Row],[30]]/Таблица5[[#This Row],[20]]))</f>
        <v>НД</v>
      </c>
      <c r="AJ830" s="111"/>
      <c r="AK830" s="111"/>
      <c r="AL830" s="512"/>
      <c r="AM830" s="513"/>
      <c r="AN830" s="465"/>
      <c r="AO830" s="468" t="str">
        <f>РПЗ!AD830</f>
        <v>Нет</v>
      </c>
      <c r="AP830" s="472">
        <f>РПЗ!V830</f>
        <v>0</v>
      </c>
      <c r="AQ830" s="470">
        <f>IF(Таблица5[[#This Row],[11]]=0,,MONTH(Таблица5[[#This Row],[11]]))</f>
        <v>3</v>
      </c>
    </row>
    <row r="831" spans="1:43" ht="63.75" x14ac:dyDescent="0.25">
      <c r="A831" s="233" t="str">
        <f t="shared" si="13"/>
        <v>1004-2017-00816</v>
      </c>
      <c r="B831" s="233" t="str">
        <f>РПЗ!$D831</f>
        <v>1004-2017-00816Поставка  модули питания  МДМ8-2Е0512ВП</v>
      </c>
      <c r="C831" s="233" t="str">
        <f>РПЗ!$AA831</f>
        <v>АО "НИИ "Полюс" им. М.Ф. Стельмаха" тел. отдела закупок 8-495-333-05-02</v>
      </c>
      <c r="D831" s="633" t="str">
        <f>РПЗ!$AB831</f>
        <v>Заказчик</v>
      </c>
      <c r="E831" s="510" t="s">
        <v>62</v>
      </c>
      <c r="F831" s="233" t="str">
        <f>РПЗ!Q831</f>
        <v>ЕП</v>
      </c>
      <c r="G831" s="237" t="str">
        <f>Таблица5[[#This Row],[6]]</f>
        <v>ЕП</v>
      </c>
      <c r="H831" s="237" t="str">
        <f>РПЗ!R831</f>
        <v>нет</v>
      </c>
      <c r="I831" s="15" t="str">
        <f>РПЗ!W831</f>
        <v>6.6.2(10)</v>
      </c>
      <c r="J831" s="233" t="str">
        <f>РПЗ!X831</f>
        <v>7702231308</v>
      </c>
      <c r="K831" s="283">
        <f>РПЗ!Z831</f>
        <v>462842.26</v>
      </c>
      <c r="L831" s="17">
        <v>42800</v>
      </c>
      <c r="M831" s="18">
        <f>РПЗ!O831</f>
        <v>42795</v>
      </c>
      <c r="N831" s="238">
        <f>Таблица5[[#This Row],[10]]</f>
        <v>42795</v>
      </c>
      <c r="O831" s="17"/>
      <c r="P831" s="17"/>
      <c r="Q831" s="17"/>
      <c r="R831" s="17"/>
      <c r="S831" s="17"/>
      <c r="T831" s="661" t="s">
        <v>3332</v>
      </c>
      <c r="U831" s="18">
        <f>РПЗ!P831</f>
        <v>42826</v>
      </c>
      <c r="V831" s="761">
        <v>44166</v>
      </c>
      <c r="W831" s="236">
        <f>РПЗ!L831</f>
        <v>462842.26</v>
      </c>
      <c r="X831" s="689">
        <v>1</v>
      </c>
      <c r="Y831" s="689">
        <v>0</v>
      </c>
      <c r="Z831" s="691">
        <v>7702231308</v>
      </c>
      <c r="AA831" s="691" t="s">
        <v>3331</v>
      </c>
      <c r="AB831" s="111">
        <v>462842.26</v>
      </c>
      <c r="AC831" s="686">
        <v>44166</v>
      </c>
      <c r="AD831" s="690" t="s">
        <v>3333</v>
      </c>
      <c r="AE831" s="686">
        <v>42842</v>
      </c>
      <c r="AF831" s="474"/>
      <c r="AG831" s="691">
        <v>462842.26</v>
      </c>
      <c r="AH831" s="236">
        <f>IF(Таблица5[[#This Row],[30]]=0,"НД",Таблица5[[#This Row],[20]]-Таблица5[[#This Row],[30]])</f>
        <v>0</v>
      </c>
      <c r="AI831" s="511">
        <f>IF(((1-Таблица5[[#This Row],[30]]/Таблица5[[#This Row],[20]])=1),"НД",(1-Таблица5[[#This Row],[30]]/Таблица5[[#This Row],[20]]))</f>
        <v>0</v>
      </c>
      <c r="AJ831" s="111"/>
      <c r="AK831" s="111"/>
      <c r="AL831" s="512"/>
      <c r="AM831" s="513" t="s">
        <v>113</v>
      </c>
      <c r="AN831" s="801">
        <v>31704862759</v>
      </c>
      <c r="AO831" s="468" t="str">
        <f>РПЗ!AD831</f>
        <v>Нет</v>
      </c>
      <c r="AP831" s="472">
        <f>РПЗ!V831</f>
        <v>0</v>
      </c>
      <c r="AQ831" s="470">
        <f>IF(Таблица5[[#This Row],[11]]=0,,MONTH(Таблица5[[#This Row],[11]]))</f>
        <v>3</v>
      </c>
    </row>
    <row r="832" spans="1:43" ht="38.25" x14ac:dyDescent="0.25">
      <c r="A832" s="233" t="str">
        <f t="shared" si="13"/>
        <v>1004-2017-00817</v>
      </c>
      <c r="B832" s="233" t="str">
        <f>РПЗ!$D832</f>
        <v xml:space="preserve">1004-2017-00817Поставка  Конденсаторы </v>
      </c>
      <c r="C832" s="233" t="str">
        <f>РПЗ!$AA832</f>
        <v>АО "НИИ "Полюс" им. М.Ф. Стельмаха" тел. отдела закупок 8-495-333-05-02</v>
      </c>
      <c r="D832" s="633" t="str">
        <f>РПЗ!$AB832</f>
        <v>Заказчик</v>
      </c>
      <c r="E832" s="510" t="s">
        <v>62</v>
      </c>
      <c r="F832" s="233" t="str">
        <f>РПЗ!Q832</f>
        <v>ЕП</v>
      </c>
      <c r="G832" s="237" t="str">
        <f>Таблица5[[#This Row],[6]]</f>
        <v>ЕП</v>
      </c>
      <c r="H832" s="237" t="str">
        <f>РПЗ!R832</f>
        <v>нет</v>
      </c>
      <c r="I832" s="15" t="str">
        <f>РПЗ!W832</f>
        <v>6.6.2(10)</v>
      </c>
      <c r="J832" s="233" t="str">
        <f>РПЗ!X832</f>
        <v>7802005951</v>
      </c>
      <c r="K832" s="283" t="str">
        <f>РПЗ!Z832</f>
        <v>176 778,21</v>
      </c>
      <c r="L832" s="17">
        <v>42807</v>
      </c>
      <c r="M832" s="18">
        <f>РПЗ!O832</f>
        <v>42795</v>
      </c>
      <c r="N832" s="238">
        <f>Таблица5[[#This Row],[10]]</f>
        <v>42795</v>
      </c>
      <c r="O832" s="17"/>
      <c r="P832" s="17"/>
      <c r="Q832" s="17"/>
      <c r="R832" s="17"/>
      <c r="S832" s="17"/>
      <c r="T832" s="695" t="s">
        <v>3081</v>
      </c>
      <c r="U832" s="18">
        <f>РПЗ!P832</f>
        <v>42826</v>
      </c>
      <c r="V832" s="760">
        <v>42887</v>
      </c>
      <c r="W832" s="236">
        <f>РПЗ!L832</f>
        <v>176778.21</v>
      </c>
      <c r="X832" s="689">
        <v>1</v>
      </c>
      <c r="Y832" s="689">
        <v>0</v>
      </c>
      <c r="Z832" s="765">
        <v>7802005951</v>
      </c>
      <c r="AA832" s="704" t="s">
        <v>3104</v>
      </c>
      <c r="AB832" s="766">
        <v>176778.21</v>
      </c>
      <c r="AC832" s="808">
        <v>42887</v>
      </c>
      <c r="AD832" s="810" t="s">
        <v>3106</v>
      </c>
      <c r="AE832" s="703" t="s">
        <v>3081</v>
      </c>
      <c r="AF832" s="474"/>
      <c r="AG832" s="827">
        <v>176778.21</v>
      </c>
      <c r="AH832" s="236">
        <f>IF(Таблица5[[#This Row],[30]]=0,"НД",Таблица5[[#This Row],[20]]-Таблица5[[#This Row],[30]])</f>
        <v>0</v>
      </c>
      <c r="AI832" s="511">
        <f>IF(((1-Таблица5[[#This Row],[30]]/Таблица5[[#This Row],[20]])=1),"НД",(1-Таблица5[[#This Row],[30]]/Таблица5[[#This Row],[20]]))</f>
        <v>0</v>
      </c>
      <c r="AJ832" s="111"/>
      <c r="AK832" s="111"/>
      <c r="AL832" s="512"/>
      <c r="AM832" s="513" t="s">
        <v>113</v>
      </c>
      <c r="AN832" s="801">
        <v>31704881805</v>
      </c>
      <c r="AO832" s="468" t="str">
        <f>РПЗ!AD832</f>
        <v>Нет</v>
      </c>
      <c r="AP832" s="472">
        <f>РПЗ!V832</f>
        <v>0</v>
      </c>
      <c r="AQ832" s="470">
        <f>IF(Таблица5[[#This Row],[11]]=0,,MONTH(Таблица5[[#This Row],[11]]))</f>
        <v>3</v>
      </c>
    </row>
    <row r="833" spans="1:43" ht="39" thickBot="1" x14ac:dyDescent="0.3">
      <c r="A833" s="233" t="str">
        <f t="shared" si="13"/>
        <v>1004-2017-00818</v>
      </c>
      <c r="B833" s="233" t="str">
        <f>РПЗ!$D833</f>
        <v>1004-2017-00818Поставка Электродвигатели</v>
      </c>
      <c r="C833" s="233" t="str">
        <f>РПЗ!$AA833</f>
        <v>АО "НИИ "Полюс" им. М.Ф. Стельмаха" тел. отдела закупок 8-495-333-05-02</v>
      </c>
      <c r="D833" s="633" t="str">
        <f>РПЗ!$AB833</f>
        <v>Заказчик</v>
      </c>
      <c r="E833" s="510" t="s">
        <v>62</v>
      </c>
      <c r="F833" s="233" t="str">
        <f>РПЗ!Q833</f>
        <v>ЕП</v>
      </c>
      <c r="G833" s="237" t="str">
        <f>Таблица5[[#This Row],[6]]</f>
        <v>ЕП</v>
      </c>
      <c r="H833" s="237" t="str">
        <f>РПЗ!R833</f>
        <v>нет</v>
      </c>
      <c r="I833" s="15" t="str">
        <f>РПЗ!W833</f>
        <v>6.6.2(11)</v>
      </c>
      <c r="J833" s="233" t="str">
        <f>РПЗ!X833</f>
        <v>3664122185</v>
      </c>
      <c r="K833" s="283">
        <f>РПЗ!Z833</f>
        <v>1142169.2</v>
      </c>
      <c r="L833" s="17">
        <v>42835</v>
      </c>
      <c r="M833" s="18">
        <f>РПЗ!O833</f>
        <v>42826</v>
      </c>
      <c r="N833" s="238">
        <f>Таблица5[[#This Row],[10]]</f>
        <v>42826</v>
      </c>
      <c r="O833" s="17"/>
      <c r="P833" s="17"/>
      <c r="Q833" s="17"/>
      <c r="R833" s="17"/>
      <c r="S833" s="17"/>
      <c r="T833" s="686">
        <v>42857</v>
      </c>
      <c r="U833" s="18">
        <f>РПЗ!P833</f>
        <v>42826</v>
      </c>
      <c r="V833" s="686">
        <v>43070</v>
      </c>
      <c r="W833" s="236">
        <f>РПЗ!L833</f>
        <v>1142169.2</v>
      </c>
      <c r="X833" s="689">
        <v>1</v>
      </c>
      <c r="Y833" s="689">
        <v>0</v>
      </c>
      <c r="Z833" s="691">
        <v>3664122185</v>
      </c>
      <c r="AA833" s="691" t="s">
        <v>6022</v>
      </c>
      <c r="AB833" s="111">
        <v>1142169.2</v>
      </c>
      <c r="AC833" s="17">
        <v>43070</v>
      </c>
      <c r="AD833" s="690" t="s">
        <v>133</v>
      </c>
      <c r="AE833" s="686">
        <v>42857</v>
      </c>
      <c r="AF833" s="474"/>
      <c r="AG833" s="692">
        <v>1142169.2</v>
      </c>
      <c r="AH833" s="236">
        <f>IF(Таблица5[[#This Row],[30]]=0,"НД",Таблица5[[#This Row],[20]]-Таблица5[[#This Row],[30]])</f>
        <v>0</v>
      </c>
      <c r="AI833" s="511">
        <f>IF(((1-Таблица5[[#This Row],[30]]/Таблица5[[#This Row],[20]])=1),"НД",(1-Таблица5[[#This Row],[30]]/Таблица5[[#This Row],[20]]))</f>
        <v>0</v>
      </c>
      <c r="AJ833" s="111"/>
      <c r="AK833" s="111"/>
      <c r="AL833" s="512"/>
      <c r="AM833" s="513" t="s">
        <v>113</v>
      </c>
      <c r="AN833" s="801">
        <v>31705001419</v>
      </c>
      <c r="AO833" s="468" t="str">
        <f>РПЗ!AD833</f>
        <v>Нет</v>
      </c>
      <c r="AP833" s="472" t="str">
        <f>РПЗ!V833</f>
        <v>ГОЗ</v>
      </c>
      <c r="AQ833" s="470">
        <f>IF(Таблица5[[#This Row],[11]]=0,,MONTH(Таблица5[[#This Row],[11]]))</f>
        <v>4</v>
      </c>
    </row>
    <row r="834" spans="1:43" ht="38.25" x14ac:dyDescent="0.25">
      <c r="A834" s="233" t="str">
        <f t="shared" si="13"/>
        <v>1004-2017-00819</v>
      </c>
      <c r="B834" s="233" t="str">
        <f>РПЗ!$D834</f>
        <v xml:space="preserve">1004-2017-00819Поставка  Конденсаторы </v>
      </c>
      <c r="C834" s="233" t="str">
        <f>РПЗ!$AA834</f>
        <v>АО "НИИ "Полюс" им. М.Ф. Стельмаха" тел. отдела закупок 8-495-333-05-02</v>
      </c>
      <c r="D834" s="633" t="str">
        <f>РПЗ!$AB834</f>
        <v>Заказчик</v>
      </c>
      <c r="E834" s="96" t="s">
        <v>46</v>
      </c>
      <c r="F834" s="233" t="str">
        <f>РПЗ!Q834</f>
        <v>ЕП</v>
      </c>
      <c r="G834" s="237"/>
      <c r="H834" s="237" t="str">
        <f>РПЗ!R834</f>
        <v>нет</v>
      </c>
      <c r="I834" s="15" t="str">
        <f>РПЗ!W834</f>
        <v>6.6.2(10)</v>
      </c>
      <c r="J834" s="233">
        <f>РПЗ!X834</f>
        <v>0</v>
      </c>
      <c r="K834" s="283">
        <f>РПЗ!Z834</f>
        <v>0</v>
      </c>
      <c r="L834" s="17"/>
      <c r="M834" s="18">
        <f>РПЗ!O834</f>
        <v>42795</v>
      </c>
      <c r="N834" s="238">
        <f>Таблица5[[#This Row],[10]]</f>
        <v>42795</v>
      </c>
      <c r="O834" s="17"/>
      <c r="P834" s="17"/>
      <c r="Q834" s="17"/>
      <c r="R834" s="17"/>
      <c r="S834" s="17"/>
      <c r="T834" s="686"/>
      <c r="U834" s="18">
        <f>РПЗ!P834</f>
        <v>42826</v>
      </c>
      <c r="V834" s="686"/>
      <c r="W834" s="236">
        <f>РПЗ!L834</f>
        <v>688075.81</v>
      </c>
      <c r="X834" s="689"/>
      <c r="Y834" s="689"/>
      <c r="Z834" s="690"/>
      <c r="AA834" s="691"/>
      <c r="AB834" s="111"/>
      <c r="AC834" s="17"/>
      <c r="AD834" s="690"/>
      <c r="AE834" s="686"/>
      <c r="AF834" s="474"/>
      <c r="AG834" s="692"/>
      <c r="AH834" s="236" t="str">
        <f>IF(Таблица5[[#This Row],[30]]=0,"НД",Таблица5[[#This Row],[20]]-Таблица5[[#This Row],[30]])</f>
        <v>НД</v>
      </c>
      <c r="AI834" s="511" t="str">
        <f>IF(((1-Таблица5[[#This Row],[30]]/Таблица5[[#This Row],[20]])=1),"НД",(1-Таблица5[[#This Row],[30]]/Таблица5[[#This Row],[20]]))</f>
        <v>НД</v>
      </c>
      <c r="AJ834" s="111"/>
      <c r="AK834" s="111"/>
      <c r="AL834" s="512"/>
      <c r="AM834" s="513"/>
      <c r="AN834" s="465"/>
      <c r="AO834" s="468" t="str">
        <f>РПЗ!AD834</f>
        <v>Нет</v>
      </c>
      <c r="AP834" s="472">
        <f>РПЗ!V834</f>
        <v>0</v>
      </c>
      <c r="AQ834" s="470">
        <f>IF(Таблица5[[#This Row],[11]]=0,,MONTH(Таблица5[[#This Row],[11]]))</f>
        <v>3</v>
      </c>
    </row>
    <row r="835" spans="1:43" s="752" customFormat="1" ht="39" thickBot="1" x14ac:dyDescent="0.3">
      <c r="A835" s="740" t="str">
        <f t="shared" si="13"/>
        <v>1004-2017-00820</v>
      </c>
      <c r="B835" s="740" t="str">
        <f>РПЗ!$D835</f>
        <v>1004-2017-00820Поставка Медный пруток</v>
      </c>
      <c r="C835" s="740" t="str">
        <f>РПЗ!$AA835</f>
        <v>АО "НИИ "Полюс" им. М.Ф. Стельмаха" тел. отдела закупок 8-495-333-05-02</v>
      </c>
      <c r="D835" s="742" t="str">
        <f>РПЗ!$AB835</f>
        <v>Заказчик</v>
      </c>
      <c r="E835" s="825" t="s">
        <v>62</v>
      </c>
      <c r="F835" s="740" t="str">
        <f>РПЗ!Q835</f>
        <v>ОЗК</v>
      </c>
      <c r="G835" s="740" t="str">
        <f>Таблица5[[#This Row],[6]]</f>
        <v>ОЗК</v>
      </c>
      <c r="H835" s="740" t="str">
        <f>РПЗ!R835</f>
        <v>да</v>
      </c>
      <c r="I835" s="743">
        <f>РПЗ!W835</f>
        <v>0</v>
      </c>
      <c r="J835" s="740">
        <f>РПЗ!X835</f>
        <v>0</v>
      </c>
      <c r="K835" s="744">
        <f>РПЗ!Z835</f>
        <v>0</v>
      </c>
      <c r="L835" s="737">
        <v>42829</v>
      </c>
      <c r="M835" s="745">
        <f>РПЗ!O835</f>
        <v>42826</v>
      </c>
      <c r="N835" s="745">
        <f>Таблица5[[#This Row],[10]]</f>
        <v>42826</v>
      </c>
      <c r="O835" s="737">
        <v>42835</v>
      </c>
      <c r="P835" s="737">
        <v>42838</v>
      </c>
      <c r="Q835" s="737">
        <v>42838</v>
      </c>
      <c r="R835" s="737">
        <v>42836</v>
      </c>
      <c r="S835" s="737">
        <v>42836</v>
      </c>
      <c r="T835" s="737">
        <v>42850</v>
      </c>
      <c r="U835" s="745">
        <f>РПЗ!P835</f>
        <v>42826</v>
      </c>
      <c r="V835" s="763">
        <v>43070</v>
      </c>
      <c r="W835" s="741">
        <f>РПЗ!L835</f>
        <v>103352.31</v>
      </c>
      <c r="X835" s="738">
        <v>4</v>
      </c>
      <c r="Y835" s="738">
        <v>0</v>
      </c>
      <c r="Z835" s="740">
        <v>7708825347</v>
      </c>
      <c r="AA835" s="740" t="s">
        <v>3354</v>
      </c>
      <c r="AB835" s="741">
        <v>63780.18</v>
      </c>
      <c r="AC835" s="737">
        <v>43070</v>
      </c>
      <c r="AD835" s="739" t="s">
        <v>6122</v>
      </c>
      <c r="AE835" s="737">
        <v>42850</v>
      </c>
      <c r="AF835" s="739"/>
      <c r="AG835" s="919">
        <v>63780.18</v>
      </c>
      <c r="AH835" s="741">
        <f>IF(Таблица5[[#This Row],[30]]=0,"НД",Таблица5[[#This Row],[20]]-Таблица5[[#This Row],[30]])</f>
        <v>39572.129999999997</v>
      </c>
      <c r="AI835" s="746">
        <f>IF(((1-Таблица5[[#This Row],[30]]/Таблица5[[#This Row],[20]])=1),"НД",(1-Таблица5[[#This Row],[30]]/Таблица5[[#This Row],[20]]))</f>
        <v>0.38288578165306608</v>
      </c>
      <c r="AJ835" s="741">
        <v>63780.18</v>
      </c>
      <c r="AK835" s="741"/>
      <c r="AL835" s="747"/>
      <c r="AM835" s="748" t="s">
        <v>113</v>
      </c>
      <c r="AN835" s="815">
        <v>31704973979</v>
      </c>
      <c r="AO835" s="749" t="str">
        <f>РПЗ!AD835</f>
        <v>Нет</v>
      </c>
      <c r="AP835" s="750">
        <f>РПЗ!V835</f>
        <v>0</v>
      </c>
      <c r="AQ835" s="751">
        <f>IF(Таблица5[[#This Row],[11]]=0,,MONTH(Таблица5[[#This Row],[11]]))</f>
        <v>4</v>
      </c>
    </row>
    <row r="836" spans="1:43" ht="38.25" x14ac:dyDescent="0.25">
      <c r="A836" s="716" t="str">
        <f t="shared" si="13"/>
        <v>1004-2017-00821</v>
      </c>
      <c r="B836" s="716" t="str">
        <f>РПЗ!$D836</f>
        <v xml:space="preserve">1004-2017-00821Поставка  Автомобильные шины и аккумуляторы </v>
      </c>
      <c r="C836" s="716" t="str">
        <f>РПЗ!$AA836</f>
        <v>АО "НИИ "Полюс" им. М.Ф. Стельмаха" тел. отдела закупок 8-495-333-05-02</v>
      </c>
      <c r="D836" s="717" t="str">
        <f>РПЗ!$AB836</f>
        <v>Заказчик</v>
      </c>
      <c r="E836" s="96" t="s">
        <v>46</v>
      </c>
      <c r="F836" s="716" t="str">
        <f>РПЗ!Q836</f>
        <v>ОЗК</v>
      </c>
      <c r="G836" s="237"/>
      <c r="H836" s="719" t="str">
        <f>РПЗ!R836</f>
        <v>да</v>
      </c>
      <c r="I836" s="720">
        <f>РПЗ!W836</f>
        <v>0</v>
      </c>
      <c r="J836" s="716">
        <f>РПЗ!X836</f>
        <v>0</v>
      </c>
      <c r="K836" s="721">
        <f>РПЗ!Z836</f>
        <v>0</v>
      </c>
      <c r="L836" s="722"/>
      <c r="M836" s="723">
        <f>РПЗ!O836</f>
        <v>42795</v>
      </c>
      <c r="N836" s="724">
        <f>Таблица5[[#This Row],[10]]</f>
        <v>42795</v>
      </c>
      <c r="O836" s="722"/>
      <c r="P836" s="722"/>
      <c r="Q836" s="722"/>
      <c r="R836" s="722"/>
      <c r="S836" s="722"/>
      <c r="T836" s="725"/>
      <c r="U836" s="723">
        <f>РПЗ!P836</f>
        <v>42826</v>
      </c>
      <c r="V836" s="725"/>
      <c r="W836" s="726">
        <f>РПЗ!L836</f>
        <v>507748.34</v>
      </c>
      <c r="X836" s="727"/>
      <c r="Y836" s="727"/>
      <c r="Z836" s="728"/>
      <c r="AA836" s="729"/>
      <c r="AB836" s="730"/>
      <c r="AC836" s="722"/>
      <c r="AD836" s="728"/>
      <c r="AE836" s="725"/>
      <c r="AF836" s="731"/>
      <c r="AG836" s="732"/>
      <c r="AH836" s="726" t="str">
        <f>IF(Таблица5[[#This Row],[30]]=0,"НД",Таблица5[[#This Row],[20]]-Таблица5[[#This Row],[30]])</f>
        <v>НД</v>
      </c>
      <c r="AI836" s="733" t="str">
        <f>IF(((1-Таблица5[[#This Row],[30]]/Таблица5[[#This Row],[20]])=1),"НД",(1-Таблица5[[#This Row],[30]]/Таблица5[[#This Row],[20]]))</f>
        <v>НД</v>
      </c>
      <c r="AJ836" s="730"/>
      <c r="AK836" s="730"/>
      <c r="AL836" s="734"/>
      <c r="AM836" s="735"/>
      <c r="AN836" s="736"/>
      <c r="AO836" s="468" t="str">
        <f>РПЗ!AD836</f>
        <v>Нет</v>
      </c>
      <c r="AP836" s="472">
        <f>РПЗ!V836</f>
        <v>0</v>
      </c>
      <c r="AQ836" s="470">
        <f>IF(Таблица5[[#This Row],[11]]=0,,MONTH(Таблица5[[#This Row],[11]]))</f>
        <v>3</v>
      </c>
    </row>
    <row r="837" spans="1:43" ht="38.25" x14ac:dyDescent="0.25">
      <c r="A837" s="233" t="str">
        <f t="shared" si="13"/>
        <v>1004-2017-00822</v>
      </c>
      <c r="B837" s="233" t="str">
        <f>РПЗ!$D837</f>
        <v>1004-2017-00822Изготовление и поставка пружинных колец для датчика ЭК-104С</v>
      </c>
      <c r="C837" s="233" t="str">
        <f>РПЗ!$AA837</f>
        <v>АО "НИИ "Полюс" им. М.Ф. Стельмаха" тел. отдела закупок 8-495-333-05-02</v>
      </c>
      <c r="D837" s="633" t="str">
        <f>РПЗ!$AB837</f>
        <v>Заказчик</v>
      </c>
      <c r="E837" s="510" t="s">
        <v>62</v>
      </c>
      <c r="F837" s="233" t="str">
        <f>РПЗ!Q837</f>
        <v>ЕП</v>
      </c>
      <c r="G837" s="237" t="str">
        <f>Таблица5[[#This Row],[6]]</f>
        <v>ЕП</v>
      </c>
      <c r="H837" s="237" t="str">
        <f>РПЗ!R837</f>
        <v>нет</v>
      </c>
      <c r="I837" s="15" t="str">
        <f>РПЗ!W837</f>
        <v>6.6.2(11)</v>
      </c>
      <c r="J837" s="233" t="str">
        <f>РПЗ!X837</f>
        <v>190437885</v>
      </c>
      <c r="K837" s="283" t="str">
        <f>РПЗ!Z837</f>
        <v>833 000</v>
      </c>
      <c r="L837" s="17">
        <v>42748</v>
      </c>
      <c r="M837" s="18">
        <f>РПЗ!O837</f>
        <v>42795</v>
      </c>
      <c r="N837" s="238">
        <f>Таблица5[[#This Row],[10]]</f>
        <v>42795</v>
      </c>
      <c r="O837" s="17"/>
      <c r="P837" s="17"/>
      <c r="Q837" s="17"/>
      <c r="R837" s="17"/>
      <c r="S837" s="17"/>
      <c r="T837" s="695" t="s">
        <v>3081</v>
      </c>
      <c r="U837" s="18">
        <f>РПЗ!P837</f>
        <v>42856</v>
      </c>
      <c r="V837" s="760">
        <v>42887</v>
      </c>
      <c r="W837" s="236">
        <f>РПЗ!L837</f>
        <v>833000</v>
      </c>
      <c r="X837" s="689">
        <v>1</v>
      </c>
      <c r="Y837" s="689">
        <v>0</v>
      </c>
      <c r="Z837" s="765">
        <v>190437885</v>
      </c>
      <c r="AA837" s="704" t="s">
        <v>2335</v>
      </c>
      <c r="AB837" s="701">
        <v>833000</v>
      </c>
      <c r="AC837" s="808">
        <v>42887</v>
      </c>
      <c r="AD837" s="810" t="s">
        <v>3085</v>
      </c>
      <c r="AE837" s="703" t="s">
        <v>3081</v>
      </c>
      <c r="AF837" s="474"/>
      <c r="AG837" s="827">
        <v>833000</v>
      </c>
      <c r="AH837" s="236">
        <f>IF(Таблица5[[#This Row],[30]]=0,"НД",Таблица5[[#This Row],[20]]-Таблица5[[#This Row],[30]])</f>
        <v>0</v>
      </c>
      <c r="AI837" s="511">
        <f>IF(((1-Таблица5[[#This Row],[30]]/Таблица5[[#This Row],[20]])=1),"НД",(1-Таблица5[[#This Row],[30]]/Таблица5[[#This Row],[20]]))</f>
        <v>0</v>
      </c>
      <c r="AJ837" s="111"/>
      <c r="AK837" s="111"/>
      <c r="AL837" s="512"/>
      <c r="AM837" s="513" t="s">
        <v>113</v>
      </c>
      <c r="AN837" s="801">
        <v>31704887125</v>
      </c>
      <c r="AO837" s="468" t="str">
        <f>РПЗ!AD837</f>
        <v>Нет</v>
      </c>
      <c r="AP837" s="472">
        <f>РПЗ!V837</f>
        <v>0</v>
      </c>
      <c r="AQ837" s="470">
        <f>IF(Таблица5[[#This Row],[11]]=0,,MONTH(Таблица5[[#This Row],[11]]))</f>
        <v>3</v>
      </c>
    </row>
    <row r="838" spans="1:43" s="681" customFormat="1" ht="38.25" x14ac:dyDescent="0.25">
      <c r="A838" s="691" t="str">
        <f t="shared" si="13"/>
        <v>1004-2017-00823</v>
      </c>
      <c r="B838" s="691" t="str">
        <f>РПЗ!$D838</f>
        <v>1004-2017-00823Комплект электроизделий</v>
      </c>
      <c r="C838" s="691" t="str">
        <f>РПЗ!$AA838</f>
        <v>АО "НИИ "Полюс" им. М.Ф. Стельмаха" тел. отдела закупок 8-495-333-05-02</v>
      </c>
      <c r="D838" s="706" t="str">
        <f>РПЗ!$AB838</f>
        <v>Заказчик</v>
      </c>
      <c r="E838" s="510" t="s">
        <v>62</v>
      </c>
      <c r="F838" s="691" t="str">
        <f>РПЗ!Q838</f>
        <v>ОЗК</v>
      </c>
      <c r="G838" s="691" t="str">
        <f>Таблица5[[#This Row],[6]]</f>
        <v>ОЗК</v>
      </c>
      <c r="H838" s="691" t="str">
        <f>РПЗ!R838</f>
        <v>да</v>
      </c>
      <c r="I838" s="707">
        <f>РПЗ!W838</f>
        <v>0</v>
      </c>
      <c r="J838" s="691">
        <f>РПЗ!X838</f>
        <v>0</v>
      </c>
      <c r="K838" s="708">
        <f>РПЗ!Z838</f>
        <v>0</v>
      </c>
      <c r="L838" s="686">
        <v>42830</v>
      </c>
      <c r="M838" s="687">
        <f>РПЗ!O838</f>
        <v>42795.5</v>
      </c>
      <c r="N838" s="687">
        <f>Таблица5[[#This Row],[10]]</f>
        <v>42795.5</v>
      </c>
      <c r="O838" s="686">
        <v>42836</v>
      </c>
      <c r="P838" s="686">
        <v>42839</v>
      </c>
      <c r="Q838" s="686">
        <v>42839</v>
      </c>
      <c r="R838" s="686">
        <v>42836</v>
      </c>
      <c r="S838" s="686">
        <v>42836</v>
      </c>
      <c r="T838" s="686">
        <v>42850</v>
      </c>
      <c r="U838" s="687">
        <f>РПЗ!P838</f>
        <v>42795.5</v>
      </c>
      <c r="V838" s="761">
        <v>42856</v>
      </c>
      <c r="W838" s="692">
        <f>РПЗ!L838</f>
        <v>273551.43</v>
      </c>
      <c r="X838" s="689">
        <v>4</v>
      </c>
      <c r="Y838" s="689">
        <v>0</v>
      </c>
      <c r="Z838" s="691">
        <v>3525394791</v>
      </c>
      <c r="AA838" s="691" t="s">
        <v>3356</v>
      </c>
      <c r="AB838" s="692">
        <v>222207.57</v>
      </c>
      <c r="AC838" s="686">
        <v>42856</v>
      </c>
      <c r="AD838" s="690" t="s">
        <v>6081</v>
      </c>
      <c r="AE838" s="686">
        <v>42850</v>
      </c>
      <c r="AF838" s="690"/>
      <c r="AG838" s="913">
        <v>222207.57</v>
      </c>
      <c r="AH838" s="692">
        <f>IF(Таблица5[[#This Row],[30]]=0,"НД",Таблица5[[#This Row],[20]]-Таблица5[[#This Row],[30]])</f>
        <v>51343.859999999986</v>
      </c>
      <c r="AI838" s="709">
        <f>IF(((1-Таблица5[[#This Row],[30]]/Таблица5[[#This Row],[20]])=1),"НД",(1-Таблица5[[#This Row],[30]]/Таблица5[[#This Row],[20]]))</f>
        <v>0.18769362675238066</v>
      </c>
      <c r="AJ838" s="692">
        <v>222207.57</v>
      </c>
      <c r="AK838" s="692"/>
      <c r="AL838" s="710"/>
      <c r="AM838" s="711" t="s">
        <v>113</v>
      </c>
      <c r="AN838" s="800">
        <v>31704977985</v>
      </c>
      <c r="AO838" s="712" t="str">
        <f>РПЗ!AD838</f>
        <v>Нет</v>
      </c>
      <c r="AP838" s="713">
        <f>РПЗ!V838</f>
        <v>0</v>
      </c>
      <c r="AQ838" s="714">
        <f>IF(Таблица5[[#This Row],[11]]=0,,MONTH(Таблица5[[#This Row],[11]]))</f>
        <v>3</v>
      </c>
    </row>
    <row r="839" spans="1:43" s="681" customFormat="1" ht="38.25" x14ac:dyDescent="0.25">
      <c r="A839" s="691" t="str">
        <f t="shared" si="13"/>
        <v>1004-2017-00824</v>
      </c>
      <c r="B839" s="691" t="str">
        <f>РПЗ!$D839</f>
        <v>1004-2017-00824Комплект электроизделий</v>
      </c>
      <c r="C839" s="691" t="str">
        <f>РПЗ!$AA839</f>
        <v>АО "НИИ "Полюс" им. М.Ф. Стельмаха" тел. отдела закупок 8-495-333-05-02</v>
      </c>
      <c r="D839" s="706" t="str">
        <f>РПЗ!$AB839</f>
        <v>Заказчик</v>
      </c>
      <c r="E839" s="510" t="s">
        <v>59</v>
      </c>
      <c r="F839" s="691" t="str">
        <f>РПЗ!Q839</f>
        <v>ОЗК</v>
      </c>
      <c r="G839" s="691" t="str">
        <f>Таблица5[[#This Row],[6]]</f>
        <v>ОЗК</v>
      </c>
      <c r="H839" s="691" t="str">
        <f>РПЗ!R839</f>
        <v>да</v>
      </c>
      <c r="I839" s="707">
        <f>РПЗ!W839</f>
        <v>0</v>
      </c>
      <c r="J839" s="691">
        <f>РПЗ!X839</f>
        <v>0</v>
      </c>
      <c r="K839" s="708">
        <f>РПЗ!Z839</f>
        <v>0</v>
      </c>
      <c r="L839" s="686"/>
      <c r="M839" s="687">
        <f>РПЗ!O839</f>
        <v>42795.5</v>
      </c>
      <c r="N839" s="687">
        <f>Таблица5[[#This Row],[10]]</f>
        <v>42795.5</v>
      </c>
      <c r="O839" s="686">
        <v>42836</v>
      </c>
      <c r="P839" s="686">
        <v>42839</v>
      </c>
      <c r="Q839" s="686">
        <v>42839</v>
      </c>
      <c r="R839" s="686">
        <v>42839</v>
      </c>
      <c r="S839" s="686">
        <v>42839</v>
      </c>
      <c r="T839" s="686"/>
      <c r="U839" s="687">
        <f>РПЗ!P839</f>
        <v>42795.5</v>
      </c>
      <c r="V839" s="761"/>
      <c r="W839" s="692">
        <f>РПЗ!L839</f>
        <v>382165.6</v>
      </c>
      <c r="X839" s="689">
        <v>0</v>
      </c>
      <c r="Y839" s="689">
        <v>0</v>
      </c>
      <c r="Z839" s="690"/>
      <c r="AA839" s="691"/>
      <c r="AB839" s="692"/>
      <c r="AC839" s="686"/>
      <c r="AD839" s="690"/>
      <c r="AE839" s="686"/>
      <c r="AF839" s="690"/>
      <c r="AG839" s="814"/>
      <c r="AH839" s="692" t="str">
        <f>IF(Таблица5[[#This Row],[30]]=0,"НД",Таблица5[[#This Row],[20]]-Таблица5[[#This Row],[30]])</f>
        <v>НД</v>
      </c>
      <c r="AI839" s="709" t="str">
        <f>IF(((1-Таблица5[[#This Row],[30]]/Таблица5[[#This Row],[20]])=1),"НД",(1-Таблица5[[#This Row],[30]]/Таблица5[[#This Row],[20]]))</f>
        <v>НД</v>
      </c>
      <c r="AJ839" s="692"/>
      <c r="AK839" s="692"/>
      <c r="AL839" s="710"/>
      <c r="AM839" s="711" t="s">
        <v>113</v>
      </c>
      <c r="AN839" s="800">
        <v>31704977990</v>
      </c>
      <c r="AO839" s="712" t="str">
        <f>РПЗ!AD839</f>
        <v>Нет</v>
      </c>
      <c r="AP839" s="713">
        <f>РПЗ!V839</f>
        <v>0</v>
      </c>
      <c r="AQ839" s="714">
        <f>IF(Таблица5[[#This Row],[11]]=0,,MONTH(Таблица5[[#This Row],[11]]))</f>
        <v>3</v>
      </c>
    </row>
    <row r="840" spans="1:43" s="681" customFormat="1" ht="39" thickBot="1" x14ac:dyDescent="0.3">
      <c r="A840" s="691" t="str">
        <f t="shared" si="13"/>
        <v>1004-2017-00825</v>
      </c>
      <c r="B840" s="691" t="str">
        <f>РПЗ!$D840</f>
        <v>1004-2017-00825Поставка  Комплект электроизделий</v>
      </c>
      <c r="C840" s="691" t="str">
        <f>РПЗ!$AA840</f>
        <v>АО "НИИ "Полюс" им. М.Ф. Стельмаха" тел. отдела закупок 8-495-333-05-02</v>
      </c>
      <c r="D840" s="706" t="str">
        <f>РПЗ!$AB840</f>
        <v>Заказчик</v>
      </c>
      <c r="E840" s="510" t="s">
        <v>62</v>
      </c>
      <c r="F840" s="691" t="str">
        <f>РПЗ!Q840</f>
        <v>ОЗК</v>
      </c>
      <c r="G840" s="691" t="str">
        <f>Таблица5[[#This Row],[6]]</f>
        <v>ОЗК</v>
      </c>
      <c r="H840" s="691" t="str">
        <f>РПЗ!R840</f>
        <v>да</v>
      </c>
      <c r="I840" s="707">
        <f>РПЗ!W840</f>
        <v>0</v>
      </c>
      <c r="J840" s="691">
        <f>РПЗ!X840</f>
        <v>0</v>
      </c>
      <c r="K840" s="708">
        <f>РПЗ!Z840</f>
        <v>0</v>
      </c>
      <c r="L840" s="686">
        <v>42830</v>
      </c>
      <c r="M840" s="687">
        <f>РПЗ!O840</f>
        <v>42795.5</v>
      </c>
      <c r="N840" s="687">
        <f>Таблица5[[#This Row],[10]]</f>
        <v>42795.5</v>
      </c>
      <c r="O840" s="686">
        <v>42836</v>
      </c>
      <c r="P840" s="686">
        <v>42839</v>
      </c>
      <c r="Q840" s="686">
        <v>42839</v>
      </c>
      <c r="R840" s="686">
        <v>42836</v>
      </c>
      <c r="S840" s="686">
        <v>42836</v>
      </c>
      <c r="T840" s="686">
        <v>42850</v>
      </c>
      <c r="U840" s="687">
        <f>РПЗ!P840</f>
        <v>42795.5</v>
      </c>
      <c r="V840" s="761">
        <v>42856</v>
      </c>
      <c r="W840" s="692">
        <f>РПЗ!L840</f>
        <v>368349.59</v>
      </c>
      <c r="X840" s="689">
        <v>4</v>
      </c>
      <c r="Y840" s="689">
        <v>0</v>
      </c>
      <c r="Z840" s="691">
        <v>3525394791</v>
      </c>
      <c r="AA840" s="691" t="s">
        <v>3356</v>
      </c>
      <c r="AB840" s="692">
        <v>248919.82</v>
      </c>
      <c r="AC840" s="686">
        <v>42856</v>
      </c>
      <c r="AD840" s="690" t="s">
        <v>6079</v>
      </c>
      <c r="AE840" s="686">
        <v>42850</v>
      </c>
      <c r="AF840" s="690"/>
      <c r="AG840" s="913">
        <v>248919.82</v>
      </c>
      <c r="AH840" s="692">
        <f>IF(Таблица5[[#This Row],[30]]=0,"НД",Таблица5[[#This Row],[20]]-Таблица5[[#This Row],[30]])</f>
        <v>119429.77000000002</v>
      </c>
      <c r="AI840" s="709">
        <f>IF(((1-Таблица5[[#This Row],[30]]/Таблица5[[#This Row],[20]])=1),"НД",(1-Таблица5[[#This Row],[30]]/Таблица5[[#This Row],[20]]))</f>
        <v>0.32422940934996025</v>
      </c>
      <c r="AJ840" s="692">
        <v>248919.82</v>
      </c>
      <c r="AK840" s="692"/>
      <c r="AL840" s="710"/>
      <c r="AM840" s="711" t="s">
        <v>113</v>
      </c>
      <c r="AN840" s="800">
        <v>31704977991</v>
      </c>
      <c r="AO840" s="712" t="str">
        <f>РПЗ!AD840</f>
        <v>Нет</v>
      </c>
      <c r="AP840" s="713">
        <f>РПЗ!V840</f>
        <v>0</v>
      </c>
      <c r="AQ840" s="714">
        <f>IF(Таблица5[[#This Row],[11]]=0,,MONTH(Таблица5[[#This Row],[11]]))</f>
        <v>3</v>
      </c>
    </row>
    <row r="841" spans="1:43" ht="38.25" x14ac:dyDescent="0.25">
      <c r="A841" s="233" t="str">
        <f t="shared" si="13"/>
        <v>1004-2017-00826</v>
      </c>
      <c r="B841" s="233" t="str">
        <f>РПЗ!$D841</f>
        <v>1004-2017-00826Поставка провод</v>
      </c>
      <c r="C841" s="233" t="str">
        <f>РПЗ!$AA841</f>
        <v>АО "НИИ "Полюс" им. М.Ф. Стельмаха" тел. отдела закупок 8-495-333-05-02</v>
      </c>
      <c r="D841" s="633" t="str">
        <f>РПЗ!$AB841</f>
        <v>Заказчик</v>
      </c>
      <c r="E841" s="96" t="s">
        <v>46</v>
      </c>
      <c r="F841" s="233" t="str">
        <f>РПЗ!Q841</f>
        <v>ОЗК</v>
      </c>
      <c r="G841" s="237"/>
      <c r="H841" s="237" t="str">
        <f>РПЗ!R841</f>
        <v>да</v>
      </c>
      <c r="I841" s="15">
        <f>РПЗ!W841</f>
        <v>0</v>
      </c>
      <c r="J841" s="233">
        <f>РПЗ!X841</f>
        <v>0</v>
      </c>
      <c r="K841" s="283">
        <f>РПЗ!Z841</f>
        <v>0</v>
      </c>
      <c r="L841" s="17"/>
      <c r="M841" s="18">
        <f>РПЗ!O841</f>
        <v>42795.5</v>
      </c>
      <c r="N841" s="238">
        <f>Таблица5[[#This Row],[10]]</f>
        <v>42795.5</v>
      </c>
      <c r="O841" s="17"/>
      <c r="P841" s="17"/>
      <c r="Q841" s="17"/>
      <c r="R841" s="17"/>
      <c r="S841" s="17"/>
      <c r="T841" s="686"/>
      <c r="U841" s="18">
        <f>РПЗ!P841</f>
        <v>43070.5</v>
      </c>
      <c r="V841" s="686"/>
      <c r="W841" s="236">
        <f>РПЗ!L841</f>
        <v>380000</v>
      </c>
      <c r="X841" s="689"/>
      <c r="Y841" s="689"/>
      <c r="Z841" s="690"/>
      <c r="AA841" s="691"/>
      <c r="AB841" s="111"/>
      <c r="AC841" s="17"/>
      <c r="AD841" s="690"/>
      <c r="AE841" s="686"/>
      <c r="AF841" s="474"/>
      <c r="AG841" s="692"/>
      <c r="AH841" s="236" t="str">
        <f>IF(Таблица5[[#This Row],[30]]=0,"НД",Таблица5[[#This Row],[20]]-Таблица5[[#This Row],[30]])</f>
        <v>НД</v>
      </c>
      <c r="AI841" s="511" t="str">
        <f>IF(((1-Таблица5[[#This Row],[30]]/Таблица5[[#This Row],[20]])=1),"НД",(1-Таблица5[[#This Row],[30]]/Таблица5[[#This Row],[20]]))</f>
        <v>НД</v>
      </c>
      <c r="AJ841" s="111"/>
      <c r="AK841" s="111"/>
      <c r="AL841" s="512"/>
      <c r="AM841" s="513"/>
      <c r="AN841" s="465"/>
      <c r="AO841" s="468" t="str">
        <f>РПЗ!AD841</f>
        <v>Нет</v>
      </c>
      <c r="AP841" s="472">
        <f>РПЗ!V841</f>
        <v>0</v>
      </c>
      <c r="AQ841" s="470">
        <f>IF(Таблица5[[#This Row],[11]]=0,,MONTH(Таблица5[[#This Row],[11]]))</f>
        <v>3</v>
      </c>
    </row>
    <row r="842" spans="1:43" s="681" customFormat="1" ht="38.25" x14ac:dyDescent="0.25">
      <c r="A842" s="691" t="str">
        <f t="shared" si="13"/>
        <v>1004-2017-00827</v>
      </c>
      <c r="B842" s="691" t="str">
        <f>РПЗ!$D842</f>
        <v>1004-2017-00827Поставка  Комплектующие материалы</v>
      </c>
      <c r="C842" s="691" t="str">
        <f>РПЗ!$AA842</f>
        <v>АО "НИИ "Полюс" им. М.Ф. Стельмаха" тел. отдела закупок 8-495-333-05-02</v>
      </c>
      <c r="D842" s="706" t="str">
        <f>РПЗ!$AB842</f>
        <v>Заказчик</v>
      </c>
      <c r="E842" s="510" t="s">
        <v>59</v>
      </c>
      <c r="F842" s="691" t="str">
        <f>РПЗ!Q842</f>
        <v>ОЗК</v>
      </c>
      <c r="G842" s="691" t="str">
        <f>Таблица5[[#This Row],[6]]</f>
        <v>ОЗК</v>
      </c>
      <c r="H842" s="691" t="str">
        <f>РПЗ!R842</f>
        <v>да</v>
      </c>
      <c r="I842" s="707">
        <f>РПЗ!W842</f>
        <v>0</v>
      </c>
      <c r="J842" s="691">
        <f>РПЗ!X842</f>
        <v>0</v>
      </c>
      <c r="K842" s="708">
        <f>РПЗ!Z842</f>
        <v>0</v>
      </c>
      <c r="L842" s="686"/>
      <c r="M842" s="687">
        <f>РПЗ!O842</f>
        <v>42795.5</v>
      </c>
      <c r="N842" s="687">
        <f>Таблица5[[#This Row],[10]]</f>
        <v>42795.5</v>
      </c>
      <c r="O842" s="686">
        <v>42829</v>
      </c>
      <c r="P842" s="686">
        <v>42835</v>
      </c>
      <c r="Q842" s="686">
        <v>42835</v>
      </c>
      <c r="R842" s="686">
        <v>42835</v>
      </c>
      <c r="S842" s="686">
        <v>42835</v>
      </c>
      <c r="T842" s="686"/>
      <c r="U842" s="687">
        <f>РПЗ!P842</f>
        <v>43070.5</v>
      </c>
      <c r="V842" s="761"/>
      <c r="W842" s="692">
        <f>РПЗ!L842</f>
        <v>68644.06</v>
      </c>
      <c r="X842" s="689">
        <v>0</v>
      </c>
      <c r="Y842" s="689">
        <v>0</v>
      </c>
      <c r="Z842" s="690"/>
      <c r="AA842" s="691"/>
      <c r="AB842" s="692"/>
      <c r="AC842" s="686"/>
      <c r="AD842" s="690"/>
      <c r="AE842" s="686"/>
      <c r="AF842" s="690"/>
      <c r="AG842" s="814"/>
      <c r="AH842" s="692" t="str">
        <f>IF(Таблица5[[#This Row],[30]]=0,"НД",Таблица5[[#This Row],[20]]-Таблица5[[#This Row],[30]])</f>
        <v>НД</v>
      </c>
      <c r="AI842" s="709" t="str">
        <f>IF(((1-Таблица5[[#This Row],[30]]/Таблица5[[#This Row],[20]])=1),"НД",(1-Таблица5[[#This Row],[30]]/Таблица5[[#This Row],[20]]))</f>
        <v>НД</v>
      </c>
      <c r="AJ842" s="692"/>
      <c r="AK842" s="692"/>
      <c r="AL842" s="710"/>
      <c r="AM842" s="711" t="s">
        <v>113</v>
      </c>
      <c r="AN842" s="800">
        <v>31704941409</v>
      </c>
      <c r="AO842" s="712" t="str">
        <f>РПЗ!AD842</f>
        <v>Нет</v>
      </c>
      <c r="AP842" s="713">
        <f>РПЗ!V842</f>
        <v>0</v>
      </c>
      <c r="AQ842" s="714">
        <f>IF(Таблица5[[#This Row],[11]]=0,,MONTH(Таблица5[[#This Row],[11]]))</f>
        <v>3</v>
      </c>
    </row>
    <row r="843" spans="1:43" ht="39" thickBot="1" x14ac:dyDescent="0.3">
      <c r="A843" s="233" t="str">
        <f t="shared" si="13"/>
        <v>1004-2017-00828</v>
      </c>
      <c r="B843" s="233" t="str">
        <f>РПЗ!$D843</f>
        <v>1004-2017-00828иготовление оптических и механических деталей</v>
      </c>
      <c r="C843" s="233" t="str">
        <f>РПЗ!$AA843</f>
        <v>АО "НИИ "Полюс" им. М.Ф. Стельмаха" тел. отдела закупок 8-495-333-05-02</v>
      </c>
      <c r="D843" s="633" t="str">
        <f>РПЗ!$AB843</f>
        <v>Заказчик</v>
      </c>
      <c r="E843" s="510" t="s">
        <v>62</v>
      </c>
      <c r="F843" s="233" t="str">
        <f>РПЗ!Q843</f>
        <v>ЕП</v>
      </c>
      <c r="G843" s="237" t="str">
        <f>Таблица5[[#This Row],[6]]</f>
        <v>ЕП</v>
      </c>
      <c r="H843" s="237" t="str">
        <f>РПЗ!R843</f>
        <v>нет</v>
      </c>
      <c r="I843" s="15" t="str">
        <f>РПЗ!W843</f>
        <v>6.6.2(11)</v>
      </c>
      <c r="J843" s="233" t="str">
        <f>РПЗ!X843</f>
        <v>5024022965</v>
      </c>
      <c r="K843" s="283">
        <f>РПЗ!Z843</f>
        <v>5949478.5300000003</v>
      </c>
      <c r="L843" s="17">
        <v>42797</v>
      </c>
      <c r="M843" s="18">
        <f>РПЗ!O843</f>
        <v>42795.5</v>
      </c>
      <c r="N843" s="238">
        <f>Таблица5[[#This Row],[10]]</f>
        <v>42795.5</v>
      </c>
      <c r="O843" s="17"/>
      <c r="P843" s="17"/>
      <c r="Q843" s="17"/>
      <c r="R843" s="17"/>
      <c r="S843" s="17"/>
      <c r="T843" s="686">
        <v>42811</v>
      </c>
      <c r="U843" s="18">
        <f>РПЗ!P843</f>
        <v>43070.5</v>
      </c>
      <c r="V843" s="761">
        <v>42705</v>
      </c>
      <c r="W843" s="236">
        <f>РПЗ!L843</f>
        <v>5949478.5300000003</v>
      </c>
      <c r="X843" s="689">
        <v>1</v>
      </c>
      <c r="Y843" s="689">
        <v>0</v>
      </c>
      <c r="Z843" s="691">
        <v>5024022965</v>
      </c>
      <c r="AA843" s="691" t="s">
        <v>2397</v>
      </c>
      <c r="AB843" s="111">
        <v>5949478.5300000003</v>
      </c>
      <c r="AC843" s="686">
        <v>42705</v>
      </c>
      <c r="AD843" s="690" t="s">
        <v>3317</v>
      </c>
      <c r="AE843" s="686">
        <v>42811</v>
      </c>
      <c r="AF843" s="474"/>
      <c r="AG843" s="691">
        <v>5949478.5300000003</v>
      </c>
      <c r="AH843" s="236">
        <f>IF(Таблица5[[#This Row],[30]]=0,"НД",Таблица5[[#This Row],[20]]-Таблица5[[#This Row],[30]])</f>
        <v>0</v>
      </c>
      <c r="AI843" s="511">
        <f>IF(((1-Таблица5[[#This Row],[30]]/Таблица5[[#This Row],[20]])=1),"НД",(1-Таблица5[[#This Row],[30]]/Таблица5[[#This Row],[20]]))</f>
        <v>0</v>
      </c>
      <c r="AJ843" s="111"/>
      <c r="AK843" s="111"/>
      <c r="AL843" s="512"/>
      <c r="AM843" s="513" t="s">
        <v>113</v>
      </c>
      <c r="AN843" s="801">
        <v>31704857072</v>
      </c>
      <c r="AO843" s="468" t="str">
        <f>РПЗ!AD843</f>
        <v>Нет</v>
      </c>
      <c r="AP843" s="472">
        <f>РПЗ!V843</f>
        <v>0</v>
      </c>
      <c r="AQ843" s="470">
        <f>IF(Таблица5[[#This Row],[11]]=0,,MONTH(Таблица5[[#This Row],[11]]))</f>
        <v>3</v>
      </c>
    </row>
    <row r="844" spans="1:43" ht="38.25" x14ac:dyDescent="0.25">
      <c r="A844" s="233" t="str">
        <f t="shared" si="13"/>
        <v>1004-2017-00829</v>
      </c>
      <c r="B844" s="233" t="str">
        <f>РПЗ!$D844</f>
        <v>1004-2017-00829Поставка мебели выставочных экспозиций для музейной комнаты Заказчика</v>
      </c>
      <c r="C844" s="233" t="str">
        <f>РПЗ!$AA844</f>
        <v>АО "НИИ "Полюс" им. М.Ф. Стельмаха" тел. отдела закупок 8-495-333-05-02</v>
      </c>
      <c r="D844" s="633" t="str">
        <f>РПЗ!$AB844</f>
        <v>Заказчик</v>
      </c>
      <c r="E844" s="96" t="s">
        <v>46</v>
      </c>
      <c r="F844" s="233" t="str">
        <f>РПЗ!Q844</f>
        <v>ОЗК</v>
      </c>
      <c r="G844" s="237"/>
      <c r="H844" s="237" t="str">
        <f>РПЗ!R844</f>
        <v>да</v>
      </c>
      <c r="I844" s="15">
        <f>РПЗ!W844</f>
        <v>0</v>
      </c>
      <c r="J844" s="233">
        <f>РПЗ!X844</f>
        <v>0</v>
      </c>
      <c r="K844" s="283">
        <f>РПЗ!Z844</f>
        <v>0</v>
      </c>
      <c r="L844" s="17"/>
      <c r="M844" s="18">
        <f>РПЗ!O844</f>
        <v>42795.5</v>
      </c>
      <c r="N844" s="238">
        <f>Таблица5[[#This Row],[10]]</f>
        <v>42795.5</v>
      </c>
      <c r="O844" s="17"/>
      <c r="P844" s="17"/>
      <c r="Q844" s="17"/>
      <c r="R844" s="17"/>
      <c r="S844" s="17"/>
      <c r="T844" s="686"/>
      <c r="U844" s="18">
        <f>РПЗ!P844</f>
        <v>42856</v>
      </c>
      <c r="V844" s="686"/>
      <c r="W844" s="236">
        <f>РПЗ!L844</f>
        <v>955366</v>
      </c>
      <c r="X844" s="689"/>
      <c r="Y844" s="689"/>
      <c r="Z844" s="690"/>
      <c r="AA844" s="691"/>
      <c r="AB844" s="111"/>
      <c r="AC844" s="17"/>
      <c r="AD844" s="690"/>
      <c r="AE844" s="686"/>
      <c r="AF844" s="474"/>
      <c r="AG844" s="692"/>
      <c r="AH844" s="236" t="str">
        <f>IF(Таблица5[[#This Row],[30]]=0,"НД",Таблица5[[#This Row],[20]]-Таблица5[[#This Row],[30]])</f>
        <v>НД</v>
      </c>
      <c r="AI844" s="511" t="str">
        <f>IF(((1-Таблица5[[#This Row],[30]]/Таблица5[[#This Row],[20]])=1),"НД",(1-Таблица5[[#This Row],[30]]/Таблица5[[#This Row],[20]]))</f>
        <v>НД</v>
      </c>
      <c r="AJ844" s="111"/>
      <c r="AK844" s="111"/>
      <c r="AL844" s="512"/>
      <c r="AM844" s="513"/>
      <c r="AN844" s="465"/>
      <c r="AO844" s="468" t="str">
        <f>РПЗ!AD844</f>
        <v>Нет</v>
      </c>
      <c r="AP844" s="472">
        <f>РПЗ!V844</f>
        <v>0</v>
      </c>
      <c r="AQ844" s="470">
        <f>IF(Таблица5[[#This Row],[11]]=0,,MONTH(Таблица5[[#This Row],[11]]))</f>
        <v>3</v>
      </c>
    </row>
    <row r="845" spans="1:43" s="676" customFormat="1" ht="38.25" x14ac:dyDescent="0.25">
      <c r="A845" s="237" t="str">
        <f t="shared" si="13"/>
        <v>1004-2017-00830</v>
      </c>
      <c r="B845" s="237" t="str">
        <f>РПЗ!$D845</f>
        <v>1004-2017-00830Изготовление механических деталей</v>
      </c>
      <c r="C845" s="237" t="str">
        <f>РПЗ!$AA845</f>
        <v>АО "НИИ "Полюс" им. М.Ф. Стельмаха" тел. отдела закупок 8-495-333-05-02</v>
      </c>
      <c r="D845" s="672" t="str">
        <f>РПЗ!$AB845</f>
        <v>Заказчик</v>
      </c>
      <c r="E845" s="510" t="s">
        <v>62</v>
      </c>
      <c r="F845" s="237" t="str">
        <f>РПЗ!Q845</f>
        <v>ЕП</v>
      </c>
      <c r="G845" s="237" t="str">
        <f>Таблица5[[#This Row],[6]]</f>
        <v>ЕП</v>
      </c>
      <c r="H845" s="237" t="str">
        <f>РПЗ!R845</f>
        <v>нет</v>
      </c>
      <c r="I845" s="16" t="str">
        <f>РПЗ!W845</f>
        <v>6.6.2(11)</v>
      </c>
      <c r="J845" s="237" t="str">
        <f>РПЗ!X845</f>
        <v>5043057427</v>
      </c>
      <c r="K845" s="673">
        <f>РПЗ!Z845</f>
        <v>369744.15</v>
      </c>
      <c r="L845" s="17">
        <v>42835</v>
      </c>
      <c r="M845" s="238">
        <f>РПЗ!O845</f>
        <v>42826</v>
      </c>
      <c r="N845" s="238">
        <f>Таблица5[[#This Row],[10]]</f>
        <v>42826</v>
      </c>
      <c r="O845" s="17"/>
      <c r="P845" s="17"/>
      <c r="Q845" s="17"/>
      <c r="R845" s="17"/>
      <c r="S845" s="17"/>
      <c r="T845" s="686">
        <v>42843</v>
      </c>
      <c r="U845" s="238">
        <f>РПЗ!P845</f>
        <v>43070.5</v>
      </c>
      <c r="V845" s="686">
        <v>42917</v>
      </c>
      <c r="W845" s="111">
        <f>РПЗ!L845</f>
        <v>369744.15</v>
      </c>
      <c r="X845" s="689">
        <v>1</v>
      </c>
      <c r="Y845" s="689">
        <v>0</v>
      </c>
      <c r="Z845" s="691">
        <v>5043057427</v>
      </c>
      <c r="AA845" s="691" t="s">
        <v>5073</v>
      </c>
      <c r="AB845" s="111">
        <v>369744.15</v>
      </c>
      <c r="AC845" s="17">
        <v>42917</v>
      </c>
      <c r="AD845" s="690" t="s">
        <v>5109</v>
      </c>
      <c r="AE845" s="686">
        <v>42843</v>
      </c>
      <c r="AF845" s="474"/>
      <c r="AG845" s="692">
        <v>369744.15</v>
      </c>
      <c r="AH845" s="111">
        <f>IF(Таблица5[[#This Row],[30]]=0,"НД",Таблица5[[#This Row],[20]]-Таблица5[[#This Row],[30]])</f>
        <v>0</v>
      </c>
      <c r="AI845" s="674">
        <f>IF(((1-Таблица5[[#This Row],[30]]/Таблица5[[#This Row],[20]])=1),"НД",(1-Таблица5[[#This Row],[30]]/Таблица5[[#This Row],[20]]))</f>
        <v>0</v>
      </c>
      <c r="AJ845" s="111">
        <v>369744.15</v>
      </c>
      <c r="AK845" s="111"/>
      <c r="AL845" s="512"/>
      <c r="AM845" s="513" t="s">
        <v>113</v>
      </c>
      <c r="AN845" s="801">
        <v>31705005563</v>
      </c>
      <c r="AO845" s="468" t="str">
        <f>РПЗ!AD845</f>
        <v>Нет</v>
      </c>
      <c r="AP845" s="472">
        <f>РПЗ!V845</f>
        <v>0</v>
      </c>
      <c r="AQ845" s="675">
        <f>IF(Таблица5[[#This Row],[11]]=0,,MONTH(Таблица5[[#This Row],[11]]))</f>
        <v>4</v>
      </c>
    </row>
    <row r="846" spans="1:43" ht="102" x14ac:dyDescent="0.25">
      <c r="A846" s="233" t="str">
        <f t="shared" si="13"/>
        <v>1004-2017-00831</v>
      </c>
      <c r="B846" s="233" t="str">
        <f>РПЗ!$D846</f>
        <v>1004-2017-00831Поставка  Модули питания МП</v>
      </c>
      <c r="C846" s="233" t="str">
        <f>РПЗ!$AA846</f>
        <v>АО "НИИ "Полюс" им. М.Ф. Стельмаха" тел. отдела закупок 8-495-333-05-02</v>
      </c>
      <c r="D846" s="633" t="str">
        <f>РПЗ!$AB846</f>
        <v>Заказчик</v>
      </c>
      <c r="E846" s="510" t="s">
        <v>62</v>
      </c>
      <c r="F846" s="233" t="str">
        <f>РПЗ!Q846</f>
        <v>ЕП</v>
      </c>
      <c r="G846" s="237" t="str">
        <f>Таблица5[[#This Row],[6]]</f>
        <v>ЕП</v>
      </c>
      <c r="H846" s="237" t="str">
        <f>РПЗ!R846</f>
        <v>нет</v>
      </c>
      <c r="I846" s="15" t="str">
        <f>РПЗ!W846</f>
        <v>6.6.2(10)</v>
      </c>
      <c r="J846" s="233" t="str">
        <f>РПЗ!X846</f>
        <v>5027106028</v>
      </c>
      <c r="K846" s="283">
        <f>РПЗ!Z846</f>
        <v>7965094.6399999997</v>
      </c>
      <c r="L846" s="17">
        <v>42843</v>
      </c>
      <c r="M846" s="18">
        <f>РПЗ!O846</f>
        <v>42887.5</v>
      </c>
      <c r="N846" s="238">
        <f>Таблица5[[#This Row],[10]]</f>
        <v>42887.5</v>
      </c>
      <c r="O846" s="17"/>
      <c r="P846" s="17"/>
      <c r="Q846" s="17"/>
      <c r="R846" s="17"/>
      <c r="S846" s="17"/>
      <c r="T846" s="686">
        <v>42909</v>
      </c>
      <c r="U846" s="18">
        <f>РПЗ!P846</f>
        <v>43070.5</v>
      </c>
      <c r="V846" s="686">
        <v>43070</v>
      </c>
      <c r="W846" s="236">
        <f>РПЗ!L846</f>
        <v>7965094.6399999997</v>
      </c>
      <c r="X846" s="689">
        <v>1</v>
      </c>
      <c r="Y846" s="689">
        <v>0</v>
      </c>
      <c r="Z846" s="691">
        <v>5027106028</v>
      </c>
      <c r="AA846" s="691" t="s">
        <v>5959</v>
      </c>
      <c r="AB846" s="111">
        <v>7965094.6399999997</v>
      </c>
      <c r="AC846" s="17">
        <v>43070</v>
      </c>
      <c r="AD846" s="690"/>
      <c r="AE846" s="686"/>
      <c r="AF846" s="474" t="s">
        <v>5960</v>
      </c>
      <c r="AG846" s="692">
        <v>7965094.6399999997</v>
      </c>
      <c r="AH846" s="236">
        <f>IF(Таблица5[[#This Row],[30]]=0,"НД",Таблица5[[#This Row],[20]]-Таблица5[[#This Row],[30]])</f>
        <v>0</v>
      </c>
      <c r="AI846" s="511">
        <f>IF(((1-Таблица5[[#This Row],[30]]/Таблица5[[#This Row],[20]])=1),"НД",(1-Таблица5[[#This Row],[30]]/Таблица5[[#This Row],[20]]))</f>
        <v>0</v>
      </c>
      <c r="AJ846" s="111"/>
      <c r="AK846" s="111"/>
      <c r="AL846" s="512"/>
      <c r="AM846" s="513" t="s">
        <v>113</v>
      </c>
      <c r="AN846" s="801">
        <v>31705126231</v>
      </c>
      <c r="AO846" s="468" t="str">
        <f>РПЗ!AD846</f>
        <v>Нет</v>
      </c>
      <c r="AP846" s="472" t="str">
        <f>РПЗ!V846</f>
        <v>ГОЗ</v>
      </c>
      <c r="AQ846" s="470">
        <f>IF(Таблица5[[#This Row],[11]]=0,,MONTH(Таблица5[[#This Row],[11]]))</f>
        <v>6</v>
      </c>
    </row>
    <row r="847" spans="1:43" ht="76.5" x14ac:dyDescent="0.25">
      <c r="A847" s="233" t="str">
        <f t="shared" si="13"/>
        <v>1004-2017-00832</v>
      </c>
      <c r="B847" s="233" t="str">
        <f>РПЗ!$D847</f>
        <v>1004-2017-00832внесение записей о размещении дополнительного выпуска ценных бумаг и предоставления уведомления об операции, проводимой по лицевому счету</v>
      </c>
      <c r="C847" s="233" t="str">
        <f>РПЗ!$AA847</f>
        <v>АО "НИИ "Полюс" им. М.Ф. Стельмаха" тел. отдела закупок 8-495-333-05-02</v>
      </c>
      <c r="D847" s="633" t="str">
        <f>РПЗ!$AB847</f>
        <v>Заказчик</v>
      </c>
      <c r="E847" s="510" t="s">
        <v>62</v>
      </c>
      <c r="F847" s="233" t="str">
        <f>РПЗ!Q847</f>
        <v>ЕП</v>
      </c>
      <c r="G847" s="237" t="str">
        <f>Таблица5[[#This Row],[6]]</f>
        <v>ЕП</v>
      </c>
      <c r="H847" s="237" t="str">
        <f>РПЗ!R847</f>
        <v>нет</v>
      </c>
      <c r="I847" s="15" t="str">
        <f>РПЗ!W847</f>
        <v>6.6.2(5)</v>
      </c>
      <c r="J847" s="233" t="str">
        <f>РПЗ!X847</f>
        <v>7707179242</v>
      </c>
      <c r="K847" s="283">
        <f>РПЗ!Z847</f>
        <v>101000</v>
      </c>
      <c r="L847" s="17">
        <v>42809</v>
      </c>
      <c r="M847" s="18">
        <f>РПЗ!O847</f>
        <v>42795.5</v>
      </c>
      <c r="N847" s="238">
        <f>Таблица5[[#This Row],[10]]</f>
        <v>42795.5</v>
      </c>
      <c r="O847" s="17"/>
      <c r="P847" s="17"/>
      <c r="Q847" s="17"/>
      <c r="R847" s="17"/>
      <c r="S847" s="17"/>
      <c r="T847" s="661" t="s">
        <v>3101</v>
      </c>
      <c r="U847" s="18">
        <f>РПЗ!P847</f>
        <v>42795</v>
      </c>
      <c r="V847" s="762">
        <v>42826</v>
      </c>
      <c r="W847" s="236">
        <f>РПЗ!L847</f>
        <v>101000</v>
      </c>
      <c r="X847" s="689">
        <v>1</v>
      </c>
      <c r="Y847" s="689">
        <v>0</v>
      </c>
      <c r="Z847" s="691">
        <v>7707179242</v>
      </c>
      <c r="AA847" s="691" t="s">
        <v>3315</v>
      </c>
      <c r="AB847" s="111">
        <v>101000</v>
      </c>
      <c r="AC847" s="809">
        <v>42826</v>
      </c>
      <c r="AD847" s="690" t="s">
        <v>3316</v>
      </c>
      <c r="AE847" s="686">
        <v>42814</v>
      </c>
      <c r="AF847" s="474"/>
      <c r="AG847" s="691">
        <v>101000</v>
      </c>
      <c r="AH847" s="236">
        <f>IF(Таблица5[[#This Row],[30]]=0,"НД",Таблица5[[#This Row],[20]]-Таблица5[[#This Row],[30]])</f>
        <v>0</v>
      </c>
      <c r="AI847" s="511">
        <f>IF(((1-Таблица5[[#This Row],[30]]/Таблица5[[#This Row],[20]])=1),"НД",(1-Таблица5[[#This Row],[30]]/Таблица5[[#This Row],[20]]))</f>
        <v>0</v>
      </c>
      <c r="AJ847" s="111"/>
      <c r="AK847" s="111"/>
      <c r="AL847" s="512"/>
      <c r="AM847" s="513" t="s">
        <v>113</v>
      </c>
      <c r="AN847" s="801">
        <v>31704902125</v>
      </c>
      <c r="AO847" s="468" t="str">
        <f>РПЗ!AD847</f>
        <v>Нет</v>
      </c>
      <c r="AP847" s="472">
        <f>РПЗ!V847</f>
        <v>0</v>
      </c>
      <c r="AQ847" s="470">
        <f>IF(Таблица5[[#This Row],[11]]=0,,MONTH(Таблица5[[#This Row],[11]]))</f>
        <v>3</v>
      </c>
    </row>
    <row r="848" spans="1:43" s="681" customFormat="1" ht="114.75" x14ac:dyDescent="0.25">
      <c r="A848" s="691" t="str">
        <f t="shared" si="13"/>
        <v>1004-2017-00833</v>
      </c>
      <c r="B848" s="691" t="str">
        <f>РПЗ!$D848</f>
        <v>1004-2017-00833Поставка плата цифровая ЖГДК.431321.066 – 3 шт., плата компараторов и частотной подставки ЖГДК.431129.029 – 3 шт., блок поджига ТЛГ ЖГДК.431119.029 – 3 шт., плата СТ и ММ ЖГДК.431119.030 – 3 шт., плата ВИП ТЛГ ЖГДК.431421.026 – 3 шт., плата СРП ТЛГ ЖГДК.431321.067 - 3шт.</v>
      </c>
      <c r="C848" s="691" t="str">
        <f>РПЗ!$AA848</f>
        <v>АО "НИИ "Полюс" им. М.Ф. Стельмаха" тел. отдела закупок 8-495-333-05-02</v>
      </c>
      <c r="D848" s="706" t="str">
        <f>РПЗ!$AB848</f>
        <v>Заказчик</v>
      </c>
      <c r="E848" s="510" t="s">
        <v>62</v>
      </c>
      <c r="F848" s="691" t="str">
        <f>РПЗ!Q848</f>
        <v>ОЗК</v>
      </c>
      <c r="G848" s="691" t="str">
        <f>Таблица5[[#This Row],[6]]</f>
        <v>ОЗК</v>
      </c>
      <c r="H848" s="691" t="str">
        <f>РПЗ!R848</f>
        <v>да</v>
      </c>
      <c r="I848" s="707">
        <f>РПЗ!W848</f>
        <v>0</v>
      </c>
      <c r="J848" s="691">
        <f>РПЗ!X848</f>
        <v>0</v>
      </c>
      <c r="K848" s="708">
        <f>РПЗ!Z848</f>
        <v>0</v>
      </c>
      <c r="L848" s="686"/>
      <c r="M848" s="687">
        <f>РПЗ!O848</f>
        <v>42795.5</v>
      </c>
      <c r="N848" s="687">
        <f>Таблица5[[#This Row],[10]]</f>
        <v>42795.5</v>
      </c>
      <c r="O848" s="686">
        <v>42815</v>
      </c>
      <c r="P848" s="686">
        <v>42818</v>
      </c>
      <c r="Q848" s="686">
        <v>42818</v>
      </c>
      <c r="R848" s="686">
        <v>42818</v>
      </c>
      <c r="S848" s="686">
        <v>42818</v>
      </c>
      <c r="T848" s="686">
        <v>42824</v>
      </c>
      <c r="U848" s="687">
        <f>РПЗ!P848</f>
        <v>43070.5</v>
      </c>
      <c r="V848" s="761">
        <v>43009</v>
      </c>
      <c r="W848" s="692">
        <f>РПЗ!L848</f>
        <v>2163100</v>
      </c>
      <c r="X848" s="689">
        <v>1</v>
      </c>
      <c r="Y848" s="689">
        <v>0</v>
      </c>
      <c r="Z848" s="691">
        <v>3301031150</v>
      </c>
      <c r="AA848" s="691" t="s">
        <v>3349</v>
      </c>
      <c r="AB848" s="692">
        <v>2151600</v>
      </c>
      <c r="AC848" s="686">
        <v>43009</v>
      </c>
      <c r="AD848" s="690" t="s">
        <v>3355</v>
      </c>
      <c r="AE848" s="686">
        <v>42824</v>
      </c>
      <c r="AF848" s="690"/>
      <c r="AG848" s="691">
        <v>2151600</v>
      </c>
      <c r="AH848" s="692">
        <f>IF(Таблица5[[#This Row],[30]]=0,"НД",Таблица5[[#This Row],[20]]-Таблица5[[#This Row],[30]])</f>
        <v>11500</v>
      </c>
      <c r="AI848" s="709">
        <f>IF(((1-Таблица5[[#This Row],[30]]/Таблица5[[#This Row],[20]])=1),"НД",(1-Таблица5[[#This Row],[30]]/Таблица5[[#This Row],[20]]))</f>
        <v>5.3164439924182627E-3</v>
      </c>
      <c r="AJ848" s="692">
        <v>2151600</v>
      </c>
      <c r="AK848" s="692"/>
      <c r="AL848" s="710"/>
      <c r="AM848" s="711" t="s">
        <v>113</v>
      </c>
      <c r="AN848" s="800">
        <v>31704888523</v>
      </c>
      <c r="AO848" s="712" t="str">
        <f>РПЗ!AD848</f>
        <v>Нет</v>
      </c>
      <c r="AP848" s="713">
        <f>РПЗ!V848</f>
        <v>0</v>
      </c>
      <c r="AQ848" s="714">
        <f>IF(Таблица5[[#This Row],[11]]=0,,MONTH(Таблица5[[#This Row],[11]]))</f>
        <v>3</v>
      </c>
    </row>
    <row r="849" spans="1:43" ht="102" x14ac:dyDescent="0.25">
      <c r="A849" s="691" t="str">
        <f t="shared" si="13"/>
        <v>1004-2017-00834</v>
      </c>
      <c r="B849" s="691" t="str">
        <f>РПЗ!$D849</f>
        <v>1004-2017-00834Поставка комплект металлических деталей ТЛГ-1 ЖГДК.402121.065 - 1 комплект; комплект металлических деталей ТЛГ-2 ЖГДК.402121.064 - 1 комплект,комплект металлических деталей ТЛГ-3 ЖГДК.402121.063 - 1 комплект</v>
      </c>
      <c r="C849" s="691" t="str">
        <f>РПЗ!$AA849</f>
        <v>АО "НИИ "Полюс" им. М.Ф. Стельмаха" тел. отдела закупок 8-495-333-05-02</v>
      </c>
      <c r="D849" s="706" t="str">
        <f>РПЗ!$AB849</f>
        <v>Заказчик</v>
      </c>
      <c r="E849" s="510" t="s">
        <v>62</v>
      </c>
      <c r="F849" s="691" t="str">
        <f>РПЗ!Q849</f>
        <v>ОЗК</v>
      </c>
      <c r="G849" s="691" t="str">
        <f>Таблица5[[#This Row],[6]]</f>
        <v>ОЗК</v>
      </c>
      <c r="H849" s="691" t="str">
        <f>РПЗ!R849</f>
        <v>да</v>
      </c>
      <c r="I849" s="707">
        <f>РПЗ!W849</f>
        <v>0</v>
      </c>
      <c r="J849" s="691">
        <f>РПЗ!X849</f>
        <v>0</v>
      </c>
      <c r="K849" s="708">
        <f>РПЗ!Z849</f>
        <v>0</v>
      </c>
      <c r="L849" s="686"/>
      <c r="M849" s="687">
        <f>РПЗ!O849</f>
        <v>42795.5</v>
      </c>
      <c r="N849" s="687">
        <f>Таблица5[[#This Row],[10]]</f>
        <v>42795.5</v>
      </c>
      <c r="O849" s="686">
        <v>42816</v>
      </c>
      <c r="P849" s="686">
        <v>42821</v>
      </c>
      <c r="Q849" s="686">
        <v>42821</v>
      </c>
      <c r="R849" s="686">
        <v>42818</v>
      </c>
      <c r="S849" s="686">
        <v>42818</v>
      </c>
      <c r="T849" s="808" t="s">
        <v>3293</v>
      </c>
      <c r="U849" s="687">
        <f>РПЗ!P849</f>
        <v>43070.5</v>
      </c>
      <c r="V849" s="760">
        <v>42948</v>
      </c>
      <c r="W849" s="692">
        <f>РПЗ!L849</f>
        <v>1475680</v>
      </c>
      <c r="X849" s="689">
        <v>2</v>
      </c>
      <c r="Y849" s="689">
        <v>0</v>
      </c>
      <c r="Z849" s="765">
        <v>6452045336</v>
      </c>
      <c r="AA849" s="810" t="s">
        <v>3294</v>
      </c>
      <c r="AB849" s="765">
        <v>1401896</v>
      </c>
      <c r="AC849" s="686">
        <v>42948</v>
      </c>
      <c r="AD849" s="810" t="s">
        <v>3295</v>
      </c>
      <c r="AE849" s="694" t="s">
        <v>3293</v>
      </c>
      <c r="AF849" s="690"/>
      <c r="AG849" s="827">
        <v>1401896</v>
      </c>
      <c r="AH849" s="692">
        <f>IF(Таблица5[[#This Row],[30]]=0,"НД",Таблица5[[#This Row],[20]]-Таблица5[[#This Row],[30]])</f>
        <v>73784</v>
      </c>
      <c r="AI849" s="709">
        <f>IF(((1-Таблица5[[#This Row],[30]]/Таблица5[[#This Row],[20]])=1),"НД",(1-Таблица5[[#This Row],[30]]/Таблица5[[#This Row],[20]]))</f>
        <v>5.0000000000000044E-2</v>
      </c>
      <c r="AJ849" s="692"/>
      <c r="AK849" s="692"/>
      <c r="AL849" s="710"/>
      <c r="AM849" s="711" t="s">
        <v>113</v>
      </c>
      <c r="AN849" s="800">
        <v>31704891537</v>
      </c>
      <c r="AO849" s="712" t="str">
        <f>РПЗ!AD849</f>
        <v>Нет</v>
      </c>
      <c r="AP849" s="713">
        <f>РПЗ!V849</f>
        <v>0</v>
      </c>
      <c r="AQ849" s="714">
        <f>IF(Таблица5[[#This Row],[11]]=0,,MONTH(Таблица5[[#This Row],[11]]))</f>
        <v>3</v>
      </c>
    </row>
    <row r="850" spans="1:43" s="681" customFormat="1" ht="39" thickBot="1" x14ac:dyDescent="0.3">
      <c r="A850" s="691" t="str">
        <f t="shared" si="13"/>
        <v>1004-2017-00835</v>
      </c>
      <c r="B850" s="691" t="str">
        <f>РПЗ!$D850</f>
        <v>1004-2017-00835Поставка заготовки из ситалла СО-33М (165х165х50)</v>
      </c>
      <c r="C850" s="691" t="str">
        <f>РПЗ!$AA850</f>
        <v>АО "НИИ "Полюс" им. М.Ф. Стельмаха" тел. отдела закупок 8-495-333-05-02</v>
      </c>
      <c r="D850" s="706" t="str">
        <f>РПЗ!$AB850</f>
        <v>Заказчик</v>
      </c>
      <c r="E850" s="510" t="s">
        <v>62</v>
      </c>
      <c r="F850" s="691" t="str">
        <f>РПЗ!Q850</f>
        <v>ОЗК</v>
      </c>
      <c r="G850" s="691" t="s">
        <v>108</v>
      </c>
      <c r="H850" s="691" t="str">
        <f>РПЗ!R850</f>
        <v>да</v>
      </c>
      <c r="I850" s="707">
        <f>РПЗ!W850</f>
        <v>0</v>
      </c>
      <c r="J850" s="691">
        <f>РПЗ!X850</f>
        <v>0</v>
      </c>
      <c r="K850" s="708">
        <f>РПЗ!Z850</f>
        <v>0</v>
      </c>
      <c r="L850" s="686"/>
      <c r="M850" s="687">
        <f>РПЗ!O850</f>
        <v>42795.5</v>
      </c>
      <c r="N850" s="687">
        <f>Таблица5[[#This Row],[10]]</f>
        <v>42795.5</v>
      </c>
      <c r="O850" s="686">
        <v>42835</v>
      </c>
      <c r="P850" s="686">
        <v>42838</v>
      </c>
      <c r="Q850" s="686">
        <v>42838</v>
      </c>
      <c r="R850" s="686">
        <v>42835</v>
      </c>
      <c r="S850" s="686">
        <v>42835</v>
      </c>
      <c r="T850" s="686">
        <v>42866</v>
      </c>
      <c r="U850" s="687">
        <f>РПЗ!P850</f>
        <v>43070.5</v>
      </c>
      <c r="V850" s="761">
        <v>42887</v>
      </c>
      <c r="W850" s="692">
        <f>РПЗ!L850</f>
        <v>385385.2</v>
      </c>
      <c r="X850" s="689">
        <v>1</v>
      </c>
      <c r="Y850" s="689">
        <v>0</v>
      </c>
      <c r="Z850" s="691">
        <v>6230059610</v>
      </c>
      <c r="AA850" s="691" t="s">
        <v>3357</v>
      </c>
      <c r="AB850" s="692">
        <v>380000</v>
      </c>
      <c r="AC850" s="686">
        <v>42887</v>
      </c>
      <c r="AD850" s="690" t="s">
        <v>5071</v>
      </c>
      <c r="AE850" s="686">
        <v>42866</v>
      </c>
      <c r="AF850" s="690"/>
      <c r="AG850" s="814">
        <v>380000</v>
      </c>
      <c r="AH850" s="692">
        <f>IF(Таблица5[[#This Row],[30]]=0,"НД",Таблица5[[#This Row],[20]]-Таблица5[[#This Row],[30]])</f>
        <v>5385.2000000000116</v>
      </c>
      <c r="AI850" s="709">
        <f>IF(((1-Таблица5[[#This Row],[30]]/Таблица5[[#This Row],[20]])=1),"НД",(1-Таблица5[[#This Row],[30]]/Таблица5[[#This Row],[20]]))</f>
        <v>1.3973551656887739E-2</v>
      </c>
      <c r="AJ850" s="692"/>
      <c r="AK850" s="692"/>
      <c r="AL850" s="710"/>
      <c r="AM850" s="711" t="s">
        <v>113</v>
      </c>
      <c r="AN850" s="800">
        <v>31704973137</v>
      </c>
      <c r="AO850" s="712" t="str">
        <f>РПЗ!AD850</f>
        <v>Нет</v>
      </c>
      <c r="AP850" s="713">
        <f>РПЗ!V850</f>
        <v>0</v>
      </c>
      <c r="AQ850" s="714">
        <f>IF(Таблица5[[#This Row],[11]]=0,,MONTH(Таблица5[[#This Row],[11]]))</f>
        <v>3</v>
      </c>
    </row>
    <row r="851" spans="1:43" ht="63.75" x14ac:dyDescent="0.25">
      <c r="A851" s="233" t="str">
        <f t="shared" si="13"/>
        <v>1004-2017-00836</v>
      </c>
      <c r="B851" s="233" t="str">
        <f>РПЗ!$D851</f>
        <v>1004-2017-0083Поставка 6аналого-цифровой преобразователь БОПИ-П ЖГДК.468157.004 – 2шт., плата обработки сигналов ЛГ  ЖГДК.431321.068 – 2шт.</v>
      </c>
      <c r="C851" s="233" t="str">
        <f>РПЗ!$AA851</f>
        <v>АО "НИИ "Полюс" им. М.Ф. Стельмаха" тел. отдела закупок 8-495-333-05-02</v>
      </c>
      <c r="D851" s="633" t="str">
        <f>РПЗ!$AB851</f>
        <v>Заказчик</v>
      </c>
      <c r="E851" s="96" t="s">
        <v>46</v>
      </c>
      <c r="F851" s="233" t="str">
        <f>РПЗ!Q851</f>
        <v>ОЗК</v>
      </c>
      <c r="G851" s="237"/>
      <c r="H851" s="237" t="str">
        <f>РПЗ!R851</f>
        <v>да</v>
      </c>
      <c r="I851" s="15">
        <f>РПЗ!W851</f>
        <v>0</v>
      </c>
      <c r="J851" s="233">
        <f>РПЗ!X851</f>
        <v>0</v>
      </c>
      <c r="K851" s="283">
        <f>РПЗ!Z851</f>
        <v>0</v>
      </c>
      <c r="L851" s="17"/>
      <c r="M851" s="18">
        <f>РПЗ!O851</f>
        <v>42795.5</v>
      </c>
      <c r="N851" s="238">
        <f>Таблица5[[#This Row],[10]]</f>
        <v>42795.5</v>
      </c>
      <c r="O851" s="17"/>
      <c r="P851" s="17"/>
      <c r="Q851" s="17"/>
      <c r="R851" s="17"/>
      <c r="S851" s="17"/>
      <c r="T851" s="686"/>
      <c r="U851" s="18">
        <f>РПЗ!P851</f>
        <v>43070.5</v>
      </c>
      <c r="V851" s="686"/>
      <c r="W851" s="236">
        <f>РПЗ!L851</f>
        <v>610986.67000000004</v>
      </c>
      <c r="X851" s="689"/>
      <c r="Y851" s="689"/>
      <c r="Z851" s="690"/>
      <c r="AA851" s="691"/>
      <c r="AB851" s="111"/>
      <c r="AC851" s="17"/>
      <c r="AD851" s="690"/>
      <c r="AE851" s="686"/>
      <c r="AF851" s="474"/>
      <c r="AG851" s="692"/>
      <c r="AH851" s="236" t="str">
        <f>IF(Таблица5[[#This Row],[30]]=0,"НД",Таблица5[[#This Row],[20]]-Таблица5[[#This Row],[30]])</f>
        <v>НД</v>
      </c>
      <c r="AI851" s="511" t="str">
        <f>IF(((1-Таблица5[[#This Row],[30]]/Таблица5[[#This Row],[20]])=1),"НД",(1-Таблица5[[#This Row],[30]]/Таблица5[[#This Row],[20]]))</f>
        <v>НД</v>
      </c>
      <c r="AJ851" s="111"/>
      <c r="AK851" s="111"/>
      <c r="AL851" s="512"/>
      <c r="AM851" s="513"/>
      <c r="AN851" s="465"/>
      <c r="AO851" s="468" t="str">
        <f>РПЗ!AD851</f>
        <v>Нет</v>
      </c>
      <c r="AP851" s="472">
        <f>РПЗ!V851</f>
        <v>0</v>
      </c>
      <c r="AQ851" s="470">
        <f>IF(Таблица5[[#This Row],[11]]=0,,MONTH(Таблица5[[#This Row],[11]]))</f>
        <v>3</v>
      </c>
    </row>
    <row r="852" spans="1:43" s="681" customFormat="1" ht="51" x14ac:dyDescent="0.25">
      <c r="A852" s="691" t="str">
        <f t="shared" si="13"/>
        <v>1004-2017-00837</v>
      </c>
      <c r="B852" s="691" t="str">
        <f>РПЗ!$D852</f>
        <v>1004-2017-00837выполнение работ по бестраншейной замене 2-х участков трубопровода канализационной сети</v>
      </c>
      <c r="C852" s="691" t="str">
        <f>РПЗ!$AA852</f>
        <v>АО "НИИ "Полюс" им. М.Ф. Стельмаха" тел. отдела закупок 8-495-333-05-02</v>
      </c>
      <c r="D852" s="706" t="str">
        <f>РПЗ!$AB852</f>
        <v>Заказчик</v>
      </c>
      <c r="E852" s="510" t="s">
        <v>62</v>
      </c>
      <c r="F852" s="691" t="str">
        <f>РПЗ!Q852</f>
        <v>ОЗК</v>
      </c>
      <c r="G852" s="691" t="str">
        <f>Таблица5[[#This Row],[6]]</f>
        <v>ОЗК</v>
      </c>
      <c r="H852" s="691" t="str">
        <f>РПЗ!R852</f>
        <v>да</v>
      </c>
      <c r="I852" s="707">
        <f>РПЗ!W852</f>
        <v>0</v>
      </c>
      <c r="J852" s="691">
        <f>РПЗ!X852</f>
        <v>0</v>
      </c>
      <c r="K852" s="708">
        <f>РПЗ!Z852</f>
        <v>0</v>
      </c>
      <c r="L852" s="686">
        <v>42829</v>
      </c>
      <c r="M852" s="687">
        <f>РПЗ!O852</f>
        <v>42795.5</v>
      </c>
      <c r="N852" s="687">
        <f>Таблица5[[#This Row],[10]]</f>
        <v>42795.5</v>
      </c>
      <c r="O852" s="686">
        <v>42835</v>
      </c>
      <c r="P852" s="686">
        <v>42838</v>
      </c>
      <c r="Q852" s="686">
        <v>42838</v>
      </c>
      <c r="R852" s="686">
        <v>42836</v>
      </c>
      <c r="S852" s="686">
        <v>42836</v>
      </c>
      <c r="T852" s="686">
        <v>42851</v>
      </c>
      <c r="U852" s="687">
        <f>РПЗ!P852</f>
        <v>43070.5</v>
      </c>
      <c r="V852" s="761">
        <v>42856</v>
      </c>
      <c r="W852" s="692">
        <f>РПЗ!L852</f>
        <v>1024000</v>
      </c>
      <c r="X852" s="689">
        <v>3</v>
      </c>
      <c r="Y852" s="689">
        <v>0</v>
      </c>
      <c r="Z852" s="691">
        <v>7743541323</v>
      </c>
      <c r="AA852" s="691" t="s">
        <v>3358</v>
      </c>
      <c r="AB852" s="692">
        <v>735000</v>
      </c>
      <c r="AC852" s="686">
        <v>42856</v>
      </c>
      <c r="AD852" s="690" t="s">
        <v>6124</v>
      </c>
      <c r="AE852" s="686">
        <v>42851</v>
      </c>
      <c r="AF852" s="690"/>
      <c r="AG852" s="914">
        <v>735000</v>
      </c>
      <c r="AH852" s="692">
        <f>IF(Таблица5[[#This Row],[30]]=0,"НД",Таблица5[[#This Row],[20]]-Таблица5[[#This Row],[30]])</f>
        <v>289000</v>
      </c>
      <c r="AI852" s="709">
        <f>IF(((1-Таблица5[[#This Row],[30]]/Таблица5[[#This Row],[20]])=1),"НД",(1-Таблица5[[#This Row],[30]]/Таблица5[[#This Row],[20]]))</f>
        <v>0.2822265625</v>
      </c>
      <c r="AJ852" s="692">
        <v>735000</v>
      </c>
      <c r="AK852" s="692"/>
      <c r="AL852" s="710"/>
      <c r="AM852" s="711" t="s">
        <v>113</v>
      </c>
      <c r="AN852" s="800">
        <v>31704974390</v>
      </c>
      <c r="AO852" s="712" t="str">
        <f>РПЗ!AD852</f>
        <v>Нет</v>
      </c>
      <c r="AP852" s="713">
        <f>РПЗ!V852</f>
        <v>0</v>
      </c>
      <c r="AQ852" s="714">
        <f>IF(Таблица5[[#This Row],[11]]=0,,MONTH(Таблица5[[#This Row],[11]]))</f>
        <v>3</v>
      </c>
    </row>
    <row r="853" spans="1:43" s="681" customFormat="1" ht="63.75" x14ac:dyDescent="0.25">
      <c r="A853" s="691" t="str">
        <f t="shared" si="13"/>
        <v>1004-2017-00838</v>
      </c>
      <c r="B853" s="691" t="str">
        <f>РПЗ!$D853</f>
        <v>1004-2017-00838Поставка триметилаллюминия, триметилгаллия, триэтилгаллия, диэтилцинка, триметилиндия, бисциклопентадиенгил-магния</v>
      </c>
      <c r="C853" s="691" t="str">
        <f>РПЗ!$AA853</f>
        <v>АО "НИИ "Полюс" им. М.Ф. Стельмаха" тел. отдела закупок 8-495-333-05-02</v>
      </c>
      <c r="D853" s="706" t="str">
        <f>РПЗ!$AB853</f>
        <v>Заказчик</v>
      </c>
      <c r="E853" s="510" t="s">
        <v>62</v>
      </c>
      <c r="F853" s="691" t="str">
        <f>РПЗ!Q853</f>
        <v>ОЗК</v>
      </c>
      <c r="G853" s="691" t="str">
        <f>Таблица5[[#This Row],[6]]</f>
        <v>ОЗК</v>
      </c>
      <c r="H853" s="691" t="str">
        <f>РПЗ!R853</f>
        <v>да</v>
      </c>
      <c r="I853" s="707">
        <f>РПЗ!W853</f>
        <v>0</v>
      </c>
      <c r="J853" s="691">
        <f>РПЗ!X853</f>
        <v>0</v>
      </c>
      <c r="K853" s="708">
        <f>РПЗ!Z853</f>
        <v>0</v>
      </c>
      <c r="L853" s="686"/>
      <c r="M853" s="687">
        <f>РПЗ!O853</f>
        <v>42795.5</v>
      </c>
      <c r="N853" s="687">
        <f>Таблица5[[#This Row],[10]]</f>
        <v>42795.5</v>
      </c>
      <c r="O853" s="686">
        <v>42816</v>
      </c>
      <c r="P853" s="686">
        <v>42821</v>
      </c>
      <c r="Q853" s="686">
        <v>42821</v>
      </c>
      <c r="R853" s="686">
        <v>42816</v>
      </c>
      <c r="S853" s="686">
        <v>42816</v>
      </c>
      <c r="T853" s="686">
        <v>42838</v>
      </c>
      <c r="U853" s="687">
        <f>РПЗ!P853</f>
        <v>42826</v>
      </c>
      <c r="V853" s="761">
        <v>43070</v>
      </c>
      <c r="W853" s="692">
        <f>РПЗ!L853</f>
        <v>1045000</v>
      </c>
      <c r="X853" s="689">
        <v>1</v>
      </c>
      <c r="Y853" s="689">
        <v>0</v>
      </c>
      <c r="Z853" s="691">
        <v>7735148768</v>
      </c>
      <c r="AA853" s="811" t="s">
        <v>3360</v>
      </c>
      <c r="AB853" s="807">
        <v>1045000</v>
      </c>
      <c r="AC853" s="686">
        <v>43070</v>
      </c>
      <c r="AD853" s="690" t="s">
        <v>3361</v>
      </c>
      <c r="AE853" s="686">
        <v>42838</v>
      </c>
      <c r="AF853" s="690"/>
      <c r="AG853" s="691">
        <v>1045000</v>
      </c>
      <c r="AH853" s="692">
        <f>IF(Таблица5[[#This Row],[30]]=0,"НД",Таблица5[[#This Row],[20]]-Таблица5[[#This Row],[30]])</f>
        <v>0</v>
      </c>
      <c r="AI853" s="709">
        <f>IF(((1-Таблица5[[#This Row],[30]]/Таблица5[[#This Row],[20]])=1),"НД",(1-Таблица5[[#This Row],[30]]/Таблица5[[#This Row],[20]]))</f>
        <v>0</v>
      </c>
      <c r="AJ853" s="692">
        <v>1045000</v>
      </c>
      <c r="AK853" s="692"/>
      <c r="AL853" s="710"/>
      <c r="AM853" s="711" t="s">
        <v>113</v>
      </c>
      <c r="AN853" s="800" t="s">
        <v>4834</v>
      </c>
      <c r="AO853" s="712" t="str">
        <f>РПЗ!AD853</f>
        <v>Нет</v>
      </c>
      <c r="AP853" s="713">
        <f>РПЗ!V853</f>
        <v>0</v>
      </c>
      <c r="AQ853" s="714">
        <f>IF(Таблица5[[#This Row],[11]]=0,,MONTH(Таблица5[[#This Row],[11]]))</f>
        <v>3</v>
      </c>
    </row>
    <row r="854" spans="1:43" s="681" customFormat="1" ht="51" x14ac:dyDescent="0.25">
      <c r="A854" s="691" t="str">
        <f t="shared" si="13"/>
        <v>1004-2017-00839</v>
      </c>
      <c r="B854" s="691" t="str">
        <f>РПЗ!$D854</f>
        <v>1004-2017-00839Поставка триметилаллюминия, триметилгаллия, триэтилгаллия, диэтилцинка, триметилиндия</v>
      </c>
      <c r="C854" s="691" t="str">
        <f>РПЗ!$AA854</f>
        <v>АО "НИИ "Полюс" им. М.Ф. Стельмаха" тел. отдела закупок 8-495-333-05-02</v>
      </c>
      <c r="D854" s="706" t="str">
        <f>РПЗ!$AB854</f>
        <v>Заказчик</v>
      </c>
      <c r="E854" s="510" t="s">
        <v>62</v>
      </c>
      <c r="F854" s="691" t="str">
        <f>РПЗ!Q854</f>
        <v>ОЗК</v>
      </c>
      <c r="G854" s="691" t="str">
        <f>Таблица5[[#This Row],[6]]</f>
        <v>ОЗК</v>
      </c>
      <c r="H854" s="691" t="str">
        <f>РПЗ!R854</f>
        <v>да</v>
      </c>
      <c r="I854" s="707">
        <f>РПЗ!W854</f>
        <v>0</v>
      </c>
      <c r="J854" s="691">
        <f>РПЗ!X854</f>
        <v>0</v>
      </c>
      <c r="K854" s="708">
        <f>РПЗ!Z854</f>
        <v>0</v>
      </c>
      <c r="L854" s="686"/>
      <c r="M854" s="687">
        <f>РПЗ!O854</f>
        <v>42795.5</v>
      </c>
      <c r="N854" s="687">
        <f>Таблица5[[#This Row],[10]]</f>
        <v>42795.5</v>
      </c>
      <c r="O854" s="686">
        <v>42816</v>
      </c>
      <c r="P854" s="686">
        <v>42821</v>
      </c>
      <c r="Q854" s="686">
        <v>42821</v>
      </c>
      <c r="R854" s="686">
        <v>42816</v>
      </c>
      <c r="S854" s="686">
        <v>42816</v>
      </c>
      <c r="T854" s="686">
        <v>42838</v>
      </c>
      <c r="U854" s="687">
        <f>РПЗ!P854</f>
        <v>42826</v>
      </c>
      <c r="V854" s="761">
        <v>42736</v>
      </c>
      <c r="W854" s="692">
        <f>РПЗ!L854</f>
        <v>751000</v>
      </c>
      <c r="X854" s="689">
        <v>1</v>
      </c>
      <c r="Y854" s="689">
        <v>0</v>
      </c>
      <c r="Z854" s="691">
        <v>7735148768</v>
      </c>
      <c r="AA854" s="691" t="s">
        <v>3360</v>
      </c>
      <c r="AB854" s="692">
        <v>751000</v>
      </c>
      <c r="AC854" s="686">
        <v>43070</v>
      </c>
      <c r="AD854" s="690" t="s">
        <v>3362</v>
      </c>
      <c r="AE854" s="686">
        <v>42838</v>
      </c>
      <c r="AF854" s="690"/>
      <c r="AG854" s="691">
        <v>751000</v>
      </c>
      <c r="AH854" s="692">
        <f>IF(Таблица5[[#This Row],[30]]=0,"НД",Таблица5[[#This Row],[20]]-Таблица5[[#This Row],[30]])</f>
        <v>0</v>
      </c>
      <c r="AI854" s="709">
        <f>IF(((1-Таблица5[[#This Row],[30]]/Таблица5[[#This Row],[20]])=1),"НД",(1-Таблица5[[#This Row],[30]]/Таблица5[[#This Row],[20]]))</f>
        <v>0</v>
      </c>
      <c r="AJ854" s="692">
        <v>751000</v>
      </c>
      <c r="AK854" s="692"/>
      <c r="AL854" s="710"/>
      <c r="AM854" s="711" t="s">
        <v>113</v>
      </c>
      <c r="AN854" s="800" t="s">
        <v>4833</v>
      </c>
      <c r="AO854" s="712" t="str">
        <f>РПЗ!AD854</f>
        <v>Нет</v>
      </c>
      <c r="AP854" s="713">
        <f>РПЗ!V854</f>
        <v>0</v>
      </c>
      <c r="AQ854" s="714">
        <f>IF(Таблица5[[#This Row],[11]]=0,,MONTH(Таблица5[[#This Row],[11]]))</f>
        <v>3</v>
      </c>
    </row>
    <row r="855" spans="1:43" s="681" customFormat="1" ht="63.75" x14ac:dyDescent="0.25">
      <c r="A855" s="691" t="str">
        <f t="shared" si="13"/>
        <v>1004-2017-00840</v>
      </c>
      <c r="B855" s="691" t="str">
        <f>РПЗ!$D855</f>
        <v>1004-2017-00840Поставка триметилаллюминия, триметилгаллия, триэтилгаллия, диэтилцинка, триметилиндия, бисциклопентадиенгил-магния</v>
      </c>
      <c r="C855" s="691" t="str">
        <f>РПЗ!$AA855</f>
        <v>АО "НИИ "Полюс" им. М.Ф. Стельмаха" тел. отдела закупок 8-495-333-05-02</v>
      </c>
      <c r="D855" s="706" t="str">
        <f>РПЗ!$AB855</f>
        <v>Заказчик</v>
      </c>
      <c r="E855" s="510" t="s">
        <v>62</v>
      </c>
      <c r="F855" s="691" t="str">
        <f>РПЗ!Q855</f>
        <v>ОЗК</v>
      </c>
      <c r="G855" s="691" t="str">
        <f>Таблица5[[#This Row],[6]]</f>
        <v>ОЗК</v>
      </c>
      <c r="H855" s="691" t="str">
        <f>РПЗ!R855</f>
        <v>да</v>
      </c>
      <c r="I855" s="707">
        <f>РПЗ!W855</f>
        <v>0</v>
      </c>
      <c r="J855" s="691">
        <f>РПЗ!X855</f>
        <v>0</v>
      </c>
      <c r="K855" s="708">
        <f>РПЗ!Z855</f>
        <v>0</v>
      </c>
      <c r="L855" s="686"/>
      <c r="M855" s="687">
        <f>РПЗ!O855</f>
        <v>42795.5</v>
      </c>
      <c r="N855" s="687">
        <f>Таблица5[[#This Row],[10]]</f>
        <v>42795.5</v>
      </c>
      <c r="O855" s="686">
        <v>42816</v>
      </c>
      <c r="P855" s="686">
        <v>42821</v>
      </c>
      <c r="Q855" s="686">
        <v>42821</v>
      </c>
      <c r="R855" s="686">
        <v>42816</v>
      </c>
      <c r="S855" s="686">
        <v>42816</v>
      </c>
      <c r="T855" s="686">
        <v>42835</v>
      </c>
      <c r="U855" s="687">
        <f>РПЗ!P855</f>
        <v>42826</v>
      </c>
      <c r="V855" s="761">
        <v>42887</v>
      </c>
      <c r="W855" s="692">
        <f>РПЗ!L855</f>
        <v>1076000</v>
      </c>
      <c r="X855" s="689">
        <v>1</v>
      </c>
      <c r="Y855" s="689">
        <v>0</v>
      </c>
      <c r="Z855" s="691">
        <v>7735148768</v>
      </c>
      <c r="AA855" s="691" t="s">
        <v>3360</v>
      </c>
      <c r="AB855" s="692">
        <v>1076000</v>
      </c>
      <c r="AC855" s="686">
        <v>42887</v>
      </c>
      <c r="AD855" s="690" t="s">
        <v>3363</v>
      </c>
      <c r="AE855" s="686">
        <v>42835</v>
      </c>
      <c r="AF855" s="690"/>
      <c r="AG855" s="691">
        <v>1076000</v>
      </c>
      <c r="AH855" s="692">
        <f>IF(Таблица5[[#This Row],[30]]=0,"НД",Таблица5[[#This Row],[20]]-Таблица5[[#This Row],[30]])</f>
        <v>0</v>
      </c>
      <c r="AI855" s="709">
        <f>IF(((1-Таблица5[[#This Row],[30]]/Таблица5[[#This Row],[20]])=1),"НД",(1-Таблица5[[#This Row],[30]]/Таблица5[[#This Row],[20]]))</f>
        <v>0</v>
      </c>
      <c r="AJ855" s="692">
        <v>1076000</v>
      </c>
      <c r="AK855" s="692"/>
      <c r="AL855" s="710"/>
      <c r="AM855" s="711" t="s">
        <v>113</v>
      </c>
      <c r="AN855" s="800" t="s">
        <v>4832</v>
      </c>
      <c r="AO855" s="712" t="str">
        <f>РПЗ!AD855</f>
        <v>Нет</v>
      </c>
      <c r="AP855" s="713">
        <f>РПЗ!V855</f>
        <v>0</v>
      </c>
      <c r="AQ855" s="714">
        <f>IF(Таблица5[[#This Row],[11]]=0,,MONTH(Таблица5[[#This Row],[11]]))</f>
        <v>3</v>
      </c>
    </row>
    <row r="856" spans="1:43" s="752" customFormat="1" ht="38.25" x14ac:dyDescent="0.25">
      <c r="A856" s="740" t="str">
        <f t="shared" si="13"/>
        <v>1004-2017-00841</v>
      </c>
      <c r="B856" s="740" t="str">
        <f>РПЗ!$D856</f>
        <v xml:space="preserve">1004-2017-00841Поставка арсина и фосфина </v>
      </c>
      <c r="C856" s="740" t="str">
        <f>РПЗ!$AA856</f>
        <v>АО "НИИ "Полюс" им. М.Ф. Стельмаха" тел. отдела закупок 8-495-333-05-02</v>
      </c>
      <c r="D856" s="742" t="str">
        <f>РПЗ!$AB856</f>
        <v>Заказчик</v>
      </c>
      <c r="E856" s="825" t="s">
        <v>62</v>
      </c>
      <c r="F856" s="740" t="str">
        <f>РПЗ!Q856</f>
        <v>ОЗК</v>
      </c>
      <c r="G856" s="740" t="s">
        <v>108</v>
      </c>
      <c r="H856" s="740" t="str">
        <f>РПЗ!R856</f>
        <v>да</v>
      </c>
      <c r="I856" s="743">
        <f>РПЗ!W856</f>
        <v>0</v>
      </c>
      <c r="J856" s="740">
        <f>РПЗ!X856</f>
        <v>0</v>
      </c>
      <c r="K856" s="744">
        <f>РПЗ!Z856</f>
        <v>0</v>
      </c>
      <c r="L856" s="737"/>
      <c r="M856" s="745">
        <f>РПЗ!O856</f>
        <v>42795.5</v>
      </c>
      <c r="N856" s="745">
        <f>Таблица5[[#This Row],[10]]</f>
        <v>42795.5</v>
      </c>
      <c r="O856" s="737">
        <v>42816</v>
      </c>
      <c r="P856" s="737">
        <v>42821</v>
      </c>
      <c r="Q856" s="737">
        <v>42821</v>
      </c>
      <c r="R856" s="737">
        <v>42816</v>
      </c>
      <c r="S856" s="737">
        <v>42816</v>
      </c>
      <c r="T856" s="737">
        <v>42837</v>
      </c>
      <c r="U856" s="745">
        <f>РПЗ!P856</f>
        <v>42826.5</v>
      </c>
      <c r="V856" s="763">
        <v>43070</v>
      </c>
      <c r="W856" s="741">
        <f>РПЗ!L856</f>
        <v>1831950</v>
      </c>
      <c r="X856" s="738">
        <v>1</v>
      </c>
      <c r="Y856" s="738">
        <v>0</v>
      </c>
      <c r="Z856" s="740">
        <v>5261079332</v>
      </c>
      <c r="AA856" s="740" t="s">
        <v>3365</v>
      </c>
      <c r="AB856" s="741">
        <v>1831950</v>
      </c>
      <c r="AC856" s="737">
        <v>43070</v>
      </c>
      <c r="AD856" s="739" t="s">
        <v>3366</v>
      </c>
      <c r="AE856" s="737">
        <v>42837</v>
      </c>
      <c r="AF856" s="739"/>
      <c r="AG856" s="740">
        <v>1831950</v>
      </c>
      <c r="AH856" s="741">
        <f>IF(Таблица5[[#This Row],[30]]=0,"НД",Таблица5[[#This Row],[20]]-Таблица5[[#This Row],[30]])</f>
        <v>0</v>
      </c>
      <c r="AI856" s="746">
        <f>IF(((1-Таблица5[[#This Row],[30]]/Таблица5[[#This Row],[20]])=1),"НД",(1-Таблица5[[#This Row],[30]]/Таблица5[[#This Row],[20]]))</f>
        <v>0</v>
      </c>
      <c r="AJ856" s="741"/>
      <c r="AK856" s="741"/>
      <c r="AL856" s="747"/>
      <c r="AM856" s="748" t="s">
        <v>113</v>
      </c>
      <c r="AN856" s="815" t="s">
        <v>4829</v>
      </c>
      <c r="AO856" s="749" t="str">
        <f>РПЗ!AD856</f>
        <v>Нет</v>
      </c>
      <c r="AP856" s="750">
        <f>РПЗ!V856</f>
        <v>0</v>
      </c>
      <c r="AQ856" s="751">
        <f>IF(Таблица5[[#This Row],[11]]=0,,MONTH(Таблица5[[#This Row],[11]]))</f>
        <v>3</v>
      </c>
    </row>
    <row r="857" spans="1:43" s="681" customFormat="1" ht="38.25" x14ac:dyDescent="0.25">
      <c r="A857" s="729" t="str">
        <f t="shared" si="13"/>
        <v>1004-2017-00842</v>
      </c>
      <c r="B857" s="729" t="str">
        <f>РПЗ!$D857</f>
        <v xml:space="preserve">1004-2017-00842Поставка арсина и фосфина </v>
      </c>
      <c r="C857" s="729" t="str">
        <f>РПЗ!$AA857</f>
        <v>АО "НИИ "Полюс" им. М.Ф. Стельмаха" тел. отдела закупок 8-495-333-05-02</v>
      </c>
      <c r="D857" s="753" t="str">
        <f>РПЗ!$AB857</f>
        <v>Заказчик</v>
      </c>
      <c r="E857" s="718" t="s">
        <v>62</v>
      </c>
      <c r="F857" s="729" t="str">
        <f>РПЗ!Q857</f>
        <v>ОЗК</v>
      </c>
      <c r="G857" s="729" t="str">
        <f>Таблица5[[#This Row],[6]]</f>
        <v>ОЗК</v>
      </c>
      <c r="H857" s="729" t="str">
        <f>РПЗ!R857</f>
        <v>да</v>
      </c>
      <c r="I857" s="754">
        <f>РПЗ!W857</f>
        <v>0</v>
      </c>
      <c r="J857" s="729">
        <f>РПЗ!X857</f>
        <v>0</v>
      </c>
      <c r="K857" s="755">
        <f>РПЗ!Z857</f>
        <v>0</v>
      </c>
      <c r="L857" s="725"/>
      <c r="M857" s="756">
        <f>РПЗ!O857</f>
        <v>42795.5</v>
      </c>
      <c r="N857" s="756">
        <f>Таблица5[[#This Row],[10]]</f>
        <v>42795.5</v>
      </c>
      <c r="O857" s="725">
        <v>42817</v>
      </c>
      <c r="P857" s="725">
        <v>42822</v>
      </c>
      <c r="Q857" s="725">
        <v>42822</v>
      </c>
      <c r="R857" s="725">
        <v>42817</v>
      </c>
      <c r="S857" s="725">
        <v>42817</v>
      </c>
      <c r="T857" s="725">
        <v>42837</v>
      </c>
      <c r="U857" s="756">
        <f>РПЗ!P857</f>
        <v>42826.5</v>
      </c>
      <c r="V857" s="764">
        <v>43070</v>
      </c>
      <c r="W857" s="732">
        <f>РПЗ!L857</f>
        <v>1628400</v>
      </c>
      <c r="X857" s="727">
        <v>1</v>
      </c>
      <c r="Y857" s="727">
        <v>0</v>
      </c>
      <c r="Z857" s="729">
        <v>5261079332</v>
      </c>
      <c r="AA857" s="729" t="s">
        <v>3365</v>
      </c>
      <c r="AB857" s="732">
        <v>1628400</v>
      </c>
      <c r="AC857" s="725">
        <v>43070</v>
      </c>
      <c r="AD857" s="728" t="s">
        <v>3367</v>
      </c>
      <c r="AE857" s="725">
        <v>42837</v>
      </c>
      <c r="AF857" s="728"/>
      <c r="AG857" s="729">
        <v>1628400</v>
      </c>
      <c r="AH857" s="732">
        <f>IF(Таблица5[[#This Row],[30]]=0,"НД",Таблица5[[#This Row],[20]]-Таблица5[[#This Row],[30]])</f>
        <v>0</v>
      </c>
      <c r="AI857" s="757">
        <f>IF(((1-Таблица5[[#This Row],[30]]/Таблица5[[#This Row],[20]])=1),"НД",(1-Таблица5[[#This Row],[30]]/Таблица5[[#This Row],[20]]))</f>
        <v>0</v>
      </c>
      <c r="AJ857" s="732"/>
      <c r="AK857" s="732"/>
      <c r="AL857" s="758"/>
      <c r="AM857" s="759" t="s">
        <v>113</v>
      </c>
      <c r="AN857" s="816" t="s">
        <v>4831</v>
      </c>
      <c r="AO857" s="712" t="str">
        <f>РПЗ!AD857</f>
        <v>Нет</v>
      </c>
      <c r="AP857" s="713">
        <f>РПЗ!V857</f>
        <v>0</v>
      </c>
      <c r="AQ857" s="714">
        <f>IF(Таблица5[[#This Row],[11]]=0,,MONTH(Таблица5[[#This Row],[11]]))</f>
        <v>3</v>
      </c>
    </row>
    <row r="858" spans="1:43" s="681" customFormat="1" ht="38.25" x14ac:dyDescent="0.25">
      <c r="A858" s="691" t="str">
        <f t="shared" si="13"/>
        <v>1004-2017-00843</v>
      </c>
      <c r="B858" s="691" t="str">
        <f>РПЗ!$D858</f>
        <v xml:space="preserve">1004-2017-00843Поставка арсина и фосфина </v>
      </c>
      <c r="C858" s="691" t="str">
        <f>РПЗ!$AA858</f>
        <v>АО "НИИ "Полюс" им. М.Ф. Стельмаха" тел. отдела закупок 8-495-333-05-02</v>
      </c>
      <c r="D858" s="706" t="str">
        <f>РПЗ!$AB858</f>
        <v>Заказчик</v>
      </c>
      <c r="E858" s="510" t="s">
        <v>62</v>
      </c>
      <c r="F858" s="691" t="str">
        <f>РПЗ!Q858</f>
        <v>ОЗК</v>
      </c>
      <c r="G858" s="691" t="str">
        <f>Таблица5[[#This Row],[6]]</f>
        <v>ОЗК</v>
      </c>
      <c r="H858" s="691" t="str">
        <f>РПЗ!R858</f>
        <v>да</v>
      </c>
      <c r="I858" s="707">
        <f>РПЗ!W858</f>
        <v>0</v>
      </c>
      <c r="J858" s="691">
        <f>РПЗ!X858</f>
        <v>0</v>
      </c>
      <c r="K858" s="708">
        <f>РПЗ!Z858</f>
        <v>0</v>
      </c>
      <c r="L858" s="686"/>
      <c r="M858" s="687">
        <f>РПЗ!O858</f>
        <v>42795.5</v>
      </c>
      <c r="N858" s="687">
        <f>Таблица5[[#This Row],[10]]</f>
        <v>42795.5</v>
      </c>
      <c r="O858" s="686">
        <v>42816</v>
      </c>
      <c r="P858" s="686">
        <v>42821</v>
      </c>
      <c r="Q858" s="686">
        <v>42821</v>
      </c>
      <c r="R858" s="686">
        <v>42816</v>
      </c>
      <c r="S858" s="686">
        <v>42816</v>
      </c>
      <c r="T858" s="686">
        <v>42837</v>
      </c>
      <c r="U858" s="687">
        <f>РПЗ!P858</f>
        <v>42826.5</v>
      </c>
      <c r="V858" s="761">
        <v>43070</v>
      </c>
      <c r="W858" s="692">
        <f>РПЗ!L858</f>
        <v>1696250</v>
      </c>
      <c r="X858" s="689">
        <v>1</v>
      </c>
      <c r="Y858" s="689">
        <v>0</v>
      </c>
      <c r="Z858" s="691">
        <v>5261079332</v>
      </c>
      <c r="AA858" s="691" t="s">
        <v>3365</v>
      </c>
      <c r="AB858" s="692">
        <v>1696250</v>
      </c>
      <c r="AC858" s="686">
        <v>43070</v>
      </c>
      <c r="AD858" s="690" t="s">
        <v>3368</v>
      </c>
      <c r="AE858" s="686">
        <v>42837</v>
      </c>
      <c r="AF858" s="690"/>
      <c r="AG858" s="830">
        <v>1696250</v>
      </c>
      <c r="AH858" s="692">
        <f>IF(Таблица5[[#This Row],[30]]=0,"НД",Таблица5[[#This Row],[20]]-Таблица5[[#This Row],[30]])</f>
        <v>0</v>
      </c>
      <c r="AI858" s="709">
        <f>IF(((1-Таблица5[[#This Row],[30]]/Таблица5[[#This Row],[20]])=1),"НД",(1-Таблица5[[#This Row],[30]]/Таблица5[[#This Row],[20]]))</f>
        <v>0</v>
      </c>
      <c r="AJ858" s="692"/>
      <c r="AK858" s="692"/>
      <c r="AL858" s="710"/>
      <c r="AM858" s="711" t="s">
        <v>113</v>
      </c>
      <c r="AN858" s="800" t="s">
        <v>4830</v>
      </c>
      <c r="AO858" s="712" t="str">
        <f>РПЗ!AD858</f>
        <v>Нет</v>
      </c>
      <c r="AP858" s="713">
        <f>РПЗ!V858</f>
        <v>0</v>
      </c>
      <c r="AQ858" s="714">
        <f>IF(Таблица5[[#This Row],[11]]=0,,MONTH(Таблица5[[#This Row],[11]]))</f>
        <v>3</v>
      </c>
    </row>
    <row r="859" spans="1:43" ht="89.25" x14ac:dyDescent="0.25">
      <c r="A859" s="233" t="str">
        <f t="shared" si="13"/>
        <v>1004-2017-00844</v>
      </c>
      <c r="B859" s="233" t="str">
        <f>РПЗ!$D859</f>
        <v>1004-2017-00844Разработка технологий формирования дифрационной решетки на плпстине с элементами лазерных диодов для оптоэлектронных модулей СВЧ-диапазона с частотой модуляции 0,1-12 ГГц</v>
      </c>
      <c r="C859" s="233" t="str">
        <f>РПЗ!$AA859</f>
        <v>АО "НИИ "Полюс" им. М.Ф. Стельмаха" тел. отдела закупок 8-495-333-05-02</v>
      </c>
      <c r="D859" s="633" t="str">
        <f>РПЗ!$AB859</f>
        <v>Заказчик</v>
      </c>
      <c r="E859" s="510" t="s">
        <v>62</v>
      </c>
      <c r="F859" s="233" t="str">
        <f>РПЗ!Q859</f>
        <v>ЕП</v>
      </c>
      <c r="G859" s="237" t="str">
        <f>Таблица5[[#This Row],[6]]</f>
        <v>ЕП</v>
      </c>
      <c r="H859" s="237" t="str">
        <f>РПЗ!R859</f>
        <v>нет</v>
      </c>
      <c r="I859" s="15" t="str">
        <f>РПЗ!W859</f>
        <v>6.6.2(7)</v>
      </c>
      <c r="J859" s="233" t="str">
        <f>РПЗ!X859</f>
        <v>7726318050</v>
      </c>
      <c r="K859" s="283">
        <f>РПЗ!Z859</f>
        <v>40000000</v>
      </c>
      <c r="L859" s="17">
        <v>42814</v>
      </c>
      <c r="M859" s="18">
        <f>РПЗ!O859</f>
        <v>42795.5</v>
      </c>
      <c r="N859" s="238">
        <f>Таблица5[[#This Row],[10]]</f>
        <v>42795.5</v>
      </c>
      <c r="O859" s="17"/>
      <c r="P859" s="17"/>
      <c r="Q859" s="17"/>
      <c r="R859" s="17"/>
      <c r="S859" s="17"/>
      <c r="T859" s="661" t="s">
        <v>3332</v>
      </c>
      <c r="U859" s="18">
        <f>РПЗ!P859</f>
        <v>43070.5</v>
      </c>
      <c r="V859" s="761">
        <v>43617</v>
      </c>
      <c r="W859" s="236">
        <f>РПЗ!L859</f>
        <v>40000000</v>
      </c>
      <c r="X859" s="689">
        <v>1</v>
      </c>
      <c r="Y859" s="689">
        <v>0</v>
      </c>
      <c r="Z859" s="691">
        <v>7726318050</v>
      </c>
      <c r="AA859" s="691" t="s">
        <v>3335</v>
      </c>
      <c r="AB859" s="111">
        <v>40000000</v>
      </c>
      <c r="AC859" s="686">
        <v>43617</v>
      </c>
      <c r="AD859" s="690" t="s">
        <v>3336</v>
      </c>
      <c r="AE859" s="686">
        <v>42842</v>
      </c>
      <c r="AF859" s="474"/>
      <c r="AG859" s="691">
        <v>40000000</v>
      </c>
      <c r="AH859" s="236">
        <f>IF(Таблица5[[#This Row],[30]]=0,"НД",Таблица5[[#This Row],[20]]-Таблица5[[#This Row],[30]])</f>
        <v>0</v>
      </c>
      <c r="AI859" s="511">
        <f>IF(((1-Таблица5[[#This Row],[30]]/Таблица5[[#This Row],[20]])=1),"НД",(1-Таблица5[[#This Row],[30]]/Таблица5[[#This Row],[20]]))</f>
        <v>0</v>
      </c>
      <c r="AJ859" s="111"/>
      <c r="AK859" s="111"/>
      <c r="AL859" s="512"/>
      <c r="AM859" s="513" t="s">
        <v>113</v>
      </c>
      <c r="AN859" s="801">
        <v>31704914928</v>
      </c>
      <c r="AO859" s="468" t="str">
        <f>РПЗ!AD859</f>
        <v>Нет</v>
      </c>
      <c r="AP859" s="472">
        <f>РПЗ!V859</f>
        <v>0</v>
      </c>
      <c r="AQ859" s="470">
        <f>IF(Таблица5[[#This Row],[11]]=0,,MONTH(Таблица5[[#This Row],[11]]))</f>
        <v>3</v>
      </c>
    </row>
    <row r="860" spans="1:43" ht="128.25" thickBot="1" x14ac:dyDescent="0.3">
      <c r="A860" s="233" t="str">
        <f t="shared" si="13"/>
        <v>1004-2017-00845</v>
      </c>
      <c r="B860" s="233" t="str">
        <f>РПЗ!$D860</f>
        <v>1004-2017-00845Проведение испытаний передающего оптоэлектронного модуля и приемного оптоэлектронного модуля на воздействие специальных факторов</v>
      </c>
      <c r="C860" s="233" t="str">
        <f>РПЗ!$AA860</f>
        <v>АО "НИИ "Полюс" им. М.Ф. Стельмаха" тел. отдела закупок 8-495-333-05-02</v>
      </c>
      <c r="D860" s="633" t="str">
        <f>РПЗ!$AB860</f>
        <v>Заказчик</v>
      </c>
      <c r="E860" s="510" t="s">
        <v>62</v>
      </c>
      <c r="F860" s="233" t="str">
        <f>РПЗ!Q860</f>
        <v>ЕП</v>
      </c>
      <c r="G860" s="237" t="str">
        <f>Таблица5[[#This Row],[6]]</f>
        <v>ЕП</v>
      </c>
      <c r="H860" s="237" t="str">
        <f>РПЗ!R860</f>
        <v>нет</v>
      </c>
      <c r="I860" s="15" t="str">
        <f>РПЗ!W860</f>
        <v>6.6.2(7)</v>
      </c>
      <c r="J860" s="233" t="str">
        <f>РПЗ!X860</f>
        <v>7724179933</v>
      </c>
      <c r="K860" s="283">
        <f>РПЗ!Z860</f>
        <v>5000000</v>
      </c>
      <c r="L860" s="17">
        <v>42811</v>
      </c>
      <c r="M860" s="18">
        <f>РПЗ!O860</f>
        <v>42795.5</v>
      </c>
      <c r="N860" s="238">
        <f>Таблица5[[#This Row],[10]]</f>
        <v>42795.5</v>
      </c>
      <c r="O860" s="17"/>
      <c r="P860" s="17"/>
      <c r="Q860" s="17"/>
      <c r="R860" s="17"/>
      <c r="S860" s="17"/>
      <c r="T860" s="686">
        <v>42846</v>
      </c>
      <c r="U860" s="18">
        <f>РПЗ!P860</f>
        <v>43070.5</v>
      </c>
      <c r="V860" s="686">
        <v>42917</v>
      </c>
      <c r="W860" s="236">
        <f>РПЗ!L860</f>
        <v>5000000</v>
      </c>
      <c r="X860" s="689">
        <v>1</v>
      </c>
      <c r="Y860" s="689">
        <v>0</v>
      </c>
      <c r="Z860" s="691">
        <v>7724179933</v>
      </c>
      <c r="AA860" s="691" t="s">
        <v>2350</v>
      </c>
      <c r="AB860" s="111">
        <v>5000000</v>
      </c>
      <c r="AC860" s="17">
        <v>42917</v>
      </c>
      <c r="AD860" s="690" t="s">
        <v>6036</v>
      </c>
      <c r="AE860" s="686">
        <v>42846</v>
      </c>
      <c r="AF860" s="474"/>
      <c r="AG860" s="692">
        <v>5000000</v>
      </c>
      <c r="AH860" s="236">
        <f>IF(Таблица5[[#This Row],[30]]=0,"НД",Таблица5[[#This Row],[20]]-Таблица5[[#This Row],[30]])</f>
        <v>0</v>
      </c>
      <c r="AI860" s="511">
        <f>IF(((1-Таблица5[[#This Row],[30]]/Таблица5[[#This Row],[20]])=1),"НД",(1-Таблица5[[#This Row],[30]]/Таблица5[[#This Row],[20]]))</f>
        <v>0</v>
      </c>
      <c r="AJ860" s="111"/>
      <c r="AK860" s="111"/>
      <c r="AL860" s="512"/>
      <c r="AM860" s="513" t="s">
        <v>113</v>
      </c>
      <c r="AN860" s="801">
        <v>31704910711</v>
      </c>
      <c r="AO860" s="468" t="str">
        <f>РПЗ!AD860</f>
        <v>Нет</v>
      </c>
      <c r="AP860" s="472">
        <f>РПЗ!V860</f>
        <v>0</v>
      </c>
      <c r="AQ860" s="470">
        <f>IF(Таблица5[[#This Row],[11]]=0,,MONTH(Таблица5[[#This Row],[11]]))</f>
        <v>3</v>
      </c>
    </row>
    <row r="861" spans="1:43" ht="63.75" x14ac:dyDescent="0.25">
      <c r="A861" s="233" t="str">
        <f t="shared" si="13"/>
        <v>1004-2017-00846</v>
      </c>
      <c r="B861" s="233" t="str">
        <f>РПЗ!$D861</f>
        <v>1004-2017-00846Поставка  Разработка плат согласования импендансов для оптоэлектронных модулей СВЧ-диапазона с частотой модуляции ГГц</v>
      </c>
      <c r="C861" s="233" t="str">
        <f>РПЗ!$AA861</f>
        <v>АО "НИИ "Полюс" им. М.Ф. Стельмаха" тел. отдела закупок 8-495-333-05-02</v>
      </c>
      <c r="D861" s="633" t="str">
        <f>РПЗ!$AB861</f>
        <v>Заказчик</v>
      </c>
      <c r="E861" s="96" t="s">
        <v>46</v>
      </c>
      <c r="F861" s="233" t="str">
        <f>РПЗ!Q861</f>
        <v>ЕП</v>
      </c>
      <c r="G861" s="237"/>
      <c r="H861" s="237" t="str">
        <f>РПЗ!R861</f>
        <v>нет</v>
      </c>
      <c r="I861" s="15" t="str">
        <f>РПЗ!W861</f>
        <v>6.6.2(7)</v>
      </c>
      <c r="J861" s="233">
        <f>РПЗ!X861</f>
        <v>0</v>
      </c>
      <c r="K861" s="283">
        <f>РПЗ!Z861</f>
        <v>0</v>
      </c>
      <c r="L861" s="17"/>
      <c r="M861" s="18">
        <f>РПЗ!O861</f>
        <v>42795.5</v>
      </c>
      <c r="N861" s="238">
        <f>Таблица5[[#This Row],[10]]</f>
        <v>42795.5</v>
      </c>
      <c r="O861" s="17"/>
      <c r="P861" s="17"/>
      <c r="Q861" s="17"/>
      <c r="R861" s="17"/>
      <c r="S861" s="17"/>
      <c r="T861" s="686"/>
      <c r="U861" s="18">
        <f>РПЗ!P861</f>
        <v>43070.5</v>
      </c>
      <c r="V861" s="686"/>
      <c r="W861" s="236">
        <f>РПЗ!L861</f>
        <v>18000000</v>
      </c>
      <c r="X861" s="689"/>
      <c r="Y861" s="689"/>
      <c r="Z861" s="690"/>
      <c r="AA861" s="691"/>
      <c r="AB861" s="111"/>
      <c r="AC861" s="17"/>
      <c r="AD861" s="690"/>
      <c r="AE861" s="686"/>
      <c r="AF861" s="474"/>
      <c r="AG861" s="692"/>
      <c r="AH861" s="236" t="str">
        <f>IF(Таблица5[[#This Row],[30]]=0,"НД",Таблица5[[#This Row],[20]]-Таблица5[[#This Row],[30]])</f>
        <v>НД</v>
      </c>
      <c r="AI861" s="511" t="str">
        <f>IF(((1-Таблица5[[#This Row],[30]]/Таблица5[[#This Row],[20]])=1),"НД",(1-Таблица5[[#This Row],[30]]/Таблица5[[#This Row],[20]]))</f>
        <v>НД</v>
      </c>
      <c r="AJ861" s="111"/>
      <c r="AK861" s="111"/>
      <c r="AL861" s="512"/>
      <c r="AM861" s="513"/>
      <c r="AN861" s="465"/>
      <c r="AO861" s="468" t="str">
        <f>РПЗ!AD861</f>
        <v>Нет</v>
      </c>
      <c r="AP861" s="472">
        <f>РПЗ!V861</f>
        <v>0</v>
      </c>
      <c r="AQ861" s="470">
        <f>IF(Таблица5[[#This Row],[11]]=0,,MONTH(Таблица5[[#This Row],[11]]))</f>
        <v>3</v>
      </c>
    </row>
    <row r="862" spans="1:43" s="681" customFormat="1" ht="39" thickBot="1" x14ac:dyDescent="0.3">
      <c r="A862" s="691" t="str">
        <f t="shared" si="13"/>
        <v>1004-2017-00847</v>
      </c>
      <c r="B862" s="691" t="str">
        <f>РПЗ!$D862</f>
        <v>1004-2017-00847поставка жалюзи</v>
      </c>
      <c r="C862" s="691" t="str">
        <f>РПЗ!$AA862</f>
        <v>АО "НИИ "Полюс" им. М.Ф. Стельмаха" тел. отдела закупок 8-495-333-05-02</v>
      </c>
      <c r="D862" s="706" t="str">
        <f>РПЗ!$AB862</f>
        <v>Заказчик</v>
      </c>
      <c r="E862" s="510" t="s">
        <v>62</v>
      </c>
      <c r="F862" s="691" t="str">
        <f>РПЗ!Q862</f>
        <v>ОЗК</v>
      </c>
      <c r="G862" s="691" t="str">
        <f>Таблица5[[#This Row],[6]]</f>
        <v>ОЗК</v>
      </c>
      <c r="H862" s="691" t="str">
        <f>РПЗ!R862</f>
        <v>да</v>
      </c>
      <c r="I862" s="707">
        <f>РПЗ!W862</f>
        <v>0</v>
      </c>
      <c r="J862" s="691">
        <f>РПЗ!X862</f>
        <v>0</v>
      </c>
      <c r="K862" s="708">
        <f>РПЗ!Z862</f>
        <v>0</v>
      </c>
      <c r="L862" s="686">
        <v>42829</v>
      </c>
      <c r="M862" s="687">
        <f>РПЗ!O862</f>
        <v>42795.5</v>
      </c>
      <c r="N862" s="687">
        <f>Таблица5[[#This Row],[10]]</f>
        <v>42795.5</v>
      </c>
      <c r="O862" s="686">
        <v>42835</v>
      </c>
      <c r="P862" s="686">
        <v>42838</v>
      </c>
      <c r="Q862" s="686">
        <v>42838</v>
      </c>
      <c r="R862" s="686">
        <v>42835</v>
      </c>
      <c r="S862" s="686">
        <v>42835</v>
      </c>
      <c r="T862" s="686">
        <v>42850</v>
      </c>
      <c r="U862" s="687">
        <f>РПЗ!P862</f>
        <v>43070.5</v>
      </c>
      <c r="V862" s="761">
        <v>42856</v>
      </c>
      <c r="W862" s="692">
        <f>РПЗ!L862</f>
        <v>400668</v>
      </c>
      <c r="X862" s="689">
        <v>6</v>
      </c>
      <c r="Y862" s="689">
        <v>0</v>
      </c>
      <c r="Z862" s="691">
        <v>7723141422</v>
      </c>
      <c r="AA862" s="691" t="s">
        <v>3369</v>
      </c>
      <c r="AB862" s="692">
        <v>133128</v>
      </c>
      <c r="AC862" s="686">
        <v>42856</v>
      </c>
      <c r="AD862" s="690" t="s">
        <v>6082</v>
      </c>
      <c r="AE862" s="686">
        <v>42850</v>
      </c>
      <c r="AF862" s="690"/>
      <c r="AG862" s="914">
        <v>133128</v>
      </c>
      <c r="AH862" s="692">
        <f>IF(Таблица5[[#This Row],[30]]=0,"НД",Таблица5[[#This Row],[20]]-Таблица5[[#This Row],[30]])</f>
        <v>267540</v>
      </c>
      <c r="AI862" s="709">
        <f>IF(((1-Таблица5[[#This Row],[30]]/Таблица5[[#This Row],[20]])=1),"НД",(1-Таблица5[[#This Row],[30]]/Таблица5[[#This Row],[20]]))</f>
        <v>0.6677348827458145</v>
      </c>
      <c r="AJ862" s="692">
        <v>133128</v>
      </c>
      <c r="AK862" s="692"/>
      <c r="AL862" s="710"/>
      <c r="AM862" s="711" t="s">
        <v>113</v>
      </c>
      <c r="AN862" s="800">
        <v>31704973134</v>
      </c>
      <c r="AO862" s="712" t="str">
        <f>РПЗ!AD862</f>
        <v>Нет</v>
      </c>
      <c r="AP862" s="713">
        <f>РПЗ!V862</f>
        <v>0</v>
      </c>
      <c r="AQ862" s="714">
        <f>IF(Таблица5[[#This Row],[11]]=0,,MONTH(Таблица5[[#This Row],[11]]))</f>
        <v>3</v>
      </c>
    </row>
    <row r="863" spans="1:43" ht="89.25" x14ac:dyDescent="0.25">
      <c r="A863" s="233" t="str">
        <f t="shared" si="13"/>
        <v>1004-2017-00848</v>
      </c>
      <c r="B863" s="233" t="str">
        <f>РПЗ!$D863</f>
        <v>1004-2017-00848Договор на поставку комплектов ФСС «Система Финансовый директор», интернет версия 12 месяцев, однопользовательская и ФСС «Система Юрист», интернет версия 12 месяцев, однопользовательская</v>
      </c>
      <c r="C863" s="233" t="str">
        <f>РПЗ!$AA863</f>
        <v>АО "НИИ "Полюс" им. М.Ф. Стельмаха" тел. отдела закупок 8-495-333-05-02</v>
      </c>
      <c r="D863" s="633" t="str">
        <f>РПЗ!$AB863</f>
        <v>Заказчик</v>
      </c>
      <c r="E863" s="96" t="s">
        <v>46</v>
      </c>
      <c r="F863" s="233" t="str">
        <f>РПЗ!Q863</f>
        <v>ОЗК</v>
      </c>
      <c r="G863" s="237"/>
      <c r="H863" s="237" t="str">
        <f>РПЗ!R863</f>
        <v>да</v>
      </c>
      <c r="I863" s="15">
        <f>РПЗ!W863</f>
        <v>0</v>
      </c>
      <c r="J863" s="233">
        <f>РПЗ!X863</f>
        <v>0</v>
      </c>
      <c r="K863" s="283">
        <f>РПЗ!Z863</f>
        <v>0</v>
      </c>
      <c r="L863" s="17"/>
      <c r="M863" s="18">
        <f>РПЗ!O863</f>
        <v>42795.5</v>
      </c>
      <c r="N863" s="238">
        <f>Таблица5[[#This Row],[10]]</f>
        <v>42795.5</v>
      </c>
      <c r="O863" s="17"/>
      <c r="P863" s="17"/>
      <c r="Q863" s="17"/>
      <c r="R863" s="17"/>
      <c r="S863" s="17"/>
      <c r="T863" s="686"/>
      <c r="U863" s="18">
        <f>РПЗ!P863</f>
        <v>43159.5</v>
      </c>
      <c r="V863" s="686"/>
      <c r="W863" s="236">
        <f>РПЗ!L863</f>
        <v>115746</v>
      </c>
      <c r="X863" s="689"/>
      <c r="Y863" s="689"/>
      <c r="Z863" s="690"/>
      <c r="AA863" s="691"/>
      <c r="AB863" s="111"/>
      <c r="AC863" s="17"/>
      <c r="AD863" s="690"/>
      <c r="AE863" s="686"/>
      <c r="AF863" s="474"/>
      <c r="AG863" s="692"/>
      <c r="AH863" s="236" t="str">
        <f>IF(Таблица5[[#This Row],[30]]=0,"НД",Таблица5[[#This Row],[20]]-Таблица5[[#This Row],[30]])</f>
        <v>НД</v>
      </c>
      <c r="AI863" s="511" t="str">
        <f>IF(((1-Таблица5[[#This Row],[30]]/Таблица5[[#This Row],[20]])=1),"НД",(1-Таблица5[[#This Row],[30]]/Таблица5[[#This Row],[20]]))</f>
        <v>НД</v>
      </c>
      <c r="AJ863" s="111"/>
      <c r="AK863" s="111"/>
      <c r="AL863" s="512"/>
      <c r="AM863" s="513"/>
      <c r="AN863" s="465"/>
      <c r="AO863" s="468" t="str">
        <f>РПЗ!AD863</f>
        <v>Нет</v>
      </c>
      <c r="AP863" s="472">
        <f>РПЗ!V863</f>
        <v>0</v>
      </c>
      <c r="AQ863" s="470">
        <f>IF(Таблица5[[#This Row],[11]]=0,,MONTH(Таблица5[[#This Row],[11]]))</f>
        <v>3</v>
      </c>
    </row>
    <row r="864" spans="1:43" s="681" customFormat="1" ht="38.25" x14ac:dyDescent="0.25">
      <c r="A864" s="691" t="str">
        <f t="shared" si="13"/>
        <v>1004-2017-00849</v>
      </c>
      <c r="B864" s="691" t="str">
        <f>РПЗ!$D864</f>
        <v>1004-2017-00849Поставка подложек арсенида галлия</v>
      </c>
      <c r="C864" s="691" t="str">
        <f>РПЗ!$AA864</f>
        <v>АО "НИИ "Полюс" им. М.Ф. Стельмаха" тел. отдела закупок 8-495-333-05-02</v>
      </c>
      <c r="D864" s="706" t="str">
        <f>РПЗ!$AB864</f>
        <v>Заказчик</v>
      </c>
      <c r="E864" s="510" t="s">
        <v>62</v>
      </c>
      <c r="F864" s="691" t="str">
        <f>РПЗ!Q864</f>
        <v>ОЗК</v>
      </c>
      <c r="G864" s="691" t="s">
        <v>108</v>
      </c>
      <c r="H864" s="691" t="str">
        <f>РПЗ!R864</f>
        <v>да</v>
      </c>
      <c r="I864" s="707">
        <f>РПЗ!W864</f>
        <v>0</v>
      </c>
      <c r="J864" s="691">
        <f>РПЗ!X864</f>
        <v>0</v>
      </c>
      <c r="K864" s="708">
        <f>РПЗ!Z864</f>
        <v>0</v>
      </c>
      <c r="L864" s="686">
        <v>42795</v>
      </c>
      <c r="M864" s="687">
        <f>РПЗ!O864</f>
        <v>42795.5</v>
      </c>
      <c r="N864" s="687">
        <f>Таблица5[[#This Row],[10]]</f>
        <v>42795.5</v>
      </c>
      <c r="O864" s="686">
        <v>42815</v>
      </c>
      <c r="P864" s="686">
        <v>42818</v>
      </c>
      <c r="Q864" s="686">
        <v>42818</v>
      </c>
      <c r="R864" s="686">
        <v>42815</v>
      </c>
      <c r="S864" s="686">
        <v>42815</v>
      </c>
      <c r="T864" s="686">
        <v>42845</v>
      </c>
      <c r="U864" s="687">
        <f>РПЗ!P864</f>
        <v>42826.5</v>
      </c>
      <c r="V864" s="761">
        <v>42887</v>
      </c>
      <c r="W864" s="692">
        <f>РПЗ!L864</f>
        <v>1230000</v>
      </c>
      <c r="X864" s="689">
        <v>1</v>
      </c>
      <c r="Y864" s="689">
        <v>0</v>
      </c>
      <c r="Z864" s="1059">
        <v>7735029739</v>
      </c>
      <c r="AA864" s="691" t="s">
        <v>3371</v>
      </c>
      <c r="AB864" s="812">
        <v>1229996.6000000001</v>
      </c>
      <c r="AC864" s="686">
        <v>42887</v>
      </c>
      <c r="AD864" s="690" t="s">
        <v>5102</v>
      </c>
      <c r="AE864" s="686">
        <v>42845</v>
      </c>
      <c r="AF864" s="690"/>
      <c r="AG864" s="691">
        <v>1229996.6000000001</v>
      </c>
      <c r="AH864" s="692">
        <f>IF(Таблица5[[#This Row],[30]]=0,"НД",Таблица5[[#This Row],[20]]-Таблица5[[#This Row],[30]])</f>
        <v>3.3999999999068677</v>
      </c>
      <c r="AI864" s="709">
        <f>IF(((1-Таблица5[[#This Row],[30]]/Таблица5[[#This Row],[20]])=1),"НД",(1-Таблица5[[#This Row],[30]]/Таблица5[[#This Row],[20]]))</f>
        <v>2.7642276422268353E-6</v>
      </c>
      <c r="AJ864" s="692"/>
      <c r="AK864" s="692"/>
      <c r="AL864" s="710"/>
      <c r="AM864" s="711" t="s">
        <v>113</v>
      </c>
      <c r="AN864" s="800">
        <v>31704883431</v>
      </c>
      <c r="AO864" s="712" t="str">
        <f>РПЗ!AD864</f>
        <v>Нет</v>
      </c>
      <c r="AP864" s="713" t="str">
        <f>РПЗ!V864</f>
        <v>ГОЗ</v>
      </c>
      <c r="AQ864" s="714">
        <f>IF(Таблица5[[#This Row],[11]]=0,,MONTH(Таблица5[[#This Row],[11]]))</f>
        <v>3</v>
      </c>
    </row>
    <row r="865" spans="1:43" s="681" customFormat="1" ht="39" thickBot="1" x14ac:dyDescent="0.3">
      <c r="A865" s="771" t="str">
        <f t="shared" si="13"/>
        <v>1004-2017-00850</v>
      </c>
      <c r="B865" s="771" t="str">
        <f>РПЗ!$D865</f>
        <v>1004-2017-00850Поставка подложек фосфида индия</v>
      </c>
      <c r="C865" s="771" t="str">
        <f>РПЗ!$AA865</f>
        <v>АО "НИИ "Полюс" им. М.Ф. Стельмаха" тел. отдела закупок 8-495-333-05-02</v>
      </c>
      <c r="D865" s="790" t="str">
        <f>РПЗ!$AB865</f>
        <v>Заказчик</v>
      </c>
      <c r="E865" s="826" t="s">
        <v>62</v>
      </c>
      <c r="F865" s="691" t="str">
        <f>РПЗ!Q865</f>
        <v>ЕП</v>
      </c>
      <c r="G865" s="691" t="s">
        <v>110</v>
      </c>
      <c r="H865" s="691" t="str">
        <f>РПЗ!R865</f>
        <v>Нет</v>
      </c>
      <c r="I865" s="707" t="str">
        <f>РПЗ!W865</f>
        <v>6.6.2(31)</v>
      </c>
      <c r="J865" s="691" t="str">
        <f>РПЗ!X865</f>
        <v>7735029739</v>
      </c>
      <c r="K865" s="708">
        <f>РПЗ!Z865</f>
        <v>1578500</v>
      </c>
      <c r="L865" s="686">
        <v>42835</v>
      </c>
      <c r="M865" s="687">
        <f>РПЗ!O865</f>
        <v>42826.5</v>
      </c>
      <c r="N865" s="687">
        <f>Таблица5[[#This Row],[10]]</f>
        <v>42826.5</v>
      </c>
      <c r="O865" s="686"/>
      <c r="P865" s="686"/>
      <c r="Q865" s="686"/>
      <c r="R865" s="686"/>
      <c r="S865" s="686"/>
      <c r="T865" s="686">
        <v>42844</v>
      </c>
      <c r="U865" s="687">
        <f>РПЗ!P865</f>
        <v>42826.5</v>
      </c>
      <c r="V865" s="686">
        <v>42887</v>
      </c>
      <c r="W865" s="692">
        <f>РПЗ!L865</f>
        <v>1578500</v>
      </c>
      <c r="X865" s="689">
        <v>1</v>
      </c>
      <c r="Y865" s="689">
        <v>0</v>
      </c>
      <c r="Z865" s="691">
        <v>7735029739</v>
      </c>
      <c r="AA865" s="691" t="s">
        <v>3371</v>
      </c>
      <c r="AB865" s="692">
        <v>1578500</v>
      </c>
      <c r="AC865" s="686">
        <v>42887</v>
      </c>
      <c r="AD865" s="690" t="s">
        <v>6084</v>
      </c>
      <c r="AE865" s="686">
        <v>42844</v>
      </c>
      <c r="AF865" s="690"/>
      <c r="AG865" s="692">
        <v>1578500</v>
      </c>
      <c r="AH865" s="692">
        <f>IF(Таблица5[[#This Row],[30]]=0,"НД",Таблица5[[#This Row],[20]]-Таблица5[[#This Row],[30]])</f>
        <v>0</v>
      </c>
      <c r="AI865" s="709">
        <f>IF(((1-Таблица5[[#This Row],[30]]/Таблица5[[#This Row],[20]])=1),"НД",(1-Таблица5[[#This Row],[30]]/Таблица5[[#This Row],[20]]))</f>
        <v>0</v>
      </c>
      <c r="AJ865" s="692"/>
      <c r="AK865" s="692"/>
      <c r="AL865" s="710"/>
      <c r="AM865" s="711" t="s">
        <v>113</v>
      </c>
      <c r="AN865" s="800">
        <v>31705010747</v>
      </c>
      <c r="AO865" s="712" t="str">
        <f>РПЗ!AD865</f>
        <v>Нет</v>
      </c>
      <c r="AP865" s="713" t="str">
        <f>РПЗ!V865</f>
        <v>ГОЗ</v>
      </c>
      <c r="AQ865" s="714">
        <f>IF(Таблица5[[#This Row],[11]]=0,,MONTH(Таблица5[[#This Row],[11]]))</f>
        <v>4</v>
      </c>
    </row>
    <row r="866" spans="1:43" ht="75.75" customHeight="1" x14ac:dyDescent="0.25">
      <c r="A866" s="233" t="str">
        <f t="shared" si="13"/>
        <v>1004-2017-00851</v>
      </c>
      <c r="B866" s="233" t="str">
        <f>РПЗ!$D866</f>
        <v>1004-2017-00851Поставка подложек арсенида галлия</v>
      </c>
      <c r="C866" s="233" t="str">
        <f>РПЗ!$AA866</f>
        <v>АО "НИИ "Полюс" им. М.Ф. Стельмаха" тел. отдела закупок 8-495-333-05-02</v>
      </c>
      <c r="D866" s="633" t="str">
        <f>РПЗ!$AB866</f>
        <v>Заказчик</v>
      </c>
      <c r="E866" s="96" t="s">
        <v>46</v>
      </c>
      <c r="F866" s="233" t="str">
        <f>РПЗ!Q866</f>
        <v>ОЗК</v>
      </c>
      <c r="G866" s="237"/>
      <c r="H866" s="237" t="str">
        <f>РПЗ!R866</f>
        <v>да</v>
      </c>
      <c r="I866" s="15">
        <f>РПЗ!W866</f>
        <v>0</v>
      </c>
      <c r="J866" s="233">
        <f>РПЗ!X866</f>
        <v>0</v>
      </c>
      <c r="K866" s="283">
        <f>РПЗ!Z866</f>
        <v>0</v>
      </c>
      <c r="L866" s="17"/>
      <c r="M866" s="18">
        <f>РПЗ!O866</f>
        <v>42795.5</v>
      </c>
      <c r="N866" s="238">
        <f>Таблица5[[#This Row],[10]]</f>
        <v>42795.5</v>
      </c>
      <c r="O866" s="17"/>
      <c r="P866" s="17"/>
      <c r="Q866" s="17"/>
      <c r="R866" s="17"/>
      <c r="S866" s="17"/>
      <c r="T866" s="686"/>
      <c r="U866" s="18">
        <f>РПЗ!P866</f>
        <v>42826.5</v>
      </c>
      <c r="V866" s="686"/>
      <c r="W866" s="236">
        <f>РПЗ!L866</f>
        <v>996000</v>
      </c>
      <c r="X866" s="689"/>
      <c r="Y866" s="689"/>
      <c r="Z866" s="690"/>
      <c r="AA866" s="691"/>
      <c r="AB866" s="111"/>
      <c r="AC866" s="17"/>
      <c r="AD866" s="690"/>
      <c r="AE866" s="686"/>
      <c r="AF866" s="474"/>
      <c r="AG866" s="692"/>
      <c r="AH866" s="236" t="str">
        <f>IF(Таблица5[[#This Row],[30]]=0,"НД",Таблица5[[#This Row],[20]]-Таблица5[[#This Row],[30]])</f>
        <v>НД</v>
      </c>
      <c r="AI866" s="511" t="str">
        <f>IF(((1-Таблица5[[#This Row],[30]]/Таблица5[[#This Row],[20]])=1),"НД",(1-Таблица5[[#This Row],[30]]/Таблица5[[#This Row],[20]]))</f>
        <v>НД</v>
      </c>
      <c r="AJ866" s="111"/>
      <c r="AK866" s="111"/>
      <c r="AL866" s="512"/>
      <c r="AM866" s="513"/>
      <c r="AN866" s="465"/>
      <c r="AO866" s="468" t="str">
        <f>РПЗ!AD866</f>
        <v>Нет</v>
      </c>
      <c r="AP866" s="472">
        <f>РПЗ!V866</f>
        <v>0</v>
      </c>
      <c r="AQ866" s="470">
        <f>IF(Таблица5[[#This Row],[11]]=0,,MONTH(Таблица5[[#This Row],[11]]))</f>
        <v>3</v>
      </c>
    </row>
    <row r="867" spans="1:43" ht="102" x14ac:dyDescent="0.25">
      <c r="A867" s="233" t="str">
        <f t="shared" si="13"/>
        <v>1004-2017-00852</v>
      </c>
      <c r="B867" s="233" t="str">
        <f>РПЗ!$D867</f>
        <v>1004-00852Изготовление (монтаж) электронных изделий ЖГДК.403522.012 Блок обработки информации (БОИ) -5 шт.; ЖГДК.436631.010 Блок питания ДЛ-11 (БП) – 5 шт.; ЖГДК.687281.114 Плата излучателя - 5 шт.; ЖГДК.687281.115 Плата ФПУ – 5 шт</v>
      </c>
      <c r="C867" s="233" t="str">
        <f>РПЗ!$AA867</f>
        <v>АО "НИИ "Полюс" им. М.Ф. Стельмаха" тел. отдела закупок 8-495-333-05-02</v>
      </c>
      <c r="D867" s="633" t="str">
        <f>РПЗ!$AB867</f>
        <v>Заказчик</v>
      </c>
      <c r="E867" s="510" t="s">
        <v>62</v>
      </c>
      <c r="F867" s="233" t="str">
        <f>РПЗ!Q867</f>
        <v>ЕП</v>
      </c>
      <c r="G867" s="237" t="str">
        <f>Таблица5[[#This Row],[6]]</f>
        <v>ЕП</v>
      </c>
      <c r="H867" s="237" t="str">
        <f>РПЗ!R867</f>
        <v>нет</v>
      </c>
      <c r="I867" s="15" t="str">
        <f>РПЗ!W867</f>
        <v>6.6.2(11)</v>
      </c>
      <c r="J867" s="233" t="str">
        <f>РПЗ!X867</f>
        <v>7728512529</v>
      </c>
      <c r="K867" s="283">
        <f>РПЗ!Z867</f>
        <v>174940.2</v>
      </c>
      <c r="L867" s="17">
        <v>42800</v>
      </c>
      <c r="M867" s="18">
        <f>РПЗ!O867</f>
        <v>42810.5</v>
      </c>
      <c r="N867" s="238">
        <f>Таблица5[[#This Row],[10]]</f>
        <v>42810.5</v>
      </c>
      <c r="O867" s="17"/>
      <c r="P867" s="17"/>
      <c r="Q867" s="17"/>
      <c r="R867" s="17"/>
      <c r="S867" s="17"/>
      <c r="T867" s="686">
        <v>42815</v>
      </c>
      <c r="U867" s="18">
        <f>РПЗ!P867</f>
        <v>42855.5</v>
      </c>
      <c r="V867" s="761">
        <v>42856</v>
      </c>
      <c r="W867" s="236">
        <f>РПЗ!L867</f>
        <v>174940.2</v>
      </c>
      <c r="X867" s="689">
        <v>1</v>
      </c>
      <c r="Y867" s="689">
        <v>0</v>
      </c>
      <c r="Z867" s="691">
        <v>7728512529</v>
      </c>
      <c r="AA867" s="691" t="s">
        <v>2386</v>
      </c>
      <c r="AB867" s="111">
        <v>174940.2</v>
      </c>
      <c r="AC867" s="686">
        <v>42856</v>
      </c>
      <c r="AD867" s="690" t="s">
        <v>3318</v>
      </c>
      <c r="AE867" s="686">
        <v>42815</v>
      </c>
      <c r="AF867" s="474"/>
      <c r="AG867" s="691">
        <v>174940.2</v>
      </c>
      <c r="AH867" s="236">
        <f>IF(Таблица5[[#This Row],[30]]=0,"НД",Таблица5[[#This Row],[20]]-Таблица5[[#This Row],[30]])</f>
        <v>0</v>
      </c>
      <c r="AI867" s="511">
        <f>IF(((1-Таблица5[[#This Row],[30]]/Таблица5[[#This Row],[20]])=1),"НД",(1-Таблица5[[#This Row],[30]]/Таблица5[[#This Row],[20]]))</f>
        <v>0</v>
      </c>
      <c r="AJ867" s="111"/>
      <c r="AK867" s="111"/>
      <c r="AL867" s="512"/>
      <c r="AM867" s="513" t="s">
        <v>113</v>
      </c>
      <c r="AN867" s="801">
        <v>31704901100</v>
      </c>
      <c r="AO867" s="468" t="str">
        <f>РПЗ!AD867</f>
        <v>Нет</v>
      </c>
      <c r="AP867" s="472">
        <f>РПЗ!V867</f>
        <v>0</v>
      </c>
      <c r="AQ867" s="470">
        <f>IF(Таблица5[[#This Row],[11]]=0,,MONTH(Таблица5[[#This Row],[11]]))</f>
        <v>3</v>
      </c>
    </row>
    <row r="868" spans="1:43" ht="89.25" x14ac:dyDescent="0.25">
      <c r="A868" s="233" t="str">
        <f t="shared" si="13"/>
        <v>1004-2017-00853</v>
      </c>
      <c r="B868" s="233" t="str">
        <f>РПЗ!$D868</f>
        <v>1004-2017-00853Поставка подложек арсенида галлия, легированных кремнием</v>
      </c>
      <c r="C868" s="233" t="str">
        <f>РПЗ!$AA868</f>
        <v>АО "НИИ "Полюс" им. М.Ф. Стельмаха" тел. отдела закупок 8-495-333-05-02</v>
      </c>
      <c r="D868" s="633" t="str">
        <f>РПЗ!$AB868</f>
        <v>Заказчик</v>
      </c>
      <c r="E868" s="510" t="s">
        <v>62</v>
      </c>
      <c r="F868" s="233" t="str">
        <f>РПЗ!Q868</f>
        <v>ЕП</v>
      </c>
      <c r="G868" s="237" t="str">
        <f>Таблица5[[#This Row],[6]]</f>
        <v>ЕП</v>
      </c>
      <c r="H868" s="237" t="str">
        <f>РПЗ!R868</f>
        <v>нет</v>
      </c>
      <c r="I868" s="15" t="str">
        <f>РПЗ!W868</f>
        <v>6.6.2(7)</v>
      </c>
      <c r="J868" s="233">
        <f>РПЗ!X868</f>
        <v>0</v>
      </c>
      <c r="K868" s="283">
        <f>РПЗ!Z868</f>
        <v>0</v>
      </c>
      <c r="L868" s="17">
        <v>42814</v>
      </c>
      <c r="M868" s="18">
        <f>РПЗ!O868</f>
        <v>42810.5</v>
      </c>
      <c r="N868" s="238">
        <f>Таблица5[[#This Row],[10]]</f>
        <v>42810.5</v>
      </c>
      <c r="O868" s="17"/>
      <c r="P868" s="17"/>
      <c r="Q868" s="17"/>
      <c r="R868" s="17"/>
      <c r="S868" s="17"/>
      <c r="T868" s="686">
        <v>42817</v>
      </c>
      <c r="U868" s="18">
        <f>РПЗ!P868</f>
        <v>43070.5</v>
      </c>
      <c r="V868" s="761">
        <v>42856</v>
      </c>
      <c r="W868" s="236">
        <f>РПЗ!L868</f>
        <v>343600</v>
      </c>
      <c r="X868" s="689">
        <v>1</v>
      </c>
      <c r="Y868" s="689">
        <v>0</v>
      </c>
      <c r="Z868" s="691">
        <v>7728808974</v>
      </c>
      <c r="AA868" s="691" t="s">
        <v>3309</v>
      </c>
      <c r="AB868" s="111">
        <v>343600</v>
      </c>
      <c r="AC868" s="686">
        <v>42856</v>
      </c>
      <c r="AD868" s="690" t="s">
        <v>3348</v>
      </c>
      <c r="AE868" s="686">
        <v>42817</v>
      </c>
      <c r="AF868" s="474"/>
      <c r="AG868" s="691">
        <v>343600</v>
      </c>
      <c r="AH868" s="236">
        <f>IF(Таблица5[[#This Row],[30]]=0,"НД",Таблица5[[#This Row],[20]]-Таблица5[[#This Row],[30]])</f>
        <v>0</v>
      </c>
      <c r="AI868" s="511">
        <f>IF(((1-Таблица5[[#This Row],[30]]/Таблица5[[#This Row],[20]])=1),"НД",(1-Таблица5[[#This Row],[30]]/Таблица5[[#This Row],[20]]))</f>
        <v>0</v>
      </c>
      <c r="AJ868" s="111">
        <v>343600</v>
      </c>
      <c r="AK868" s="111"/>
      <c r="AL868" s="512"/>
      <c r="AM868" s="513" t="s">
        <v>113</v>
      </c>
      <c r="AN868" s="801">
        <v>31704910850</v>
      </c>
      <c r="AO868" s="468" t="str">
        <f>РПЗ!AD868</f>
        <v>Нет</v>
      </c>
      <c r="AP868" s="472">
        <f>РПЗ!V868</f>
        <v>0</v>
      </c>
      <c r="AQ868" s="470">
        <f>IF(Таблица5[[#This Row],[11]]=0,,MONTH(Таблица5[[#This Row],[11]]))</f>
        <v>3</v>
      </c>
    </row>
    <row r="869" spans="1:43" ht="64.5" thickBot="1" x14ac:dyDescent="0.3">
      <c r="A869" s="233" t="str">
        <f t="shared" si="13"/>
        <v>1004-2017-00854</v>
      </c>
      <c r="B869" s="233" t="str">
        <f>РПЗ!$D869</f>
        <v>1004-2017-00854Поставка  и Использавание молекулярно-лучевой эпитаксии для выращивания гетероструктур GaAlInp</v>
      </c>
      <c r="C869" s="233" t="str">
        <f>РПЗ!$AA869</f>
        <v>АО "НИИ "Полюс" им. М.Ф. Стельмаха" тел. отдела закупок 8-495-333-05-02</v>
      </c>
      <c r="D869" s="633" t="str">
        <f>РПЗ!$AB869</f>
        <v>Заказчик</v>
      </c>
      <c r="E869" s="510" t="s">
        <v>62</v>
      </c>
      <c r="F869" s="233" t="str">
        <f>РПЗ!Q869</f>
        <v>ЕП</v>
      </c>
      <c r="G869" s="237" t="str">
        <f>Таблица5[[#This Row],[6]]</f>
        <v>ЕП</v>
      </c>
      <c r="H869" s="237" t="str">
        <f>РПЗ!R869</f>
        <v>нет</v>
      </c>
      <c r="I869" s="15" t="str">
        <f>РПЗ!W869</f>
        <v>6.6.2(7)</v>
      </c>
      <c r="J869" s="233" t="str">
        <f>РПЗ!X869</f>
        <v>7802072267</v>
      </c>
      <c r="K869" s="283">
        <f>РПЗ!Z869</f>
        <v>7800000</v>
      </c>
      <c r="L869" s="17">
        <v>42815</v>
      </c>
      <c r="M869" s="18">
        <f>РПЗ!O869</f>
        <v>42810.5</v>
      </c>
      <c r="N869" s="238">
        <f>Таблица5[[#This Row],[10]]</f>
        <v>42810.5</v>
      </c>
      <c r="O869" s="17"/>
      <c r="P869" s="17"/>
      <c r="Q869" s="17"/>
      <c r="R869" s="17"/>
      <c r="S869" s="17"/>
      <c r="T869" s="686">
        <v>42846</v>
      </c>
      <c r="U869" s="18">
        <f>РПЗ!P869</f>
        <v>43009</v>
      </c>
      <c r="V869" s="686">
        <v>43009</v>
      </c>
      <c r="W869" s="236">
        <f>РПЗ!L869</f>
        <v>7800000</v>
      </c>
      <c r="X869" s="689">
        <v>1</v>
      </c>
      <c r="Y869" s="689">
        <v>0</v>
      </c>
      <c r="Z869" s="691">
        <v>7802072267</v>
      </c>
      <c r="AA869" s="691" t="s">
        <v>3037</v>
      </c>
      <c r="AB869" s="111">
        <v>7800000</v>
      </c>
      <c r="AC869" s="17">
        <v>43009</v>
      </c>
      <c r="AD869" s="690" t="s">
        <v>5118</v>
      </c>
      <c r="AE869" s="686">
        <v>42846</v>
      </c>
      <c r="AF869" s="474"/>
      <c r="AG869" s="692">
        <v>7800000</v>
      </c>
      <c r="AH869" s="236">
        <f>IF(Таблица5[[#This Row],[30]]=0,"НД",Таблица5[[#This Row],[20]]-Таблица5[[#This Row],[30]])</f>
        <v>0</v>
      </c>
      <c r="AI869" s="511">
        <f>IF(((1-Таблица5[[#This Row],[30]]/Таблица5[[#This Row],[20]])=1),"НД",(1-Таблица5[[#This Row],[30]]/Таблица5[[#This Row],[20]]))</f>
        <v>0</v>
      </c>
      <c r="AJ869" s="111"/>
      <c r="AK869" s="111"/>
      <c r="AL869" s="512"/>
      <c r="AM869" s="513" t="s">
        <v>113</v>
      </c>
      <c r="AN869" s="801">
        <v>31704917212</v>
      </c>
      <c r="AO869" s="468" t="str">
        <f>РПЗ!AD869</f>
        <v>Нет</v>
      </c>
      <c r="AP869" s="472">
        <f>РПЗ!V869</f>
        <v>0</v>
      </c>
      <c r="AQ869" s="470">
        <f>IF(Таблица5[[#This Row],[11]]=0,,MONTH(Таблица5[[#This Row],[11]]))</f>
        <v>3</v>
      </c>
    </row>
    <row r="870" spans="1:43" ht="39" thickBot="1" x14ac:dyDescent="0.3">
      <c r="A870" s="233" t="str">
        <f t="shared" si="13"/>
        <v>1004-2017-00855</v>
      </c>
      <c r="B870" s="233" t="str">
        <f>РПЗ!$D870</f>
        <v>1004-2017-00855Поставка  Спирт этиловый технический гидролизный ректификованный ГОСТ 55878-2013</v>
      </c>
      <c r="C870" s="233" t="str">
        <f>РПЗ!$AA870</f>
        <v>АО "НИИ "Полюс" им. М.Ф. Стельмаха" тел. отдела закупок 8-495-333-05-02</v>
      </c>
      <c r="D870" s="633" t="str">
        <f>РПЗ!$AB870</f>
        <v>Заказчик</v>
      </c>
      <c r="E870" s="96" t="s">
        <v>46</v>
      </c>
      <c r="F870" s="233" t="str">
        <f>РПЗ!Q870</f>
        <v>ЕП</v>
      </c>
      <c r="G870" s="237"/>
      <c r="H870" s="237" t="str">
        <f>РПЗ!R870</f>
        <v>нет</v>
      </c>
      <c r="I870" s="15" t="str">
        <f>РПЗ!W870</f>
        <v>6.6.2(11)</v>
      </c>
      <c r="J870" s="233">
        <f>РПЗ!X870</f>
        <v>0</v>
      </c>
      <c r="K870" s="283">
        <f>РПЗ!Z870</f>
        <v>0</v>
      </c>
      <c r="L870" s="17"/>
      <c r="M870" s="18">
        <f>РПЗ!O870</f>
        <v>42810.5</v>
      </c>
      <c r="N870" s="238">
        <f>Таблица5[[#This Row],[10]]</f>
        <v>42810.5</v>
      </c>
      <c r="O870" s="17"/>
      <c r="P870" s="17"/>
      <c r="Q870" s="17"/>
      <c r="R870" s="17"/>
      <c r="S870" s="17"/>
      <c r="T870" s="686"/>
      <c r="U870" s="18">
        <f>РПЗ!P870</f>
        <v>43070.5</v>
      </c>
      <c r="V870" s="686"/>
      <c r="W870" s="236">
        <f>РПЗ!L870</f>
        <v>521560</v>
      </c>
      <c r="X870" s="689"/>
      <c r="Y870" s="689"/>
      <c r="Z870" s="690"/>
      <c r="AA870" s="691"/>
      <c r="AB870" s="111"/>
      <c r="AC870" s="17"/>
      <c r="AD870" s="690"/>
      <c r="AE870" s="686"/>
      <c r="AF870" s="474"/>
      <c r="AG870" s="692"/>
      <c r="AH870" s="236" t="str">
        <f>IF(Таблица5[[#This Row],[30]]=0,"НД",Таблица5[[#This Row],[20]]-Таблица5[[#This Row],[30]])</f>
        <v>НД</v>
      </c>
      <c r="AI870" s="511" t="str">
        <f>IF(((1-Таблица5[[#This Row],[30]]/Таблица5[[#This Row],[20]])=1),"НД",(1-Таблица5[[#This Row],[30]]/Таблица5[[#This Row],[20]]))</f>
        <v>НД</v>
      </c>
      <c r="AJ870" s="111"/>
      <c r="AK870" s="111"/>
      <c r="AL870" s="512"/>
      <c r="AM870" s="513"/>
      <c r="AN870" s="465"/>
      <c r="AO870" s="468" t="str">
        <f>РПЗ!AD870</f>
        <v>Нет</v>
      </c>
      <c r="AP870" s="472">
        <f>РПЗ!V870</f>
        <v>0</v>
      </c>
      <c r="AQ870" s="470">
        <f>IF(Таблица5[[#This Row],[11]]=0,,MONTH(Таблица5[[#This Row],[11]]))</f>
        <v>3</v>
      </c>
    </row>
    <row r="871" spans="1:43" ht="38.25" x14ac:dyDescent="0.25">
      <c r="A871" s="233" t="str">
        <f t="shared" si="13"/>
        <v>1004-2017-00856</v>
      </c>
      <c r="B871" s="233" t="str">
        <f>РПЗ!$D871</f>
        <v>1004-2017-00856Поставка мебели выставочных экспозиций для музейной комнаты Заказчика</v>
      </c>
      <c r="C871" s="233" t="str">
        <f>РПЗ!$AA871</f>
        <v>АО "НИИ "Полюс" им. М.Ф. Стельмаха" тел. отдела закупок 8-495-333-05-02</v>
      </c>
      <c r="D871" s="633" t="str">
        <f>РПЗ!$AB871</f>
        <v>Заказчик</v>
      </c>
      <c r="E871" s="96" t="s">
        <v>46</v>
      </c>
      <c r="F871" s="233" t="str">
        <f>РПЗ!Q871</f>
        <v>ЕП</v>
      </c>
      <c r="G871" s="237"/>
      <c r="H871" s="237" t="str">
        <f>РПЗ!R871</f>
        <v>нет</v>
      </c>
      <c r="I871" s="15" t="str">
        <f>РПЗ!W871</f>
        <v>6.6.2(6)</v>
      </c>
      <c r="J871" s="233">
        <f>РПЗ!X871</f>
        <v>0</v>
      </c>
      <c r="K871" s="283">
        <f>РПЗ!Z871</f>
        <v>0</v>
      </c>
      <c r="L871" s="17"/>
      <c r="M871" s="18">
        <f>РПЗ!O871</f>
        <v>42810.5</v>
      </c>
      <c r="N871" s="238">
        <f>Таблица5[[#This Row],[10]]</f>
        <v>42810.5</v>
      </c>
      <c r="O871" s="17"/>
      <c r="P871" s="17"/>
      <c r="Q871" s="17"/>
      <c r="R871" s="17"/>
      <c r="S871" s="17"/>
      <c r="T871" s="686"/>
      <c r="U871" s="18">
        <f>РПЗ!P871</f>
        <v>42826</v>
      </c>
      <c r="V871" s="686"/>
      <c r="W871" s="236">
        <f>РПЗ!L871</f>
        <v>887800</v>
      </c>
      <c r="X871" s="689"/>
      <c r="Y871" s="689"/>
      <c r="Z871" s="690"/>
      <c r="AA871" s="691"/>
      <c r="AB871" s="111"/>
      <c r="AC871" s="17"/>
      <c r="AD871" s="690"/>
      <c r="AE871" s="686"/>
      <c r="AF871" s="474"/>
      <c r="AG871" s="692"/>
      <c r="AH871" s="236" t="str">
        <f>IF(Таблица5[[#This Row],[30]]=0,"НД",Таблица5[[#This Row],[20]]-Таблица5[[#This Row],[30]])</f>
        <v>НД</v>
      </c>
      <c r="AI871" s="511" t="str">
        <f>IF(((1-Таблица5[[#This Row],[30]]/Таблица5[[#This Row],[20]])=1),"НД",(1-Таблица5[[#This Row],[30]]/Таблица5[[#This Row],[20]]))</f>
        <v>НД</v>
      </c>
      <c r="AJ871" s="111"/>
      <c r="AK871" s="111"/>
      <c r="AL871" s="512"/>
      <c r="AM871" s="513"/>
      <c r="AN871" s="465"/>
      <c r="AO871" s="468" t="str">
        <f>РПЗ!AD871</f>
        <v>Нет</v>
      </c>
      <c r="AP871" s="472">
        <f>РПЗ!V871</f>
        <v>0</v>
      </c>
      <c r="AQ871" s="470">
        <f>IF(Таблица5[[#This Row],[11]]=0,,MONTH(Таблица5[[#This Row],[11]]))</f>
        <v>3</v>
      </c>
    </row>
    <row r="872" spans="1:43" ht="191.25" x14ac:dyDescent="0.25">
      <c r="A872" s="233" t="str">
        <f t="shared" si="13"/>
        <v>1004-2017-00857</v>
      </c>
      <c r="B872" s="233" t="str">
        <f>РПЗ!$D872</f>
        <v>1004-2017-00857услуги по организации в выставочной, демонстрационной  и деловой программах «День передовых технологий правоохранительных органов РФ» и по размещению рекламно-информационных материалов Участника в виде рекламных модулей, текстовых блоков с иллюстрациями, а также в иной согласованной Сторонами форме в печатной и/или электронной версии издаваемого каталога участников выставки и тезисов докладов деловой программы</v>
      </c>
      <c r="C872" s="233" t="str">
        <f>РПЗ!$AA872</f>
        <v>АО "НИИ "Полюс" им. М.Ф. Стельмаха" тел. отдела закупок 8-495-333-05-02</v>
      </c>
      <c r="D872" s="633" t="str">
        <f>РПЗ!$AB872</f>
        <v>Заказчик</v>
      </c>
      <c r="E872" s="510" t="s">
        <v>62</v>
      </c>
      <c r="F872" s="233" t="str">
        <f>РПЗ!Q872</f>
        <v>ЕП</v>
      </c>
      <c r="G872" s="237" t="str">
        <f>Таблица5[[#This Row],[6]]</f>
        <v>ЕП</v>
      </c>
      <c r="H872" s="237" t="str">
        <f>РПЗ!R872</f>
        <v>нет</v>
      </c>
      <c r="I872" s="15" t="str">
        <f>РПЗ!W872</f>
        <v>6.6.2(15)</v>
      </c>
      <c r="J872" s="233">
        <f>РПЗ!X872</f>
        <v>7717572935</v>
      </c>
      <c r="K872" s="283">
        <f>РПЗ!Z872</f>
        <v>288841.58</v>
      </c>
      <c r="L872" s="17">
        <v>42794</v>
      </c>
      <c r="M872" s="18">
        <f>РПЗ!O872</f>
        <v>42810.5</v>
      </c>
      <c r="N872" s="238">
        <f>Таблица5[[#This Row],[10]]</f>
        <v>42810.5</v>
      </c>
      <c r="O872" s="17"/>
      <c r="P872" s="17"/>
      <c r="Q872" s="17"/>
      <c r="R872" s="17"/>
      <c r="S872" s="17"/>
      <c r="T872" s="804">
        <v>42807</v>
      </c>
      <c r="U872" s="18">
        <f>РПЗ!P872</f>
        <v>42882</v>
      </c>
      <c r="V872" s="762">
        <v>42856</v>
      </c>
      <c r="W872" s="236" t="str">
        <f>РПЗ!L872</f>
        <v>288 841, 58</v>
      </c>
      <c r="X872" s="689">
        <v>1</v>
      </c>
      <c r="Y872" s="689">
        <v>0</v>
      </c>
      <c r="Z872" s="691">
        <v>7717572935</v>
      </c>
      <c r="AA872" s="691" t="s">
        <v>3301</v>
      </c>
      <c r="AB872" s="111">
        <v>288841.58</v>
      </c>
      <c r="AC872" s="809">
        <v>42856</v>
      </c>
      <c r="AD872" s="690" t="s">
        <v>3302</v>
      </c>
      <c r="AE872" s="699">
        <v>42807</v>
      </c>
      <c r="AF872" s="474"/>
      <c r="AG872" s="691">
        <v>288841.58</v>
      </c>
      <c r="AH872" s="236" t="e">
        <f>IF(Таблица5[[#This Row],[30]]=0,"НД",Таблица5[[#This Row],[20]]-Таблица5[[#This Row],[30]])</f>
        <v>#VALUE!</v>
      </c>
      <c r="AI872" s="511" t="e">
        <f>IF(((1-Таблица5[[#This Row],[30]]/Таблица5[[#This Row],[20]])=1),"НД",(1-Таблица5[[#This Row],[30]]/Таблица5[[#This Row],[20]]))</f>
        <v>#VALUE!</v>
      </c>
      <c r="AJ872" s="111"/>
      <c r="AK872" s="111"/>
      <c r="AL872" s="512"/>
      <c r="AM872" s="513" t="s">
        <v>113</v>
      </c>
      <c r="AN872" s="801">
        <v>31704937637</v>
      </c>
      <c r="AO872" s="468" t="str">
        <f>РПЗ!AD872</f>
        <v>Нет</v>
      </c>
      <c r="AP872" s="472">
        <f>РПЗ!V872</f>
        <v>0</v>
      </c>
      <c r="AQ872" s="470">
        <f>IF(Таблица5[[#This Row],[11]]=0,,MONTH(Таблица5[[#This Row],[11]]))</f>
        <v>3</v>
      </c>
    </row>
    <row r="873" spans="1:43" ht="38.25" x14ac:dyDescent="0.25">
      <c r="A873" s="233" t="str">
        <f t="shared" si="13"/>
        <v>1004-2017-00858</v>
      </c>
      <c r="B873" s="233" t="str">
        <f>РПЗ!$D873</f>
        <v>1004-2017-00858Поставка  строительно-отделочные материалы</v>
      </c>
      <c r="C873" s="233" t="str">
        <f>РПЗ!$AA873</f>
        <v>АО "НИИ "Полюс" им. М.Ф. Стельмаха" тел. отдела закупок 8-495-333-05-02</v>
      </c>
      <c r="D873" s="633" t="str">
        <f>РПЗ!$AB873</f>
        <v>Заказчик</v>
      </c>
      <c r="E873" s="510" t="s">
        <v>62</v>
      </c>
      <c r="F873" s="233" t="str">
        <f>РПЗ!Q873</f>
        <v>ОЗК</v>
      </c>
      <c r="G873" s="237" t="str">
        <f>Таблица5[[#This Row],[6]]</f>
        <v>ОЗК</v>
      </c>
      <c r="H873" s="237" t="str">
        <f>РПЗ!R873</f>
        <v>да</v>
      </c>
      <c r="I873" s="15">
        <f>РПЗ!W873</f>
        <v>0</v>
      </c>
      <c r="J873" s="233">
        <f>РПЗ!X873</f>
        <v>0</v>
      </c>
      <c r="K873" s="283">
        <f>РПЗ!Z873</f>
        <v>0</v>
      </c>
      <c r="L873" s="17"/>
      <c r="M873" s="18">
        <f>РПЗ!O873</f>
        <v>42826</v>
      </c>
      <c r="N873" s="238">
        <f>Таблица5[[#This Row],[10]]</f>
        <v>42826</v>
      </c>
      <c r="O873" s="17">
        <v>42829</v>
      </c>
      <c r="P873" s="17">
        <v>42835</v>
      </c>
      <c r="Q873" s="17">
        <v>42835</v>
      </c>
      <c r="R873" s="17">
        <v>42831</v>
      </c>
      <c r="S873" s="17">
        <v>42831</v>
      </c>
      <c r="T873" s="808" t="s">
        <v>3285</v>
      </c>
      <c r="U873" s="18">
        <f>РПЗ!P873</f>
        <v>43100</v>
      </c>
      <c r="V873" s="760">
        <v>43070</v>
      </c>
      <c r="W873" s="236">
        <f>РПЗ!L873</f>
        <v>181003.97</v>
      </c>
      <c r="X873" s="689">
        <v>2</v>
      </c>
      <c r="Y873" s="689">
        <v>0</v>
      </c>
      <c r="Z873" s="765">
        <v>7705579703</v>
      </c>
      <c r="AA873" s="810" t="s">
        <v>3287</v>
      </c>
      <c r="AB873" s="111">
        <v>126074.31</v>
      </c>
      <c r="AC873" s="17">
        <v>43070</v>
      </c>
      <c r="AD873" s="810" t="s">
        <v>3288</v>
      </c>
      <c r="AE873" s="694" t="s">
        <v>3285</v>
      </c>
      <c r="AF873" s="474"/>
      <c r="AG873" s="827">
        <v>126074.31</v>
      </c>
      <c r="AH873" s="236">
        <f>IF(Таблица5[[#This Row],[30]]=0,"НД",Таблица5[[#This Row],[20]]-Таблица5[[#This Row],[30]])</f>
        <v>54929.66</v>
      </c>
      <c r="AI873" s="511">
        <f>IF(((1-Таблица5[[#This Row],[30]]/Таблица5[[#This Row],[20]])=1),"НД",(1-Таблица5[[#This Row],[30]]/Таблица5[[#This Row],[20]]))</f>
        <v>0.30347212826326408</v>
      </c>
      <c r="AJ873" s="111">
        <v>126074.31</v>
      </c>
      <c r="AK873" s="111"/>
      <c r="AL873" s="512"/>
      <c r="AM873" s="513" t="s">
        <v>113</v>
      </c>
      <c r="AN873" s="801">
        <v>31704944051</v>
      </c>
      <c r="AO873" s="468" t="str">
        <f>РПЗ!AD873</f>
        <v>Нет</v>
      </c>
      <c r="AP873" s="472">
        <f>РПЗ!V873</f>
        <v>0</v>
      </c>
      <c r="AQ873" s="470">
        <f>IF(Таблица5[[#This Row],[11]]=0,,MONTH(Таблица5[[#This Row],[11]]))</f>
        <v>4</v>
      </c>
    </row>
    <row r="874" spans="1:43" ht="89.25" x14ac:dyDescent="0.25">
      <c r="A874" s="233" t="str">
        <f t="shared" si="13"/>
        <v>1004-2017-00859</v>
      </c>
      <c r="B874" s="233" t="str">
        <f>РПЗ!$D874</f>
        <v>1004-2017-00859Поставка  Подложки арсенида галлия, легированные кремнием</v>
      </c>
      <c r="C874" s="233" t="str">
        <f>РПЗ!$AA874</f>
        <v>АО "НИИ "Полюс" им. М.Ф. Стельмаха" тел. отдела закупок 8-495-333-05-02</v>
      </c>
      <c r="D874" s="633" t="str">
        <f>РПЗ!$AB874</f>
        <v>Заказчик</v>
      </c>
      <c r="E874" s="510" t="s">
        <v>62</v>
      </c>
      <c r="F874" s="233" t="str">
        <f>РПЗ!Q874</f>
        <v>ЕП</v>
      </c>
      <c r="G874" s="237" t="str">
        <f>Таблица5[[#This Row],[6]]</f>
        <v>ЕП</v>
      </c>
      <c r="H874" s="237" t="str">
        <f>РПЗ!R874</f>
        <v>нет</v>
      </c>
      <c r="I874" s="15" t="str">
        <f>РПЗ!W874</f>
        <v>6.6.2(9)</v>
      </c>
      <c r="J874" s="233" t="str">
        <f>РПЗ!X874</f>
        <v>7728808974</v>
      </c>
      <c r="K874" s="283">
        <f>РПЗ!Z874</f>
        <v>2994250</v>
      </c>
      <c r="L874" s="17">
        <v>42818</v>
      </c>
      <c r="M874" s="18">
        <f>РПЗ!O874</f>
        <v>42810.5</v>
      </c>
      <c r="N874" s="238">
        <f>Таблица5[[#This Row],[10]]</f>
        <v>42810.5</v>
      </c>
      <c r="O874" s="17"/>
      <c r="P874" s="17"/>
      <c r="Q874" s="17"/>
      <c r="R874" s="17"/>
      <c r="S874" s="17"/>
      <c r="T874" s="661" t="s">
        <v>3267</v>
      </c>
      <c r="U874" s="18">
        <f>РПЗ!P874</f>
        <v>42795</v>
      </c>
      <c r="V874" s="761">
        <v>42826</v>
      </c>
      <c r="W874" s="236">
        <f>РПЗ!L874</f>
        <v>2994250</v>
      </c>
      <c r="X874" s="689">
        <v>1</v>
      </c>
      <c r="Y874" s="689">
        <v>0</v>
      </c>
      <c r="Z874" s="691">
        <v>7728808974</v>
      </c>
      <c r="AA874" s="691" t="s">
        <v>3309</v>
      </c>
      <c r="AB874" s="111">
        <v>2994250</v>
      </c>
      <c r="AC874" s="686">
        <v>42826</v>
      </c>
      <c r="AD874" s="690" t="s">
        <v>3310</v>
      </c>
      <c r="AE874" s="700" t="s">
        <v>3267</v>
      </c>
      <c r="AF874" s="474"/>
      <c r="AG874" s="691">
        <v>2994250</v>
      </c>
      <c r="AH874" s="236">
        <f>IF(Таблица5[[#This Row],[30]]=0,"НД",Таблица5[[#This Row],[20]]-Таблица5[[#This Row],[30]])</f>
        <v>0</v>
      </c>
      <c r="AI874" s="511">
        <f>IF(((1-Таблица5[[#This Row],[30]]/Таблица5[[#This Row],[20]])=1),"НД",(1-Таблица5[[#This Row],[30]]/Таблица5[[#This Row],[20]]))</f>
        <v>0</v>
      </c>
      <c r="AJ874" s="111">
        <v>2994250</v>
      </c>
      <c r="AK874" s="111"/>
      <c r="AL874" s="512"/>
      <c r="AM874" s="513" t="s">
        <v>113</v>
      </c>
      <c r="AN874" s="801">
        <v>31704932362</v>
      </c>
      <c r="AO874" s="468" t="str">
        <f>РПЗ!AD874</f>
        <v>Нет</v>
      </c>
      <c r="AP874" s="472">
        <f>РПЗ!V874</f>
        <v>0</v>
      </c>
      <c r="AQ874" s="470">
        <f>IF(Таблица5[[#This Row],[11]]=0,,MONTH(Таблица5[[#This Row],[11]]))</f>
        <v>3</v>
      </c>
    </row>
    <row r="875" spans="1:43" ht="39" thickBot="1" x14ac:dyDescent="0.3">
      <c r="A875" s="233" t="str">
        <f t="shared" si="13"/>
        <v>1004-2017-00860</v>
      </c>
      <c r="B875" s="233" t="str">
        <f>РПЗ!$D875</f>
        <v>1004-2017-00860Поставка  Акселерометр А-50</v>
      </c>
      <c r="C875" s="233" t="str">
        <f>РПЗ!$AA875</f>
        <v>АО "НИИ "Полюс" им. М.Ф. Стельмаха" тел. отдела закупок 8-495-333-05-02</v>
      </c>
      <c r="D875" s="633" t="str">
        <f>РПЗ!$AB875</f>
        <v>Заказчик</v>
      </c>
      <c r="E875" s="510" t="s">
        <v>62</v>
      </c>
      <c r="F875" s="233" t="str">
        <f>РПЗ!Q875</f>
        <v>ЕП</v>
      </c>
      <c r="G875" s="237" t="str">
        <f>Таблица5[[#This Row],[6]]</f>
        <v>ЕП</v>
      </c>
      <c r="H875" s="237" t="str">
        <f>РПЗ!R875</f>
        <v>нет</v>
      </c>
      <c r="I875" s="15" t="str">
        <f>РПЗ!W875</f>
        <v>6.6.2(9)</v>
      </c>
      <c r="J875" s="233">
        <f>РПЗ!X875</f>
        <v>0</v>
      </c>
      <c r="K875" s="283">
        <f>РПЗ!Z875</f>
        <v>0</v>
      </c>
      <c r="L875" s="17">
        <v>42817</v>
      </c>
      <c r="M875" s="18">
        <f>РПЗ!O875</f>
        <v>42810.5</v>
      </c>
      <c r="N875" s="238">
        <f>Таблица5[[#This Row],[10]]</f>
        <v>42810.5</v>
      </c>
      <c r="O875" s="17"/>
      <c r="P875" s="17"/>
      <c r="Q875" s="17"/>
      <c r="R875" s="17"/>
      <c r="S875" s="17"/>
      <c r="T875" s="686">
        <v>42821</v>
      </c>
      <c r="U875" s="18">
        <f>РПЗ!P875</f>
        <v>43070</v>
      </c>
      <c r="V875" s="761">
        <v>42979</v>
      </c>
      <c r="W875" s="236">
        <f>РПЗ!L875</f>
        <v>1358666</v>
      </c>
      <c r="X875" s="689">
        <v>1</v>
      </c>
      <c r="Y875" s="689">
        <v>0</v>
      </c>
      <c r="Z875" s="691">
        <v>3301031150</v>
      </c>
      <c r="AA875" s="691" t="s">
        <v>3349</v>
      </c>
      <c r="AB875" s="111">
        <v>1358666</v>
      </c>
      <c r="AC875" s="17">
        <v>42979</v>
      </c>
      <c r="AD875" s="690" t="s">
        <v>3350</v>
      </c>
      <c r="AE875" s="686">
        <v>42821</v>
      </c>
      <c r="AF875" s="474"/>
      <c r="AG875" s="691">
        <v>1358666</v>
      </c>
      <c r="AH875" s="236">
        <f>IF(Таблица5[[#This Row],[30]]=0,"НД",Таблица5[[#This Row],[20]]-Таблица5[[#This Row],[30]])</f>
        <v>0</v>
      </c>
      <c r="AI875" s="511">
        <f>IF(((1-Таблица5[[#This Row],[30]]/Таблица5[[#This Row],[20]])=1),"НД",(1-Таблица5[[#This Row],[30]]/Таблица5[[#This Row],[20]]))</f>
        <v>0</v>
      </c>
      <c r="AJ875" s="111">
        <v>1358666</v>
      </c>
      <c r="AK875" s="111"/>
      <c r="AL875" s="512"/>
      <c r="AM875" s="513" t="s">
        <v>113</v>
      </c>
      <c r="AN875" s="801">
        <v>31704936804</v>
      </c>
      <c r="AO875" s="468" t="str">
        <f>РПЗ!AD875</f>
        <v>Нет</v>
      </c>
      <c r="AP875" s="472">
        <f>РПЗ!V875</f>
        <v>0</v>
      </c>
      <c r="AQ875" s="470">
        <f>IF(Таблица5[[#This Row],[11]]=0,,MONTH(Таблица5[[#This Row],[11]]))</f>
        <v>3</v>
      </c>
    </row>
    <row r="876" spans="1:43" ht="51" x14ac:dyDescent="0.25">
      <c r="A876" s="233" t="str">
        <f t="shared" si="13"/>
        <v>1004-2017-00861</v>
      </c>
      <c r="B876" s="233" t="str">
        <f>РПЗ!$D876</f>
        <v>1004-2017-00861Оказание услуг по разработке, изготовлению и размещению Сайта - «Корпоративный» в сети Интернет</v>
      </c>
      <c r="C876" s="233" t="str">
        <f>РПЗ!$AA876</f>
        <v>АО "НИИ "Полюс" им. М.Ф. Стельмаха" тел. отдела закупок 8-495-333-05-02</v>
      </c>
      <c r="D876" s="633" t="str">
        <f>РПЗ!$AB876</f>
        <v>Заказчик</v>
      </c>
      <c r="E876" s="96" t="s">
        <v>46</v>
      </c>
      <c r="F876" s="233" t="str">
        <f>РПЗ!Q876</f>
        <v>ОЗК</v>
      </c>
      <c r="G876" s="237"/>
      <c r="H876" s="237" t="str">
        <f>РПЗ!R876</f>
        <v>да</v>
      </c>
      <c r="I876" s="15">
        <f>РПЗ!W876</f>
        <v>0</v>
      </c>
      <c r="J876" s="233">
        <f>РПЗ!X876</f>
        <v>0</v>
      </c>
      <c r="K876" s="283">
        <f>РПЗ!Z876</f>
        <v>0</v>
      </c>
      <c r="L876" s="17"/>
      <c r="M876" s="18">
        <f>РПЗ!O876</f>
        <v>42826</v>
      </c>
      <c r="N876" s="238">
        <f>Таблица5[[#This Row],[10]]</f>
        <v>42826</v>
      </c>
      <c r="O876" s="17"/>
      <c r="P876" s="17"/>
      <c r="Q876" s="17"/>
      <c r="R876" s="17"/>
      <c r="S876" s="17"/>
      <c r="T876" s="686"/>
      <c r="U876" s="18">
        <f>РПЗ!P876</f>
        <v>42856</v>
      </c>
      <c r="V876" s="686"/>
      <c r="W876" s="236">
        <f>РПЗ!L876</f>
        <v>268200</v>
      </c>
      <c r="X876" s="689"/>
      <c r="Y876" s="689"/>
      <c r="Z876" s="690"/>
      <c r="AA876" s="691"/>
      <c r="AB876" s="111"/>
      <c r="AC876" s="17"/>
      <c r="AD876" s="690"/>
      <c r="AE876" s="686"/>
      <c r="AF876" s="474"/>
      <c r="AG876" s="692"/>
      <c r="AH876" s="236" t="str">
        <f>IF(Таблица5[[#This Row],[30]]=0,"НД",Таблица5[[#This Row],[20]]-Таблица5[[#This Row],[30]])</f>
        <v>НД</v>
      </c>
      <c r="AI876" s="511" t="str">
        <f>IF(((1-Таблица5[[#This Row],[30]]/Таблица5[[#This Row],[20]])=1),"НД",(1-Таблица5[[#This Row],[30]]/Таблица5[[#This Row],[20]]))</f>
        <v>НД</v>
      </c>
      <c r="AJ876" s="111"/>
      <c r="AK876" s="111"/>
      <c r="AL876" s="512"/>
      <c r="AM876" s="513"/>
      <c r="AN876" s="465"/>
      <c r="AO876" s="468" t="str">
        <f>РПЗ!AD876</f>
        <v>Нет</v>
      </c>
      <c r="AP876" s="472">
        <f>РПЗ!V876</f>
        <v>0</v>
      </c>
      <c r="AQ876" s="470">
        <f>IF(Таблица5[[#This Row],[11]]=0,,MONTH(Таблица5[[#This Row],[11]]))</f>
        <v>4</v>
      </c>
    </row>
    <row r="877" spans="1:43" ht="38.25" x14ac:dyDescent="0.25">
      <c r="A877" s="233" t="str">
        <f t="shared" si="13"/>
        <v>1004-2017-00862</v>
      </c>
      <c r="B877" s="233" t="str">
        <f>РПЗ!$D877</f>
        <v>1004-2017-00862Кабель соединительный ОС-РС 28/1-1/0 ВВК-2,2+/-0,1</v>
      </c>
      <c r="C877" s="233" t="str">
        <f>РПЗ!$AA877</f>
        <v>АО "НИИ "Полюс" им. М.Ф. Стельмаха" тел. отдела закупок 8-495-333-05-02</v>
      </c>
      <c r="D877" s="633" t="str">
        <f>РПЗ!$AB877</f>
        <v>Заказчик</v>
      </c>
      <c r="E877" s="510" t="s">
        <v>62</v>
      </c>
      <c r="F877" s="233" t="str">
        <f>РПЗ!Q877</f>
        <v>ЕП</v>
      </c>
      <c r="G877" s="237" t="str">
        <f>Таблица5[[#This Row],[6]]</f>
        <v>ЕП</v>
      </c>
      <c r="H877" s="237" t="str">
        <f>РПЗ!R877</f>
        <v>нет</v>
      </c>
      <c r="I877" s="15" t="str">
        <f>РПЗ!W877</f>
        <v>6.6.2(11)</v>
      </c>
      <c r="J877" s="233" t="str">
        <f>РПЗ!X877</f>
        <v>7731163035</v>
      </c>
      <c r="K877" s="283">
        <f>РПЗ!Z877</f>
        <v>697266.26</v>
      </c>
      <c r="L877" s="17">
        <v>42822</v>
      </c>
      <c r="M877" s="18">
        <f>РПЗ!O877</f>
        <v>42826</v>
      </c>
      <c r="N877" s="238">
        <f>Таблица5[[#This Row],[10]]</f>
        <v>42826</v>
      </c>
      <c r="O877" s="17"/>
      <c r="P877" s="17"/>
      <c r="Q877" s="17"/>
      <c r="R877" s="17"/>
      <c r="S877" s="17"/>
      <c r="T877" s="686">
        <v>42859</v>
      </c>
      <c r="U877" s="18">
        <f>РПЗ!P877</f>
        <v>43009.5</v>
      </c>
      <c r="V877" s="686">
        <v>43070</v>
      </c>
      <c r="W877" s="236">
        <f>РПЗ!L877</f>
        <v>697266.26</v>
      </c>
      <c r="X877" s="689">
        <v>1</v>
      </c>
      <c r="Y877" s="689">
        <v>0</v>
      </c>
      <c r="Z877" s="691">
        <v>7731163035</v>
      </c>
      <c r="AA877" s="691" t="s">
        <v>6030</v>
      </c>
      <c r="AB877" s="111">
        <v>697266.26</v>
      </c>
      <c r="AC877" s="17">
        <v>43070</v>
      </c>
      <c r="AD877" s="690" t="s">
        <v>6031</v>
      </c>
      <c r="AE877" s="686">
        <v>42859</v>
      </c>
      <c r="AF877" s="474"/>
      <c r="AG877" s="692">
        <v>697266.26</v>
      </c>
      <c r="AH877" s="236">
        <f>IF(Таблица5[[#This Row],[30]]=0,"НД",Таблица5[[#This Row],[20]]-Таблица5[[#This Row],[30]])</f>
        <v>0</v>
      </c>
      <c r="AI877" s="511">
        <f>IF(((1-Таблица5[[#This Row],[30]]/Таблица5[[#This Row],[20]])=1),"НД",(1-Таблица5[[#This Row],[30]]/Таблица5[[#This Row],[20]]))</f>
        <v>0</v>
      </c>
      <c r="AJ877" s="111"/>
      <c r="AK877" s="111"/>
      <c r="AL877" s="512"/>
      <c r="AM877" s="513" t="s">
        <v>113</v>
      </c>
      <c r="AN877" s="801">
        <v>31705010451</v>
      </c>
      <c r="AO877" s="468" t="str">
        <f>РПЗ!AD877</f>
        <v>Нет</v>
      </c>
      <c r="AP877" s="472">
        <f>РПЗ!V877</f>
        <v>0</v>
      </c>
      <c r="AQ877" s="470">
        <f>IF(Таблица5[[#This Row],[11]]=0,,MONTH(Таблица5[[#This Row],[11]]))</f>
        <v>4</v>
      </c>
    </row>
    <row r="878" spans="1:43" ht="64.5" thickBot="1" x14ac:dyDescent="0.3">
      <c r="A878" s="233" t="str">
        <f t="shared" si="13"/>
        <v>1004-2017-00863</v>
      </c>
      <c r="B878" s="233" t="str">
        <f>РПЗ!$D878</f>
        <v xml:space="preserve">1004-2017-00863Проведение государственной регистрации  медицинского изделия-аппарата ИАГ-лазерного офтальмохирургического  АЛОФмх-02 ЖГДК 203321.008 ТУ </v>
      </c>
      <c r="C878" s="233" t="str">
        <f>РПЗ!$AA878</f>
        <v>АО "НИИ "Полюс" им. М.Ф. Стельмаха" тел. отдела закупок 8-495-333-05-02</v>
      </c>
      <c r="D878" s="633" t="str">
        <f>РПЗ!$AB878</f>
        <v>Заказчик</v>
      </c>
      <c r="E878" s="510" t="s">
        <v>62</v>
      </c>
      <c r="F878" s="233" t="str">
        <f>РПЗ!Q878</f>
        <v>ЕП</v>
      </c>
      <c r="G878" s="237" t="str">
        <f>Таблица5[[#This Row],[6]]</f>
        <v>ЕП</v>
      </c>
      <c r="H878" s="237" t="str">
        <f>РПЗ!R878</f>
        <v>нет</v>
      </c>
      <c r="I878" s="15" t="str">
        <f>РПЗ!W878</f>
        <v>6.6.2(30)</v>
      </c>
      <c r="J878" s="233" t="str">
        <f>РПЗ!X878</f>
        <v>7710658037</v>
      </c>
      <c r="K878" s="283">
        <f>РПЗ!Z878</f>
        <v>920000</v>
      </c>
      <c r="L878" s="17">
        <v>42836</v>
      </c>
      <c r="M878" s="18">
        <f>РПЗ!O878</f>
        <v>42826</v>
      </c>
      <c r="N878" s="238">
        <f>Таблица5[[#This Row],[10]]</f>
        <v>42826</v>
      </c>
      <c r="O878" s="17"/>
      <c r="P878" s="17"/>
      <c r="Q878" s="17"/>
      <c r="R878" s="17"/>
      <c r="S878" s="17"/>
      <c r="T878" s="686">
        <v>42846</v>
      </c>
      <c r="U878" s="18">
        <f>РПЗ!P878</f>
        <v>43435</v>
      </c>
      <c r="V878" s="686">
        <v>42979</v>
      </c>
      <c r="W878" s="236">
        <f>РПЗ!L878</f>
        <v>920000</v>
      </c>
      <c r="X878" s="689">
        <v>1</v>
      </c>
      <c r="Y878" s="689">
        <v>0</v>
      </c>
      <c r="Z878" s="691">
        <v>7710658037</v>
      </c>
      <c r="AA878" s="691" t="s">
        <v>6041</v>
      </c>
      <c r="AB878" s="111">
        <v>920000</v>
      </c>
      <c r="AC878" s="17">
        <v>42979</v>
      </c>
      <c r="AD878" s="690" t="s">
        <v>6042</v>
      </c>
      <c r="AE878" s="686">
        <v>42846</v>
      </c>
      <c r="AF878" s="474"/>
      <c r="AG878" s="692">
        <v>920000</v>
      </c>
      <c r="AH878" s="236">
        <f>IF(Таблица5[[#This Row],[30]]=0,"НД",Таблица5[[#This Row],[20]]-Таблица5[[#This Row],[30]])</f>
        <v>0</v>
      </c>
      <c r="AI878" s="511">
        <f>IF(((1-Таблица5[[#This Row],[30]]/Таблица5[[#This Row],[20]])=1),"НД",(1-Таблица5[[#This Row],[30]]/Таблица5[[#This Row],[20]]))</f>
        <v>0</v>
      </c>
      <c r="AJ878" s="111"/>
      <c r="AK878" s="111"/>
      <c r="AL878" s="512"/>
      <c r="AM878" s="513" t="s">
        <v>113</v>
      </c>
      <c r="AN878" s="801">
        <v>31705007084</v>
      </c>
      <c r="AO878" s="468" t="str">
        <f>РПЗ!AD878</f>
        <v>Нет</v>
      </c>
      <c r="AP878" s="472">
        <f>РПЗ!V878</f>
        <v>0</v>
      </c>
      <c r="AQ878" s="470">
        <f>IF(Таблица5[[#This Row],[11]]=0,,MONTH(Таблица5[[#This Row],[11]]))</f>
        <v>4</v>
      </c>
    </row>
    <row r="879" spans="1:43" ht="38.25" x14ac:dyDescent="0.25">
      <c r="A879" s="233" t="str">
        <f t="shared" si="13"/>
        <v>1004-2017-00864</v>
      </c>
      <c r="B879" s="233" t="str">
        <f>РПЗ!$D879</f>
        <v>1004-2017-00864Спецодежда, обувь и СИЗ</v>
      </c>
      <c r="C879" s="233" t="str">
        <f>РПЗ!$AA879</f>
        <v>АО "НИИ "Полюс" им. М.Ф. Стельмаха" тел. отдела закупок 8-495-333-05-02</v>
      </c>
      <c r="D879" s="633" t="str">
        <f>РПЗ!$AB879</f>
        <v>Заказчик</v>
      </c>
      <c r="E879" s="96" t="s">
        <v>46</v>
      </c>
      <c r="F879" s="233" t="str">
        <f>РПЗ!Q879</f>
        <v>ЕП</v>
      </c>
      <c r="G879" s="237"/>
      <c r="H879" s="237" t="str">
        <f>РПЗ!R879</f>
        <v>нет</v>
      </c>
      <c r="I879" s="15" t="str">
        <f>РПЗ!W879</f>
        <v>6.6.2(7)</v>
      </c>
      <c r="J879" s="233">
        <f>РПЗ!X879</f>
        <v>0</v>
      </c>
      <c r="K879" s="283">
        <f>РПЗ!Z879</f>
        <v>0</v>
      </c>
      <c r="L879" s="17"/>
      <c r="M879" s="18">
        <f>РПЗ!O879</f>
        <v>42810.5</v>
      </c>
      <c r="N879" s="238">
        <f>Таблица5[[#This Row],[10]]</f>
        <v>42810.5</v>
      </c>
      <c r="O879" s="17"/>
      <c r="P879" s="17"/>
      <c r="Q879" s="17"/>
      <c r="R879" s="17"/>
      <c r="S879" s="17"/>
      <c r="T879" s="686"/>
      <c r="U879" s="18">
        <f>РПЗ!P879</f>
        <v>43100</v>
      </c>
      <c r="V879" s="686"/>
      <c r="W879" s="236">
        <f>РПЗ!L879</f>
        <v>2069517.63</v>
      </c>
      <c r="X879" s="689"/>
      <c r="Y879" s="689"/>
      <c r="Z879" s="690"/>
      <c r="AA879" s="691"/>
      <c r="AB879" s="111"/>
      <c r="AC879" s="17"/>
      <c r="AD879" s="690"/>
      <c r="AE879" s="686"/>
      <c r="AF879" s="474"/>
      <c r="AG879" s="692"/>
      <c r="AH879" s="236" t="str">
        <f>IF(Таблица5[[#This Row],[30]]=0,"НД",Таблица5[[#This Row],[20]]-Таблица5[[#This Row],[30]])</f>
        <v>НД</v>
      </c>
      <c r="AI879" s="511" t="str">
        <f>IF(((1-Таблица5[[#This Row],[30]]/Таблица5[[#This Row],[20]])=1),"НД",(1-Таблица5[[#This Row],[30]]/Таблица5[[#This Row],[20]]))</f>
        <v>НД</v>
      </c>
      <c r="AJ879" s="111"/>
      <c r="AK879" s="111"/>
      <c r="AL879" s="512"/>
      <c r="AM879" s="513"/>
      <c r="AN879" s="465"/>
      <c r="AO879" s="468" t="str">
        <f>РПЗ!AD879</f>
        <v>Нет</v>
      </c>
      <c r="AP879" s="472">
        <f>РПЗ!V879</f>
        <v>0</v>
      </c>
      <c r="AQ879" s="470">
        <f>IF(Таблица5[[#This Row],[11]]=0,,MONTH(Таблица5[[#This Row],[11]]))</f>
        <v>3</v>
      </c>
    </row>
    <row r="880" spans="1:43" ht="102" x14ac:dyDescent="0.25">
      <c r="A880" s="233" t="str">
        <f t="shared" si="13"/>
        <v>1004-2017-00865</v>
      </c>
      <c r="B880" s="233" t="str">
        <f>РПЗ!$D880</f>
        <v>1004-2017-00865проведение государственной экспертизы проектной документации и результатов инженерных изысканий (с дороботки) "Реконструкция и техническое перевооружение производства"  АО "НИИ "Полюс" им. М.Ф. Стельмаха"</v>
      </c>
      <c r="C880" s="233" t="str">
        <f>РПЗ!$AA880</f>
        <v>АО "НИИ "Полюс" им. М.Ф. Стельмаха" тел. отдела закупок 8-495-333-05-02</v>
      </c>
      <c r="D880" s="633" t="str">
        <f>РПЗ!$AB880</f>
        <v>Заказчик</v>
      </c>
      <c r="E880" s="510" t="s">
        <v>62</v>
      </c>
      <c r="F880" s="233" t="str">
        <f>РПЗ!Q880</f>
        <v>ЕП</v>
      </c>
      <c r="G880" s="237" t="str">
        <f>Таблица5[[#This Row],[6]]</f>
        <v>ЕП</v>
      </c>
      <c r="H880" s="237" t="str">
        <f>РПЗ!R880</f>
        <v>нет</v>
      </c>
      <c r="I880" s="15" t="str">
        <f>РПЗ!W880</f>
        <v>6.6.2(4)</v>
      </c>
      <c r="J880" s="233" t="str">
        <f>РПЗ!X880</f>
        <v>7707082071</v>
      </c>
      <c r="K880" s="283">
        <f>РПЗ!Z880</f>
        <v>769394.67</v>
      </c>
      <c r="L880" s="17">
        <v>42839</v>
      </c>
      <c r="M880" s="18">
        <f>РПЗ!O880</f>
        <v>42826</v>
      </c>
      <c r="N880" s="238">
        <f>Таблица5[[#This Row],[10]]</f>
        <v>42826</v>
      </c>
      <c r="O880" s="17"/>
      <c r="P880" s="17"/>
      <c r="Q880" s="17"/>
      <c r="R880" s="17"/>
      <c r="S880" s="17"/>
      <c r="T880" s="686">
        <v>42846</v>
      </c>
      <c r="U880" s="18">
        <f>РПЗ!P880</f>
        <v>42856</v>
      </c>
      <c r="V880" s="686">
        <v>42917</v>
      </c>
      <c r="W880" s="236">
        <f>РПЗ!L880</f>
        <v>769394.67</v>
      </c>
      <c r="X880" s="689">
        <v>1</v>
      </c>
      <c r="Y880" s="689">
        <v>0</v>
      </c>
      <c r="Z880" s="691">
        <v>7707082071</v>
      </c>
      <c r="AA880" s="691" t="s">
        <v>5116</v>
      </c>
      <c r="AB880" s="111">
        <v>769394.67</v>
      </c>
      <c r="AC880" s="17">
        <v>42917</v>
      </c>
      <c r="AD880" s="690" t="s">
        <v>5117</v>
      </c>
      <c r="AE880" s="686">
        <v>42846</v>
      </c>
      <c r="AF880" s="474"/>
      <c r="AG880" s="692">
        <v>769394.67</v>
      </c>
      <c r="AH880" s="236">
        <f>IF(Таблица5[[#This Row],[30]]=0,"НД",Таблица5[[#This Row],[20]]-Таблица5[[#This Row],[30]])</f>
        <v>0</v>
      </c>
      <c r="AI880" s="511">
        <f>IF(((1-Таблица5[[#This Row],[30]]/Таблица5[[#This Row],[20]])=1),"НД",(1-Таблица5[[#This Row],[30]]/Таблица5[[#This Row],[20]]))</f>
        <v>0</v>
      </c>
      <c r="AJ880" s="111"/>
      <c r="AK880" s="111"/>
      <c r="AL880" s="512"/>
      <c r="AM880" s="513" t="s">
        <v>113</v>
      </c>
      <c r="AN880" s="801">
        <v>31705023818</v>
      </c>
      <c r="AO880" s="468" t="str">
        <f>РПЗ!AD880</f>
        <v>Нет</v>
      </c>
      <c r="AP880" s="472">
        <f>РПЗ!V880</f>
        <v>0</v>
      </c>
      <c r="AQ880" s="470">
        <f>IF(Таблица5[[#This Row],[11]]=0,,MONTH(Таблица5[[#This Row],[11]]))</f>
        <v>4</v>
      </c>
    </row>
    <row r="881" spans="1:43" ht="39" thickBot="1" x14ac:dyDescent="0.3">
      <c r="A881" s="233" t="str">
        <f t="shared" si="13"/>
        <v>1004-2017-00866</v>
      </c>
      <c r="B881" s="233" t="str">
        <f>РПЗ!$D881</f>
        <v>1004-2017-00866изготовление и поставка оптических деталий</v>
      </c>
      <c r="C881" s="233" t="str">
        <f>РПЗ!$AA881</f>
        <v>АО "НИИ "Полюс" им. М.Ф. Стельмаха" тел. отдела закупок 8-495-333-05-02</v>
      </c>
      <c r="D881" s="633" t="str">
        <f>РПЗ!$AB881</f>
        <v>Заказчик</v>
      </c>
      <c r="E881" s="510" t="s">
        <v>62</v>
      </c>
      <c r="F881" s="233" t="str">
        <f>РПЗ!Q881</f>
        <v>ЕП</v>
      </c>
      <c r="G881" s="237" t="str">
        <f>Таблица5[[#This Row],[6]]</f>
        <v>ЕП</v>
      </c>
      <c r="H881" s="237" t="str">
        <f>РПЗ!R881</f>
        <v>нет</v>
      </c>
      <c r="I881" s="15" t="str">
        <f>РПЗ!W881</f>
        <v>6.6.2(11)</v>
      </c>
      <c r="J881" s="233" t="str">
        <f>РПЗ!X881</f>
        <v>5024022965</v>
      </c>
      <c r="K881" s="283">
        <f>РПЗ!Z881</f>
        <v>1623393.59</v>
      </c>
      <c r="L881" s="17">
        <v>42822</v>
      </c>
      <c r="M881" s="18">
        <f>РПЗ!O881</f>
        <v>42810.5</v>
      </c>
      <c r="N881" s="238">
        <f>Таблица5[[#This Row],[10]]</f>
        <v>42810.5</v>
      </c>
      <c r="O881" s="17"/>
      <c r="P881" s="17"/>
      <c r="Q881" s="17"/>
      <c r="R881" s="17"/>
      <c r="S881" s="17"/>
      <c r="T881" s="661" t="s">
        <v>3296</v>
      </c>
      <c r="U881" s="18">
        <f>РПЗ!P881</f>
        <v>43100</v>
      </c>
      <c r="V881" s="761">
        <v>43070</v>
      </c>
      <c r="W881" s="236">
        <f>РПЗ!L881</f>
        <v>1623393.59</v>
      </c>
      <c r="X881" s="689">
        <v>1</v>
      </c>
      <c r="Y881" s="689">
        <v>0</v>
      </c>
      <c r="Z881" s="691">
        <v>5024022965</v>
      </c>
      <c r="AA881" s="837" t="s">
        <v>1955</v>
      </c>
      <c r="AB881" s="700">
        <v>1623393.59</v>
      </c>
      <c r="AC881" s="686">
        <v>43070</v>
      </c>
      <c r="AD881" s="832" t="s">
        <v>3297</v>
      </c>
      <c r="AE881" s="700" t="s">
        <v>3296</v>
      </c>
      <c r="AF881" s="474"/>
      <c r="AG881" s="829">
        <v>1623393.59</v>
      </c>
      <c r="AH881" s="236">
        <f>IF(Таблица5[[#This Row],[30]]=0,"НД",Таблица5[[#This Row],[20]]-Таблица5[[#This Row],[30]])</f>
        <v>0</v>
      </c>
      <c r="AI881" s="511">
        <f>IF(((1-Таблица5[[#This Row],[30]]/Таблица5[[#This Row],[20]])=1),"НД",(1-Таблица5[[#This Row],[30]]/Таблица5[[#This Row],[20]]))</f>
        <v>0</v>
      </c>
      <c r="AJ881" s="111"/>
      <c r="AK881" s="111"/>
      <c r="AL881" s="512"/>
      <c r="AM881" s="513" t="s">
        <v>113</v>
      </c>
      <c r="AN881" s="801">
        <v>31704948818</v>
      </c>
      <c r="AO881" s="468" t="str">
        <f>РПЗ!AD881</f>
        <v>Нет</v>
      </c>
      <c r="AP881" s="472">
        <f>РПЗ!V881</f>
        <v>0</v>
      </c>
      <c r="AQ881" s="470">
        <f>IF(Таблица5[[#This Row],[11]]=0,,MONTH(Таблица5[[#This Row],[11]]))</f>
        <v>3</v>
      </c>
    </row>
    <row r="882" spans="1:43" ht="38.25" x14ac:dyDescent="0.25">
      <c r="A882" s="233" t="str">
        <f t="shared" si="13"/>
        <v>1004-2017-00867</v>
      </c>
      <c r="B882" s="233" t="str">
        <f>РПЗ!$D882</f>
        <v>1004-2017-00867Поставка ЭРИ ИП</v>
      </c>
      <c r="C882" s="233" t="str">
        <f>РПЗ!$AA882</f>
        <v>АО "НИИ "Полюс" им. М.Ф. Стельмаха" тел. отдела закупок 8-495-333-05-02</v>
      </c>
      <c r="D882" s="633" t="str">
        <f>РПЗ!$AB882</f>
        <v>Заказчик</v>
      </c>
      <c r="E882" s="96" t="s">
        <v>46</v>
      </c>
      <c r="F882" s="233" t="str">
        <f>РПЗ!Q882</f>
        <v>ЕП</v>
      </c>
      <c r="G882" s="237"/>
      <c r="H882" s="237" t="str">
        <f>РПЗ!R882</f>
        <v>нет</v>
      </c>
      <c r="I882" s="15">
        <f>РПЗ!W882</f>
        <v>0</v>
      </c>
      <c r="J882" s="233">
        <f>РПЗ!X882</f>
        <v>0</v>
      </c>
      <c r="K882" s="283">
        <f>РПЗ!Z882</f>
        <v>0</v>
      </c>
      <c r="L882" s="17"/>
      <c r="M882" s="18">
        <f>РПЗ!O882</f>
        <v>42826</v>
      </c>
      <c r="N882" s="238">
        <f>Таблица5[[#This Row],[10]]</f>
        <v>42826</v>
      </c>
      <c r="O882" s="17"/>
      <c r="P882" s="17"/>
      <c r="Q882" s="17"/>
      <c r="R882" s="17"/>
      <c r="S882" s="17"/>
      <c r="T882" s="686"/>
      <c r="U882" s="18">
        <f>РПЗ!P882</f>
        <v>43070</v>
      </c>
      <c r="V882" s="686"/>
      <c r="W882" s="236">
        <f>РПЗ!L882</f>
        <v>667508.24</v>
      </c>
      <c r="X882" s="689"/>
      <c r="Y882" s="689"/>
      <c r="Z882" s="690"/>
      <c r="AA882" s="691"/>
      <c r="AB882" s="111"/>
      <c r="AC882" s="17"/>
      <c r="AD882" s="690"/>
      <c r="AE882" s="686"/>
      <c r="AF882" s="474"/>
      <c r="AG882" s="692"/>
      <c r="AH882" s="236" t="str">
        <f>IF(Таблица5[[#This Row],[30]]=0,"НД",Таблица5[[#This Row],[20]]-Таблица5[[#This Row],[30]])</f>
        <v>НД</v>
      </c>
      <c r="AI882" s="511" t="str">
        <f>IF(((1-Таблица5[[#This Row],[30]]/Таблица5[[#This Row],[20]])=1),"НД",(1-Таблица5[[#This Row],[30]]/Таблица5[[#This Row],[20]]))</f>
        <v>НД</v>
      </c>
      <c r="AJ882" s="111"/>
      <c r="AK882" s="111"/>
      <c r="AL882" s="512"/>
      <c r="AM882" s="513"/>
      <c r="AN882" s="465"/>
      <c r="AO882" s="468" t="str">
        <f>РПЗ!AD882</f>
        <v>Нет</v>
      </c>
      <c r="AP882" s="472">
        <f>РПЗ!V882</f>
        <v>0</v>
      </c>
      <c r="AQ882" s="470">
        <f>IF(Таблица5[[#This Row],[11]]=0,,MONTH(Таблица5[[#This Row],[11]]))</f>
        <v>4</v>
      </c>
    </row>
    <row r="883" spans="1:43" ht="39" thickBot="1" x14ac:dyDescent="0.3">
      <c r="A883" s="233" t="str">
        <f t="shared" ref="A883:A946" si="14">INDEX(Диапазон1,ROW(), COLUMN())</f>
        <v>1004-2017-00868</v>
      </c>
      <c r="B883" s="233" t="str">
        <f>РПЗ!$D883</f>
        <v>1004-2017-00868Поставка  МИТМ-01</v>
      </c>
      <c r="C883" s="233" t="str">
        <f>РПЗ!$AA883</f>
        <v>АО "НИИ "Полюс" им. М.Ф. Стельмаха" тел. отдела закупок 8-495-333-05-02</v>
      </c>
      <c r="D883" s="633" t="str">
        <f>РПЗ!$AB883</f>
        <v>Заказчик</v>
      </c>
      <c r="E883" s="510" t="s">
        <v>62</v>
      </c>
      <c r="F883" s="233" t="str">
        <f>РПЗ!Q883</f>
        <v>ЕП</v>
      </c>
      <c r="G883" s="237" t="str">
        <f>Таблица5[[#This Row],[6]]</f>
        <v>ЕП</v>
      </c>
      <c r="H883" s="237" t="str">
        <f>РПЗ!R883</f>
        <v>нет</v>
      </c>
      <c r="I883" s="15" t="str">
        <f>РПЗ!W883</f>
        <v>6.6.2(11)</v>
      </c>
      <c r="J883" s="233" t="str">
        <f>РПЗ!X883</f>
        <v>5261000011</v>
      </c>
      <c r="K883" s="283">
        <f>РПЗ!Z883</f>
        <v>301608</v>
      </c>
      <c r="L883" s="17">
        <v>42852</v>
      </c>
      <c r="M883" s="18">
        <f>РПЗ!O883</f>
        <v>42856</v>
      </c>
      <c r="N883" s="238">
        <f>Таблица5[[#This Row],[10]]</f>
        <v>42856</v>
      </c>
      <c r="O883" s="17"/>
      <c r="P883" s="17"/>
      <c r="Q883" s="17"/>
      <c r="R883" s="17"/>
      <c r="S883" s="17"/>
      <c r="T883" s="686">
        <v>42905</v>
      </c>
      <c r="U883" s="18">
        <f>РПЗ!P883</f>
        <v>43070</v>
      </c>
      <c r="V883" s="686">
        <v>43070</v>
      </c>
      <c r="W883" s="236">
        <f>РПЗ!L883</f>
        <v>301608</v>
      </c>
      <c r="X883" s="689">
        <v>1</v>
      </c>
      <c r="Y883" s="689">
        <v>0</v>
      </c>
      <c r="Z883" s="691">
        <v>5261000011</v>
      </c>
      <c r="AA883" s="691" t="s">
        <v>5774</v>
      </c>
      <c r="AB883" s="111">
        <v>301608</v>
      </c>
      <c r="AC883" s="17">
        <v>43070</v>
      </c>
      <c r="AD883" s="690" t="s">
        <v>5775</v>
      </c>
      <c r="AE883" s="686">
        <v>42905</v>
      </c>
      <c r="AF883" s="474"/>
      <c r="AG883" s="692">
        <v>301608</v>
      </c>
      <c r="AH883" s="236">
        <f>IF(Таблица5[[#This Row],[30]]=0,"НД",Таблица5[[#This Row],[20]]-Таблица5[[#This Row],[30]])</f>
        <v>0</v>
      </c>
      <c r="AI883" s="511">
        <f>IF(((1-Таблица5[[#This Row],[30]]/Таблица5[[#This Row],[20]])=1),"НД",(1-Таблица5[[#This Row],[30]]/Таблица5[[#This Row],[20]]))</f>
        <v>0</v>
      </c>
      <c r="AJ883" s="111"/>
      <c r="AK883" s="111"/>
      <c r="AL883" s="512"/>
      <c r="AM883" s="513" t="s">
        <v>113</v>
      </c>
      <c r="AN883" s="465">
        <v>31705110190</v>
      </c>
      <c r="AO883" s="468" t="str">
        <f>РПЗ!AD883</f>
        <v>Нет</v>
      </c>
      <c r="AP883" s="472">
        <f>РПЗ!V883</f>
        <v>0</v>
      </c>
      <c r="AQ883" s="470">
        <f>IF(Таблица5[[#This Row],[11]]=0,,MONTH(Таблица5[[#This Row],[11]]))</f>
        <v>5</v>
      </c>
    </row>
    <row r="884" spans="1:43" ht="38.25" x14ac:dyDescent="0.25">
      <c r="A884" s="233" t="str">
        <f t="shared" si="14"/>
        <v>1004-2017-00869</v>
      </c>
      <c r="B884" s="233" t="str">
        <f>РПЗ!$D884</f>
        <v>1004-2017-00869изготовление и постака упаковки</v>
      </c>
      <c r="C884" s="233" t="str">
        <f>РПЗ!$AA884</f>
        <v>АО "НИИ "Полюс" им. М.Ф. Стельмаха" тел. отдела закупок 8-495-333-05-02</v>
      </c>
      <c r="D884" s="633" t="str">
        <f>РПЗ!$AB884</f>
        <v>Заказчик</v>
      </c>
      <c r="E884" s="96" t="s">
        <v>46</v>
      </c>
      <c r="F884" s="233" t="str">
        <f>РПЗ!Q884</f>
        <v>ЕП</v>
      </c>
      <c r="G884" s="237"/>
      <c r="H884" s="237" t="str">
        <f>РПЗ!R884</f>
        <v>нет</v>
      </c>
      <c r="I884" s="15">
        <f>РПЗ!W884</f>
        <v>0</v>
      </c>
      <c r="J884" s="233">
        <f>РПЗ!X884</f>
        <v>0</v>
      </c>
      <c r="K884" s="283">
        <f>РПЗ!Z884</f>
        <v>0</v>
      </c>
      <c r="L884" s="17"/>
      <c r="M884" s="18">
        <f>РПЗ!O884</f>
        <v>42826</v>
      </c>
      <c r="N884" s="238">
        <f>Таблица5[[#This Row],[10]]</f>
        <v>42826</v>
      </c>
      <c r="O884" s="17"/>
      <c r="P884" s="17"/>
      <c r="Q884" s="17"/>
      <c r="R884" s="17"/>
      <c r="S884" s="17"/>
      <c r="T884" s="686"/>
      <c r="U884" s="18">
        <f>РПЗ!P884</f>
        <v>43070</v>
      </c>
      <c r="V884" s="686"/>
      <c r="W884" s="236">
        <f>РПЗ!L884</f>
        <v>175547.56</v>
      </c>
      <c r="X884" s="689"/>
      <c r="Y884" s="689"/>
      <c r="Z884" s="690"/>
      <c r="AA884" s="691"/>
      <c r="AB884" s="111"/>
      <c r="AC884" s="17"/>
      <c r="AD884" s="690"/>
      <c r="AE884" s="686"/>
      <c r="AF884" s="474"/>
      <c r="AG884" s="692"/>
      <c r="AH884" s="236" t="str">
        <f>IF(Таблица5[[#This Row],[30]]=0,"НД",Таблица5[[#This Row],[20]]-Таблица5[[#This Row],[30]])</f>
        <v>НД</v>
      </c>
      <c r="AI884" s="511" t="str">
        <f>IF(((1-Таблица5[[#This Row],[30]]/Таблица5[[#This Row],[20]])=1),"НД",(1-Таблица5[[#This Row],[30]]/Таблица5[[#This Row],[20]]))</f>
        <v>НД</v>
      </c>
      <c r="AJ884" s="111"/>
      <c r="AK884" s="111"/>
      <c r="AL884" s="512"/>
      <c r="AM884" s="513"/>
      <c r="AN884" s="465"/>
      <c r="AO884" s="468" t="str">
        <f>РПЗ!AD884</f>
        <v>Нет</v>
      </c>
      <c r="AP884" s="472">
        <f>РПЗ!V884</f>
        <v>0</v>
      </c>
      <c r="AQ884" s="470">
        <f>IF(Таблица5[[#This Row],[11]]=0,,MONTH(Таблица5[[#This Row],[11]]))</f>
        <v>4</v>
      </c>
    </row>
    <row r="885" spans="1:43" ht="39" thickBot="1" x14ac:dyDescent="0.3">
      <c r="A885" s="233" t="str">
        <f t="shared" si="14"/>
        <v>1004-2017-00870</v>
      </c>
      <c r="B885" s="233" t="str">
        <f>РПЗ!$D885</f>
        <v>1004-2017-00870Поставка Строительные материалы</v>
      </c>
      <c r="C885" s="233" t="str">
        <f>РПЗ!$AA885</f>
        <v>АО "НИИ "Полюс" им. М.Ф. Стельмаха" тел. отдела закупок 8-495-333-05-02</v>
      </c>
      <c r="D885" s="633" t="str">
        <f>РПЗ!$AB885</f>
        <v>Заказчик</v>
      </c>
      <c r="E885" s="510" t="s">
        <v>62</v>
      </c>
      <c r="F885" s="233" t="str">
        <f>РПЗ!Q885</f>
        <v>ЕП</v>
      </c>
      <c r="G885" s="237" t="str">
        <f>Таблица5[[#This Row],[6]]</f>
        <v>ЕП</v>
      </c>
      <c r="H885" s="237" t="str">
        <f>РПЗ!R885</f>
        <v>нет</v>
      </c>
      <c r="I885" s="15" t="str">
        <f>РПЗ!W885</f>
        <v>6.6.2(31)</v>
      </c>
      <c r="J885" s="233" t="str">
        <f>РПЗ!X885</f>
        <v>7705579703</v>
      </c>
      <c r="K885" s="283">
        <f>РПЗ!Z885</f>
        <v>148933.18</v>
      </c>
      <c r="L885" s="17">
        <v>42829</v>
      </c>
      <c r="M885" s="18">
        <f>РПЗ!O885</f>
        <v>42826</v>
      </c>
      <c r="N885" s="238">
        <f>Таблица5[[#This Row],[10]]</f>
        <v>42826</v>
      </c>
      <c r="O885" s="17"/>
      <c r="P885" s="17"/>
      <c r="Q885" s="17"/>
      <c r="R885" s="17"/>
      <c r="S885" s="17"/>
      <c r="T885" s="686">
        <v>42860</v>
      </c>
      <c r="U885" s="18">
        <f>РПЗ!P885</f>
        <v>43070</v>
      </c>
      <c r="V885" s="686">
        <v>43070</v>
      </c>
      <c r="W885" s="236">
        <f>РПЗ!L885</f>
        <v>148933.18</v>
      </c>
      <c r="X885" s="689">
        <v>1</v>
      </c>
      <c r="Y885" s="689">
        <v>0</v>
      </c>
      <c r="Z885" s="691">
        <v>7705579703</v>
      </c>
      <c r="AA885" s="691" t="s">
        <v>3287</v>
      </c>
      <c r="AB885" s="111">
        <v>148933.18</v>
      </c>
      <c r="AC885" s="17">
        <v>43070</v>
      </c>
      <c r="AD885" s="690" t="s">
        <v>6032</v>
      </c>
      <c r="AE885" s="686">
        <v>42860</v>
      </c>
      <c r="AF885" s="474"/>
      <c r="AG885" s="692">
        <v>148933.18</v>
      </c>
      <c r="AH885" s="236">
        <f>IF(Таблица5[[#This Row],[30]]=0,"НД",Таблица5[[#This Row],[20]]-Таблица5[[#This Row],[30]])</f>
        <v>0</v>
      </c>
      <c r="AI885" s="511">
        <f>IF(((1-Таблица5[[#This Row],[30]]/Таблица5[[#This Row],[20]])=1),"НД",(1-Таблица5[[#This Row],[30]]/Таблица5[[#This Row],[20]]))</f>
        <v>0</v>
      </c>
      <c r="AJ885" s="111"/>
      <c r="AK885" s="111"/>
      <c r="AL885" s="512"/>
      <c r="AM885" s="513" t="s">
        <v>113</v>
      </c>
      <c r="AN885" s="801">
        <v>31704980236</v>
      </c>
      <c r="AO885" s="468" t="str">
        <f>РПЗ!AD885</f>
        <v>Нет</v>
      </c>
      <c r="AP885" s="472">
        <f>РПЗ!V885</f>
        <v>0</v>
      </c>
      <c r="AQ885" s="470">
        <f>IF(Таблица5[[#This Row],[11]]=0,,MONTH(Таблица5[[#This Row],[11]]))</f>
        <v>4</v>
      </c>
    </row>
    <row r="886" spans="1:43" ht="38.25" x14ac:dyDescent="0.25">
      <c r="A886" s="233" t="str">
        <f t="shared" si="14"/>
        <v>1004-2017-00871</v>
      </c>
      <c r="B886" s="233" t="str">
        <f>РПЗ!$D886</f>
        <v>1004-2017-00871Поставка  Узел мембранный среднего давления ТУ 4859.010. 27572664.16</v>
      </c>
      <c r="C886" s="233" t="str">
        <f>РПЗ!$AA886</f>
        <v>АО "НИИ "Полюс" им. М.Ф. Стельмаха" тел. отдела закупок 8-495-333-05-02</v>
      </c>
      <c r="D886" s="633" t="str">
        <f>РПЗ!$AB886</f>
        <v>Заказчик</v>
      </c>
      <c r="E886" s="96" t="s">
        <v>46</v>
      </c>
      <c r="F886" s="233" t="str">
        <f>РПЗ!Q886</f>
        <v>ЕП</v>
      </c>
      <c r="G886" s="237"/>
      <c r="H886" s="237" t="str">
        <f>РПЗ!R886</f>
        <v>нет</v>
      </c>
      <c r="I886" s="15">
        <f>РПЗ!W886</f>
        <v>0</v>
      </c>
      <c r="J886" s="233">
        <f>РПЗ!X886</f>
        <v>0</v>
      </c>
      <c r="K886" s="283">
        <f>РПЗ!Z886</f>
        <v>0</v>
      </c>
      <c r="L886" s="17"/>
      <c r="M886" s="18">
        <f>РПЗ!O886</f>
        <v>42826</v>
      </c>
      <c r="N886" s="238">
        <f>Таблица5[[#This Row],[10]]</f>
        <v>42826</v>
      </c>
      <c r="O886" s="17"/>
      <c r="P886" s="17"/>
      <c r="Q886" s="17"/>
      <c r="R886" s="17"/>
      <c r="S886" s="17"/>
      <c r="T886" s="686"/>
      <c r="U886" s="18">
        <f>РПЗ!P886</f>
        <v>42826</v>
      </c>
      <c r="V886" s="686"/>
      <c r="W886" s="236">
        <f>РПЗ!L886</f>
        <v>114000</v>
      </c>
      <c r="X886" s="689"/>
      <c r="Y886" s="689"/>
      <c r="Z886" s="690"/>
      <c r="AA886" s="691"/>
      <c r="AB886" s="111"/>
      <c r="AC886" s="17"/>
      <c r="AD886" s="690"/>
      <c r="AE886" s="686"/>
      <c r="AF886" s="474"/>
      <c r="AG886" s="692"/>
      <c r="AH886" s="236" t="str">
        <f>IF(Таблица5[[#This Row],[30]]=0,"НД",Таблица5[[#This Row],[20]]-Таблица5[[#This Row],[30]])</f>
        <v>НД</v>
      </c>
      <c r="AI886" s="511" t="str">
        <f>IF(((1-Таблица5[[#This Row],[30]]/Таблица5[[#This Row],[20]])=1),"НД",(1-Таблица5[[#This Row],[30]]/Таблица5[[#This Row],[20]]))</f>
        <v>НД</v>
      </c>
      <c r="AJ886" s="111"/>
      <c r="AK886" s="111"/>
      <c r="AL886" s="512"/>
      <c r="AM886" s="513"/>
      <c r="AN886" s="465"/>
      <c r="AO886" s="468" t="str">
        <f>РПЗ!AD886</f>
        <v>Нет</v>
      </c>
      <c r="AP886" s="472">
        <f>РПЗ!V886</f>
        <v>0</v>
      </c>
      <c r="AQ886" s="470">
        <f>IF(Таблица5[[#This Row],[11]]=0,,MONTH(Таблица5[[#This Row],[11]]))</f>
        <v>4</v>
      </c>
    </row>
    <row r="887" spans="1:43" s="681" customFormat="1" ht="51" x14ac:dyDescent="0.25">
      <c r="A887" s="691" t="str">
        <f t="shared" si="14"/>
        <v>1004-2017-00872</v>
      </c>
      <c r="B887" s="691" t="str">
        <f>РПЗ!$D887</f>
        <v>1004-2017-00872Поставка пластин из монокристаллического синтетического корунда полированных с двух сторон</v>
      </c>
      <c r="C887" s="691" t="str">
        <f>РПЗ!$AA887</f>
        <v>АО "НИИ "Полюс" им. М.Ф. Стельмаха" тел. отдела закупок 8-495-333-05-02</v>
      </c>
      <c r="D887" s="706" t="str">
        <f>РПЗ!$AB887</f>
        <v>Заказчик</v>
      </c>
      <c r="E887" s="510" t="s">
        <v>62</v>
      </c>
      <c r="F887" s="691" t="str">
        <f>РПЗ!Q887</f>
        <v>ОЗК</v>
      </c>
      <c r="G887" s="691" t="str">
        <f>Таблица5[[#This Row],[6]]</f>
        <v>ОЗК</v>
      </c>
      <c r="H887" s="691" t="str">
        <f>РПЗ!R887</f>
        <v>да</v>
      </c>
      <c r="I887" s="707">
        <f>РПЗ!W887</f>
        <v>0</v>
      </c>
      <c r="J887" s="691">
        <f>РПЗ!X887</f>
        <v>0</v>
      </c>
      <c r="K887" s="708">
        <f>РПЗ!Z887</f>
        <v>0</v>
      </c>
      <c r="L887" s="686"/>
      <c r="M887" s="687">
        <f>РПЗ!O887</f>
        <v>42826</v>
      </c>
      <c r="N887" s="687">
        <f>Таблица5[[#This Row],[10]]</f>
        <v>42826</v>
      </c>
      <c r="O887" s="686">
        <v>42829</v>
      </c>
      <c r="P887" s="686">
        <v>42838</v>
      </c>
      <c r="Q887" s="686">
        <v>42838</v>
      </c>
      <c r="R887" s="686">
        <v>42835</v>
      </c>
      <c r="S887" s="686">
        <v>42835</v>
      </c>
      <c r="T887" s="686"/>
      <c r="U887" s="687">
        <f>РПЗ!P887</f>
        <v>42826</v>
      </c>
      <c r="V887" s="761"/>
      <c r="W887" s="692">
        <f>РПЗ!L887</f>
        <v>1342500</v>
      </c>
      <c r="X887" s="689">
        <v>1</v>
      </c>
      <c r="Y887" s="689">
        <v>0</v>
      </c>
      <c r="Z887" s="715">
        <v>7721166661</v>
      </c>
      <c r="AA887" s="691" t="s">
        <v>3346</v>
      </c>
      <c r="AB887" s="692">
        <v>1342250</v>
      </c>
      <c r="AC887" s="686"/>
      <c r="AD887" s="690"/>
      <c r="AE887" s="686"/>
      <c r="AF887" s="690"/>
      <c r="AG887" s="814"/>
      <c r="AH887" s="692" t="str">
        <f>IF(Таблица5[[#This Row],[30]]=0,"НД",Таблица5[[#This Row],[20]]-Таблица5[[#This Row],[30]])</f>
        <v>НД</v>
      </c>
      <c r="AI887" s="709" t="str">
        <f>IF(((1-Таблица5[[#This Row],[30]]/Таблица5[[#This Row],[20]])=1),"НД",(1-Таблица5[[#This Row],[30]]/Таблица5[[#This Row],[20]]))</f>
        <v>НД</v>
      </c>
      <c r="AJ887" s="692"/>
      <c r="AK887" s="692"/>
      <c r="AL887" s="710"/>
      <c r="AM887" s="711" t="s">
        <v>113</v>
      </c>
      <c r="AN887" s="800">
        <v>31704973814</v>
      </c>
      <c r="AO887" s="712" t="str">
        <f>РПЗ!AD887</f>
        <v>Нет</v>
      </c>
      <c r="AP887" s="713">
        <f>РПЗ!V887</f>
        <v>0</v>
      </c>
      <c r="AQ887" s="714">
        <f>IF(Таблица5[[#This Row],[11]]=0,,MONTH(Таблица5[[#This Row],[11]]))</f>
        <v>4</v>
      </c>
    </row>
    <row r="888" spans="1:43" ht="38.25" x14ac:dyDescent="0.25">
      <c r="A888" s="233" t="str">
        <f t="shared" si="14"/>
        <v>1004-2017-00873</v>
      </c>
      <c r="B888" s="233" t="str">
        <f>РПЗ!$D888</f>
        <v>1004-2017-00873Поставка  Строительные материалы</v>
      </c>
      <c r="C888" s="233" t="str">
        <f>РПЗ!$AA888</f>
        <v>АО "НИИ "Полюс" им. М.Ф. Стельмаха" тел. отдела закупок 8-495-333-05-02</v>
      </c>
      <c r="D888" s="633" t="str">
        <f>РПЗ!$AB888</f>
        <v>Заказчик</v>
      </c>
      <c r="E888" s="510" t="s">
        <v>62</v>
      </c>
      <c r="F888" s="233" t="str">
        <f>РПЗ!Q888</f>
        <v>ОЗК</v>
      </c>
      <c r="G888" s="237" t="str">
        <f>Таблица5[[#This Row],[6]]</f>
        <v>ОЗК</v>
      </c>
      <c r="H888" s="237" t="str">
        <f>РПЗ!R888</f>
        <v>да</v>
      </c>
      <c r="I888" s="15">
        <f>РПЗ!W888</f>
        <v>0</v>
      </c>
      <c r="J888" s="233">
        <f>РПЗ!X888</f>
        <v>0</v>
      </c>
      <c r="K888" s="283">
        <f>РПЗ!Z888</f>
        <v>0</v>
      </c>
      <c r="L888" s="17">
        <v>42844</v>
      </c>
      <c r="M888" s="18">
        <f>РПЗ!O888</f>
        <v>42826</v>
      </c>
      <c r="N888" s="238">
        <f>Таблица5[[#This Row],[10]]</f>
        <v>42826</v>
      </c>
      <c r="O888" s="17">
        <v>42851</v>
      </c>
      <c r="P888" s="17">
        <v>42858</v>
      </c>
      <c r="Q888" s="17">
        <v>42858</v>
      </c>
      <c r="R888" s="17">
        <v>42852</v>
      </c>
      <c r="S888" s="17">
        <v>42852</v>
      </c>
      <c r="T888" s="686">
        <v>42879</v>
      </c>
      <c r="U888" s="18">
        <f>РПЗ!P888</f>
        <v>43070</v>
      </c>
      <c r="V888" s="686">
        <v>42917</v>
      </c>
      <c r="W888" s="236">
        <f>РПЗ!L888</f>
        <v>296745.52</v>
      </c>
      <c r="X888" s="689">
        <v>5</v>
      </c>
      <c r="Y888" s="689">
        <v>0</v>
      </c>
      <c r="Z888" s="691">
        <v>7730534174</v>
      </c>
      <c r="AA888" s="691" t="s">
        <v>6100</v>
      </c>
      <c r="AB888" s="111">
        <v>200199.44</v>
      </c>
      <c r="AC888" s="17">
        <v>42917</v>
      </c>
      <c r="AD888" s="690" t="s">
        <v>6101</v>
      </c>
      <c r="AE888" s="686">
        <v>42879</v>
      </c>
      <c r="AF888" s="474"/>
      <c r="AG888" s="692">
        <v>200199.44</v>
      </c>
      <c r="AH888" s="236">
        <f>IF(Таблица5[[#This Row],[30]]=0,"НД",Таблица5[[#This Row],[20]]-Таблица5[[#This Row],[30]])</f>
        <v>96546.080000000016</v>
      </c>
      <c r="AI888" s="511">
        <f>IF(((1-Таблица5[[#This Row],[30]]/Таблица5[[#This Row],[20]])=1),"НД",(1-Таблица5[[#This Row],[30]]/Таблица5[[#This Row],[20]]))</f>
        <v>0.32534974748734202</v>
      </c>
      <c r="AJ888" s="111"/>
      <c r="AK888" s="111"/>
      <c r="AL888" s="512"/>
      <c r="AM888" s="513" t="s">
        <v>113</v>
      </c>
      <c r="AN888" s="801">
        <v>31705029372</v>
      </c>
      <c r="AO888" s="468" t="str">
        <f>РПЗ!AD888</f>
        <v>Нет</v>
      </c>
      <c r="AP888" s="472">
        <f>РПЗ!V888</f>
        <v>0</v>
      </c>
      <c r="AQ888" s="470">
        <f>IF(Таблица5[[#This Row],[11]]=0,,MONTH(Таблица5[[#This Row],[11]]))</f>
        <v>4</v>
      </c>
    </row>
    <row r="889" spans="1:43" ht="51" x14ac:dyDescent="0.25">
      <c r="A889" s="233" t="str">
        <f t="shared" si="14"/>
        <v>1004-2017-00874</v>
      </c>
      <c r="B889" s="233" t="str">
        <f>РПЗ!$D889</f>
        <v>1004-2017-00874Поставка  транзисторы 2П769А9, транзисторы 2П7229А, транзисторы 2П767Ж91, диоды 2ДШ2123Д95</v>
      </c>
      <c r="C889" s="233" t="str">
        <f>РПЗ!$AA889</f>
        <v>АО "НИИ "Полюс" им. М.Ф. Стельмаха" тел. отдела закупок 8-495-333-05-02</v>
      </c>
      <c r="D889" s="633" t="str">
        <f>РПЗ!$AB889</f>
        <v>Заказчик</v>
      </c>
      <c r="E889" s="510" t="s">
        <v>62</v>
      </c>
      <c r="F889" s="233" t="str">
        <f>РПЗ!Q889</f>
        <v>ЕП</v>
      </c>
      <c r="G889" s="237" t="str">
        <f>Таблица5[[#This Row],[6]]</f>
        <v>ЕП</v>
      </c>
      <c r="H889" s="237" t="str">
        <f>РПЗ!R889</f>
        <v>нет</v>
      </c>
      <c r="I889" s="15" t="str">
        <f>РПЗ!W889</f>
        <v>6.6.2(10)</v>
      </c>
      <c r="J889" s="233" t="str">
        <f>РПЗ!X889</f>
        <v>3661033635</v>
      </c>
      <c r="K889" s="283">
        <f>РПЗ!Z889</f>
        <v>201791.44</v>
      </c>
      <c r="L889" s="17">
        <v>42809</v>
      </c>
      <c r="M889" s="18">
        <f>РПЗ!O889</f>
        <v>42810.5</v>
      </c>
      <c r="N889" s="238">
        <f>Таблица5[[#This Row],[10]]</f>
        <v>42810.5</v>
      </c>
      <c r="O889" s="17"/>
      <c r="P889" s="17"/>
      <c r="Q889" s="17"/>
      <c r="R889" s="17"/>
      <c r="S889" s="17"/>
      <c r="T889" s="686">
        <v>42844</v>
      </c>
      <c r="U889" s="18">
        <f>РПЗ!P889</f>
        <v>42979</v>
      </c>
      <c r="V889" s="686">
        <v>42979</v>
      </c>
      <c r="W889" s="236">
        <f>РПЗ!L889</f>
        <v>201791.44</v>
      </c>
      <c r="X889" s="689">
        <v>1</v>
      </c>
      <c r="Y889" s="689">
        <v>0</v>
      </c>
      <c r="Z889" s="691">
        <v>3661033635</v>
      </c>
      <c r="AA889" s="691" t="s">
        <v>1717</v>
      </c>
      <c r="AB889" s="111">
        <v>201791.44</v>
      </c>
      <c r="AC889" s="17">
        <v>42979</v>
      </c>
      <c r="AD889" s="690" t="s">
        <v>5104</v>
      </c>
      <c r="AE889" s="686">
        <v>42844</v>
      </c>
      <c r="AF889" s="474"/>
      <c r="AG889" s="692">
        <v>201791.44</v>
      </c>
      <c r="AH889" s="236">
        <f>IF(Таблица5[[#This Row],[30]]=0,"НД",Таблица5[[#This Row],[20]]-Таблица5[[#This Row],[30]])</f>
        <v>0</v>
      </c>
      <c r="AI889" s="511">
        <f>IF(((1-Таблица5[[#This Row],[30]]/Таблица5[[#This Row],[20]])=1),"НД",(1-Таблица5[[#This Row],[30]]/Таблица5[[#This Row],[20]]))</f>
        <v>0</v>
      </c>
      <c r="AJ889" s="111"/>
      <c r="AK889" s="111"/>
      <c r="AL889" s="512"/>
      <c r="AM889" s="513" t="s">
        <v>113</v>
      </c>
      <c r="AN889" s="801">
        <v>31704955111</v>
      </c>
      <c r="AO889" s="468" t="str">
        <f>РПЗ!AD889</f>
        <v>Нет</v>
      </c>
      <c r="AP889" s="472" t="str">
        <f>РПЗ!V889</f>
        <v>ГОЗ</v>
      </c>
      <c r="AQ889" s="470">
        <f>IF(Таблица5[[#This Row],[11]]=0,,MONTH(Таблица5[[#This Row],[11]]))</f>
        <v>3</v>
      </c>
    </row>
    <row r="890" spans="1:43" ht="51.75" thickBot="1" x14ac:dyDescent="0.3">
      <c r="A890" s="233" t="str">
        <f t="shared" si="14"/>
        <v>1004-2017-00875</v>
      </c>
      <c r="B890" s="233" t="str">
        <f>РПЗ!$D890</f>
        <v>1004-2017-00875оказание услуг по ежемесячному контролю и регулировки топливной системы автотранспортных средств</v>
      </c>
      <c r="C890" s="233" t="str">
        <f>РПЗ!$AA890</f>
        <v>АО "НИИ "Полюс" им. М.Ф. Стельмаха" тел. отдела закупок 8-495-333-05-02</v>
      </c>
      <c r="D890" s="633" t="str">
        <f>РПЗ!$AB890</f>
        <v>Заказчик</v>
      </c>
      <c r="E890" s="510" t="s">
        <v>62</v>
      </c>
      <c r="F890" s="233" t="str">
        <f>РПЗ!Q890</f>
        <v>ЕП</v>
      </c>
      <c r="G890" s="237" t="str">
        <f>Таблица5[[#This Row],[6]]</f>
        <v>ЕП</v>
      </c>
      <c r="H890" s="237" t="str">
        <f>РПЗ!R890</f>
        <v>нет</v>
      </c>
      <c r="I890" s="15" t="str">
        <f>РПЗ!W890</f>
        <v>6.6.2(30)</v>
      </c>
      <c r="J890" s="233" t="str">
        <f>РПЗ!X890</f>
        <v>7733904017</v>
      </c>
      <c r="K890" s="283">
        <f>РПЗ!Z890</f>
        <v>208417.5</v>
      </c>
      <c r="L890" s="17">
        <v>42849</v>
      </c>
      <c r="M890" s="18">
        <f>РПЗ!O890</f>
        <v>42826</v>
      </c>
      <c r="N890" s="238">
        <f>Таблица5[[#This Row],[10]]</f>
        <v>42826</v>
      </c>
      <c r="O890" s="17"/>
      <c r="P890" s="17"/>
      <c r="Q890" s="17"/>
      <c r="R890" s="17"/>
      <c r="S890" s="17"/>
      <c r="T890" s="686">
        <v>42850</v>
      </c>
      <c r="U890" s="18">
        <f>РПЗ!P890</f>
        <v>43922</v>
      </c>
      <c r="V890" s="686">
        <v>42856</v>
      </c>
      <c r="W890" s="236">
        <f>РПЗ!L890</f>
        <v>208417.5</v>
      </c>
      <c r="X890" s="689">
        <v>1</v>
      </c>
      <c r="Y890" s="689">
        <v>0</v>
      </c>
      <c r="Z890" s="691">
        <v>7733904017</v>
      </c>
      <c r="AA890" s="691" t="s">
        <v>6038</v>
      </c>
      <c r="AB890" s="111">
        <v>208417.5</v>
      </c>
      <c r="AC890" s="17">
        <v>42856</v>
      </c>
      <c r="AD890" s="690" t="s">
        <v>6039</v>
      </c>
      <c r="AE890" s="686">
        <v>42850</v>
      </c>
      <c r="AF890" s="474"/>
      <c r="AG890" s="692">
        <v>208417.5</v>
      </c>
      <c r="AH890" s="236">
        <f>IF(Таблица5[[#This Row],[30]]=0,"НД",Таблица5[[#This Row],[20]]-Таблица5[[#This Row],[30]])</f>
        <v>0</v>
      </c>
      <c r="AI890" s="511">
        <f>IF(((1-Таблица5[[#This Row],[30]]/Таблица5[[#This Row],[20]])=1),"НД",(1-Таблица5[[#This Row],[30]]/Таблица5[[#This Row],[20]]))</f>
        <v>0</v>
      </c>
      <c r="AJ890" s="111"/>
      <c r="AK890" s="111"/>
      <c r="AL890" s="512"/>
      <c r="AM890" s="513" t="s">
        <v>113</v>
      </c>
      <c r="AN890" s="801">
        <v>31705048355</v>
      </c>
      <c r="AO890" s="468" t="str">
        <f>РПЗ!AD890</f>
        <v>Нет</v>
      </c>
      <c r="AP890" s="472">
        <f>РПЗ!V890</f>
        <v>0</v>
      </c>
      <c r="AQ890" s="470">
        <f>IF(Таблица5[[#This Row],[11]]=0,,MONTH(Таблица5[[#This Row],[11]]))</f>
        <v>4</v>
      </c>
    </row>
    <row r="891" spans="1:43" ht="217.5" thickBot="1" x14ac:dyDescent="0.3">
      <c r="A891" s="233" t="str">
        <f t="shared" si="14"/>
        <v>1004-2017-00876</v>
      </c>
      <c r="B891" s="233" t="str">
        <f>РПЗ!$D891</f>
        <v>1004-2017-00876Поставка  плата усилителей акселерометров БИНС-РК ЖГДК434661.022 – 2 шт., плата счетчиков БИНС-РК ЖГДК431321.051 – 2шт., плату защиты акселерометров БИНС-РК ЖГДК687243.066 – 2шт., блок ВИП прибора МТ-502 ЖГДК431421.025 – 2шт., плата компараторов прибора МТ-502 ЖГДК431321.060 – 2 шт., плата поджига прибора МТ-502 ЖГДК431119.025 – 2 шт., плата БСТ прибора МТ-502 ЖГДК431119.026 – 2шт., плата СРП прибора МТ-502 ЖГДК431321.059 – 2 шт., блок частотной подставки прибора МТ-502 ЖГДК431129.030 – 2шт</v>
      </c>
      <c r="C891" s="233" t="str">
        <f>РПЗ!$AA891</f>
        <v>АО "НИИ "Полюс" им. М.Ф. Стельмаха" тел. отдела закупок 8-495-333-05-02</v>
      </c>
      <c r="D891" s="633" t="str">
        <f>РПЗ!$AB891</f>
        <v>Заказчик</v>
      </c>
      <c r="E891" s="96" t="s">
        <v>46</v>
      </c>
      <c r="F891" s="233" t="str">
        <f>РПЗ!Q891</f>
        <v>ЕП</v>
      </c>
      <c r="G891" s="237"/>
      <c r="H891" s="237" t="str">
        <f>РПЗ!R891</f>
        <v>нет</v>
      </c>
      <c r="I891" s="15">
        <f>РПЗ!W891</f>
        <v>0</v>
      </c>
      <c r="J891" s="233">
        <f>РПЗ!X891</f>
        <v>0</v>
      </c>
      <c r="K891" s="283">
        <f>РПЗ!Z891</f>
        <v>0</v>
      </c>
      <c r="L891" s="17"/>
      <c r="M891" s="18">
        <f>РПЗ!O891</f>
        <v>42829</v>
      </c>
      <c r="N891" s="238">
        <f>Таблица5[[#This Row],[10]]</f>
        <v>42829</v>
      </c>
      <c r="O891" s="17"/>
      <c r="P891" s="17"/>
      <c r="Q891" s="17"/>
      <c r="R891" s="17"/>
      <c r="S891" s="17"/>
      <c r="T891" s="686"/>
      <c r="U891" s="18">
        <f>РПЗ!P891</f>
        <v>43070</v>
      </c>
      <c r="V891" s="686"/>
      <c r="W891" s="236">
        <f>РПЗ!L891</f>
        <v>1665400</v>
      </c>
      <c r="X891" s="689"/>
      <c r="Y891" s="689"/>
      <c r="Z891" s="690"/>
      <c r="AA891" s="691"/>
      <c r="AB891" s="111"/>
      <c r="AC891" s="17"/>
      <c r="AD891" s="690"/>
      <c r="AE891" s="686"/>
      <c r="AF891" s="474"/>
      <c r="AG891" s="692"/>
      <c r="AH891" s="236" t="str">
        <f>IF(Таблица5[[#This Row],[30]]=0,"НД",Таблица5[[#This Row],[20]]-Таблица5[[#This Row],[30]])</f>
        <v>НД</v>
      </c>
      <c r="AI891" s="511" t="str">
        <f>IF(((1-Таблица5[[#This Row],[30]]/Таблица5[[#This Row],[20]])=1),"НД",(1-Таблица5[[#This Row],[30]]/Таблица5[[#This Row],[20]]))</f>
        <v>НД</v>
      </c>
      <c r="AJ891" s="111"/>
      <c r="AK891" s="111"/>
      <c r="AL891" s="512"/>
      <c r="AM891" s="513"/>
      <c r="AN891" s="465"/>
      <c r="AO891" s="468" t="str">
        <f>РПЗ!AD891</f>
        <v>Нет</v>
      </c>
      <c r="AP891" s="472">
        <f>РПЗ!V891</f>
        <v>0</v>
      </c>
      <c r="AQ891" s="470">
        <f>IF(Таблица5[[#This Row],[11]]=0,,MONTH(Таблица5[[#This Row],[11]]))</f>
        <v>4</v>
      </c>
    </row>
    <row r="892" spans="1:43" ht="114.75" x14ac:dyDescent="0.25">
      <c r="A892" s="233" t="str">
        <f t="shared" si="14"/>
        <v>1004-2017-00877</v>
      </c>
      <c r="B892" s="233" t="str">
        <f>РПЗ!$D892</f>
        <v>1004-2017-00877Поставка  плата цифровая ЖГДК.431321.066 – 3 шт., плата компараторов и частотной подставки ЖГДК.431129.029 – 3 шт., блок поджига ТЛГ ЖГДК.431119.029 – 3 шт., плата СТ и ММ ЖГДК.431119.030 – 3 шт., плата ВИП ТЛГ ЖГДК.431421.026 – 3 шт., плата СРП ТЛГ ЖГДК.431321.067 – 3 шт.</v>
      </c>
      <c r="C892" s="233" t="str">
        <f>РПЗ!$AA892</f>
        <v>АО "НИИ "Полюс" им. М.Ф. Стельмаха" тел. отдела закупок 8-495-333-05-02</v>
      </c>
      <c r="D892" s="633" t="str">
        <f>РПЗ!$AB892</f>
        <v>Заказчик</v>
      </c>
      <c r="E892" s="96" t="s">
        <v>46</v>
      </c>
      <c r="F892" s="233" t="str">
        <f>РПЗ!Q892</f>
        <v>ЕП</v>
      </c>
      <c r="G892" s="237"/>
      <c r="H892" s="237" t="str">
        <f>РПЗ!R892</f>
        <v>нет</v>
      </c>
      <c r="I892" s="15">
        <f>РПЗ!W892</f>
        <v>0</v>
      </c>
      <c r="J892" s="233">
        <f>РПЗ!X892</f>
        <v>0</v>
      </c>
      <c r="K892" s="283">
        <f>РПЗ!Z892</f>
        <v>0</v>
      </c>
      <c r="L892" s="17"/>
      <c r="M892" s="18">
        <f>РПЗ!O892</f>
        <v>42829</v>
      </c>
      <c r="N892" s="238">
        <f>Таблица5[[#This Row],[10]]</f>
        <v>42829</v>
      </c>
      <c r="O892" s="17"/>
      <c r="P892" s="17"/>
      <c r="Q892" s="17"/>
      <c r="R892" s="17"/>
      <c r="S892" s="17"/>
      <c r="T892" s="686"/>
      <c r="U892" s="18">
        <f>РПЗ!P892</f>
        <v>43070</v>
      </c>
      <c r="V892" s="686"/>
      <c r="W892" s="236">
        <f>РПЗ!L892</f>
        <v>2151600</v>
      </c>
      <c r="X892" s="689"/>
      <c r="Y892" s="689"/>
      <c r="Z892" s="690"/>
      <c r="AA892" s="691"/>
      <c r="AB892" s="111"/>
      <c r="AC892" s="17"/>
      <c r="AD892" s="690"/>
      <c r="AE892" s="686"/>
      <c r="AF892" s="474"/>
      <c r="AG892" s="692"/>
      <c r="AH892" s="236" t="str">
        <f>IF(Таблица5[[#This Row],[30]]=0,"НД",Таблица5[[#This Row],[20]]-Таблица5[[#This Row],[30]])</f>
        <v>НД</v>
      </c>
      <c r="AI892" s="511" t="str">
        <f>IF(((1-Таблица5[[#This Row],[30]]/Таблица5[[#This Row],[20]])=1),"НД",(1-Таблица5[[#This Row],[30]]/Таблица5[[#This Row],[20]]))</f>
        <v>НД</v>
      </c>
      <c r="AJ892" s="111"/>
      <c r="AK892" s="111"/>
      <c r="AL892" s="512"/>
      <c r="AM892" s="513"/>
      <c r="AN892" s="465"/>
      <c r="AO892" s="468" t="str">
        <f>РПЗ!AD892</f>
        <v>Нет</v>
      </c>
      <c r="AP892" s="472">
        <f>РПЗ!V892</f>
        <v>0</v>
      </c>
      <c r="AQ892" s="470">
        <f>IF(Таблица5[[#This Row],[11]]=0,,MONTH(Таблица5[[#This Row],[11]]))</f>
        <v>4</v>
      </c>
    </row>
    <row r="893" spans="1:43" ht="140.25" x14ac:dyDescent="0.25">
      <c r="A893" s="233" t="str">
        <f t="shared" si="14"/>
        <v>1004-2017-00878</v>
      </c>
      <c r="B893" s="233" t="str">
        <f>РПЗ!$D893</f>
        <v>1004-2017-00878Поставка  Конденсаторы К50-68 40В-2200мкФ+/-20% ИВ, К50-68 63В-10мкФ+/20% ИВ, К52-11 50В-150мкФ+/10% В ,К52-11 63В-100мкФ+/10% В, К53-68 10В-22мкФ+/-10% габарит С, К53-68 10В-100мкФ+/10% габарит С, К53-68 20В-100мкФ+/20% габарит Е, К53-68 25В-10мкФ+/10% габарит С, К53-68 50В-15 мкФ+/10% габарит Е</v>
      </c>
      <c r="C893" s="233" t="str">
        <f>РПЗ!$AA893</f>
        <v>АО "НИИ "Полюс" им. М.Ф. Стельмаха" тел. отдела закупок 8-495-333-05-02</v>
      </c>
      <c r="D893" s="633" t="str">
        <f>РПЗ!$AB893</f>
        <v>Заказчик</v>
      </c>
      <c r="E893" s="510" t="s">
        <v>62</v>
      </c>
      <c r="F893" s="233" t="str">
        <f>РПЗ!Q893</f>
        <v>ЕП</v>
      </c>
      <c r="G893" s="237" t="str">
        <f>Таблица5[[#This Row],[6]]</f>
        <v>ЕП</v>
      </c>
      <c r="H893" s="237" t="str">
        <f>РПЗ!R893</f>
        <v>нет</v>
      </c>
      <c r="I893" s="15" t="str">
        <f>РПЗ!W893</f>
        <v>6.6.2(10)</v>
      </c>
      <c r="J893" s="233" t="str">
        <f>РПЗ!X893</f>
        <v>1827003592</v>
      </c>
      <c r="K893" s="283">
        <f>РПЗ!Z893</f>
        <v>570457.89</v>
      </c>
      <c r="L893" s="17">
        <v>42814</v>
      </c>
      <c r="M893" s="18">
        <f>РПЗ!O893</f>
        <v>42810.5</v>
      </c>
      <c r="N893" s="238">
        <f>Таблица5[[#This Row],[10]]</f>
        <v>42810.5</v>
      </c>
      <c r="O893" s="17"/>
      <c r="P893" s="17"/>
      <c r="Q893" s="17"/>
      <c r="R893" s="17"/>
      <c r="S893" s="17"/>
      <c r="T893" s="686">
        <v>42843</v>
      </c>
      <c r="U893" s="18">
        <f>РПЗ!P893</f>
        <v>42979</v>
      </c>
      <c r="V893" s="686">
        <v>43070</v>
      </c>
      <c r="W893" s="236">
        <f>РПЗ!L893</f>
        <v>570457.89</v>
      </c>
      <c r="X893" s="689">
        <v>1</v>
      </c>
      <c r="Y893" s="689">
        <v>0</v>
      </c>
      <c r="Z893" s="691">
        <v>1827003592</v>
      </c>
      <c r="AA893" s="691" t="s">
        <v>3078</v>
      </c>
      <c r="AB893" s="111">
        <v>570457.89</v>
      </c>
      <c r="AC893" s="17">
        <v>43070</v>
      </c>
      <c r="AD893" s="690" t="s">
        <v>129</v>
      </c>
      <c r="AE893" s="686">
        <v>42843</v>
      </c>
      <c r="AF893" s="474"/>
      <c r="AG893" s="692">
        <v>570457.89</v>
      </c>
      <c r="AH893" s="236">
        <f>IF(Таблица5[[#This Row],[30]]=0,"НД",Таблица5[[#This Row],[20]]-Таблица5[[#This Row],[30]])</f>
        <v>0</v>
      </c>
      <c r="AI893" s="511">
        <f>IF(((1-Таблица5[[#This Row],[30]]/Таблица5[[#This Row],[20]])=1),"НД",(1-Таблица5[[#This Row],[30]]/Таблица5[[#This Row],[20]]))</f>
        <v>0</v>
      </c>
      <c r="AJ893" s="111"/>
      <c r="AK893" s="111"/>
      <c r="AL893" s="512"/>
      <c r="AM893" s="513" t="s">
        <v>113</v>
      </c>
      <c r="AN893" s="801">
        <v>31704952727</v>
      </c>
      <c r="AO893" s="468" t="str">
        <f>РПЗ!AD893</f>
        <v>Нет</v>
      </c>
      <c r="AP893" s="472">
        <f>РПЗ!V893</f>
        <v>0</v>
      </c>
      <c r="AQ893" s="470">
        <f>IF(Таблица5[[#This Row],[11]]=0,,MONTH(Таблица5[[#This Row],[11]]))</f>
        <v>3</v>
      </c>
    </row>
    <row r="894" spans="1:43" ht="63.75" x14ac:dyDescent="0.25">
      <c r="A894" s="233" t="str">
        <f t="shared" si="14"/>
        <v>1004-2017-00879</v>
      </c>
      <c r="B894" s="233" t="str">
        <f>РПЗ!$D894</f>
        <v>1004-2017-00879Поставка  Ситалл СО-115М</v>
      </c>
      <c r="C894" s="233" t="str">
        <f>РПЗ!$AA894</f>
        <v>АО "НИИ "Полюс" им. М.Ф. Стельмаха" тел. отдела закупок 8-495-333-05-02</v>
      </c>
      <c r="D894" s="633" t="str">
        <f>РПЗ!$AB894</f>
        <v>Заказчик</v>
      </c>
      <c r="E894" s="510" t="s">
        <v>62</v>
      </c>
      <c r="F894" s="233" t="str">
        <f>РПЗ!Q894</f>
        <v>ЕП</v>
      </c>
      <c r="G894" s="237" t="str">
        <f>Таблица5[[#This Row],[6]]</f>
        <v>ЕП</v>
      </c>
      <c r="H894" s="237" t="str">
        <f>РПЗ!R894</f>
        <v>нет</v>
      </c>
      <c r="I894" s="15" t="str">
        <f>РПЗ!W894</f>
        <v>6.6.2(11)</v>
      </c>
      <c r="J894" s="233" t="str">
        <f>РПЗ!X894</f>
        <v>5026000300</v>
      </c>
      <c r="K894" s="283">
        <f>РПЗ!Z894</f>
        <v>4896952.8</v>
      </c>
      <c r="L894" s="17">
        <v>42845</v>
      </c>
      <c r="M894" s="18">
        <f>РПЗ!O894</f>
        <v>42829</v>
      </c>
      <c r="N894" s="238">
        <f>Таблица5[[#This Row],[10]]</f>
        <v>42829</v>
      </c>
      <c r="O894" s="17"/>
      <c r="P894" s="17"/>
      <c r="Q894" s="17"/>
      <c r="R894" s="17"/>
      <c r="S894" s="17"/>
      <c r="T894" s="686">
        <v>42894</v>
      </c>
      <c r="U894" s="18">
        <f>РПЗ!P894</f>
        <v>43070</v>
      </c>
      <c r="V894" s="686">
        <v>43070</v>
      </c>
      <c r="W894" s="236">
        <f>РПЗ!L894</f>
        <v>4896952.8</v>
      </c>
      <c r="X894" s="689">
        <v>1</v>
      </c>
      <c r="Y894" s="689">
        <v>0</v>
      </c>
      <c r="Z894" s="691">
        <v>5026000300</v>
      </c>
      <c r="AA894" s="691" t="s">
        <v>5940</v>
      </c>
      <c r="AB894" s="111">
        <v>4896952.8</v>
      </c>
      <c r="AC894" s="17">
        <v>43070</v>
      </c>
      <c r="AD894" s="690" t="s">
        <v>5941</v>
      </c>
      <c r="AE894" s="686">
        <v>42894</v>
      </c>
      <c r="AF894" s="474"/>
      <c r="AG894" s="692">
        <v>4896952.8</v>
      </c>
      <c r="AH894" s="236">
        <f>IF(Таблица5[[#This Row],[30]]=0,"НД",Таблица5[[#This Row],[20]]-Таблица5[[#This Row],[30]])</f>
        <v>0</v>
      </c>
      <c r="AI894" s="511">
        <f>IF(((1-Таблица5[[#This Row],[30]]/Таблица5[[#This Row],[20]])=1),"НД",(1-Таблица5[[#This Row],[30]]/Таблица5[[#This Row],[20]]))</f>
        <v>0</v>
      </c>
      <c r="AJ894" s="111"/>
      <c r="AK894" s="111"/>
      <c r="AL894" s="512"/>
      <c r="AM894" s="513" t="s">
        <v>113</v>
      </c>
      <c r="AN894" s="801">
        <v>31705063250</v>
      </c>
      <c r="AO894" s="468" t="str">
        <f>РПЗ!AD894</f>
        <v>Нет</v>
      </c>
      <c r="AP894" s="472">
        <f>РПЗ!V894</f>
        <v>0</v>
      </c>
      <c r="AQ894" s="470">
        <f>IF(Таблица5[[#This Row],[11]]=0,,MONTH(Таблица5[[#This Row],[11]]))</f>
        <v>4</v>
      </c>
    </row>
    <row r="895" spans="1:43" ht="38.25" x14ac:dyDescent="0.25">
      <c r="A895" s="233" t="str">
        <f t="shared" si="14"/>
        <v>1004-2017-00880</v>
      </c>
      <c r="B895" s="233" t="str">
        <f>РПЗ!$D895</f>
        <v>1004-2017-00880Поставка  Комплект экранов ЭК-104</v>
      </c>
      <c r="C895" s="233" t="str">
        <f>РПЗ!$AA895</f>
        <v>АО "НИИ "Полюс" им. М.Ф. Стельмаха" тел. отдела закупок 8-495-333-05-02</v>
      </c>
      <c r="D895" s="633" t="str">
        <f>РПЗ!$AB895</f>
        <v>Заказчик</v>
      </c>
      <c r="E895" s="510" t="s">
        <v>62</v>
      </c>
      <c r="F895" s="233" t="str">
        <f>РПЗ!Q895</f>
        <v>ЕП</v>
      </c>
      <c r="G895" s="237" t="str">
        <f>Таблица5[[#This Row],[6]]</f>
        <v>ЕП</v>
      </c>
      <c r="H895" s="237" t="str">
        <f>РПЗ!R895</f>
        <v>нет</v>
      </c>
      <c r="I895" s="15" t="str">
        <f>РПЗ!W895</f>
        <v>6.6.2(11)</v>
      </c>
      <c r="J895" s="233" t="str">
        <f>РПЗ!X895</f>
        <v>5010025170</v>
      </c>
      <c r="K895" s="283">
        <f>РПЗ!Z895</f>
        <v>451250</v>
      </c>
      <c r="L895" s="17">
        <v>42838</v>
      </c>
      <c r="M895" s="18">
        <f>РПЗ!O895</f>
        <v>42829</v>
      </c>
      <c r="N895" s="238">
        <f>Таблица5[[#This Row],[10]]</f>
        <v>42829</v>
      </c>
      <c r="O895" s="17"/>
      <c r="P895" s="17"/>
      <c r="Q895" s="17"/>
      <c r="R895" s="17"/>
      <c r="S895" s="17"/>
      <c r="T895" s="686">
        <v>42843</v>
      </c>
      <c r="U895" s="18">
        <f>РПЗ!P895</f>
        <v>43070</v>
      </c>
      <c r="V895" s="686">
        <v>43070</v>
      </c>
      <c r="W895" s="236">
        <f>РПЗ!L895</f>
        <v>451250</v>
      </c>
      <c r="X895" s="689">
        <v>1</v>
      </c>
      <c r="Y895" s="689">
        <v>0</v>
      </c>
      <c r="Z895" s="691">
        <v>5010025170</v>
      </c>
      <c r="AA895" s="691" t="s">
        <v>5112</v>
      </c>
      <c r="AB895" s="111">
        <v>451250</v>
      </c>
      <c r="AC895" s="17">
        <v>43070</v>
      </c>
      <c r="AD895" s="690" t="s">
        <v>5113</v>
      </c>
      <c r="AE895" s="686">
        <v>43070</v>
      </c>
      <c r="AF895" s="474"/>
      <c r="AG895" s="692">
        <v>451250</v>
      </c>
      <c r="AH895" s="236">
        <f>IF(Таблица5[[#This Row],[30]]=0,"НД",Таблица5[[#This Row],[20]]-Таблица5[[#This Row],[30]])</f>
        <v>0</v>
      </c>
      <c r="AI895" s="511">
        <f>IF(((1-Таблица5[[#This Row],[30]]/Таблица5[[#This Row],[20]])=1),"НД",(1-Таблица5[[#This Row],[30]]/Таблица5[[#This Row],[20]]))</f>
        <v>0</v>
      </c>
      <c r="AJ895" s="111"/>
      <c r="AK895" s="111"/>
      <c r="AL895" s="512"/>
      <c r="AM895" s="513" t="s">
        <v>113</v>
      </c>
      <c r="AN895" s="801">
        <v>31705015147</v>
      </c>
      <c r="AO895" s="468" t="str">
        <f>РПЗ!AD895</f>
        <v>Нет</v>
      </c>
      <c r="AP895" s="472">
        <f>РПЗ!V895</f>
        <v>0</v>
      </c>
      <c r="AQ895" s="470">
        <f>IF(Таблица5[[#This Row],[11]]=0,,MONTH(Таблица5[[#This Row],[11]]))</f>
        <v>4</v>
      </c>
    </row>
    <row r="896" spans="1:43" ht="38.25" x14ac:dyDescent="0.25">
      <c r="A896" s="233" t="str">
        <f t="shared" si="14"/>
        <v>1004-2017-00881</v>
      </c>
      <c r="B896" s="233" t="str">
        <f>РПЗ!$D896</f>
        <v>1004-2017-00881Поставка  Комплект экранов ЭК-104</v>
      </c>
      <c r="C896" s="233" t="str">
        <f>РПЗ!$AA896</f>
        <v>АО "НИИ "Полюс" им. М.Ф. Стельмаха" тел. отдела закупок 8-495-333-05-02</v>
      </c>
      <c r="D896" s="633" t="str">
        <f>РПЗ!$AB896</f>
        <v>Заказчик</v>
      </c>
      <c r="E896" s="510" t="s">
        <v>62</v>
      </c>
      <c r="F896" s="233" t="str">
        <f>РПЗ!Q896</f>
        <v>ЕП</v>
      </c>
      <c r="G896" s="237" t="str">
        <f>Таблица5[[#This Row],[6]]</f>
        <v>ЕП</v>
      </c>
      <c r="H896" s="237" t="str">
        <f>РПЗ!R896</f>
        <v>нет</v>
      </c>
      <c r="I896" s="15" t="str">
        <f>РПЗ!W896</f>
        <v>6.6.2(11)</v>
      </c>
      <c r="J896" s="233" t="str">
        <f>РПЗ!X896</f>
        <v>5010025170</v>
      </c>
      <c r="K896" s="283">
        <f>РПЗ!Z896</f>
        <v>498750</v>
      </c>
      <c r="L896" s="17">
        <v>42838</v>
      </c>
      <c r="M896" s="18">
        <f>РПЗ!O896</f>
        <v>42829</v>
      </c>
      <c r="N896" s="238">
        <f>Таблица5[[#This Row],[10]]</f>
        <v>42829</v>
      </c>
      <c r="O896" s="17"/>
      <c r="P896" s="17"/>
      <c r="Q896" s="17"/>
      <c r="R896" s="17"/>
      <c r="S896" s="17"/>
      <c r="T896" s="686">
        <v>42843</v>
      </c>
      <c r="U896" s="18">
        <f>РПЗ!P896</f>
        <v>43070</v>
      </c>
      <c r="V896" s="686">
        <v>43070</v>
      </c>
      <c r="W896" s="236">
        <f>РПЗ!L896</f>
        <v>498750</v>
      </c>
      <c r="X896" s="689">
        <v>1</v>
      </c>
      <c r="Y896" s="689">
        <v>0</v>
      </c>
      <c r="Z896" s="691">
        <v>5010025170</v>
      </c>
      <c r="AA896" s="691" t="s">
        <v>5112</v>
      </c>
      <c r="AB896" s="111">
        <v>498750</v>
      </c>
      <c r="AC896" s="17">
        <v>43070</v>
      </c>
      <c r="AD896" s="690"/>
      <c r="AE896" s="686">
        <v>42843</v>
      </c>
      <c r="AF896" s="474"/>
      <c r="AG896" s="692">
        <v>498750</v>
      </c>
      <c r="AH896" s="236">
        <f>IF(Таблица5[[#This Row],[30]]=0,"НД",Таблица5[[#This Row],[20]]-Таблица5[[#This Row],[30]])</f>
        <v>0</v>
      </c>
      <c r="AI896" s="511">
        <f>IF(((1-Таблица5[[#This Row],[30]]/Таблица5[[#This Row],[20]])=1),"НД",(1-Таблица5[[#This Row],[30]]/Таблица5[[#This Row],[20]]))</f>
        <v>0</v>
      </c>
      <c r="AJ896" s="111"/>
      <c r="AK896" s="111"/>
      <c r="AL896" s="512"/>
      <c r="AM896" s="513" t="s">
        <v>113</v>
      </c>
      <c r="AN896" s="801">
        <v>31705015245</v>
      </c>
      <c r="AO896" s="468" t="str">
        <f>РПЗ!AD896</f>
        <v>Нет</v>
      </c>
      <c r="AP896" s="472">
        <f>РПЗ!V896</f>
        <v>0</v>
      </c>
      <c r="AQ896" s="470">
        <f>IF(Таблица5[[#This Row],[11]]=0,,MONTH(Таблица5[[#This Row],[11]]))</f>
        <v>4</v>
      </c>
    </row>
    <row r="897" spans="1:43" ht="56.25" customHeight="1" x14ac:dyDescent="0.25">
      <c r="A897" s="233" t="str">
        <f t="shared" si="14"/>
        <v>1004-2017-00882</v>
      </c>
      <c r="B897" s="233" t="str">
        <f>РПЗ!$D897</f>
        <v xml:space="preserve">1004-2017-00882Поставка  Моторизованный трех-координатный прецизионный столик с пьезоконтроллером THORLABS MDT630BM </v>
      </c>
      <c r="C897" s="233" t="str">
        <f>РПЗ!$AA897</f>
        <v>АО "НИИ "Полюс" им. М.Ф. Стельмаха" тел. отдела закупок 8-495-333-05-02</v>
      </c>
      <c r="D897" s="633" t="str">
        <f>РПЗ!$AB897</f>
        <v>Заказчик</v>
      </c>
      <c r="E897" s="510" t="s">
        <v>62</v>
      </c>
      <c r="F897" s="233" t="str">
        <f>РПЗ!Q897</f>
        <v>ОЗК</v>
      </c>
      <c r="G897" s="237" t="str">
        <f>Таблица5[[#This Row],[6]]</f>
        <v>ОЗК</v>
      </c>
      <c r="H897" s="237" t="str">
        <f>РПЗ!R897</f>
        <v>да</v>
      </c>
      <c r="I897" s="15">
        <f>РПЗ!W897</f>
        <v>0</v>
      </c>
      <c r="J897" s="233">
        <f>РПЗ!X897</f>
        <v>0</v>
      </c>
      <c r="K897" s="283">
        <f>РПЗ!Z897</f>
        <v>0</v>
      </c>
      <c r="L897" s="17">
        <v>42832</v>
      </c>
      <c r="M897" s="18">
        <f>РПЗ!O897</f>
        <v>42810.5</v>
      </c>
      <c r="N897" s="238">
        <f>Таблица5[[#This Row],[10]]</f>
        <v>42810.5</v>
      </c>
      <c r="O897" s="17">
        <v>42850</v>
      </c>
      <c r="P897" s="17">
        <v>42853</v>
      </c>
      <c r="Q897" s="17">
        <v>42853</v>
      </c>
      <c r="R897" s="17">
        <v>42852</v>
      </c>
      <c r="S897" s="17">
        <v>42852</v>
      </c>
      <c r="T897" s="686">
        <v>42872</v>
      </c>
      <c r="U897" s="18">
        <f>РПЗ!P897</f>
        <v>42859</v>
      </c>
      <c r="V897" s="761"/>
      <c r="W897" s="236">
        <f>РПЗ!L897</f>
        <v>656977.42000000004</v>
      </c>
      <c r="X897" s="689">
        <v>5</v>
      </c>
      <c r="Y897" s="689">
        <v>0</v>
      </c>
      <c r="Z897" s="691">
        <v>7705254568</v>
      </c>
      <c r="AA897" s="691" t="s">
        <v>6094</v>
      </c>
      <c r="AB897" s="111">
        <v>567886.80000000005</v>
      </c>
      <c r="AC897" s="17"/>
      <c r="AD897" s="639" t="s">
        <v>6095</v>
      </c>
      <c r="AE897" s="686">
        <v>42872</v>
      </c>
      <c r="AF897" s="474"/>
      <c r="AG897" s="913">
        <v>567886.80000000005</v>
      </c>
      <c r="AH897" s="236">
        <f>IF(Таблица5[[#This Row],[30]]=0,"НД",Таблица5[[#This Row],[20]]-Таблица5[[#This Row],[30]])</f>
        <v>89090.62</v>
      </c>
      <c r="AI897" s="511">
        <f>IF(((1-Таблица5[[#This Row],[30]]/Таблица5[[#This Row],[20]])=1),"НД",(1-Таблица5[[#This Row],[30]]/Таблица5[[#This Row],[20]]))</f>
        <v>0.13560682192091167</v>
      </c>
      <c r="AJ897" s="111">
        <v>567886.80000000005</v>
      </c>
      <c r="AK897" s="111"/>
      <c r="AL897" s="512"/>
      <c r="AM897" s="513" t="s">
        <v>113</v>
      </c>
      <c r="AN897" s="801">
        <v>31704989724</v>
      </c>
      <c r="AO897" s="468" t="str">
        <f>РПЗ!AD897</f>
        <v>Нет</v>
      </c>
      <c r="AP897" s="472">
        <f>РПЗ!V897</f>
        <v>0</v>
      </c>
      <c r="AQ897" s="470">
        <f>IF(Таблица5[[#This Row],[11]]=0,,MONTH(Таблица5[[#This Row],[11]]))</f>
        <v>3</v>
      </c>
    </row>
    <row r="898" spans="1:43" ht="39" thickBot="1" x14ac:dyDescent="0.3">
      <c r="A898" s="233" t="str">
        <f t="shared" si="14"/>
        <v>1004-2017-00883</v>
      </c>
      <c r="B898" s="233" t="str">
        <f>РПЗ!$D898</f>
        <v>1004-2017-00883Поставка Печатные платы ЖГДК.758773.011</v>
      </c>
      <c r="C898" s="233" t="str">
        <f>РПЗ!$AA898</f>
        <v>АО "НИИ "Полюс" им. М.Ф. Стельмаха" тел. отдела закупок 8-495-333-05-02</v>
      </c>
      <c r="D898" s="633" t="str">
        <f>РПЗ!$AB898</f>
        <v>Заказчик</v>
      </c>
      <c r="E898" s="510" t="s">
        <v>62</v>
      </c>
      <c r="F898" s="233" t="str">
        <f>РПЗ!Q898</f>
        <v>ЕП</v>
      </c>
      <c r="G898" s="237" t="str">
        <f>Таблица5[[#This Row],[6]]</f>
        <v>ЕП</v>
      </c>
      <c r="H898" s="237" t="str">
        <f>РПЗ!R898</f>
        <v>нет</v>
      </c>
      <c r="I898" s="15" t="str">
        <f>РПЗ!W898</f>
        <v>6.6.2(11)</v>
      </c>
      <c r="J898" s="233" t="str">
        <f>РПЗ!X898</f>
        <v>1826000616</v>
      </c>
      <c r="K898" s="283">
        <f>РПЗ!Z898</f>
        <v>2544552</v>
      </c>
      <c r="L898" s="17">
        <v>42829</v>
      </c>
      <c r="M898" s="18">
        <f>РПЗ!O898</f>
        <v>42859</v>
      </c>
      <c r="N898" s="238">
        <f>Таблица5[[#This Row],[10]]</f>
        <v>42859</v>
      </c>
      <c r="O898" s="17"/>
      <c r="P898" s="17"/>
      <c r="Q898" s="17"/>
      <c r="R898" s="17"/>
      <c r="S898" s="17"/>
      <c r="T898" s="686">
        <v>42852</v>
      </c>
      <c r="U898" s="18">
        <f>РПЗ!P898</f>
        <v>43070</v>
      </c>
      <c r="V898" s="686">
        <v>43070</v>
      </c>
      <c r="W898" s="236">
        <f>РПЗ!L898</f>
        <v>2544552</v>
      </c>
      <c r="X898" s="689">
        <v>1</v>
      </c>
      <c r="Y898" s="689">
        <v>0</v>
      </c>
      <c r="Z898" s="691">
        <v>1826000616</v>
      </c>
      <c r="AA898" s="691" t="s">
        <v>2342</v>
      </c>
      <c r="AB898" s="111">
        <v>2544552</v>
      </c>
      <c r="AC898" s="17">
        <v>43070</v>
      </c>
      <c r="AD898" s="690" t="s">
        <v>6052</v>
      </c>
      <c r="AE898" s="686">
        <v>42852</v>
      </c>
      <c r="AF898" s="474"/>
      <c r="AG898" s="692">
        <v>2544552</v>
      </c>
      <c r="AH898" s="236">
        <f>IF(Таблица5[[#This Row],[30]]=0,"НД",Таблица5[[#This Row],[20]]-Таблица5[[#This Row],[30]])</f>
        <v>0</v>
      </c>
      <c r="AI898" s="511">
        <f>IF(((1-Таблица5[[#This Row],[30]]/Таблица5[[#This Row],[20]])=1),"НД",(1-Таблица5[[#This Row],[30]]/Таблица5[[#This Row],[20]]))</f>
        <v>0</v>
      </c>
      <c r="AJ898" s="111"/>
      <c r="AK898" s="111"/>
      <c r="AL898" s="512"/>
      <c r="AM898" s="513" t="s">
        <v>113</v>
      </c>
      <c r="AN898" s="801">
        <v>31704977667</v>
      </c>
      <c r="AO898" s="468" t="str">
        <f>РПЗ!AD898</f>
        <v>Нет</v>
      </c>
      <c r="AP898" s="472">
        <f>РПЗ!V898</f>
        <v>0</v>
      </c>
      <c r="AQ898" s="470">
        <f>IF(Таблица5[[#This Row],[11]]=0,,MONTH(Таблица5[[#This Row],[11]]))</f>
        <v>5</v>
      </c>
    </row>
    <row r="899" spans="1:43" ht="39" thickBot="1" x14ac:dyDescent="0.3">
      <c r="A899" s="233" t="str">
        <f t="shared" si="14"/>
        <v>1004-2017-00884</v>
      </c>
      <c r="B899" s="233" t="str">
        <f>РПЗ!$D899</f>
        <v>1004-2017-00884Поставка подложек арсенида галлия</v>
      </c>
      <c r="C899" s="233" t="str">
        <f>РПЗ!$AA899</f>
        <v>АО "НИИ "Полюс" им. М.Ф. Стельмаха" тел. отдела закупок 8-495-333-05-02</v>
      </c>
      <c r="D899" s="633" t="str">
        <f>РПЗ!$AB899</f>
        <v>Заказчик</v>
      </c>
      <c r="E899" s="96" t="s">
        <v>46</v>
      </c>
      <c r="F899" s="233" t="str">
        <f>РПЗ!Q899</f>
        <v>ЕП</v>
      </c>
      <c r="G899" s="237"/>
      <c r="H899" s="237" t="str">
        <f>РПЗ!R899</f>
        <v>нет</v>
      </c>
      <c r="I899" s="15">
        <f>РПЗ!W899</f>
        <v>0</v>
      </c>
      <c r="J899" s="233">
        <f>РПЗ!X899</f>
        <v>0</v>
      </c>
      <c r="K899" s="283">
        <f>РПЗ!Z899</f>
        <v>0</v>
      </c>
      <c r="L899" s="17"/>
      <c r="M899" s="18">
        <f>РПЗ!O899</f>
        <v>42826</v>
      </c>
      <c r="N899" s="238">
        <f>Таблица5[[#This Row],[10]]</f>
        <v>42826</v>
      </c>
      <c r="O899" s="17"/>
      <c r="P899" s="17"/>
      <c r="Q899" s="17"/>
      <c r="R899" s="17"/>
      <c r="S899" s="17"/>
      <c r="T899" s="686"/>
      <c r="U899" s="18">
        <f>РПЗ!P899</f>
        <v>42826</v>
      </c>
      <c r="V899" s="686"/>
      <c r="W899" s="236">
        <f>РПЗ!L899</f>
        <v>1229996.6000000001</v>
      </c>
      <c r="X899" s="689"/>
      <c r="Y899" s="689"/>
      <c r="Z899" s="690"/>
      <c r="AA899" s="691"/>
      <c r="AB899" s="111"/>
      <c r="AC899" s="17"/>
      <c r="AD899" s="690"/>
      <c r="AE899" s="686"/>
      <c r="AF899" s="474"/>
      <c r="AG899" s="692"/>
      <c r="AH899" s="236" t="str">
        <f>IF(Таблица5[[#This Row],[30]]=0,"НД",Таблица5[[#This Row],[20]]-Таблица5[[#This Row],[30]])</f>
        <v>НД</v>
      </c>
      <c r="AI899" s="511" t="str">
        <f>IF(((1-Таблица5[[#This Row],[30]]/Таблица5[[#This Row],[20]])=1),"НД",(1-Таблица5[[#This Row],[30]]/Таблица5[[#This Row],[20]]))</f>
        <v>НД</v>
      </c>
      <c r="AJ899" s="111"/>
      <c r="AK899" s="111"/>
      <c r="AL899" s="512"/>
      <c r="AM899" s="513"/>
      <c r="AN899" s="465"/>
      <c r="AO899" s="468" t="str">
        <f>РПЗ!AD899</f>
        <v>Нет</v>
      </c>
      <c r="AP899" s="472">
        <f>РПЗ!V899</f>
        <v>0</v>
      </c>
      <c r="AQ899" s="470">
        <f>IF(Таблица5[[#This Row],[11]]=0,,MONTH(Таблица5[[#This Row],[11]]))</f>
        <v>4</v>
      </c>
    </row>
    <row r="900" spans="1:43" ht="39" thickBot="1" x14ac:dyDescent="0.3">
      <c r="A900" s="233" t="str">
        <f t="shared" si="14"/>
        <v>1004-2017-00885</v>
      </c>
      <c r="B900" s="233" t="str">
        <f>РПЗ!$D900</f>
        <v>1004-2017-00885Поставка подложек фосфида индия</v>
      </c>
      <c r="C900" s="233" t="str">
        <f>РПЗ!$AA900</f>
        <v>АО "НИИ "Полюс" им. М.Ф. Стельмаха" тел. отдела закупок 8-495-333-05-02</v>
      </c>
      <c r="D900" s="633" t="str">
        <f>РПЗ!$AB900</f>
        <v>Заказчик</v>
      </c>
      <c r="E900" s="96" t="s">
        <v>46</v>
      </c>
      <c r="F900" s="233" t="str">
        <f>РПЗ!Q900</f>
        <v>ЕП</v>
      </c>
      <c r="G900" s="237"/>
      <c r="H900" s="237" t="str">
        <f>РПЗ!R900</f>
        <v>нет</v>
      </c>
      <c r="I900" s="15">
        <f>РПЗ!W900</f>
        <v>0</v>
      </c>
      <c r="J900" s="233">
        <f>РПЗ!X900</f>
        <v>0</v>
      </c>
      <c r="K900" s="283">
        <f>РПЗ!Z900</f>
        <v>0</v>
      </c>
      <c r="L900" s="17"/>
      <c r="M900" s="18">
        <f>РПЗ!O900</f>
        <v>42826</v>
      </c>
      <c r="N900" s="238">
        <f>Таблица5[[#This Row],[10]]</f>
        <v>42826</v>
      </c>
      <c r="O900" s="17"/>
      <c r="P900" s="17"/>
      <c r="Q900" s="17"/>
      <c r="R900" s="17"/>
      <c r="S900" s="17"/>
      <c r="T900" s="686"/>
      <c r="U900" s="18">
        <f>РПЗ!P900</f>
        <v>42826</v>
      </c>
      <c r="V900" s="686"/>
      <c r="W900" s="236">
        <f>РПЗ!L900</f>
        <v>1578500</v>
      </c>
      <c r="X900" s="689"/>
      <c r="Y900" s="689"/>
      <c r="Z900" s="690"/>
      <c r="AA900" s="691"/>
      <c r="AB900" s="111"/>
      <c r="AC900" s="17"/>
      <c r="AD900" s="690"/>
      <c r="AE900" s="686"/>
      <c r="AF900" s="474"/>
      <c r="AG900" s="692"/>
      <c r="AH900" s="236" t="str">
        <f>IF(Таблица5[[#This Row],[30]]=0,"НД",Таблица5[[#This Row],[20]]-Таблица5[[#This Row],[30]])</f>
        <v>НД</v>
      </c>
      <c r="AI900" s="511" t="str">
        <f>IF(((1-Таблица5[[#This Row],[30]]/Таблица5[[#This Row],[20]])=1),"НД",(1-Таблица5[[#This Row],[30]]/Таблица5[[#This Row],[20]]))</f>
        <v>НД</v>
      </c>
      <c r="AJ900" s="111"/>
      <c r="AK900" s="111"/>
      <c r="AL900" s="512"/>
      <c r="AM900" s="513"/>
      <c r="AN900" s="465"/>
      <c r="AO900" s="468" t="str">
        <f>РПЗ!AD900</f>
        <v>Нет</v>
      </c>
      <c r="AP900" s="472">
        <f>РПЗ!V900</f>
        <v>0</v>
      </c>
      <c r="AQ900" s="470">
        <f>IF(Таблица5[[#This Row],[11]]=0,,MONTH(Таблица5[[#This Row],[11]]))</f>
        <v>4</v>
      </c>
    </row>
    <row r="901" spans="1:43" ht="39" thickBot="1" x14ac:dyDescent="0.3">
      <c r="A901" s="233" t="str">
        <f t="shared" si="14"/>
        <v>1004-2017-00886</v>
      </c>
      <c r="B901" s="233" t="str">
        <f>РПЗ!$D901</f>
        <v>1004-2017-00886Поставка подложек арсенида галлия</v>
      </c>
      <c r="C901" s="233" t="str">
        <f>РПЗ!$AA901</f>
        <v>АО "НИИ "Полюс" им. М.Ф. Стельмаха" тел. отдела закупок 8-495-333-05-02</v>
      </c>
      <c r="D901" s="633" t="str">
        <f>РПЗ!$AB901</f>
        <v>Заказчик</v>
      </c>
      <c r="E901" s="96" t="s">
        <v>46</v>
      </c>
      <c r="F901" s="233" t="str">
        <f>РПЗ!Q901</f>
        <v>ЕП</v>
      </c>
      <c r="G901" s="237"/>
      <c r="H901" s="237" t="str">
        <f>РПЗ!R901</f>
        <v>нет</v>
      </c>
      <c r="I901" s="15">
        <f>РПЗ!W901</f>
        <v>0</v>
      </c>
      <c r="J901" s="233">
        <f>РПЗ!X901</f>
        <v>0</v>
      </c>
      <c r="K901" s="283">
        <f>РПЗ!Z901</f>
        <v>0</v>
      </c>
      <c r="L901" s="17"/>
      <c r="M901" s="18">
        <f>РПЗ!O901</f>
        <v>42826</v>
      </c>
      <c r="N901" s="238">
        <f>Таблица5[[#This Row],[10]]</f>
        <v>42826</v>
      </c>
      <c r="O901" s="17"/>
      <c r="P901" s="17"/>
      <c r="Q901" s="17"/>
      <c r="R901" s="17"/>
      <c r="S901" s="17"/>
      <c r="T901" s="686"/>
      <c r="U901" s="18">
        <f>РПЗ!P901</f>
        <v>42826</v>
      </c>
      <c r="V901" s="686"/>
      <c r="W901" s="236">
        <f>РПЗ!L901</f>
        <v>996000</v>
      </c>
      <c r="X901" s="689"/>
      <c r="Y901" s="689"/>
      <c r="Z901" s="690"/>
      <c r="AA901" s="691"/>
      <c r="AB901" s="111"/>
      <c r="AC901" s="17"/>
      <c r="AD901" s="690"/>
      <c r="AE901" s="686"/>
      <c r="AF901" s="474"/>
      <c r="AG901" s="692"/>
      <c r="AH901" s="236" t="str">
        <f>IF(Таблица5[[#This Row],[30]]=0,"НД",Таблица5[[#This Row],[20]]-Таблица5[[#This Row],[30]])</f>
        <v>НД</v>
      </c>
      <c r="AI901" s="511" t="str">
        <f>IF(((1-Таблица5[[#This Row],[30]]/Таблица5[[#This Row],[20]])=1),"НД",(1-Таблица5[[#This Row],[30]]/Таблица5[[#This Row],[20]]))</f>
        <v>НД</v>
      </c>
      <c r="AJ901" s="111"/>
      <c r="AK901" s="111"/>
      <c r="AL901" s="512"/>
      <c r="AM901" s="513"/>
      <c r="AN901" s="465"/>
      <c r="AO901" s="468" t="str">
        <f>РПЗ!AD901</f>
        <v>Нет</v>
      </c>
      <c r="AP901" s="472">
        <f>РПЗ!V901</f>
        <v>0</v>
      </c>
      <c r="AQ901" s="470">
        <f>IF(Таблица5[[#This Row],[11]]=0,,MONTH(Таблица5[[#This Row],[11]]))</f>
        <v>4</v>
      </c>
    </row>
    <row r="902" spans="1:43" ht="64.5" thickBot="1" x14ac:dyDescent="0.3">
      <c r="A902" s="233" t="str">
        <f t="shared" si="14"/>
        <v>1004-2017-00887</v>
      </c>
      <c r="B902" s="233" t="str">
        <f>РПЗ!$D902</f>
        <v>1004-2017-00887Поставка триметилгаллия, триэтилгаллия, триметилиндия, триметилалюминия, диэтилцинка, ди-(циклопентадиенил)магния</v>
      </c>
      <c r="C902" s="233" t="str">
        <f>РПЗ!$AA902</f>
        <v>АО "НИИ "Полюс" им. М.Ф. Стельмаха" тел. отдела закупок 8-495-333-05-02</v>
      </c>
      <c r="D902" s="633" t="str">
        <f>РПЗ!$AB902</f>
        <v>Заказчик</v>
      </c>
      <c r="E902" s="96" t="s">
        <v>46</v>
      </c>
      <c r="F902" s="233" t="str">
        <f>РПЗ!Q902</f>
        <v>ЕП</v>
      </c>
      <c r="G902" s="237"/>
      <c r="H902" s="237" t="str">
        <f>РПЗ!R902</f>
        <v>нет</v>
      </c>
      <c r="I902" s="15">
        <f>РПЗ!W902</f>
        <v>0</v>
      </c>
      <c r="J902" s="233">
        <f>РПЗ!X902</f>
        <v>0</v>
      </c>
      <c r="K902" s="283">
        <f>РПЗ!Z902</f>
        <v>0</v>
      </c>
      <c r="L902" s="17"/>
      <c r="M902" s="18">
        <f>РПЗ!O902</f>
        <v>42826</v>
      </c>
      <c r="N902" s="238">
        <f>Таблица5[[#This Row],[10]]</f>
        <v>42826</v>
      </c>
      <c r="O902" s="17"/>
      <c r="P902" s="17"/>
      <c r="Q902" s="17"/>
      <c r="R902" s="17"/>
      <c r="S902" s="17"/>
      <c r="T902" s="686"/>
      <c r="U902" s="18">
        <f>РПЗ!P902</f>
        <v>42826</v>
      </c>
      <c r="V902" s="686"/>
      <c r="W902" s="236">
        <f>РПЗ!L902</f>
        <v>1076000</v>
      </c>
      <c r="X902" s="689"/>
      <c r="Y902" s="689"/>
      <c r="Z902" s="690"/>
      <c r="AA902" s="691"/>
      <c r="AB902" s="111"/>
      <c r="AC902" s="17"/>
      <c r="AD902" s="690"/>
      <c r="AE902" s="686"/>
      <c r="AF902" s="474"/>
      <c r="AG902" s="692"/>
      <c r="AH902" s="236" t="str">
        <f>IF(Таблица5[[#This Row],[30]]=0,"НД",Таблица5[[#This Row],[20]]-Таблица5[[#This Row],[30]])</f>
        <v>НД</v>
      </c>
      <c r="AI902" s="511" t="str">
        <f>IF(((1-Таблица5[[#This Row],[30]]/Таблица5[[#This Row],[20]])=1),"НД",(1-Таблица5[[#This Row],[30]]/Таблица5[[#This Row],[20]]))</f>
        <v>НД</v>
      </c>
      <c r="AJ902" s="111"/>
      <c r="AK902" s="111"/>
      <c r="AL902" s="512"/>
      <c r="AM902" s="513"/>
      <c r="AN902" s="465"/>
      <c r="AO902" s="468" t="str">
        <f>РПЗ!AD902</f>
        <v>Нет</v>
      </c>
      <c r="AP902" s="472">
        <f>РПЗ!V902</f>
        <v>0</v>
      </c>
      <c r="AQ902" s="470">
        <f>IF(Таблица5[[#This Row],[11]]=0,,MONTH(Таблица5[[#This Row],[11]]))</f>
        <v>4</v>
      </c>
    </row>
    <row r="903" spans="1:43" ht="64.5" thickBot="1" x14ac:dyDescent="0.3">
      <c r="A903" s="233" t="str">
        <f t="shared" si="14"/>
        <v>1004-2017-00888</v>
      </c>
      <c r="B903" s="233" t="str">
        <f>РПЗ!$D903</f>
        <v>1004-2017-00888Поставка триметилгаллия, триэтилгаллия, триметилиндия, триметилалюминия, диэтилцинка, ди-(циклопентадиенил)магния</v>
      </c>
      <c r="C903" s="233" t="str">
        <f>РПЗ!$AA903</f>
        <v>АО "НИИ "Полюс" им. М.Ф. Стельмаха" тел. отдела закупок 8-495-333-05-02</v>
      </c>
      <c r="D903" s="633" t="str">
        <f>РПЗ!$AB903</f>
        <v>Заказчик</v>
      </c>
      <c r="E903" s="96" t="s">
        <v>46</v>
      </c>
      <c r="F903" s="233" t="str">
        <f>РПЗ!Q903</f>
        <v>ЕП</v>
      </c>
      <c r="G903" s="237"/>
      <c r="H903" s="237" t="str">
        <f>РПЗ!R903</f>
        <v>нет</v>
      </c>
      <c r="I903" s="15">
        <f>РПЗ!W903</f>
        <v>0</v>
      </c>
      <c r="J903" s="233">
        <f>РПЗ!X903</f>
        <v>0</v>
      </c>
      <c r="K903" s="283">
        <f>РПЗ!Z903</f>
        <v>0</v>
      </c>
      <c r="L903" s="17"/>
      <c r="M903" s="18">
        <f>РПЗ!O903</f>
        <v>42826</v>
      </c>
      <c r="N903" s="238">
        <f>Таблица5[[#This Row],[10]]</f>
        <v>42826</v>
      </c>
      <c r="O903" s="17"/>
      <c r="P903" s="17"/>
      <c r="Q903" s="17"/>
      <c r="R903" s="17"/>
      <c r="S903" s="17"/>
      <c r="T903" s="686"/>
      <c r="U903" s="18">
        <f>РПЗ!P903</f>
        <v>42826</v>
      </c>
      <c r="V903" s="686"/>
      <c r="W903" s="236">
        <f>РПЗ!L903</f>
        <v>1045000</v>
      </c>
      <c r="X903" s="689"/>
      <c r="Y903" s="689"/>
      <c r="Z903" s="690"/>
      <c r="AA903" s="691"/>
      <c r="AB903" s="111"/>
      <c r="AC903" s="17"/>
      <c r="AD903" s="690"/>
      <c r="AE903" s="686"/>
      <c r="AF903" s="474"/>
      <c r="AG903" s="692"/>
      <c r="AH903" s="236" t="str">
        <f>IF(Таблица5[[#This Row],[30]]=0,"НД",Таблица5[[#This Row],[20]]-Таблица5[[#This Row],[30]])</f>
        <v>НД</v>
      </c>
      <c r="AI903" s="511" t="str">
        <f>IF(((1-Таблица5[[#This Row],[30]]/Таблица5[[#This Row],[20]])=1),"НД",(1-Таблица5[[#This Row],[30]]/Таблица5[[#This Row],[20]]))</f>
        <v>НД</v>
      </c>
      <c r="AJ903" s="111"/>
      <c r="AK903" s="111"/>
      <c r="AL903" s="512"/>
      <c r="AM903" s="513"/>
      <c r="AN903" s="465"/>
      <c r="AO903" s="468" t="str">
        <f>РПЗ!AD903</f>
        <v>Нет</v>
      </c>
      <c r="AP903" s="472">
        <f>РПЗ!V903</f>
        <v>0</v>
      </c>
      <c r="AQ903" s="470">
        <f>IF(Таблица5[[#This Row],[11]]=0,,MONTH(Таблица5[[#This Row],[11]]))</f>
        <v>4</v>
      </c>
    </row>
    <row r="904" spans="1:43" ht="51.75" thickBot="1" x14ac:dyDescent="0.3">
      <c r="A904" s="233" t="str">
        <f t="shared" si="14"/>
        <v>1004-2017-00889</v>
      </c>
      <c r="B904" s="233" t="str">
        <f>РПЗ!$D904</f>
        <v>1004-2017-00889Поставка триметилгаллия, триэтилгаллия, триметилиндия, триметилалюминия, диэтилцинка</v>
      </c>
      <c r="C904" s="233" t="str">
        <f>РПЗ!$AA904</f>
        <v>АО "НИИ "Полюс" им. М.Ф. Стельмаха" тел. отдела закупок 8-495-333-05-02</v>
      </c>
      <c r="D904" s="633" t="str">
        <f>РПЗ!$AB904</f>
        <v>Заказчик</v>
      </c>
      <c r="E904" s="96" t="s">
        <v>46</v>
      </c>
      <c r="F904" s="233" t="str">
        <f>РПЗ!Q904</f>
        <v>ЕП</v>
      </c>
      <c r="G904" s="237"/>
      <c r="H904" s="237" t="str">
        <f>РПЗ!R904</f>
        <v>нет</v>
      </c>
      <c r="I904" s="15">
        <f>РПЗ!W904</f>
        <v>0</v>
      </c>
      <c r="J904" s="233">
        <f>РПЗ!X904</f>
        <v>0</v>
      </c>
      <c r="K904" s="283">
        <f>РПЗ!Z904</f>
        <v>0</v>
      </c>
      <c r="L904" s="17"/>
      <c r="M904" s="18">
        <f>РПЗ!O904</f>
        <v>42826</v>
      </c>
      <c r="N904" s="238">
        <f>Таблица5[[#This Row],[10]]</f>
        <v>42826</v>
      </c>
      <c r="O904" s="17"/>
      <c r="P904" s="17"/>
      <c r="Q904" s="17"/>
      <c r="R904" s="17"/>
      <c r="S904" s="17"/>
      <c r="T904" s="686"/>
      <c r="U904" s="18">
        <f>РПЗ!P904</f>
        <v>42826</v>
      </c>
      <c r="V904" s="686"/>
      <c r="W904" s="236">
        <f>РПЗ!L904</f>
        <v>751000</v>
      </c>
      <c r="X904" s="689"/>
      <c r="Y904" s="689"/>
      <c r="Z904" s="690"/>
      <c r="AA904" s="691"/>
      <c r="AB904" s="111"/>
      <c r="AC904" s="17"/>
      <c r="AD904" s="690"/>
      <c r="AE904" s="686"/>
      <c r="AF904" s="474"/>
      <c r="AG904" s="692"/>
      <c r="AH904" s="236" t="str">
        <f>IF(Таблица5[[#This Row],[30]]=0,"НД",Таблица5[[#This Row],[20]]-Таблица5[[#This Row],[30]])</f>
        <v>НД</v>
      </c>
      <c r="AI904" s="511" t="str">
        <f>IF(((1-Таблица5[[#This Row],[30]]/Таблица5[[#This Row],[20]])=1),"НД",(1-Таблица5[[#This Row],[30]]/Таблица5[[#This Row],[20]]))</f>
        <v>НД</v>
      </c>
      <c r="AJ904" s="111"/>
      <c r="AK904" s="111"/>
      <c r="AL904" s="512"/>
      <c r="AM904" s="513"/>
      <c r="AN904" s="465"/>
      <c r="AO904" s="468" t="str">
        <f>РПЗ!AD904</f>
        <v>Нет</v>
      </c>
      <c r="AP904" s="472">
        <f>РПЗ!V904</f>
        <v>0</v>
      </c>
      <c r="AQ904" s="470">
        <f>IF(Таблица5[[#This Row],[11]]=0,,MONTH(Таблица5[[#This Row],[11]]))</f>
        <v>4</v>
      </c>
    </row>
    <row r="905" spans="1:43" ht="39" thickBot="1" x14ac:dyDescent="0.3">
      <c r="A905" s="233" t="str">
        <f t="shared" si="14"/>
        <v>1004-2017-00890</v>
      </c>
      <c r="B905" s="233" t="str">
        <f>РПЗ!$D905</f>
        <v>1004-2017-00890Поставка арсина и фосфина</v>
      </c>
      <c r="C905" s="233" t="str">
        <f>РПЗ!$AA905</f>
        <v>АО "НИИ "Полюс" им. М.Ф. Стельмаха" тел. отдела закупок 8-495-333-05-02</v>
      </c>
      <c r="D905" s="633" t="str">
        <f>РПЗ!$AB905</f>
        <v>Заказчик</v>
      </c>
      <c r="E905" s="96" t="s">
        <v>46</v>
      </c>
      <c r="F905" s="233" t="str">
        <f>РПЗ!Q905</f>
        <v>ЕП</v>
      </c>
      <c r="G905" s="237"/>
      <c r="H905" s="237" t="str">
        <f>РПЗ!R905</f>
        <v>нет</v>
      </c>
      <c r="I905" s="15">
        <f>РПЗ!W905</f>
        <v>0</v>
      </c>
      <c r="J905" s="233">
        <f>РПЗ!X905</f>
        <v>0</v>
      </c>
      <c r="K905" s="283">
        <f>РПЗ!Z905</f>
        <v>0</v>
      </c>
      <c r="L905" s="17"/>
      <c r="M905" s="18">
        <f>РПЗ!O905</f>
        <v>42826</v>
      </c>
      <c r="N905" s="238">
        <f>Таблица5[[#This Row],[10]]</f>
        <v>42826</v>
      </c>
      <c r="O905" s="17"/>
      <c r="P905" s="17"/>
      <c r="Q905" s="17"/>
      <c r="R905" s="17"/>
      <c r="S905" s="17"/>
      <c r="T905" s="686"/>
      <c r="U905" s="18">
        <f>РПЗ!P905</f>
        <v>42826</v>
      </c>
      <c r="V905" s="686"/>
      <c r="W905" s="236">
        <f>РПЗ!L905</f>
        <v>1831950</v>
      </c>
      <c r="X905" s="689"/>
      <c r="Y905" s="689"/>
      <c r="Z905" s="690"/>
      <c r="AA905" s="691"/>
      <c r="AB905" s="111"/>
      <c r="AC905" s="17"/>
      <c r="AD905" s="690"/>
      <c r="AE905" s="686"/>
      <c r="AF905" s="474"/>
      <c r="AG905" s="692"/>
      <c r="AH905" s="236" t="str">
        <f>IF(Таблица5[[#This Row],[30]]=0,"НД",Таблица5[[#This Row],[20]]-Таблица5[[#This Row],[30]])</f>
        <v>НД</v>
      </c>
      <c r="AI905" s="511" t="str">
        <f>IF(((1-Таблица5[[#This Row],[30]]/Таблица5[[#This Row],[20]])=1),"НД",(1-Таблица5[[#This Row],[30]]/Таблица5[[#This Row],[20]]))</f>
        <v>НД</v>
      </c>
      <c r="AJ905" s="111"/>
      <c r="AK905" s="111"/>
      <c r="AL905" s="512"/>
      <c r="AM905" s="513"/>
      <c r="AN905" s="465"/>
      <c r="AO905" s="468" t="str">
        <f>РПЗ!AD905</f>
        <v>Нет</v>
      </c>
      <c r="AP905" s="472">
        <f>РПЗ!V905</f>
        <v>0</v>
      </c>
      <c r="AQ905" s="470">
        <f>IF(Таблица5[[#This Row],[11]]=0,,MONTH(Таблица5[[#This Row],[11]]))</f>
        <v>4</v>
      </c>
    </row>
    <row r="906" spans="1:43" ht="39" thickBot="1" x14ac:dyDescent="0.3">
      <c r="A906" s="233" t="str">
        <f t="shared" si="14"/>
        <v>1004-2017-00891</v>
      </c>
      <c r="B906" s="233" t="str">
        <f>РПЗ!$D906</f>
        <v>1004-2017-00891Поставка арсина и фосфина</v>
      </c>
      <c r="C906" s="233" t="str">
        <f>РПЗ!$AA906</f>
        <v>АО "НИИ "Полюс" им. М.Ф. Стельмаха" тел. отдела закупок 8-495-333-05-02</v>
      </c>
      <c r="D906" s="633" t="str">
        <f>РПЗ!$AB906</f>
        <v>Заказчик</v>
      </c>
      <c r="E906" s="96" t="s">
        <v>46</v>
      </c>
      <c r="F906" s="233" t="str">
        <f>РПЗ!Q906</f>
        <v>ЕП</v>
      </c>
      <c r="G906" s="237"/>
      <c r="H906" s="237" t="str">
        <f>РПЗ!R906</f>
        <v>нет</v>
      </c>
      <c r="I906" s="15">
        <f>РПЗ!W906</f>
        <v>0</v>
      </c>
      <c r="J906" s="233">
        <f>РПЗ!X906</f>
        <v>0</v>
      </c>
      <c r="K906" s="283">
        <f>РПЗ!Z906</f>
        <v>0</v>
      </c>
      <c r="L906" s="17"/>
      <c r="M906" s="18">
        <f>РПЗ!O906</f>
        <v>42826</v>
      </c>
      <c r="N906" s="238">
        <f>Таблица5[[#This Row],[10]]</f>
        <v>42826</v>
      </c>
      <c r="O906" s="17"/>
      <c r="P906" s="17"/>
      <c r="Q906" s="17"/>
      <c r="R906" s="17"/>
      <c r="S906" s="17"/>
      <c r="T906" s="686"/>
      <c r="U906" s="18">
        <f>РПЗ!P906</f>
        <v>42826</v>
      </c>
      <c r="V906" s="686"/>
      <c r="W906" s="236">
        <f>РПЗ!L906</f>
        <v>1696250</v>
      </c>
      <c r="X906" s="689"/>
      <c r="Y906" s="689"/>
      <c r="Z906" s="690"/>
      <c r="AA906" s="691"/>
      <c r="AB906" s="111"/>
      <c r="AC906" s="17"/>
      <c r="AD906" s="690"/>
      <c r="AE906" s="686"/>
      <c r="AF906" s="474"/>
      <c r="AG906" s="692"/>
      <c r="AH906" s="236" t="str">
        <f>IF(Таблица5[[#This Row],[30]]=0,"НД",Таблица5[[#This Row],[20]]-Таблица5[[#This Row],[30]])</f>
        <v>НД</v>
      </c>
      <c r="AI906" s="511" t="str">
        <f>IF(((1-Таблица5[[#This Row],[30]]/Таблица5[[#This Row],[20]])=1),"НД",(1-Таблица5[[#This Row],[30]]/Таблица5[[#This Row],[20]]))</f>
        <v>НД</v>
      </c>
      <c r="AJ906" s="111"/>
      <c r="AK906" s="111"/>
      <c r="AL906" s="512"/>
      <c r="AM906" s="513"/>
      <c r="AN906" s="465"/>
      <c r="AO906" s="468" t="str">
        <f>РПЗ!AD906</f>
        <v>Нет</v>
      </c>
      <c r="AP906" s="472">
        <f>РПЗ!V906</f>
        <v>0</v>
      </c>
      <c r="AQ906" s="470">
        <f>IF(Таблица5[[#This Row],[11]]=0,,MONTH(Таблица5[[#This Row],[11]]))</f>
        <v>4</v>
      </c>
    </row>
    <row r="907" spans="1:43" ht="38.25" x14ac:dyDescent="0.25">
      <c r="A907" s="233" t="str">
        <f t="shared" si="14"/>
        <v>1004-2017-00892</v>
      </c>
      <c r="B907" s="233" t="str">
        <f>РПЗ!$D907</f>
        <v>1004-2017-00892Поставка арсина и фосфина</v>
      </c>
      <c r="C907" s="233" t="str">
        <f>РПЗ!$AA907</f>
        <v>АО "НИИ "Полюс" им. М.Ф. Стельмаха" тел. отдела закупок 8-495-333-05-02</v>
      </c>
      <c r="D907" s="633" t="str">
        <f>РПЗ!$AB907</f>
        <v>Заказчик</v>
      </c>
      <c r="E907" s="96" t="s">
        <v>46</v>
      </c>
      <c r="F907" s="233" t="str">
        <f>РПЗ!Q907</f>
        <v>ЕП</v>
      </c>
      <c r="G907" s="237"/>
      <c r="H907" s="237" t="str">
        <f>РПЗ!R907</f>
        <v>нет</v>
      </c>
      <c r="I907" s="15">
        <f>РПЗ!W907</f>
        <v>0</v>
      </c>
      <c r="J907" s="233">
        <f>РПЗ!X907</f>
        <v>0</v>
      </c>
      <c r="K907" s="283">
        <f>РПЗ!Z907</f>
        <v>0</v>
      </c>
      <c r="L907" s="17"/>
      <c r="M907" s="18">
        <f>РПЗ!O907</f>
        <v>42826</v>
      </c>
      <c r="N907" s="238">
        <f>Таблица5[[#This Row],[10]]</f>
        <v>42826</v>
      </c>
      <c r="O907" s="17"/>
      <c r="P907" s="17"/>
      <c r="Q907" s="17"/>
      <c r="R907" s="17"/>
      <c r="S907" s="17"/>
      <c r="T907" s="686"/>
      <c r="U907" s="18">
        <f>РПЗ!P907</f>
        <v>42826</v>
      </c>
      <c r="V907" s="686"/>
      <c r="W907" s="236">
        <f>РПЗ!L907</f>
        <v>1628400</v>
      </c>
      <c r="X907" s="689"/>
      <c r="Y907" s="689"/>
      <c r="Z907" s="690"/>
      <c r="AA907" s="691"/>
      <c r="AB907" s="111"/>
      <c r="AC907" s="17"/>
      <c r="AD907" s="690"/>
      <c r="AE907" s="686"/>
      <c r="AF907" s="474"/>
      <c r="AG907" s="692"/>
      <c r="AH907" s="236" t="str">
        <f>IF(Таблица5[[#This Row],[30]]=0,"НД",Таблица5[[#This Row],[20]]-Таблица5[[#This Row],[30]])</f>
        <v>НД</v>
      </c>
      <c r="AI907" s="511" t="str">
        <f>IF(((1-Таблица5[[#This Row],[30]]/Таблица5[[#This Row],[20]])=1),"НД",(1-Таблица5[[#This Row],[30]]/Таблица5[[#This Row],[20]]))</f>
        <v>НД</v>
      </c>
      <c r="AJ907" s="111"/>
      <c r="AK907" s="111"/>
      <c r="AL907" s="512"/>
      <c r="AM907" s="513"/>
      <c r="AN907" s="465"/>
      <c r="AO907" s="468" t="str">
        <f>РПЗ!AD907</f>
        <v>Нет</v>
      </c>
      <c r="AP907" s="472">
        <f>РПЗ!V907</f>
        <v>0</v>
      </c>
      <c r="AQ907" s="470">
        <f>IF(Таблица5[[#This Row],[11]]=0,,MONTH(Таблица5[[#This Row],[11]]))</f>
        <v>4</v>
      </c>
    </row>
    <row r="908" spans="1:43" ht="51.75" thickBot="1" x14ac:dyDescent="0.3">
      <c r="A908" s="233" t="str">
        <f t="shared" si="14"/>
        <v>1004-2017-00893</v>
      </c>
      <c r="B908" s="233" t="str">
        <f>РПЗ!$D908</f>
        <v>1004-2017-00893Поставка Эмальпровод МНЭТ-имид (ВП)0.630; Поставка Эмальпровод МНЭТ-имид (ВП)0,710</v>
      </c>
      <c r="C908" s="233" t="str">
        <f>РПЗ!$AA908</f>
        <v>АО "НИИ "Полюс" им. М.Ф. Стельмаха" тел. отдела закупок 8-495-333-05-02</v>
      </c>
      <c r="D908" s="633" t="str">
        <f>РПЗ!$AB908</f>
        <v>Заказчик</v>
      </c>
      <c r="E908" s="510" t="s">
        <v>62</v>
      </c>
      <c r="F908" s="233" t="str">
        <f>РПЗ!Q908</f>
        <v>ЕП</v>
      </c>
      <c r="G908" s="237" t="str">
        <f>Таблица5[[#This Row],[6]]</f>
        <v>ЕП</v>
      </c>
      <c r="H908" s="237" t="str">
        <f>РПЗ!R908</f>
        <v>нет</v>
      </c>
      <c r="I908" s="15" t="str">
        <f>РПЗ!W908</f>
        <v>6.6.2(9)</v>
      </c>
      <c r="J908" s="233" t="str">
        <f>РПЗ!X908</f>
        <v>7708208601</v>
      </c>
      <c r="K908" s="283">
        <f>РПЗ!Z908</f>
        <v>344078</v>
      </c>
      <c r="L908" s="17">
        <v>42837</v>
      </c>
      <c r="M908" s="18">
        <f>РПЗ!O908</f>
        <v>42826</v>
      </c>
      <c r="N908" s="238">
        <f>Таблица5[[#This Row],[10]]</f>
        <v>42826</v>
      </c>
      <c r="O908" s="17"/>
      <c r="P908" s="17"/>
      <c r="Q908" s="17"/>
      <c r="R908" s="17"/>
      <c r="S908" s="17"/>
      <c r="T908" s="686">
        <v>42839</v>
      </c>
      <c r="U908" s="18">
        <f>РПЗ!P908</f>
        <v>43070</v>
      </c>
      <c r="V908" s="761">
        <v>42856</v>
      </c>
      <c r="W908" s="236">
        <f>РПЗ!L908</f>
        <v>344078</v>
      </c>
      <c r="X908" s="689">
        <v>1</v>
      </c>
      <c r="Y908" s="689">
        <v>0</v>
      </c>
      <c r="Z908" s="691">
        <v>7708208601</v>
      </c>
      <c r="AA908" s="691" t="s">
        <v>3322</v>
      </c>
      <c r="AB908" s="111">
        <v>344078</v>
      </c>
      <c r="AC908" s="686">
        <v>42856</v>
      </c>
      <c r="AD908" s="690" t="s">
        <v>3323</v>
      </c>
      <c r="AE908" s="686">
        <v>42839</v>
      </c>
      <c r="AF908" s="474"/>
      <c r="AG908" s="691">
        <v>344078</v>
      </c>
      <c r="AH908" s="236">
        <f>IF(Таблица5[[#This Row],[30]]=0,"НД",Таблица5[[#This Row],[20]]-Таблица5[[#This Row],[30]])</f>
        <v>0</v>
      </c>
      <c r="AI908" s="511">
        <f>IF(((1-Таблица5[[#This Row],[30]]/Таблица5[[#This Row],[20]])=1),"НД",(1-Таблица5[[#This Row],[30]]/Таблица5[[#This Row],[20]]))</f>
        <v>0</v>
      </c>
      <c r="AJ908" s="111"/>
      <c r="AK908" s="111"/>
      <c r="AL908" s="512"/>
      <c r="AM908" s="513" t="s">
        <v>113</v>
      </c>
      <c r="AN908" s="801">
        <v>31705010377</v>
      </c>
      <c r="AO908" s="468" t="str">
        <f>РПЗ!AD908</f>
        <v>Нет</v>
      </c>
      <c r="AP908" s="472">
        <f>РПЗ!V908</f>
        <v>0</v>
      </c>
      <c r="AQ908" s="470">
        <f>IF(Таблица5[[#This Row],[11]]=0,,MONTH(Таблица5[[#This Row],[11]]))</f>
        <v>4</v>
      </c>
    </row>
    <row r="909" spans="1:43" ht="39" thickBot="1" x14ac:dyDescent="0.3">
      <c r="A909" s="233" t="str">
        <f t="shared" si="14"/>
        <v>1004-2017-00894</v>
      </c>
      <c r="B909" s="233" t="str">
        <f>РПЗ!$D909</f>
        <v>1004-2017-00894Поставка  Оксид алюминия</v>
      </c>
      <c r="C909" s="233" t="str">
        <f>РПЗ!$AA909</f>
        <v>АО "НИИ "Полюс" им. М.Ф. Стельмаха" тел. отдела закупок 8-495-333-05-02</v>
      </c>
      <c r="D909" s="633" t="str">
        <f>РПЗ!$AB909</f>
        <v>Заказчик</v>
      </c>
      <c r="E909" s="96" t="s">
        <v>46</v>
      </c>
      <c r="F909" s="233" t="str">
        <f>РПЗ!Q909</f>
        <v>ОЗК</v>
      </c>
      <c r="G909" s="237"/>
      <c r="H909" s="237" t="str">
        <f>РПЗ!R909</f>
        <v>да</v>
      </c>
      <c r="I909" s="15">
        <f>РПЗ!W909</f>
        <v>0</v>
      </c>
      <c r="J909" s="233">
        <f>РПЗ!X909</f>
        <v>0</v>
      </c>
      <c r="K909" s="283">
        <f>РПЗ!Z909</f>
        <v>0</v>
      </c>
      <c r="L909" s="17"/>
      <c r="M909" s="18">
        <f>РПЗ!O909</f>
        <v>42826</v>
      </c>
      <c r="N909" s="238">
        <f>Таблица5[[#This Row],[10]]</f>
        <v>42826</v>
      </c>
      <c r="O909" s="17"/>
      <c r="P909" s="17"/>
      <c r="Q909" s="17"/>
      <c r="R909" s="17"/>
      <c r="S909" s="17"/>
      <c r="T909" s="686"/>
      <c r="U909" s="18">
        <f>РПЗ!P909</f>
        <v>42887</v>
      </c>
      <c r="V909" s="686"/>
      <c r="W909" s="236">
        <f>РПЗ!L909</f>
        <v>345000</v>
      </c>
      <c r="X909" s="689"/>
      <c r="Y909" s="689"/>
      <c r="Z909" s="690"/>
      <c r="AA909" s="691"/>
      <c r="AB909" s="111"/>
      <c r="AC909" s="17"/>
      <c r="AD909" s="690"/>
      <c r="AE909" s="686"/>
      <c r="AF909" s="474"/>
      <c r="AG909" s="692"/>
      <c r="AH909" s="236" t="str">
        <f>IF(Таблица5[[#This Row],[30]]=0,"НД",Таблица5[[#This Row],[20]]-Таблица5[[#This Row],[30]])</f>
        <v>НД</v>
      </c>
      <c r="AI909" s="511" t="str">
        <f>IF(((1-Таблица5[[#This Row],[30]]/Таблица5[[#This Row],[20]])=1),"НД",(1-Таблица5[[#This Row],[30]]/Таблица5[[#This Row],[20]]))</f>
        <v>НД</v>
      </c>
      <c r="AJ909" s="111"/>
      <c r="AK909" s="111"/>
      <c r="AL909" s="512"/>
      <c r="AM909" s="513"/>
      <c r="AN909" s="465"/>
      <c r="AO909" s="468" t="str">
        <f>РПЗ!AD909</f>
        <v>Нет</v>
      </c>
      <c r="AP909" s="472">
        <f>РПЗ!V909</f>
        <v>0</v>
      </c>
      <c r="AQ909" s="470">
        <f>IF(Таблица5[[#This Row],[11]]=0,,MONTH(Таблица5[[#This Row],[11]]))</f>
        <v>4</v>
      </c>
    </row>
    <row r="910" spans="1:43" ht="38.25" x14ac:dyDescent="0.25">
      <c r="A910" s="233" t="str">
        <f t="shared" si="14"/>
        <v>1004-2017-00895</v>
      </c>
      <c r="B910" s="233" t="str">
        <f>РПЗ!$D910</f>
        <v>1004-2017-00895Поставка пленкообразующих материалов</v>
      </c>
      <c r="C910" s="233" t="str">
        <f>РПЗ!$AA910</f>
        <v>АО "НИИ "Полюс" им. М.Ф. Стельмаха" тел. отдела закупок 8-495-333-05-02</v>
      </c>
      <c r="D910" s="633" t="str">
        <f>РПЗ!$AB910</f>
        <v>Заказчик</v>
      </c>
      <c r="E910" s="96" t="s">
        <v>46</v>
      </c>
      <c r="F910" s="233" t="str">
        <f>РПЗ!Q910</f>
        <v>ОЗК</v>
      </c>
      <c r="G910" s="237"/>
      <c r="H910" s="237" t="str">
        <f>РПЗ!R910</f>
        <v>да</v>
      </c>
      <c r="I910" s="15">
        <f>РПЗ!W910</f>
        <v>0</v>
      </c>
      <c r="J910" s="233">
        <f>РПЗ!X910</f>
        <v>0</v>
      </c>
      <c r="K910" s="283">
        <f>РПЗ!Z910</f>
        <v>0</v>
      </c>
      <c r="L910" s="17"/>
      <c r="M910" s="18">
        <f>РПЗ!O910</f>
        <v>42826</v>
      </c>
      <c r="N910" s="238">
        <f>Таблица5[[#This Row],[10]]</f>
        <v>42826</v>
      </c>
      <c r="O910" s="17"/>
      <c r="P910" s="17"/>
      <c r="Q910" s="17"/>
      <c r="R910" s="17"/>
      <c r="S910" s="17"/>
      <c r="T910" s="686"/>
      <c r="U910" s="18">
        <f>РПЗ!P910</f>
        <v>42948</v>
      </c>
      <c r="V910" s="686"/>
      <c r="W910" s="236">
        <f>РПЗ!L910</f>
        <v>1288466.1000000001</v>
      </c>
      <c r="X910" s="689"/>
      <c r="Y910" s="689"/>
      <c r="Z910" s="690"/>
      <c r="AA910" s="691"/>
      <c r="AB910" s="111"/>
      <c r="AC910" s="17"/>
      <c r="AD910" s="690"/>
      <c r="AE910" s="686"/>
      <c r="AF910" s="474"/>
      <c r="AG910" s="692"/>
      <c r="AH910" s="236" t="str">
        <f>IF(Таблица5[[#This Row],[30]]=0,"НД",Таблица5[[#This Row],[20]]-Таблица5[[#This Row],[30]])</f>
        <v>НД</v>
      </c>
      <c r="AI910" s="511" t="str">
        <f>IF(((1-Таблица5[[#This Row],[30]]/Таблица5[[#This Row],[20]])=1),"НД",(1-Таблица5[[#This Row],[30]]/Таблица5[[#This Row],[20]]))</f>
        <v>НД</v>
      </c>
      <c r="AJ910" s="111"/>
      <c r="AK910" s="111"/>
      <c r="AL910" s="512"/>
      <c r="AM910" s="513"/>
      <c r="AN910" s="465"/>
      <c r="AO910" s="468" t="str">
        <f>РПЗ!AD910</f>
        <v>Нет</v>
      </c>
      <c r="AP910" s="472">
        <f>РПЗ!V910</f>
        <v>0</v>
      </c>
      <c r="AQ910" s="470">
        <f>IF(Таблица5[[#This Row],[11]]=0,,MONTH(Таблица5[[#This Row],[11]]))</f>
        <v>4</v>
      </c>
    </row>
    <row r="911" spans="1:43" ht="38.25" x14ac:dyDescent="0.25">
      <c r="A911" s="233" t="str">
        <f t="shared" si="14"/>
        <v>1004-2017-00896</v>
      </c>
      <c r="B911" s="233" t="str">
        <f>РПЗ!$D911</f>
        <v>1004-2017-00896 Поставка 04901-01.6,пластины КС301249-03 и платы теплоперехода КС301249-04</v>
      </c>
      <c r="C911" s="233" t="str">
        <f>РПЗ!$AA911</f>
        <v>АО "НИИ "Полюс" им. М.Ф. Стельмаха" тел. отдела закупок 8-495-333-05-02</v>
      </c>
      <c r="D911" s="633" t="str">
        <f>РПЗ!$AB911</f>
        <v>Заказчик</v>
      </c>
      <c r="E911" s="510" t="s">
        <v>62</v>
      </c>
      <c r="F911" s="233" t="str">
        <f>РПЗ!Q911</f>
        <v>ЕП</v>
      </c>
      <c r="G911" s="237" t="str">
        <f>Таблица5[[#This Row],[6]]</f>
        <v>ЕП</v>
      </c>
      <c r="H911" s="237" t="str">
        <f>РПЗ!R911</f>
        <v>нет</v>
      </c>
      <c r="I911" s="15" t="str">
        <f>РПЗ!W911</f>
        <v>6.6.2(11)</v>
      </c>
      <c r="J911" s="233" t="str">
        <f>РПЗ!X911</f>
        <v>5044066978</v>
      </c>
      <c r="K911" s="283">
        <f>РПЗ!Z911</f>
        <v>376420</v>
      </c>
      <c r="L911" s="17">
        <v>42836</v>
      </c>
      <c r="M911" s="18">
        <f>РПЗ!O911</f>
        <v>42826</v>
      </c>
      <c r="N911" s="238">
        <f>Таблица5[[#This Row],[10]]</f>
        <v>42826</v>
      </c>
      <c r="O911" s="17"/>
      <c r="P911" s="17"/>
      <c r="Q911" s="17"/>
      <c r="R911" s="17"/>
      <c r="S911" s="17"/>
      <c r="T911" s="686">
        <v>42839</v>
      </c>
      <c r="U911" s="18">
        <f>РПЗ!P911</f>
        <v>43070</v>
      </c>
      <c r="V911" s="761">
        <v>42856</v>
      </c>
      <c r="W911" s="236">
        <f>РПЗ!L911</f>
        <v>376420</v>
      </c>
      <c r="X911" s="689">
        <v>1</v>
      </c>
      <c r="Y911" s="689">
        <v>0</v>
      </c>
      <c r="Z911" s="691">
        <v>5044066978</v>
      </c>
      <c r="AA911" s="691" t="s">
        <v>3325</v>
      </c>
      <c r="AB911" s="111">
        <v>376420</v>
      </c>
      <c r="AC911" s="17">
        <v>42856</v>
      </c>
      <c r="AD911" s="690" t="s">
        <v>3326</v>
      </c>
      <c r="AE911" s="686">
        <v>42839</v>
      </c>
      <c r="AF911" s="474"/>
      <c r="AG911" s="691">
        <v>376420</v>
      </c>
      <c r="AH911" s="236">
        <f>IF(Таблица5[[#This Row],[30]]=0,"НД",Таблица5[[#This Row],[20]]-Таблица5[[#This Row],[30]])</f>
        <v>0</v>
      </c>
      <c r="AI911" s="511">
        <f>IF(((1-Таблица5[[#This Row],[30]]/Таблица5[[#This Row],[20]])=1),"НД",(1-Таблица5[[#This Row],[30]]/Таблица5[[#This Row],[20]]))</f>
        <v>0</v>
      </c>
      <c r="AJ911" s="111"/>
      <c r="AK911" s="111"/>
      <c r="AL911" s="512"/>
      <c r="AM911" s="513" t="s">
        <v>113</v>
      </c>
      <c r="AN911" s="801">
        <v>31705005162</v>
      </c>
      <c r="AO911" s="468" t="str">
        <f>РПЗ!AD911</f>
        <v>Нет</v>
      </c>
      <c r="AP911" s="472">
        <f>РПЗ!V911</f>
        <v>0</v>
      </c>
      <c r="AQ911" s="470">
        <f>IF(Таблица5[[#This Row],[11]]=0,,MONTH(Таблица5[[#This Row],[11]]))</f>
        <v>4</v>
      </c>
    </row>
    <row r="912" spans="1:43" ht="51.75" thickBot="1" x14ac:dyDescent="0.3">
      <c r="A912" s="233" t="str">
        <f t="shared" si="14"/>
        <v>1004-2017-00897</v>
      </c>
      <c r="B912" s="233" t="str">
        <f>РПЗ!$D912</f>
        <v>1004-2017-00897Ремонт Fluke-9500B с/н 197464495. Стандартная калибровка Fluke-9510 с/н 240066784</v>
      </c>
      <c r="C912" s="233" t="str">
        <f>РПЗ!$AA912</f>
        <v>АО "НИИ "Полюс" им. М.Ф. Стельмаха" тел. отдела закупок 8-495-333-05-02</v>
      </c>
      <c r="D912" s="633" t="str">
        <f>РПЗ!$AB912</f>
        <v>Заказчик</v>
      </c>
      <c r="E912" s="510" t="s">
        <v>62</v>
      </c>
      <c r="F912" s="233" t="str">
        <f>РПЗ!Q912</f>
        <v>ЕП</v>
      </c>
      <c r="G912" s="237" t="str">
        <f>Таблица5[[#This Row],[6]]</f>
        <v>ЕП</v>
      </c>
      <c r="H912" s="237" t="str">
        <f>РПЗ!R912</f>
        <v>нет</v>
      </c>
      <c r="I912" s="15" t="str">
        <f>РПЗ!W912</f>
        <v>6.6.2(38)</v>
      </c>
      <c r="J912" s="233" t="str">
        <f>РПЗ!X912</f>
        <v>7714829526</v>
      </c>
      <c r="K912" s="283">
        <f>РПЗ!Z912</f>
        <v>255175</v>
      </c>
      <c r="L912" s="17">
        <v>42853</v>
      </c>
      <c r="M912" s="18">
        <f>РПЗ!O912</f>
        <v>42826</v>
      </c>
      <c r="N912" s="238">
        <f>Таблица5[[#This Row],[10]]</f>
        <v>42826</v>
      </c>
      <c r="O912" s="17"/>
      <c r="P912" s="17"/>
      <c r="Q912" s="17"/>
      <c r="R912" s="17"/>
      <c r="S912" s="17"/>
      <c r="T912" s="686">
        <v>42874</v>
      </c>
      <c r="U912" s="18">
        <f>РПЗ!P912</f>
        <v>42917</v>
      </c>
      <c r="V912" s="686">
        <v>42948</v>
      </c>
      <c r="W912" s="236">
        <f>РПЗ!L912</f>
        <v>255175</v>
      </c>
      <c r="X912" s="689">
        <v>1</v>
      </c>
      <c r="Y912" s="689">
        <v>0</v>
      </c>
      <c r="Z912" s="691">
        <v>7714829526</v>
      </c>
      <c r="AA912" s="691" t="s">
        <v>5127</v>
      </c>
      <c r="AB912" s="111">
        <v>255175</v>
      </c>
      <c r="AC912" s="17">
        <v>42948</v>
      </c>
      <c r="AD912" s="690" t="s">
        <v>5128</v>
      </c>
      <c r="AE912" s="686">
        <v>42874</v>
      </c>
      <c r="AF912" s="474"/>
      <c r="AG912" s="692">
        <v>255175</v>
      </c>
      <c r="AH912" s="236">
        <f>IF(Таблица5[[#This Row],[30]]=0,"НД",Таблица5[[#This Row],[20]]-Таблица5[[#This Row],[30]])</f>
        <v>0</v>
      </c>
      <c r="AI912" s="511">
        <f>IF(((1-Таблица5[[#This Row],[30]]/Таблица5[[#This Row],[20]])=1),"НД",(1-Таблица5[[#This Row],[30]]/Таблица5[[#This Row],[20]]))</f>
        <v>0</v>
      </c>
      <c r="AJ912" s="111"/>
      <c r="AK912" s="111"/>
      <c r="AL912" s="512"/>
      <c r="AM912" s="513" t="s">
        <v>113</v>
      </c>
      <c r="AN912" s="801">
        <v>31705105142</v>
      </c>
      <c r="AO912" s="468" t="str">
        <f>РПЗ!AD912</f>
        <v>Нет</v>
      </c>
      <c r="AP912" s="472">
        <f>РПЗ!V912</f>
        <v>0</v>
      </c>
      <c r="AQ912" s="470">
        <f>IF(Таблица5[[#This Row],[11]]=0,,MONTH(Таблица5[[#This Row],[11]]))</f>
        <v>4</v>
      </c>
    </row>
    <row r="913" spans="1:43" ht="39" thickBot="1" x14ac:dyDescent="0.3">
      <c r="A913" s="233" t="str">
        <f t="shared" si="14"/>
        <v>1004-2017-00898</v>
      </c>
      <c r="B913" s="233" t="str">
        <f>РПЗ!$D913</f>
        <v>1004-2017-00898Поставка заготовок теплоперехода / РМФК.757531.001 ГЧ</v>
      </c>
      <c r="C913" s="233" t="str">
        <f>РПЗ!$AA913</f>
        <v>АО "НИИ "Полюс" им. М.Ф. Стельмаха" тел. отдела закупок 8-495-333-05-02</v>
      </c>
      <c r="D913" s="633" t="str">
        <f>РПЗ!$AB913</f>
        <v>Заказчик</v>
      </c>
      <c r="E913" s="96" t="s">
        <v>46</v>
      </c>
      <c r="F913" s="233" t="str">
        <f>РПЗ!Q913</f>
        <v>ЕП</v>
      </c>
      <c r="G913" s="237"/>
      <c r="H913" s="237" t="str">
        <f>РПЗ!R913</f>
        <v>нет</v>
      </c>
      <c r="I913" s="15">
        <f>РПЗ!W913</f>
        <v>0</v>
      </c>
      <c r="J913" s="233">
        <f>РПЗ!X913</f>
        <v>0</v>
      </c>
      <c r="K913" s="283">
        <f>РПЗ!Z913</f>
        <v>0</v>
      </c>
      <c r="L913" s="17"/>
      <c r="M913" s="18">
        <f>РПЗ!O913</f>
        <v>42826</v>
      </c>
      <c r="N913" s="238">
        <f>Таблица5[[#This Row],[10]]</f>
        <v>42826</v>
      </c>
      <c r="O913" s="17"/>
      <c r="P913" s="17"/>
      <c r="Q913" s="17"/>
      <c r="R913" s="17"/>
      <c r="S913" s="17"/>
      <c r="T913" s="686"/>
      <c r="U913" s="18">
        <f>РПЗ!P913</f>
        <v>42979</v>
      </c>
      <c r="V913" s="686"/>
      <c r="W913" s="236">
        <f>РПЗ!L913</f>
        <v>713580.22</v>
      </c>
      <c r="X913" s="689"/>
      <c r="Y913" s="689"/>
      <c r="Z913" s="690"/>
      <c r="AA913" s="691"/>
      <c r="AB913" s="111"/>
      <c r="AC913" s="17"/>
      <c r="AD913" s="690"/>
      <c r="AE913" s="686"/>
      <c r="AF913" s="474"/>
      <c r="AG913" s="692"/>
      <c r="AH913" s="236" t="str">
        <f>IF(Таблица5[[#This Row],[30]]=0,"НД",Таблица5[[#This Row],[20]]-Таблица5[[#This Row],[30]])</f>
        <v>НД</v>
      </c>
      <c r="AI913" s="511" t="str">
        <f>IF(((1-Таблица5[[#This Row],[30]]/Таблица5[[#This Row],[20]])=1),"НД",(1-Таблица5[[#This Row],[30]]/Таблица5[[#This Row],[20]]))</f>
        <v>НД</v>
      </c>
      <c r="AJ913" s="111"/>
      <c r="AK913" s="111"/>
      <c r="AL913" s="512"/>
      <c r="AM913" s="513"/>
      <c r="AN913" s="465"/>
      <c r="AO913" s="468" t="str">
        <f>РПЗ!AD913</f>
        <v>Нет</v>
      </c>
      <c r="AP913" s="472">
        <f>РПЗ!V913</f>
        <v>0</v>
      </c>
      <c r="AQ913" s="470">
        <f>IF(Таблица5[[#This Row],[11]]=0,,MONTH(Таблица5[[#This Row],[11]]))</f>
        <v>4</v>
      </c>
    </row>
    <row r="914" spans="1:43" ht="38.25" x14ac:dyDescent="0.25">
      <c r="A914" s="233" t="str">
        <f t="shared" si="14"/>
        <v>1004-2017-00899</v>
      </c>
      <c r="B914" s="233" t="str">
        <f>РПЗ!$D914</f>
        <v>1004-2017-00899Поставка  и приобретение фотошаблонов: Ф/ш Э51-ТВ126</v>
      </c>
      <c r="C914" s="233" t="str">
        <f>РПЗ!$AA914</f>
        <v>АО "НИИ "Полюс" им. М.Ф. Стельмаха" тел. отдела закупок 8-495-333-05-02</v>
      </c>
      <c r="D914" s="633" t="str">
        <f>РПЗ!$AB914</f>
        <v>Заказчик</v>
      </c>
      <c r="E914" s="96" t="s">
        <v>46</v>
      </c>
      <c r="F914" s="233" t="str">
        <f>РПЗ!Q914</f>
        <v>ЕП</v>
      </c>
      <c r="G914" s="237"/>
      <c r="H914" s="237" t="str">
        <f>РПЗ!R914</f>
        <v>нет</v>
      </c>
      <c r="I914" s="15">
        <f>РПЗ!W914</f>
        <v>0</v>
      </c>
      <c r="J914" s="233">
        <f>РПЗ!X914</f>
        <v>0</v>
      </c>
      <c r="K914" s="283">
        <f>РПЗ!Z914</f>
        <v>0</v>
      </c>
      <c r="L914" s="17"/>
      <c r="M914" s="18">
        <f>РПЗ!O914</f>
        <v>42826</v>
      </c>
      <c r="N914" s="238">
        <f>Таблица5[[#This Row],[10]]</f>
        <v>42826</v>
      </c>
      <c r="O914" s="17"/>
      <c r="P914" s="17"/>
      <c r="Q914" s="17"/>
      <c r="R914" s="17"/>
      <c r="S914" s="17"/>
      <c r="T914" s="686"/>
      <c r="U914" s="18">
        <f>РПЗ!P914</f>
        <v>42979</v>
      </c>
      <c r="V914" s="686"/>
      <c r="W914" s="236">
        <f>РПЗ!L914</f>
        <v>233375.68</v>
      </c>
      <c r="X914" s="689"/>
      <c r="Y914" s="689"/>
      <c r="Z914" s="690"/>
      <c r="AA914" s="691"/>
      <c r="AB914" s="111"/>
      <c r="AC914" s="17"/>
      <c r="AD914" s="690"/>
      <c r="AE914" s="686"/>
      <c r="AF914" s="474"/>
      <c r="AG914" s="692"/>
      <c r="AH914" s="236" t="str">
        <f>IF(Таблица5[[#This Row],[30]]=0,"НД",Таблица5[[#This Row],[20]]-Таблица5[[#This Row],[30]])</f>
        <v>НД</v>
      </c>
      <c r="AI914" s="511" t="str">
        <f>IF(((1-Таблица5[[#This Row],[30]]/Таблица5[[#This Row],[20]])=1),"НД",(1-Таблица5[[#This Row],[30]]/Таблица5[[#This Row],[20]]))</f>
        <v>НД</v>
      </c>
      <c r="AJ914" s="111"/>
      <c r="AK914" s="111"/>
      <c r="AL914" s="512"/>
      <c r="AM914" s="513"/>
      <c r="AN914" s="465"/>
      <c r="AO914" s="468" t="str">
        <f>РПЗ!AD914</f>
        <v>Нет</v>
      </c>
      <c r="AP914" s="472">
        <f>РПЗ!V914</f>
        <v>0</v>
      </c>
      <c r="AQ914" s="470">
        <f>IF(Таблица5[[#This Row],[11]]=0,,MONTH(Таблица5[[#This Row],[11]]))</f>
        <v>4</v>
      </c>
    </row>
    <row r="915" spans="1:43" ht="38.25" x14ac:dyDescent="0.25">
      <c r="A915" s="233" t="str">
        <f t="shared" si="14"/>
        <v>1004-2017-00900</v>
      </c>
      <c r="B915" s="233" t="str">
        <f>РПЗ!$D915</f>
        <v>1004-2017-00900Поставка Оптические заготовки КВ</v>
      </c>
      <c r="C915" s="233" t="str">
        <f>РПЗ!$AA915</f>
        <v>АО "НИИ "Полюс" им. М.Ф. Стельмаха" тел. отдела закупок 8-495-333-05-02</v>
      </c>
      <c r="D915" s="633" t="str">
        <f>РПЗ!$AB915</f>
        <v>Заказчик</v>
      </c>
      <c r="E915" s="510" t="s">
        <v>62</v>
      </c>
      <c r="F915" s="233" t="str">
        <f>РПЗ!Q915</f>
        <v>ОЗК</v>
      </c>
      <c r="G915" s="237" t="str">
        <f>Таблица5[[#This Row],[6]]</f>
        <v>ОЗК</v>
      </c>
      <c r="H915" s="237" t="str">
        <f>РПЗ!R915</f>
        <v>да</v>
      </c>
      <c r="I915" s="15" t="str">
        <f>РПЗ!W915</f>
        <v>6.6.2(9)</v>
      </c>
      <c r="J915" s="233" t="str">
        <f>РПЗ!X915</f>
        <v>3304016777</v>
      </c>
      <c r="K915" s="283">
        <f>РПЗ!Z915</f>
        <v>217710</v>
      </c>
      <c r="L915" s="17">
        <v>42844</v>
      </c>
      <c r="M915" s="18">
        <f>РПЗ!O915</f>
        <v>42826</v>
      </c>
      <c r="N915" s="238">
        <f>Таблица5[[#This Row],[10]]</f>
        <v>42826</v>
      </c>
      <c r="O915" s="17"/>
      <c r="P915" s="17"/>
      <c r="Q915" s="17"/>
      <c r="R915" s="17"/>
      <c r="S915" s="17"/>
      <c r="T915" s="686">
        <v>42857</v>
      </c>
      <c r="U915" s="18">
        <f>РПЗ!P915</f>
        <v>43070</v>
      </c>
      <c r="V915" s="686">
        <v>43070</v>
      </c>
      <c r="W915" s="236">
        <f>РПЗ!L915</f>
        <v>217710</v>
      </c>
      <c r="X915" s="689">
        <v>1</v>
      </c>
      <c r="Y915" s="689">
        <v>0</v>
      </c>
      <c r="Z915" s="691">
        <v>3304016777</v>
      </c>
      <c r="AA915" s="691" t="s">
        <v>6069</v>
      </c>
      <c r="AB915" s="111">
        <v>217710</v>
      </c>
      <c r="AC915" s="17">
        <v>43070</v>
      </c>
      <c r="AD915" s="690" t="s">
        <v>6070</v>
      </c>
      <c r="AE915" s="686">
        <v>42857</v>
      </c>
      <c r="AF915" s="474"/>
      <c r="AG915" s="692">
        <v>217710</v>
      </c>
      <c r="AH915" s="236">
        <f>IF(Таблица5[[#This Row],[30]]=0,"НД",Таблица5[[#This Row],[20]]-Таблица5[[#This Row],[30]])</f>
        <v>0</v>
      </c>
      <c r="AI915" s="511">
        <f>IF(((1-Таблица5[[#This Row],[30]]/Таблица5[[#This Row],[20]])=1),"НД",(1-Таблица5[[#This Row],[30]]/Таблица5[[#This Row],[20]]))</f>
        <v>0</v>
      </c>
      <c r="AJ915" s="111"/>
      <c r="AK915" s="111"/>
      <c r="AL915" s="512"/>
      <c r="AM915" s="513" t="s">
        <v>113</v>
      </c>
      <c r="AN915" s="801">
        <v>31705075148</v>
      </c>
      <c r="AO915" s="468" t="str">
        <f>РПЗ!AD915</f>
        <v>Нет</v>
      </c>
      <c r="AP915" s="472" t="str">
        <f>РПЗ!V915</f>
        <v>ГОЗ</v>
      </c>
      <c r="AQ915" s="470">
        <f>IF(Таблица5[[#This Row],[11]]=0,,MONTH(Таблица5[[#This Row],[11]]))</f>
        <v>4</v>
      </c>
    </row>
    <row r="916" spans="1:43" ht="63.75" x14ac:dyDescent="0.25">
      <c r="A916" s="233" t="str">
        <f t="shared" si="14"/>
        <v>1004-2017-00901</v>
      </c>
      <c r="B916" s="233" t="str">
        <f>РПЗ!$D916</f>
        <v>1004-2017-00901Услуги по организации участия в выставках: "laser world of PHOTONICS", "Иннопром", "Макс-2017", "Russia Arms Expo 2017"</v>
      </c>
      <c r="C916" s="233" t="str">
        <f>РПЗ!$AA916</f>
        <v>АО "НИИ "Полюс" им. М.Ф. Стельмаха" тел. отдела закупок 8-495-333-05-02</v>
      </c>
      <c r="D916" s="633" t="str">
        <f>РПЗ!$AB916</f>
        <v>Заказчик</v>
      </c>
      <c r="E916" s="510" t="s">
        <v>62</v>
      </c>
      <c r="F916" s="233" t="str">
        <f>РПЗ!Q916</f>
        <v>ОЗК</v>
      </c>
      <c r="G916" s="237" t="str">
        <f>Таблица5[[#This Row],[6]]</f>
        <v>ОЗК</v>
      </c>
      <c r="H916" s="237" t="str">
        <f>РПЗ!R916</f>
        <v>да</v>
      </c>
      <c r="I916" s="15">
        <f>РПЗ!W916</f>
        <v>0</v>
      </c>
      <c r="J916" s="233">
        <f>РПЗ!X916</f>
        <v>0</v>
      </c>
      <c r="K916" s="283">
        <f>РПЗ!Z916</f>
        <v>0</v>
      </c>
      <c r="L916" s="17">
        <v>42846</v>
      </c>
      <c r="M916" s="18">
        <f>РПЗ!O916</f>
        <v>42826</v>
      </c>
      <c r="N916" s="238">
        <f>Таблица5[[#This Row],[10]]</f>
        <v>42826</v>
      </c>
      <c r="O916" s="17">
        <v>42852</v>
      </c>
      <c r="P916" s="17">
        <v>42860</v>
      </c>
      <c r="Q916" s="17">
        <v>42860</v>
      </c>
      <c r="R916" s="17">
        <v>42852</v>
      </c>
      <c r="S916" s="17">
        <v>42852</v>
      </c>
      <c r="T916" s="686">
        <v>42865</v>
      </c>
      <c r="U916" s="18">
        <f>РПЗ!P916</f>
        <v>43009</v>
      </c>
      <c r="V916" s="686">
        <v>42979</v>
      </c>
      <c r="W916" s="236">
        <f>РПЗ!L916</f>
        <v>2072000</v>
      </c>
      <c r="X916" s="689">
        <v>1</v>
      </c>
      <c r="Y916" s="689">
        <v>0</v>
      </c>
      <c r="Z916" s="691">
        <v>6685045836</v>
      </c>
      <c r="AA916" s="691" t="s">
        <v>6105</v>
      </c>
      <c r="AB916" s="111">
        <v>2036285</v>
      </c>
      <c r="AC916" s="17">
        <v>42979</v>
      </c>
      <c r="AD916" s="690" t="s">
        <v>6106</v>
      </c>
      <c r="AE916" s="686">
        <v>42865</v>
      </c>
      <c r="AF916" s="474"/>
      <c r="AG916" s="692">
        <v>2036285</v>
      </c>
      <c r="AH916" s="236">
        <f>IF(Таблица5[[#This Row],[30]]=0,"НД",Таблица5[[#This Row],[20]]-Таблица5[[#This Row],[30]])</f>
        <v>35715</v>
      </c>
      <c r="AI916" s="511">
        <f>IF(((1-Таблица5[[#This Row],[30]]/Таблица5[[#This Row],[20]])=1),"НД",(1-Таблица5[[#This Row],[30]]/Таблица5[[#This Row],[20]]))</f>
        <v>1.7236969111969147E-2</v>
      </c>
      <c r="AJ916" s="111">
        <v>2036285</v>
      </c>
      <c r="AK916" s="111"/>
      <c r="AL916" s="512"/>
      <c r="AM916" s="513" t="s">
        <v>113</v>
      </c>
      <c r="AN916" s="801">
        <v>31705039651</v>
      </c>
      <c r="AO916" s="468" t="str">
        <f>РПЗ!AD916</f>
        <v>Нет</v>
      </c>
      <c r="AP916" s="472">
        <f>РПЗ!V916</f>
        <v>0</v>
      </c>
      <c r="AQ916" s="470">
        <f>IF(Таблица5[[#This Row],[11]]=0,,MONTH(Таблица5[[#This Row],[11]]))</f>
        <v>4</v>
      </c>
    </row>
    <row r="917" spans="1:43" ht="38.25" x14ac:dyDescent="0.25">
      <c r="A917" s="233" t="str">
        <f t="shared" si="14"/>
        <v>1004-2017-00902</v>
      </c>
      <c r="B917" s="233" t="str">
        <f>РПЗ!$D917</f>
        <v>1004-2017-00902Поставка Металлические сплавы</v>
      </c>
      <c r="C917" s="233" t="str">
        <f>РПЗ!$AA917</f>
        <v>АО "НИИ "Полюс" им. М.Ф. Стельмаха" тел. отдела закупок 8-495-333-05-02</v>
      </c>
      <c r="D917" s="633" t="str">
        <f>РПЗ!$AB917</f>
        <v>Заказчик</v>
      </c>
      <c r="E917" s="510" t="s">
        <v>62</v>
      </c>
      <c r="F917" s="233" t="str">
        <f>РПЗ!Q917</f>
        <v>ОЗК</v>
      </c>
      <c r="G917" s="237" t="str">
        <f>Таблица5[[#This Row],[6]]</f>
        <v>ОЗК</v>
      </c>
      <c r="H917" s="237" t="str">
        <f>РПЗ!R917</f>
        <v>да</v>
      </c>
      <c r="I917" s="15">
        <f>РПЗ!W917</f>
        <v>0</v>
      </c>
      <c r="J917" s="233">
        <f>РПЗ!X917</f>
        <v>0</v>
      </c>
      <c r="K917" s="283">
        <f>РПЗ!Z917</f>
        <v>0</v>
      </c>
      <c r="L917" s="17">
        <v>42880</v>
      </c>
      <c r="M917" s="18">
        <f>РПЗ!O917</f>
        <v>42856</v>
      </c>
      <c r="N917" s="238">
        <f>Таблица5[[#This Row],[10]]</f>
        <v>42856</v>
      </c>
      <c r="O917" s="17">
        <v>42886</v>
      </c>
      <c r="P917" s="17">
        <v>42892</v>
      </c>
      <c r="Q917" s="17">
        <v>42892</v>
      </c>
      <c r="R917" s="17">
        <v>42888</v>
      </c>
      <c r="S917" s="17">
        <v>42888</v>
      </c>
      <c r="T917" s="686">
        <v>42899</v>
      </c>
      <c r="U917" s="18">
        <f>РПЗ!P917</f>
        <v>42856</v>
      </c>
      <c r="V917" s="686">
        <v>42979</v>
      </c>
      <c r="W917" s="236">
        <f>РПЗ!L917</f>
        <v>381679.25</v>
      </c>
      <c r="X917" s="689">
        <v>4</v>
      </c>
      <c r="Y917" s="689">
        <v>0</v>
      </c>
      <c r="Z917" s="691">
        <v>9718007640</v>
      </c>
      <c r="AA917" s="691" t="s">
        <v>3338</v>
      </c>
      <c r="AB917" s="111">
        <v>307967</v>
      </c>
      <c r="AC917" s="17">
        <v>42979</v>
      </c>
      <c r="AD917" s="690" t="s">
        <v>6102</v>
      </c>
      <c r="AE917" s="686">
        <v>42899</v>
      </c>
      <c r="AF917" s="474"/>
      <c r="AG917" s="692">
        <v>307967</v>
      </c>
      <c r="AH917" s="236">
        <f>IF(Таблица5[[#This Row],[30]]=0,"НД",Таблица5[[#This Row],[20]]-Таблица5[[#This Row],[30]])</f>
        <v>73712.25</v>
      </c>
      <c r="AI917" s="511">
        <f>IF(((1-Таблица5[[#This Row],[30]]/Таблица5[[#This Row],[20]])=1),"НД",(1-Таблица5[[#This Row],[30]]/Таблица5[[#This Row],[20]]))</f>
        <v>0.19312616549105044</v>
      </c>
      <c r="AJ917" s="111">
        <v>307967</v>
      </c>
      <c r="AK917" s="111"/>
      <c r="AL917" s="512"/>
      <c r="AM917" s="513" t="s">
        <v>113</v>
      </c>
      <c r="AN917" s="801">
        <v>31705148943</v>
      </c>
      <c r="AO917" s="468" t="str">
        <f>РПЗ!AD917</f>
        <v>Нет</v>
      </c>
      <c r="AP917" s="472">
        <f>РПЗ!V917</f>
        <v>0</v>
      </c>
      <c r="AQ917" s="470">
        <f>IF(Таблица5[[#This Row],[11]]=0,,MONTH(Таблица5[[#This Row],[11]]))</f>
        <v>5</v>
      </c>
    </row>
    <row r="918" spans="1:43" ht="38.25" x14ac:dyDescent="0.25">
      <c r="A918" s="233" t="str">
        <f t="shared" si="14"/>
        <v>1004-2017-00903</v>
      </c>
      <c r="B918" s="233" t="str">
        <f>РПЗ!$D918</f>
        <v>1004-2017-00903Поставка Титановые сплавы</v>
      </c>
      <c r="C918" s="233" t="str">
        <f>РПЗ!$AA918</f>
        <v>АО "НИИ "Полюс" им. М.Ф. Стельмаха" тел. отдела закупок 8-495-333-05-02</v>
      </c>
      <c r="D918" s="633" t="str">
        <f>РПЗ!$AB918</f>
        <v>Заказчик</v>
      </c>
      <c r="E918" s="510" t="s">
        <v>62</v>
      </c>
      <c r="F918" s="233" t="str">
        <f>РПЗ!Q918</f>
        <v>ОЗК</v>
      </c>
      <c r="G918" s="237" t="str">
        <f>Таблица5[[#This Row],[6]]</f>
        <v>ОЗК</v>
      </c>
      <c r="H918" s="237" t="str">
        <f>РПЗ!R918</f>
        <v>да</v>
      </c>
      <c r="I918" s="15">
        <f>РПЗ!W918</f>
        <v>0</v>
      </c>
      <c r="J918" s="233">
        <f>РПЗ!X918</f>
        <v>0</v>
      </c>
      <c r="K918" s="283">
        <f>РПЗ!Z918</f>
        <v>0</v>
      </c>
      <c r="L918" s="17">
        <v>42880</v>
      </c>
      <c r="M918" s="18">
        <f>РПЗ!O918</f>
        <v>42826</v>
      </c>
      <c r="N918" s="238">
        <f>Таблица5[[#This Row],[10]]</f>
        <v>42826</v>
      </c>
      <c r="O918" s="17">
        <v>42886</v>
      </c>
      <c r="P918" s="17">
        <v>42892</v>
      </c>
      <c r="Q918" s="17">
        <v>42892</v>
      </c>
      <c r="R918" s="17">
        <v>42888</v>
      </c>
      <c r="S918" s="17">
        <v>42888</v>
      </c>
      <c r="T918" s="686">
        <v>42899</v>
      </c>
      <c r="U918" s="18">
        <f>РПЗ!P918</f>
        <v>42856</v>
      </c>
      <c r="V918" s="686">
        <v>42887</v>
      </c>
      <c r="W918" s="236">
        <f>РПЗ!L918</f>
        <v>2089393.33</v>
      </c>
      <c r="X918" s="689">
        <v>2</v>
      </c>
      <c r="Y918" s="689">
        <v>0</v>
      </c>
      <c r="Z918" s="691">
        <v>7723866669</v>
      </c>
      <c r="AA918" s="691" t="s">
        <v>5990</v>
      </c>
      <c r="AB918" s="111">
        <v>1993133.28</v>
      </c>
      <c r="AC918" s="17">
        <v>42887</v>
      </c>
      <c r="AD918" s="690" t="s">
        <v>6096</v>
      </c>
      <c r="AE918" s="686">
        <v>42899</v>
      </c>
      <c r="AF918" s="474"/>
      <c r="AG918" s="692">
        <v>1993133.28</v>
      </c>
      <c r="AH918" s="236">
        <f>IF(Таблица5[[#This Row],[30]]=0,"НД",Таблица5[[#This Row],[20]]-Таблица5[[#This Row],[30]])</f>
        <v>96260.050000000047</v>
      </c>
      <c r="AI918" s="511">
        <f>IF(((1-Таблица5[[#This Row],[30]]/Таблица5[[#This Row],[20]])=1),"НД",(1-Таблица5[[#This Row],[30]]/Таблица5[[#This Row],[20]]))</f>
        <v>4.6070813292009571E-2</v>
      </c>
      <c r="AJ918" s="111">
        <v>1993133.28</v>
      </c>
      <c r="AK918" s="111"/>
      <c r="AL918" s="512"/>
      <c r="AM918" s="513" t="s">
        <v>113</v>
      </c>
      <c r="AN918" s="801">
        <v>31705148942</v>
      </c>
      <c r="AO918" s="468" t="str">
        <f>РПЗ!AD918</f>
        <v>Нет</v>
      </c>
      <c r="AP918" s="472">
        <f>РПЗ!V918</f>
        <v>0</v>
      </c>
      <c r="AQ918" s="470">
        <f>IF(Таблица5[[#This Row],[11]]=0,,MONTH(Таблица5[[#This Row],[11]]))</f>
        <v>4</v>
      </c>
    </row>
    <row r="919" spans="1:43" ht="38.25" x14ac:dyDescent="0.25">
      <c r="A919" s="233" t="str">
        <f t="shared" si="14"/>
        <v>1004-2017-00904</v>
      </c>
      <c r="B919" s="233" t="str">
        <f>РПЗ!$D919</f>
        <v>1004-2017-00904 Поставка Круг 80 мм Д16Т дюралевый</v>
      </c>
      <c r="C919" s="233" t="str">
        <f>РПЗ!$AA919</f>
        <v>АО "НИИ "Полюс" им. М.Ф. Стельмаха" тел. отдела закупок 8-495-333-05-02</v>
      </c>
      <c r="D919" s="633" t="str">
        <f>РПЗ!$AB919</f>
        <v>Заказчик</v>
      </c>
      <c r="E919" s="510" t="s">
        <v>62</v>
      </c>
      <c r="F919" s="233" t="str">
        <f>РПЗ!Q919</f>
        <v>ОЗК</v>
      </c>
      <c r="G919" s="237" t="str">
        <f>Таблица5[[#This Row],[6]]</f>
        <v>ОЗК</v>
      </c>
      <c r="H919" s="237" t="str">
        <f>РПЗ!R919</f>
        <v>да</v>
      </c>
      <c r="I919" s="15">
        <f>РПЗ!W919</f>
        <v>0</v>
      </c>
      <c r="J919" s="233">
        <f>РПЗ!X919</f>
        <v>0</v>
      </c>
      <c r="K919" s="283">
        <f>РПЗ!Z919</f>
        <v>0</v>
      </c>
      <c r="L919" s="17">
        <v>42845</v>
      </c>
      <c r="M919" s="18">
        <f>РПЗ!O919</f>
        <v>42826</v>
      </c>
      <c r="N919" s="238">
        <f>Таблица5[[#This Row],[10]]</f>
        <v>42826</v>
      </c>
      <c r="O919" s="17">
        <v>42851</v>
      </c>
      <c r="P919" s="17">
        <v>42858</v>
      </c>
      <c r="Q919" s="17">
        <v>42858</v>
      </c>
      <c r="R919" s="17">
        <v>42852</v>
      </c>
      <c r="S919" s="17">
        <v>42852</v>
      </c>
      <c r="T919" s="686">
        <v>42865</v>
      </c>
      <c r="U919" s="18">
        <f>РПЗ!P919</f>
        <v>42856</v>
      </c>
      <c r="V919" s="686">
        <v>42979</v>
      </c>
      <c r="W919" s="236">
        <f>РПЗ!L919</f>
        <v>148792.67000000001</v>
      </c>
      <c r="X919" s="689">
        <v>10</v>
      </c>
      <c r="Y919" s="689">
        <v>0</v>
      </c>
      <c r="Z919" s="691">
        <v>7714292714</v>
      </c>
      <c r="AA919" s="691" t="s">
        <v>6103</v>
      </c>
      <c r="AB919" s="111">
        <v>66261.72</v>
      </c>
      <c r="AC919" s="17">
        <v>42979</v>
      </c>
      <c r="AD919" s="690" t="s">
        <v>6104</v>
      </c>
      <c r="AE919" s="686">
        <v>42865</v>
      </c>
      <c r="AF919" s="474"/>
      <c r="AG919" s="692">
        <v>66261.72</v>
      </c>
      <c r="AH919" s="236">
        <f>IF(Таблица5[[#This Row],[30]]=0,"НД",Таблица5[[#This Row],[20]]-Таблица5[[#This Row],[30]])</f>
        <v>82530.950000000012</v>
      </c>
      <c r="AI919" s="511">
        <f>IF(((1-Таблица5[[#This Row],[30]]/Таблица5[[#This Row],[20]])=1),"НД",(1-Таблица5[[#This Row],[30]]/Таблица5[[#This Row],[20]]))</f>
        <v>0.55467080468412866</v>
      </c>
      <c r="AJ919" s="111">
        <v>66261.72</v>
      </c>
      <c r="AK919" s="111"/>
      <c r="AL919" s="512"/>
      <c r="AM919" s="513" t="s">
        <v>113</v>
      </c>
      <c r="AN919" s="801">
        <v>31705034480</v>
      </c>
      <c r="AO919" s="468" t="str">
        <f>РПЗ!AD919</f>
        <v>Нет</v>
      </c>
      <c r="AP919" s="472">
        <f>РПЗ!V919</f>
        <v>0</v>
      </c>
      <c r="AQ919" s="470">
        <f>IF(Таблица5[[#This Row],[11]]=0,,MONTH(Таблица5[[#This Row],[11]]))</f>
        <v>4</v>
      </c>
    </row>
    <row r="920" spans="1:43" ht="38.25" x14ac:dyDescent="0.25">
      <c r="A920" s="233" t="str">
        <f t="shared" si="14"/>
        <v>1004-2017-00905</v>
      </c>
      <c r="B920" s="233" t="str">
        <f>РПЗ!$D920</f>
        <v>1004-2017-00905 Поставка Металлические сплавы</v>
      </c>
      <c r="C920" s="233" t="str">
        <f>РПЗ!$AA920</f>
        <v>АО "НИИ "Полюс" им. М.Ф. Стельмаха" тел. отдела закупок 8-495-333-05-02</v>
      </c>
      <c r="D920" s="633" t="str">
        <f>РПЗ!$AB920</f>
        <v>Заказчик</v>
      </c>
      <c r="E920" s="510" t="s">
        <v>62</v>
      </c>
      <c r="F920" s="233" t="str">
        <f>РПЗ!Q920</f>
        <v>ЕП</v>
      </c>
      <c r="G920" s="237" t="str">
        <f>Таблица5[[#This Row],[6]]</f>
        <v>ЕП</v>
      </c>
      <c r="H920" s="237" t="str">
        <f>РПЗ!R920</f>
        <v>нет</v>
      </c>
      <c r="I920" s="15" t="str">
        <f>РПЗ!W920</f>
        <v>6.6.2(9)</v>
      </c>
      <c r="J920" s="233" t="str">
        <f>РПЗ!X920</f>
        <v>5027206569</v>
      </c>
      <c r="K920" s="283">
        <f>РПЗ!Z920</f>
        <v>104868.06</v>
      </c>
      <c r="L920" s="17">
        <v>42849</v>
      </c>
      <c r="M920" s="18">
        <f>РПЗ!O920</f>
        <v>42826</v>
      </c>
      <c r="N920" s="238">
        <f>Таблица5[[#This Row],[10]]</f>
        <v>42826</v>
      </c>
      <c r="O920" s="17"/>
      <c r="P920" s="17"/>
      <c r="Q920" s="17"/>
      <c r="R920" s="17"/>
      <c r="S920" s="17"/>
      <c r="T920" s="686">
        <v>42857</v>
      </c>
      <c r="U920" s="18">
        <f>РПЗ!P920</f>
        <v>42856</v>
      </c>
      <c r="V920" s="686">
        <v>42856</v>
      </c>
      <c r="W920" s="236">
        <f>РПЗ!L920</f>
        <v>104868.06</v>
      </c>
      <c r="X920" s="689">
        <v>1</v>
      </c>
      <c r="Y920" s="689">
        <v>0</v>
      </c>
      <c r="Z920" s="691">
        <v>5027206569</v>
      </c>
      <c r="AA920" s="691" t="s">
        <v>6024</v>
      </c>
      <c r="AB920" s="111">
        <v>104868.06</v>
      </c>
      <c r="AC920" s="17">
        <v>42856</v>
      </c>
      <c r="AD920" s="690" t="s">
        <v>6025</v>
      </c>
      <c r="AE920" s="686">
        <v>42857</v>
      </c>
      <c r="AF920" s="474"/>
      <c r="AG920" s="692">
        <v>104868.06</v>
      </c>
      <c r="AH920" s="236">
        <f>IF(Таблица5[[#This Row],[30]]=0,"НД",Таблица5[[#This Row],[20]]-Таблица5[[#This Row],[30]])</f>
        <v>0</v>
      </c>
      <c r="AI920" s="511">
        <f>IF(((1-Таблица5[[#This Row],[30]]/Таблица5[[#This Row],[20]])=1),"НД",(1-Таблица5[[#This Row],[30]]/Таблица5[[#This Row],[20]]))</f>
        <v>0</v>
      </c>
      <c r="AJ920" s="111">
        <v>104868.06</v>
      </c>
      <c r="AK920" s="111"/>
      <c r="AL920" s="512"/>
      <c r="AM920" s="513" t="s">
        <v>113</v>
      </c>
      <c r="AN920" s="801">
        <v>31705056933</v>
      </c>
      <c r="AO920" s="468" t="str">
        <f>РПЗ!AD920</f>
        <v>Нет</v>
      </c>
      <c r="AP920" s="472" t="str">
        <f>РПЗ!V920</f>
        <v>ГОЗ</v>
      </c>
      <c r="AQ920" s="470">
        <f>IF(Таблица5[[#This Row],[11]]=0,,MONTH(Таблица5[[#This Row],[11]]))</f>
        <v>4</v>
      </c>
    </row>
    <row r="921" spans="1:43" ht="51" x14ac:dyDescent="0.25">
      <c r="A921" s="233" t="str">
        <f t="shared" si="14"/>
        <v>1004-2017-00906</v>
      </c>
      <c r="B921" s="233" t="str">
        <f>РПЗ!$D921</f>
        <v>1004-2017-00906 Поставка Кабель соединительный ОС-РС 28/1-1/0 ВВК-2,2+/-0,1</v>
      </c>
      <c r="C921" s="233" t="str">
        <f>РПЗ!$AA921</f>
        <v>АО "НИИ "Полюс" им. М.Ф. Стельмаха" тел. отдела закупок 8-495-333-05-02</v>
      </c>
      <c r="D921" s="870" t="str">
        <f>РПЗ!$AB921</f>
        <v>Заказчик</v>
      </c>
      <c r="E921" s="510" t="s">
        <v>62</v>
      </c>
      <c r="F921" s="233" t="str">
        <f>РПЗ!Q921</f>
        <v>ЕП</v>
      </c>
      <c r="G921" s="237" t="str">
        <f>Таблица5[[#This Row],[6]]</f>
        <v>ЕП</v>
      </c>
      <c r="H921" s="237" t="str">
        <f>РПЗ!R921</f>
        <v>нет</v>
      </c>
      <c r="I921" s="15" t="str">
        <f>РПЗ!W921</f>
        <v>6.6.2(11)</v>
      </c>
      <c r="J921" s="233" t="str">
        <f>РПЗ!X921</f>
        <v>7731163035</v>
      </c>
      <c r="K921" s="283">
        <f>РПЗ!Z921</f>
        <v>887429.79</v>
      </c>
      <c r="L921" s="17">
        <v>42838</v>
      </c>
      <c r="M921" s="18">
        <f>РПЗ!O921</f>
        <v>42826</v>
      </c>
      <c r="N921" s="238">
        <f>Таблица5[[#This Row],[10]]</f>
        <v>42826</v>
      </c>
      <c r="O921" s="17"/>
      <c r="P921" s="17"/>
      <c r="Q921" s="17"/>
      <c r="R921" s="17"/>
      <c r="S921" s="17"/>
      <c r="T921" s="686">
        <v>42866</v>
      </c>
      <c r="U921" s="18">
        <f>РПЗ!P921</f>
        <v>42826</v>
      </c>
      <c r="V921" s="686">
        <v>43070</v>
      </c>
      <c r="W921" s="236">
        <f>РПЗ!L921</f>
        <v>887429.79</v>
      </c>
      <c r="X921" s="689">
        <v>1</v>
      </c>
      <c r="Y921" s="689">
        <v>0</v>
      </c>
      <c r="Z921" s="691">
        <v>7731163035</v>
      </c>
      <c r="AA921" s="691" t="s">
        <v>5087</v>
      </c>
      <c r="AB921" s="111">
        <v>887429.79</v>
      </c>
      <c r="AC921" s="17">
        <v>43070</v>
      </c>
      <c r="AD921" s="690" t="s">
        <v>5088</v>
      </c>
      <c r="AE921" s="686">
        <v>42866</v>
      </c>
      <c r="AF921" s="474"/>
      <c r="AG921" s="692">
        <v>887429.79</v>
      </c>
      <c r="AH921" s="236">
        <f>IF(Таблица5[[#This Row],[30]]=0,"НД",Таблица5[[#This Row],[20]]-Таблица5[[#This Row],[30]])</f>
        <v>0</v>
      </c>
      <c r="AI921" s="511">
        <f>IF(((1-Таблица5[[#This Row],[30]]/Таблица5[[#This Row],[20]])=1),"НД",(1-Таблица5[[#This Row],[30]]/Таблица5[[#This Row],[20]]))</f>
        <v>0</v>
      </c>
      <c r="AJ921" s="111"/>
      <c r="AK921" s="111"/>
      <c r="AL921" s="512"/>
      <c r="AM921" s="513" t="s">
        <v>113</v>
      </c>
      <c r="AN921" s="801">
        <v>31705020487</v>
      </c>
      <c r="AO921" s="468" t="str">
        <f>РПЗ!AD921</f>
        <v>Нет</v>
      </c>
      <c r="AP921" s="472">
        <f>РПЗ!V921</f>
        <v>0</v>
      </c>
      <c r="AQ921" s="470">
        <f>IF(Таблица5[[#This Row],[11]]=0,,MONTH(Таблица5[[#This Row],[11]]))</f>
        <v>4</v>
      </c>
    </row>
    <row r="922" spans="1:43" ht="39" customHeight="1" x14ac:dyDescent="0.25">
      <c r="A922" s="233" t="str">
        <f t="shared" si="14"/>
        <v>1004-2017-00907</v>
      </c>
      <c r="B922" s="233" t="str">
        <f>РПЗ!$D922</f>
        <v>1004-2017-00907 Поставка Транзисторы 2Т3129А9, 2Т3130А9</v>
      </c>
      <c r="C922" s="233" t="str">
        <f>РПЗ!$AA922</f>
        <v>АО "НИИ "Полюс" им. М.Ф. Стельмаха" тел. отдела закупок 8-495-333-05-02</v>
      </c>
      <c r="D922" s="870" t="str">
        <f>РПЗ!$AB922</f>
        <v>Заказчик</v>
      </c>
      <c r="E922" s="510" t="s">
        <v>62</v>
      </c>
      <c r="F922" s="233" t="str">
        <f>РПЗ!Q922</f>
        <v>ЕП</v>
      </c>
      <c r="G922" s="237" t="str">
        <f>Таблица5[[#This Row],[6]]</f>
        <v>ЕП</v>
      </c>
      <c r="H922" s="237" t="str">
        <f>РПЗ!R922</f>
        <v>нет</v>
      </c>
      <c r="I922" s="15" t="str">
        <f>РПЗ!W922</f>
        <v>6.6.2(11)</v>
      </c>
      <c r="J922" s="233" t="str">
        <f>РПЗ!X922</f>
        <v>3301028439</v>
      </c>
      <c r="K922" s="283">
        <f>РПЗ!Z922</f>
        <v>230524.79999999999</v>
      </c>
      <c r="L922" s="17">
        <v>42844</v>
      </c>
      <c r="M922" s="18">
        <f>РПЗ!O922</f>
        <v>42856</v>
      </c>
      <c r="N922" s="238">
        <f>Таблица5[[#This Row],[10]]</f>
        <v>42856</v>
      </c>
      <c r="O922" s="17"/>
      <c r="P922" s="17"/>
      <c r="Q922" s="17"/>
      <c r="R922" s="17"/>
      <c r="S922" s="17"/>
      <c r="T922" s="686">
        <v>42871</v>
      </c>
      <c r="U922" s="18">
        <f>РПЗ!P922</f>
        <v>43070</v>
      </c>
      <c r="V922" s="686">
        <v>43070</v>
      </c>
      <c r="W922" s="236">
        <f>РПЗ!L922</f>
        <v>230524.79999999999</v>
      </c>
      <c r="X922" s="689">
        <v>1</v>
      </c>
      <c r="Y922" s="689">
        <v>0</v>
      </c>
      <c r="Z922" s="691">
        <v>3301028439</v>
      </c>
      <c r="AA922" s="691" t="s">
        <v>5079</v>
      </c>
      <c r="AB922" s="111">
        <v>230524.79999999999</v>
      </c>
      <c r="AC922" s="17">
        <v>43070</v>
      </c>
      <c r="AD922" s="690" t="s">
        <v>5082</v>
      </c>
      <c r="AE922" s="686">
        <v>42871</v>
      </c>
      <c r="AF922" s="474"/>
      <c r="AG922" s="692">
        <v>230524.79999999999</v>
      </c>
      <c r="AH922" s="236">
        <f>IF(Таблица5[[#This Row],[30]]=0,"НД",Таблица5[[#This Row],[20]]-Таблица5[[#This Row],[30]])</f>
        <v>0</v>
      </c>
      <c r="AI922" s="511">
        <f>IF(((1-Таблица5[[#This Row],[30]]/Таблица5[[#This Row],[20]])=1),"НД",(1-Таблица5[[#This Row],[30]]/Таблица5[[#This Row],[20]]))</f>
        <v>0</v>
      </c>
      <c r="AJ922" s="111"/>
      <c r="AK922" s="111"/>
      <c r="AL922" s="512"/>
      <c r="AM922" s="513" t="s">
        <v>113</v>
      </c>
      <c r="AN922" s="801">
        <v>31705037576</v>
      </c>
      <c r="AO922" s="468" t="str">
        <f>РПЗ!AD922</f>
        <v>Нет</v>
      </c>
      <c r="AP922" s="472">
        <f>РПЗ!V922</f>
        <v>0</v>
      </c>
      <c r="AQ922" s="470">
        <f>IF(Таблица5[[#This Row],[11]]=0,,MONTH(Таблица5[[#This Row],[11]]))</f>
        <v>5</v>
      </c>
    </row>
    <row r="923" spans="1:43" ht="53.25" customHeight="1" x14ac:dyDescent="0.25">
      <c r="A923" s="233" t="str">
        <f t="shared" si="14"/>
        <v>1004-2017-00908</v>
      </c>
      <c r="B923" s="233" t="str">
        <f>РПЗ!$D923</f>
        <v>1004-2017-00908 Поставка комплект электротехнических изделий</v>
      </c>
      <c r="C923" s="233" t="str">
        <f>РПЗ!$AA923</f>
        <v>АО "НИИ "Полюс" им. М.Ф. Стельмаха" тел. отдела закупок 8-495-333-05-02</v>
      </c>
      <c r="D923" s="870" t="str">
        <f>РПЗ!$AB923</f>
        <v>Заказчик</v>
      </c>
      <c r="E923" s="510" t="s">
        <v>62</v>
      </c>
      <c r="F923" s="233" t="str">
        <f>РПЗ!Q923</f>
        <v>ОЗК</v>
      </c>
      <c r="G923" s="237" t="str">
        <f>Таблица5[[#This Row],[6]]</f>
        <v>ОЗК</v>
      </c>
      <c r="H923" s="237" t="str">
        <f>РПЗ!R923</f>
        <v>да</v>
      </c>
      <c r="I923" s="15">
        <f>РПЗ!W923</f>
        <v>0</v>
      </c>
      <c r="J923" s="233">
        <f>РПЗ!X923</f>
        <v>0</v>
      </c>
      <c r="K923" s="283">
        <f>РПЗ!Z923</f>
        <v>0</v>
      </c>
      <c r="L923" s="17">
        <v>42858</v>
      </c>
      <c r="M923" s="18">
        <f>РПЗ!O923</f>
        <v>42856</v>
      </c>
      <c r="N923" s="238">
        <f>Таблица5[[#This Row],[10]]</f>
        <v>42856</v>
      </c>
      <c r="O923" s="17">
        <v>42867</v>
      </c>
      <c r="P923" s="17">
        <v>42873</v>
      </c>
      <c r="Q923" s="17">
        <v>42873</v>
      </c>
      <c r="R923" s="17">
        <v>42867</v>
      </c>
      <c r="S923" s="17">
        <v>42867</v>
      </c>
      <c r="T923" s="686">
        <v>42879</v>
      </c>
      <c r="U923" s="18">
        <f>РПЗ!P923</f>
        <v>42887</v>
      </c>
      <c r="V923" s="686">
        <v>42887</v>
      </c>
      <c r="W923" s="236">
        <f>РПЗ!L923</f>
        <v>169993.46</v>
      </c>
      <c r="X923" s="689">
        <v>1</v>
      </c>
      <c r="Y923" s="689">
        <v>0</v>
      </c>
      <c r="Z923" s="691">
        <v>7721338310</v>
      </c>
      <c r="AA923" s="691" t="s">
        <v>3273</v>
      </c>
      <c r="AB923" s="111">
        <v>160317.20000000001</v>
      </c>
      <c r="AC923" s="17">
        <v>42887</v>
      </c>
      <c r="AD923" s="690" t="s">
        <v>6008</v>
      </c>
      <c r="AE923" s="686">
        <v>42879</v>
      </c>
      <c r="AF923" s="474"/>
      <c r="AG923" s="692">
        <v>160317.20000000001</v>
      </c>
      <c r="AH923" s="236">
        <f>IF(Таблица5[[#This Row],[30]]=0,"НД",Таблица5[[#This Row],[20]]-Таблица5[[#This Row],[30]])</f>
        <v>9676.2599999999802</v>
      </c>
      <c r="AI923" s="511">
        <f>IF(((1-Таблица5[[#This Row],[30]]/Таблица5[[#This Row],[20]])=1),"НД",(1-Таблица5[[#This Row],[30]]/Таблица5[[#This Row],[20]]))</f>
        <v>5.6921366269031659E-2</v>
      </c>
      <c r="AJ923" s="111">
        <v>160317.20000000001</v>
      </c>
      <c r="AK923" s="111"/>
      <c r="AL923" s="512"/>
      <c r="AM923" s="513" t="s">
        <v>113</v>
      </c>
      <c r="AN923" s="801">
        <v>31705080521</v>
      </c>
      <c r="AO923" s="468" t="str">
        <f>РПЗ!AD923</f>
        <v>Нет</v>
      </c>
      <c r="AP923" s="472">
        <f>РПЗ!V923</f>
        <v>0</v>
      </c>
      <c r="AQ923" s="470">
        <f>IF(Таблица5[[#This Row],[11]]=0,,MONTH(Таблица5[[#This Row],[11]]))</f>
        <v>5</v>
      </c>
    </row>
    <row r="924" spans="1:43" ht="63" customHeight="1" x14ac:dyDescent="0.25">
      <c r="A924" s="233" t="str">
        <f t="shared" si="14"/>
        <v>1004-2017-00909</v>
      </c>
      <c r="B924" s="233" t="str">
        <f>РПЗ!$D924</f>
        <v>1004-2017-00909 Поставка комплект электротехнических изделий</v>
      </c>
      <c r="C924" s="233" t="str">
        <f>РПЗ!$AA924</f>
        <v>АО "НИИ "Полюс" им. М.Ф. Стельмаха" тел. отдела закупок 8-495-333-05-02</v>
      </c>
      <c r="D924" s="870" t="str">
        <f>РПЗ!$AB924</f>
        <v>Заказчик</v>
      </c>
      <c r="E924" s="510" t="s">
        <v>59</v>
      </c>
      <c r="F924" s="233" t="str">
        <f>РПЗ!Q924</f>
        <v>ОЗК</v>
      </c>
      <c r="G924" s="237" t="str">
        <f>Таблица5[[#This Row],[6]]</f>
        <v>ОЗК</v>
      </c>
      <c r="H924" s="237" t="str">
        <f>РПЗ!R924</f>
        <v>да</v>
      </c>
      <c r="I924" s="15">
        <f>РПЗ!W924</f>
        <v>0</v>
      </c>
      <c r="J924" s="233">
        <f>РПЗ!X924</f>
        <v>0</v>
      </c>
      <c r="K924" s="283">
        <f>РПЗ!Z924</f>
        <v>0</v>
      </c>
      <c r="L924" s="17">
        <v>42887</v>
      </c>
      <c r="M924" s="18">
        <f>РПЗ!O924</f>
        <v>42887</v>
      </c>
      <c r="N924" s="238">
        <f>Таблица5[[#This Row],[10]]</f>
        <v>42887</v>
      </c>
      <c r="O924" s="17">
        <v>42893</v>
      </c>
      <c r="P924" s="17">
        <v>42900</v>
      </c>
      <c r="Q924" s="17">
        <v>42900</v>
      </c>
      <c r="R924" s="17">
        <v>42900</v>
      </c>
      <c r="S924" s="17">
        <v>42900</v>
      </c>
      <c r="T924" s="686"/>
      <c r="U924" s="18">
        <f>РПЗ!P924</f>
        <v>42887</v>
      </c>
      <c r="V924" s="686"/>
      <c r="W924" s="236">
        <f>РПЗ!L924</f>
        <v>173900.49</v>
      </c>
      <c r="X924" s="689">
        <v>0</v>
      </c>
      <c r="Y924" s="689">
        <v>0</v>
      </c>
      <c r="Z924" s="690"/>
      <c r="AA924" s="691"/>
      <c r="AB924" s="111"/>
      <c r="AC924" s="17"/>
      <c r="AD924" s="690"/>
      <c r="AE924" s="686"/>
      <c r="AF924" s="474"/>
      <c r="AG924" s="692"/>
      <c r="AH924" s="236" t="str">
        <f>IF(Таблица5[[#This Row],[30]]=0,"НД",Таблица5[[#This Row],[20]]-Таблица5[[#This Row],[30]])</f>
        <v>НД</v>
      </c>
      <c r="AI924" s="511" t="str">
        <f>IF(((1-Таблица5[[#This Row],[30]]/Таблица5[[#This Row],[20]])=1),"НД",(1-Таблица5[[#This Row],[30]]/Таблица5[[#This Row],[20]]))</f>
        <v>НД</v>
      </c>
      <c r="AJ924" s="111"/>
      <c r="AK924" s="111"/>
      <c r="AL924" s="512"/>
      <c r="AM924" s="513"/>
      <c r="AN924" s="801">
        <v>31705177790</v>
      </c>
      <c r="AO924" s="468" t="str">
        <f>РПЗ!AD924</f>
        <v>Нет</v>
      </c>
      <c r="AP924" s="472">
        <f>РПЗ!V924</f>
        <v>0</v>
      </c>
      <c r="AQ924" s="470">
        <f>IF(Таблица5[[#This Row],[11]]=0,,MONTH(Таблица5[[#This Row],[11]]))</f>
        <v>6</v>
      </c>
    </row>
    <row r="925" spans="1:43" ht="77.25" thickBot="1" x14ac:dyDescent="0.3">
      <c r="A925" s="233" t="str">
        <f t="shared" si="14"/>
        <v>1004-2017-00910</v>
      </c>
      <c r="B925" s="233" t="str">
        <f>РПЗ!$D925</f>
        <v>1004-2017-00910 Оказание услуг по Внесение записей о размещении дополнительного выпуска ценных бумаг и предоставление уведомления об операции, проведенной по лицевому счету.</v>
      </c>
      <c r="C925" s="233" t="str">
        <f>РПЗ!$AA925</f>
        <v>АО "НИИ "Полюс" им. М.Ф. Стельмаха" тел. отдела закупок 8-495-333-05-02</v>
      </c>
      <c r="D925" s="870" t="str">
        <f>РПЗ!$AB925</f>
        <v>Заказчик</v>
      </c>
      <c r="E925" s="510" t="s">
        <v>62</v>
      </c>
      <c r="F925" s="233" t="str">
        <f>РПЗ!Q925</f>
        <v>ЕП</v>
      </c>
      <c r="G925" s="237" t="str">
        <f>Таблица5[[#This Row],[6]]</f>
        <v>ЕП</v>
      </c>
      <c r="H925" s="237" t="str">
        <f>РПЗ!R925</f>
        <v>нет</v>
      </c>
      <c r="I925" s="15" t="str">
        <f>РПЗ!W925</f>
        <v>6.6.2(5)</v>
      </c>
      <c r="J925" s="233" t="str">
        <f>РПЗ!X925</f>
        <v>7707179242</v>
      </c>
      <c r="K925" s="283">
        <f>РПЗ!Z925</f>
        <v>449800</v>
      </c>
      <c r="L925" s="17">
        <v>42851</v>
      </c>
      <c r="M925" s="18">
        <f>РПЗ!O925</f>
        <v>42826</v>
      </c>
      <c r="N925" s="238">
        <f>Таблица5[[#This Row],[10]]</f>
        <v>42826</v>
      </c>
      <c r="O925" s="17"/>
      <c r="P925" s="17"/>
      <c r="Q925" s="17"/>
      <c r="R925" s="17"/>
      <c r="S925" s="17"/>
      <c r="T925" s="686">
        <v>42852</v>
      </c>
      <c r="U925" s="18">
        <f>РПЗ!P925</f>
        <v>42856</v>
      </c>
      <c r="V925" s="686">
        <v>42856</v>
      </c>
      <c r="W925" s="236">
        <f>РПЗ!L925</f>
        <v>449800</v>
      </c>
      <c r="X925" s="689">
        <v>1</v>
      </c>
      <c r="Y925" s="689">
        <v>0</v>
      </c>
      <c r="Z925" s="691">
        <v>7707179242</v>
      </c>
      <c r="AA925" s="691" t="s">
        <v>3315</v>
      </c>
      <c r="AB925" s="111">
        <v>449800</v>
      </c>
      <c r="AC925" s="17">
        <v>42856</v>
      </c>
      <c r="AD925" s="690" t="s">
        <v>5119</v>
      </c>
      <c r="AE925" s="686">
        <v>42852</v>
      </c>
      <c r="AF925" s="474"/>
      <c r="AG925" s="692">
        <v>449800</v>
      </c>
      <c r="AH925" s="236">
        <f>IF(Таблица5[[#This Row],[30]]=0,"НД",Таблица5[[#This Row],[20]]-Таблица5[[#This Row],[30]])</f>
        <v>0</v>
      </c>
      <c r="AI925" s="511">
        <f>IF(((1-Таблица5[[#This Row],[30]]/Таблица5[[#This Row],[20]])=1),"НД",(1-Таблица5[[#This Row],[30]]/Таблица5[[#This Row],[20]]))</f>
        <v>0</v>
      </c>
      <c r="AJ925" s="111"/>
      <c r="AK925" s="111"/>
      <c r="AL925" s="512"/>
      <c r="AM925" s="513" t="s">
        <v>113</v>
      </c>
      <c r="AN925" s="801">
        <v>31705058553</v>
      </c>
      <c r="AO925" s="468" t="str">
        <f>РПЗ!AD925</f>
        <v>Нет</v>
      </c>
      <c r="AP925" s="472">
        <f>РПЗ!V925</f>
        <v>0</v>
      </c>
      <c r="AQ925" s="470">
        <f>IF(Таблица5[[#This Row],[11]]=0,,MONTH(Таблица5[[#This Row],[11]]))</f>
        <v>4</v>
      </c>
    </row>
    <row r="926" spans="1:43" ht="38.25" x14ac:dyDescent="0.25">
      <c r="A926" s="233" t="str">
        <f t="shared" si="14"/>
        <v>1004-2017-00911</v>
      </c>
      <c r="B926" s="233" t="str">
        <f>РПЗ!$D926</f>
        <v>1004-2017-00911 Поставка арсина высокочистого 99,9999%</v>
      </c>
      <c r="C926" s="233" t="str">
        <f>РПЗ!$AA926</f>
        <v>АО "НИИ "Полюс" им. М.Ф. Стельмаха" тел. отдела закупок 8-495-333-05-02</v>
      </c>
      <c r="D926" s="870" t="str">
        <f>РПЗ!$AB926</f>
        <v>Заказчик</v>
      </c>
      <c r="E926" s="96" t="s">
        <v>46</v>
      </c>
      <c r="F926" s="233" t="str">
        <f>РПЗ!Q926</f>
        <v>ЕП</v>
      </c>
      <c r="G926" s="237"/>
      <c r="H926" s="237" t="str">
        <f>РПЗ!R926</f>
        <v>нет</v>
      </c>
      <c r="I926" s="15">
        <f>РПЗ!W926</f>
        <v>0</v>
      </c>
      <c r="J926" s="233">
        <f>РПЗ!X926</f>
        <v>0</v>
      </c>
      <c r="K926" s="283">
        <f>РПЗ!Z926</f>
        <v>0</v>
      </c>
      <c r="L926" s="17"/>
      <c r="M926" s="18">
        <f>РПЗ!O926</f>
        <v>42826.5</v>
      </c>
      <c r="N926" s="238">
        <f>Таблица5[[#This Row],[10]]</f>
        <v>42826.5</v>
      </c>
      <c r="O926" s="17"/>
      <c r="P926" s="17"/>
      <c r="Q926" s="17"/>
      <c r="R926" s="17"/>
      <c r="S926" s="17"/>
      <c r="T926" s="686"/>
      <c r="U926" s="18">
        <f>РПЗ!P926</f>
        <v>42856.5</v>
      </c>
      <c r="V926" s="686"/>
      <c r="W926" s="236">
        <f>РПЗ!L926</f>
        <v>98382.5</v>
      </c>
      <c r="X926" s="689"/>
      <c r="Y926" s="689"/>
      <c r="Z926" s="690"/>
      <c r="AA926" s="691"/>
      <c r="AB926" s="111"/>
      <c r="AC926" s="17"/>
      <c r="AD926" s="690"/>
      <c r="AE926" s="686"/>
      <c r="AF926" s="474"/>
      <c r="AG926" s="692"/>
      <c r="AH926" s="236" t="str">
        <f>IF(Таблица5[[#This Row],[30]]=0,"НД",Таблица5[[#This Row],[20]]-Таблица5[[#This Row],[30]])</f>
        <v>НД</v>
      </c>
      <c r="AI926" s="511" t="str">
        <f>IF(((1-Таблица5[[#This Row],[30]]/Таблица5[[#This Row],[20]])=1),"НД",(1-Таблица5[[#This Row],[30]]/Таблица5[[#This Row],[20]]))</f>
        <v>НД</v>
      </c>
      <c r="AJ926" s="111"/>
      <c r="AK926" s="111"/>
      <c r="AL926" s="512"/>
      <c r="AM926" s="513"/>
      <c r="AN926" s="465"/>
      <c r="AO926" s="468" t="str">
        <f>РПЗ!AD926</f>
        <v>Нет</v>
      </c>
      <c r="AP926" s="472">
        <f>РПЗ!V926</f>
        <v>0</v>
      </c>
      <c r="AQ926" s="470">
        <f>IF(Таблица5[[#This Row],[11]]=0,,MONTH(Таблица5[[#This Row],[11]]))</f>
        <v>4</v>
      </c>
    </row>
    <row r="927" spans="1:43" ht="76.5" x14ac:dyDescent="0.25">
      <c r="A927" s="233" t="str">
        <f t="shared" si="14"/>
        <v>1004-2017-00912</v>
      </c>
      <c r="B927" s="233" t="str">
        <f>РПЗ!$D927</f>
        <v>1004-2017-00912 Поставка деталейКрышка ЖГДК.732227.015 ;корпус ЖГДК.732227.016накладка  ЖГДК.711113.009; ручка ЖГДК.711143.031;  ручка ЖГДК.711143.032</v>
      </c>
      <c r="C927" s="233" t="str">
        <f>РПЗ!$AA927</f>
        <v>АО "НИИ "Полюс" им. М.Ф. Стельмаха" тел. отдела закупок 8-495-333-05-02</v>
      </c>
      <c r="D927" s="870" t="str">
        <f>РПЗ!$AB927</f>
        <v>Заказчик</v>
      </c>
      <c r="E927" s="510" t="s">
        <v>62</v>
      </c>
      <c r="F927" s="233" t="str">
        <f>РПЗ!Q927</f>
        <v>ЕП</v>
      </c>
      <c r="G927" s="237" t="str">
        <f>Таблица5[[#This Row],[6]]</f>
        <v>ЕП</v>
      </c>
      <c r="H927" s="237" t="str">
        <f>РПЗ!R927</f>
        <v>нет</v>
      </c>
      <c r="I927" s="15" t="str">
        <f>РПЗ!W927</f>
        <v>6.6.2(11)</v>
      </c>
      <c r="J927" s="233" t="str">
        <f>РПЗ!X927</f>
        <v>5043057427</v>
      </c>
      <c r="K927" s="283">
        <f>РПЗ!Z927</f>
        <v>215965</v>
      </c>
      <c r="L927" s="17">
        <v>42845</v>
      </c>
      <c r="M927" s="18">
        <f>РПЗ!O927</f>
        <v>42856.5</v>
      </c>
      <c r="N927" s="238">
        <f>Таблица5[[#This Row],[10]]</f>
        <v>42856.5</v>
      </c>
      <c r="O927" s="17"/>
      <c r="P927" s="17"/>
      <c r="Q927" s="17"/>
      <c r="R927" s="17"/>
      <c r="S927" s="17"/>
      <c r="T927" s="686">
        <v>42871</v>
      </c>
      <c r="U927" s="18">
        <f>РПЗ!P927</f>
        <v>42917.5</v>
      </c>
      <c r="V927" s="686">
        <v>42917</v>
      </c>
      <c r="W927" s="236">
        <f>РПЗ!L927</f>
        <v>215965</v>
      </c>
      <c r="X927" s="689">
        <v>1</v>
      </c>
      <c r="Y927" s="689">
        <v>0</v>
      </c>
      <c r="Z927" s="691">
        <v>5043057427</v>
      </c>
      <c r="AA927" s="691" t="s">
        <v>5073</v>
      </c>
      <c r="AB927" s="111">
        <v>215965</v>
      </c>
      <c r="AC927" s="17">
        <v>42917</v>
      </c>
      <c r="AD927" s="690" t="s">
        <v>5074</v>
      </c>
      <c r="AE927" s="686">
        <v>42871</v>
      </c>
      <c r="AF927" s="474"/>
      <c r="AG927" s="692">
        <v>215965</v>
      </c>
      <c r="AH927" s="236">
        <f>IF(Таблица5[[#This Row],[30]]=0,"НД",Таблица5[[#This Row],[20]]-Таблица5[[#This Row],[30]])</f>
        <v>0</v>
      </c>
      <c r="AI927" s="511">
        <f>IF(((1-Таблица5[[#This Row],[30]]/Таблица5[[#This Row],[20]])=1),"НД",(1-Таблица5[[#This Row],[30]]/Таблица5[[#This Row],[20]]))</f>
        <v>0</v>
      </c>
      <c r="AJ927" s="111"/>
      <c r="AK927" s="111"/>
      <c r="AL927" s="512"/>
      <c r="AM927" s="513" t="s">
        <v>113</v>
      </c>
      <c r="AN927" s="801">
        <v>31705110184</v>
      </c>
      <c r="AO927" s="468" t="str">
        <f>РПЗ!AD927</f>
        <v>Нет</v>
      </c>
      <c r="AP927" s="472">
        <f>РПЗ!V927</f>
        <v>0</v>
      </c>
      <c r="AQ927" s="470">
        <f>IF(Таблица5[[#This Row],[11]]=0,,MONTH(Таблица5[[#This Row],[11]]))</f>
        <v>5</v>
      </c>
    </row>
    <row r="928" spans="1:43" ht="51.75" thickBot="1" x14ac:dyDescent="0.3">
      <c r="A928" s="233" t="str">
        <f t="shared" si="14"/>
        <v>1004-2017-00913</v>
      </c>
      <c r="B928" s="233" t="str">
        <f>РПЗ!$D928</f>
        <v>1004-2017-00913 Поставка пластин из монокристаллического синтетического корунда полированных с двух сторон</v>
      </c>
      <c r="C928" s="233" t="str">
        <f>РПЗ!$AA928</f>
        <v>АО "НИИ "Полюс" им. М.Ф. Стельмаха" тел. отдела закупок 8-495-333-05-02</v>
      </c>
      <c r="D928" s="870" t="str">
        <f>РПЗ!$AB928</f>
        <v>Заказчик</v>
      </c>
      <c r="E928" s="510" t="s">
        <v>62</v>
      </c>
      <c r="F928" s="233" t="str">
        <f>РПЗ!Q928</f>
        <v>ОЗК</v>
      </c>
      <c r="G928" s="237" t="str">
        <f>Таблица5[[#This Row],[6]]</f>
        <v>ОЗК</v>
      </c>
      <c r="H928" s="237" t="str">
        <f>РПЗ!R928</f>
        <v>да</v>
      </c>
      <c r="I928" s="15">
        <f>РПЗ!W928</f>
        <v>0</v>
      </c>
      <c r="J928" s="233">
        <f>РПЗ!X928</f>
        <v>0</v>
      </c>
      <c r="K928" s="283">
        <f>РПЗ!Z928</f>
        <v>0</v>
      </c>
      <c r="L928" s="17">
        <v>42851</v>
      </c>
      <c r="M928" s="18">
        <f>РПЗ!O928</f>
        <v>42826.5</v>
      </c>
      <c r="N928" s="238">
        <f>Таблица5[[#This Row],[10]]</f>
        <v>42826.5</v>
      </c>
      <c r="O928" s="17">
        <v>42858</v>
      </c>
      <c r="P928" s="17">
        <v>42865</v>
      </c>
      <c r="Q928" s="17">
        <v>42865</v>
      </c>
      <c r="R928" s="17">
        <v>42858</v>
      </c>
      <c r="S928" s="17">
        <v>42858</v>
      </c>
      <c r="T928" s="686">
        <v>42872</v>
      </c>
      <c r="U928" s="18">
        <f>РПЗ!P928</f>
        <v>42826.5</v>
      </c>
      <c r="V928" s="686">
        <v>42887</v>
      </c>
      <c r="W928" s="236">
        <f>РПЗ!L928</f>
        <v>1454704</v>
      </c>
      <c r="X928" s="689">
        <v>1</v>
      </c>
      <c r="Y928" s="689">
        <v>0</v>
      </c>
      <c r="Z928" s="691">
        <v>7721166661</v>
      </c>
      <c r="AA928" s="691" t="s">
        <v>3346</v>
      </c>
      <c r="AB928" s="111">
        <v>1454704</v>
      </c>
      <c r="AC928" s="17">
        <v>42887</v>
      </c>
      <c r="AD928" s="690" t="s">
        <v>6090</v>
      </c>
      <c r="AE928" s="686">
        <v>42872</v>
      </c>
      <c r="AF928" s="474"/>
      <c r="AG928" s="692">
        <v>1454704</v>
      </c>
      <c r="AH928" s="236">
        <f>IF(Таблица5[[#This Row],[30]]=0,"НД",Таблица5[[#This Row],[20]]-Таблица5[[#This Row],[30]])</f>
        <v>0</v>
      </c>
      <c r="AI928" s="511">
        <f>IF(((1-Таблица5[[#This Row],[30]]/Таблица5[[#This Row],[20]])=1),"НД",(1-Таблица5[[#This Row],[30]]/Таблица5[[#This Row],[20]]))</f>
        <v>0</v>
      </c>
      <c r="AJ928" s="111">
        <v>1454704</v>
      </c>
      <c r="AK928" s="111"/>
      <c r="AL928" s="512"/>
      <c r="AM928" s="513" t="s">
        <v>113</v>
      </c>
      <c r="AN928" s="801">
        <v>31705056023</v>
      </c>
      <c r="AO928" s="468" t="str">
        <f>РПЗ!AD928</f>
        <v>Нет</v>
      </c>
      <c r="AP928" s="472">
        <f>РПЗ!V928</f>
        <v>0</v>
      </c>
      <c r="AQ928" s="470">
        <f>IF(Таблица5[[#This Row],[11]]=0,,MONTH(Таблица5[[#This Row],[11]]))</f>
        <v>4</v>
      </c>
    </row>
    <row r="929" spans="1:43" ht="39" thickBot="1" x14ac:dyDescent="0.3">
      <c r="A929" s="233" t="str">
        <f t="shared" si="14"/>
        <v>1004-2017-00914</v>
      </c>
      <c r="B929" s="233" t="str">
        <f>РПЗ!$D929</f>
        <v>1004-2017-00914 Поставка Фотошаблон Э51-ТВ127,Фотошаблон Э51-ТВ128</v>
      </c>
      <c r="C929" s="233" t="str">
        <f>РПЗ!$AA929</f>
        <v>АО "НИИ "Полюс" им. М.Ф. Стельмаха" тел. отдела закупок 8-495-333-05-02</v>
      </c>
      <c r="D929" s="870" t="str">
        <f>РПЗ!$AB929</f>
        <v>Заказчик</v>
      </c>
      <c r="E929" s="96" t="s">
        <v>46</v>
      </c>
      <c r="F929" s="233" t="str">
        <f>РПЗ!Q929</f>
        <v>ЕП</v>
      </c>
      <c r="G929" s="237"/>
      <c r="H929" s="237" t="str">
        <f>РПЗ!R929</f>
        <v>нет</v>
      </c>
      <c r="I929" s="15">
        <f>РПЗ!W929</f>
        <v>0</v>
      </c>
      <c r="J929" s="233">
        <f>РПЗ!X929</f>
        <v>0</v>
      </c>
      <c r="K929" s="283">
        <f>РПЗ!Z929</f>
        <v>0</v>
      </c>
      <c r="L929" s="17"/>
      <c r="M929" s="18">
        <f>РПЗ!O929</f>
        <v>42826</v>
      </c>
      <c r="N929" s="238">
        <f>Таблица5[[#This Row],[10]]</f>
        <v>42826</v>
      </c>
      <c r="O929" s="17"/>
      <c r="P929" s="17"/>
      <c r="Q929" s="17"/>
      <c r="R929" s="17"/>
      <c r="S929" s="17"/>
      <c r="T929" s="686"/>
      <c r="U929" s="18">
        <f>РПЗ!P929</f>
        <v>42856.5</v>
      </c>
      <c r="V929" s="686"/>
      <c r="W929" s="236">
        <f>РПЗ!L929</f>
        <v>198724.29</v>
      </c>
      <c r="X929" s="689"/>
      <c r="Y929" s="689"/>
      <c r="Z929" s="690"/>
      <c r="AA929" s="691"/>
      <c r="AB929" s="111"/>
      <c r="AC929" s="17"/>
      <c r="AD929" s="690"/>
      <c r="AE929" s="686"/>
      <c r="AF929" s="474"/>
      <c r="AG929" s="692"/>
      <c r="AH929" s="236" t="str">
        <f>IF(Таблица5[[#This Row],[30]]=0,"НД",Таблица5[[#This Row],[20]]-Таблица5[[#This Row],[30]])</f>
        <v>НД</v>
      </c>
      <c r="AI929" s="511" t="str">
        <f>IF(((1-Таблица5[[#This Row],[30]]/Таблица5[[#This Row],[20]])=1),"НД",(1-Таблица5[[#This Row],[30]]/Таблица5[[#This Row],[20]]))</f>
        <v>НД</v>
      </c>
      <c r="AJ929" s="111"/>
      <c r="AK929" s="111"/>
      <c r="AL929" s="512"/>
      <c r="AM929" s="513"/>
      <c r="AN929" s="465"/>
      <c r="AO929" s="468" t="str">
        <f>РПЗ!AD929</f>
        <v>Нет</v>
      </c>
      <c r="AP929" s="472">
        <f>РПЗ!V929</f>
        <v>0</v>
      </c>
      <c r="AQ929" s="470">
        <f>IF(Таблица5[[#This Row],[11]]=0,,MONTH(Таблица5[[#This Row],[11]]))</f>
        <v>4</v>
      </c>
    </row>
    <row r="930" spans="1:43" ht="38.25" x14ac:dyDescent="0.25">
      <c r="A930" s="233" t="str">
        <f t="shared" si="14"/>
        <v>1004-2017-00915</v>
      </c>
      <c r="B930" s="233" t="str">
        <f>РПЗ!$D930</f>
        <v>1004-2017-00915 УКЛАДКА АСФАЛЬТОВОГО ПОКРЫТИЯ</v>
      </c>
      <c r="C930" s="233" t="str">
        <f>РПЗ!$AA930</f>
        <v>АО "НИИ "Полюс" им. М.Ф. Стельмаха" тел. отдела закупок 8-495-333-05-02</v>
      </c>
      <c r="D930" s="870" t="str">
        <f>РПЗ!$AB930</f>
        <v>Заказчик</v>
      </c>
      <c r="E930" s="96" t="s">
        <v>46</v>
      </c>
      <c r="F930" s="233" t="str">
        <f>РПЗ!Q930</f>
        <v>ОЗК</v>
      </c>
      <c r="G930" s="237"/>
      <c r="H930" s="237" t="str">
        <f>РПЗ!R930</f>
        <v>да</v>
      </c>
      <c r="I930" s="15">
        <f>РПЗ!W930</f>
        <v>0</v>
      </c>
      <c r="J930" s="233">
        <f>РПЗ!X930</f>
        <v>0</v>
      </c>
      <c r="K930" s="283">
        <f>РПЗ!Z930</f>
        <v>0</v>
      </c>
      <c r="L930" s="17"/>
      <c r="M930" s="18">
        <f>РПЗ!O930</f>
        <v>42856.5</v>
      </c>
      <c r="N930" s="238">
        <f>Таблица5[[#This Row],[10]]</f>
        <v>42856.5</v>
      </c>
      <c r="O930" s="17"/>
      <c r="P930" s="17"/>
      <c r="Q930" s="17"/>
      <c r="R930" s="17"/>
      <c r="S930" s="17"/>
      <c r="T930" s="686"/>
      <c r="U930" s="18">
        <f>РПЗ!P930</f>
        <v>42856.5</v>
      </c>
      <c r="V930" s="686"/>
      <c r="W930" s="236">
        <f>РПЗ!L930</f>
        <v>1926036.94</v>
      </c>
      <c r="X930" s="689"/>
      <c r="Y930" s="689"/>
      <c r="Z930" s="690"/>
      <c r="AA930" s="691"/>
      <c r="AB930" s="111"/>
      <c r="AC930" s="17"/>
      <c r="AD930" s="690"/>
      <c r="AE930" s="686"/>
      <c r="AF930" s="474"/>
      <c r="AG930" s="692"/>
      <c r="AH930" s="236" t="str">
        <f>IF(Таблица5[[#This Row],[30]]=0,"НД",Таблица5[[#This Row],[20]]-Таблица5[[#This Row],[30]])</f>
        <v>НД</v>
      </c>
      <c r="AI930" s="511" t="str">
        <f>IF(((1-Таблица5[[#This Row],[30]]/Таблица5[[#This Row],[20]])=1),"НД",(1-Таблица5[[#This Row],[30]]/Таблица5[[#This Row],[20]]))</f>
        <v>НД</v>
      </c>
      <c r="AJ930" s="111"/>
      <c r="AK930" s="111"/>
      <c r="AL930" s="512"/>
      <c r="AM930" s="513"/>
      <c r="AN930" s="465"/>
      <c r="AO930" s="468" t="str">
        <f>РПЗ!AD930</f>
        <v>Нет</v>
      </c>
      <c r="AP930" s="472">
        <f>РПЗ!V930</f>
        <v>0</v>
      </c>
      <c r="AQ930" s="470">
        <f>IF(Таблица5[[#This Row],[11]]=0,,MONTH(Таблица5[[#This Row],[11]]))</f>
        <v>5</v>
      </c>
    </row>
    <row r="931" spans="1:43" ht="38.25" x14ac:dyDescent="0.25">
      <c r="A931" s="233" t="str">
        <f t="shared" si="14"/>
        <v>1004-2017-00916</v>
      </c>
      <c r="B931" s="233" t="str">
        <f>РПЗ!$D931</f>
        <v>1004-2017-00916 Поставка лампы ИНП 2-3/25</v>
      </c>
      <c r="C931" s="233" t="str">
        <f>РПЗ!$AA931</f>
        <v>АО "НИИ "Полюс" им. М.Ф. Стельмаха" тел. отдела закупок 8-495-333-05-02</v>
      </c>
      <c r="D931" s="870" t="str">
        <f>РПЗ!$AB931</f>
        <v>Заказчик</v>
      </c>
      <c r="E931" s="510" t="s">
        <v>62</v>
      </c>
      <c r="F931" s="233" t="str">
        <f>РПЗ!Q931</f>
        <v>ЕП</v>
      </c>
      <c r="G931" s="237" t="str">
        <f>Таблица5[[#This Row],[6]]</f>
        <v>ЕП</v>
      </c>
      <c r="H931" s="237" t="str">
        <f>РПЗ!R931</f>
        <v>нет</v>
      </c>
      <c r="I931" s="15" t="str">
        <f>РПЗ!W931</f>
        <v>6.6.2(11)</v>
      </c>
      <c r="J931" s="233" t="str">
        <f>РПЗ!X931</f>
        <v>7735512713</v>
      </c>
      <c r="K931" s="283">
        <f>РПЗ!Z931</f>
        <v>148680</v>
      </c>
      <c r="L931" s="17">
        <v>42857</v>
      </c>
      <c r="M931" s="18">
        <f>РПЗ!O931</f>
        <v>42856.5</v>
      </c>
      <c r="N931" s="238">
        <f>Таблица5[[#This Row],[10]]</f>
        <v>42856.5</v>
      </c>
      <c r="O931" s="17"/>
      <c r="P931" s="17"/>
      <c r="Q931" s="17"/>
      <c r="R931" s="17"/>
      <c r="S931" s="17"/>
      <c r="T931" s="686">
        <v>42881</v>
      </c>
      <c r="U931" s="18">
        <f>РПЗ!P931</f>
        <v>43070.5</v>
      </c>
      <c r="V931" s="686">
        <v>43070</v>
      </c>
      <c r="W931" s="236">
        <f>РПЗ!L931</f>
        <v>148680</v>
      </c>
      <c r="X931" s="689">
        <v>1</v>
      </c>
      <c r="Y931" s="689">
        <v>0</v>
      </c>
      <c r="Z931" s="691">
        <v>7735512713</v>
      </c>
      <c r="AA931" s="691" t="s">
        <v>5098</v>
      </c>
      <c r="AB931" s="111">
        <v>148680</v>
      </c>
      <c r="AC931" s="17">
        <v>43070</v>
      </c>
      <c r="AD931" s="690" t="s">
        <v>5099</v>
      </c>
      <c r="AE931" s="686">
        <v>42881</v>
      </c>
      <c r="AF931" s="474"/>
      <c r="AG931" s="692">
        <v>148680</v>
      </c>
      <c r="AH931" s="236">
        <f>IF(Таблица5[[#This Row],[30]]=0,"НД",Таблица5[[#This Row],[20]]-Таблица5[[#This Row],[30]])</f>
        <v>0</v>
      </c>
      <c r="AI931" s="511">
        <f>IF(((1-Таблица5[[#This Row],[30]]/Таблица5[[#This Row],[20]])=1),"НД",(1-Таблица5[[#This Row],[30]]/Таблица5[[#This Row],[20]]))</f>
        <v>0</v>
      </c>
      <c r="AJ931" s="111"/>
      <c r="AK931" s="111"/>
      <c r="AL931" s="512"/>
      <c r="AM931" s="513" t="s">
        <v>113</v>
      </c>
      <c r="AN931" s="801">
        <v>31705079897</v>
      </c>
      <c r="AO931" s="468" t="str">
        <f>РПЗ!AD931</f>
        <v>Нет</v>
      </c>
      <c r="AP931" s="472">
        <f>РПЗ!V931</f>
        <v>0</v>
      </c>
      <c r="AQ931" s="470">
        <f>IF(Таблица5[[#This Row],[11]]=0,,MONTH(Таблица5[[#This Row],[11]]))</f>
        <v>5</v>
      </c>
    </row>
    <row r="932" spans="1:43" ht="102" x14ac:dyDescent="0.25">
      <c r="A932" s="233" t="str">
        <f t="shared" si="14"/>
        <v>1004-2017-00917</v>
      </c>
      <c r="B932" s="233" t="str">
        <f>РПЗ!$D932</f>
        <v>1004-2017-00917 Поставка и Изготовление инженерно-топографического плана М1:2000 по имеющимся материалам для предпроектных проработок санитарно-защитной зоны по объекту: НИИ "Полюс" им М.Ф. Стельмаха</v>
      </c>
      <c r="C932" s="233" t="str">
        <f>РПЗ!$AA932</f>
        <v>АО "НИИ "Полюс" им. М.Ф. Стельмаха" тел. отдела закупок 8-495-333-05-02</v>
      </c>
      <c r="D932" s="870" t="str">
        <f>РПЗ!$AB932</f>
        <v>Заказчик</v>
      </c>
      <c r="E932" s="510" t="s">
        <v>62</v>
      </c>
      <c r="F932" s="233" t="str">
        <f>РПЗ!Q932</f>
        <v>ЕП</v>
      </c>
      <c r="G932" s="237" t="str">
        <f>Таблица5[[#This Row],[6]]</f>
        <v>ЕП</v>
      </c>
      <c r="H932" s="237" t="str">
        <f>РПЗ!R932</f>
        <v>нет</v>
      </c>
      <c r="I932" s="15" t="str">
        <f>РПЗ!W932</f>
        <v>6.6.2(4)</v>
      </c>
      <c r="J932" s="233" t="str">
        <f>РПЗ!X932</f>
        <v>7714972558</v>
      </c>
      <c r="K932" s="283">
        <f>РПЗ!Z932</f>
        <v>211266.02</v>
      </c>
      <c r="L932" s="17">
        <v>42860</v>
      </c>
      <c r="M932" s="18">
        <f>РПЗ!O932</f>
        <v>42856.5</v>
      </c>
      <c r="N932" s="238">
        <f>Таблица5[[#This Row],[10]]</f>
        <v>42856.5</v>
      </c>
      <c r="O932" s="17"/>
      <c r="P932" s="17"/>
      <c r="Q932" s="17"/>
      <c r="R932" s="17"/>
      <c r="S932" s="17"/>
      <c r="T932" s="686">
        <v>42891</v>
      </c>
      <c r="U932" s="18">
        <f>РПЗ!P932</f>
        <v>43070.5</v>
      </c>
      <c r="V932" s="686">
        <v>42887</v>
      </c>
      <c r="W932" s="236">
        <f>РПЗ!L932</f>
        <v>211266.02</v>
      </c>
      <c r="X932" s="689">
        <v>1</v>
      </c>
      <c r="Y932" s="689">
        <v>0</v>
      </c>
      <c r="Z932" s="691">
        <v>7714972558</v>
      </c>
      <c r="AA932" s="691" t="s">
        <v>5931</v>
      </c>
      <c r="AB932" s="111">
        <v>211266.02</v>
      </c>
      <c r="AC932" s="17">
        <v>42887</v>
      </c>
      <c r="AD932" s="690" t="s">
        <v>5932</v>
      </c>
      <c r="AE932" s="686">
        <v>42891</v>
      </c>
      <c r="AF932" s="474"/>
      <c r="AG932" s="692">
        <v>211266.02</v>
      </c>
      <c r="AH932" s="236">
        <f>IF(Таблица5[[#This Row],[30]]=0,"НД",Таблица5[[#This Row],[20]]-Таблица5[[#This Row],[30]])</f>
        <v>0</v>
      </c>
      <c r="AI932" s="511">
        <f>IF(((1-Таблица5[[#This Row],[30]]/Таблица5[[#This Row],[20]])=1),"НД",(1-Таблица5[[#This Row],[30]]/Таблица5[[#This Row],[20]]))</f>
        <v>0</v>
      </c>
      <c r="AJ932" s="111"/>
      <c r="AK932" s="111"/>
      <c r="AL932" s="512"/>
      <c r="AM932" s="513" t="s">
        <v>113</v>
      </c>
      <c r="AN932" s="801">
        <v>31705093544</v>
      </c>
      <c r="AO932" s="468" t="str">
        <f>РПЗ!AD932</f>
        <v>Нет</v>
      </c>
      <c r="AP932" s="472">
        <f>РПЗ!V932</f>
        <v>0</v>
      </c>
      <c r="AQ932" s="470">
        <f>IF(Таблица5[[#This Row],[11]]=0,,MONTH(Таблица5[[#This Row],[11]]))</f>
        <v>5</v>
      </c>
    </row>
    <row r="933" spans="1:43" ht="178.5" x14ac:dyDescent="0.25">
      <c r="A933" s="233" t="str">
        <f t="shared" si="14"/>
        <v>1004-2017-00918</v>
      </c>
      <c r="B933" s="233" t="str">
        <f>РПЗ!$D933</f>
        <v>1004-2017-00918 Оказание Образовательной услуги</v>
      </c>
      <c r="C933" s="233" t="str">
        <f>РПЗ!$AA933</f>
        <v>АО "НИИ "Полюс" им. М.Ф. Стельмаха" тел. отдела закупок 8-495-333-05-02</v>
      </c>
      <c r="D933" s="870" t="str">
        <f>РПЗ!$AB933</f>
        <v>Заказчик</v>
      </c>
      <c r="E933" s="510" t="s">
        <v>62</v>
      </c>
      <c r="F933" s="233" t="str">
        <f>РПЗ!Q933</f>
        <v>ЕП</v>
      </c>
      <c r="G933" s="237" t="str">
        <f>Таблица5[[#This Row],[6]]</f>
        <v>ЕП</v>
      </c>
      <c r="H933" s="237" t="str">
        <f>РПЗ!R933</f>
        <v>нет</v>
      </c>
      <c r="I933" s="15" t="str">
        <f>РПЗ!W933</f>
        <v>6.6.2(25)</v>
      </c>
      <c r="J933" s="233" t="str">
        <f>РПЗ!X933</f>
        <v>7721062052</v>
      </c>
      <c r="K933" s="283">
        <f>РПЗ!Z933</f>
        <v>117000</v>
      </c>
      <c r="L933" s="17">
        <v>42857</v>
      </c>
      <c r="M933" s="18">
        <f>РПЗ!O933</f>
        <v>42856.5</v>
      </c>
      <c r="N933" s="238">
        <f>Таблица5[[#This Row],[10]]</f>
        <v>42856.5</v>
      </c>
      <c r="O933" s="17"/>
      <c r="P933" s="17"/>
      <c r="Q933" s="17"/>
      <c r="R933" s="17"/>
      <c r="S933" s="17"/>
      <c r="T933" s="686">
        <v>42860</v>
      </c>
      <c r="U933" s="18">
        <f>РПЗ!P933</f>
        <v>43070.5</v>
      </c>
      <c r="V933" s="686">
        <v>43070</v>
      </c>
      <c r="W933" s="236">
        <f>РПЗ!L933</f>
        <v>117000</v>
      </c>
      <c r="X933" s="689">
        <v>1</v>
      </c>
      <c r="Y933" s="689">
        <v>0</v>
      </c>
      <c r="Z933" s="691">
        <v>7721062052</v>
      </c>
      <c r="AA933" s="691" t="s">
        <v>5124</v>
      </c>
      <c r="AB933" s="111">
        <v>117000</v>
      </c>
      <c r="AC933" s="17">
        <v>43070</v>
      </c>
      <c r="AD933" s="690" t="s">
        <v>5125</v>
      </c>
      <c r="AE933" s="686">
        <v>42860</v>
      </c>
      <c r="AF933" s="474"/>
      <c r="AG933" s="692">
        <v>117000</v>
      </c>
      <c r="AH933" s="236">
        <f>IF(Таблица5[[#This Row],[30]]=0,"НД",Таблица5[[#This Row],[20]]-Таблица5[[#This Row],[30]])</f>
        <v>0</v>
      </c>
      <c r="AI933" s="511">
        <f>IF(((1-Таблица5[[#This Row],[30]]/Таблица5[[#This Row],[20]])=1),"НД",(1-Таблица5[[#This Row],[30]]/Таблица5[[#This Row],[20]]))</f>
        <v>0</v>
      </c>
      <c r="AJ933" s="111"/>
      <c r="AK933" s="111"/>
      <c r="AL933" s="512"/>
      <c r="AM933" s="513" t="s">
        <v>113</v>
      </c>
      <c r="AN933" s="801">
        <v>31705079830</v>
      </c>
      <c r="AO933" s="468" t="str">
        <f>РПЗ!AD933</f>
        <v>Нет</v>
      </c>
      <c r="AP933" s="472">
        <f>РПЗ!V933</f>
        <v>0</v>
      </c>
      <c r="AQ933" s="470">
        <f>IF(Таблица5[[#This Row],[11]]=0,,MONTH(Таблица5[[#This Row],[11]]))</f>
        <v>5</v>
      </c>
    </row>
    <row r="934" spans="1:43" ht="38.25" x14ac:dyDescent="0.25">
      <c r="A934" s="233" t="str">
        <f t="shared" si="14"/>
        <v>1004-2017-00919</v>
      </c>
      <c r="B934" s="233" t="str">
        <f>РПЗ!$D934</f>
        <v>1004-2017-00919 Поставка Сплит-системы</v>
      </c>
      <c r="C934" s="233" t="str">
        <f>РПЗ!$AA934</f>
        <v>АО "НИИ "Полюс" им. М.Ф. Стельмаха" тел. отдела закупок 8-495-333-05-02</v>
      </c>
      <c r="D934" s="870" t="str">
        <f>РПЗ!$AB934</f>
        <v>Заказчик</v>
      </c>
      <c r="E934" s="510" t="s">
        <v>62</v>
      </c>
      <c r="F934" s="233" t="str">
        <f>РПЗ!Q934</f>
        <v>ОЗК</v>
      </c>
      <c r="G934" s="237" t="str">
        <f>Таблица5[[#This Row],[6]]</f>
        <v>ОЗК</v>
      </c>
      <c r="H934" s="237" t="str">
        <f>РПЗ!R934</f>
        <v>да</v>
      </c>
      <c r="I934" s="15">
        <f>РПЗ!W934</f>
        <v>0</v>
      </c>
      <c r="J934" s="233">
        <f>РПЗ!X934</f>
        <v>0</v>
      </c>
      <c r="K934" s="283">
        <f>РПЗ!Z934</f>
        <v>0</v>
      </c>
      <c r="L934" s="17">
        <v>42858</v>
      </c>
      <c r="M934" s="18">
        <f>РПЗ!O934</f>
        <v>42856.5</v>
      </c>
      <c r="N934" s="238">
        <f>Таблица5[[#This Row],[10]]</f>
        <v>42856.5</v>
      </c>
      <c r="O934" s="17">
        <v>42867</v>
      </c>
      <c r="P934" s="17">
        <v>42873</v>
      </c>
      <c r="Q934" s="17">
        <v>42873</v>
      </c>
      <c r="R934" s="17">
        <v>42870</v>
      </c>
      <c r="S934" s="17">
        <v>42870</v>
      </c>
      <c r="T934" s="686">
        <v>42880</v>
      </c>
      <c r="U934" s="18">
        <f>РПЗ!P934</f>
        <v>42887.5</v>
      </c>
      <c r="V934" s="686">
        <v>42887</v>
      </c>
      <c r="W934" s="236">
        <f>РПЗ!L934</f>
        <v>716111.66</v>
      </c>
      <c r="X934" s="689">
        <v>2</v>
      </c>
      <c r="Y934" s="689">
        <v>0</v>
      </c>
      <c r="Z934" s="691">
        <v>7706307815</v>
      </c>
      <c r="AA934" s="691" t="s">
        <v>6085</v>
      </c>
      <c r="AB934" s="111">
        <v>644366.35</v>
      </c>
      <c r="AC934" s="17">
        <v>42887</v>
      </c>
      <c r="AD934" s="690" t="s">
        <v>6086</v>
      </c>
      <c r="AE934" s="686">
        <v>42880</v>
      </c>
      <c r="AF934" s="474"/>
      <c r="AG934" s="692">
        <v>644366.35</v>
      </c>
      <c r="AH934" s="236">
        <f>IF(Таблица5[[#This Row],[30]]=0,"НД",Таблица5[[#This Row],[20]]-Таблица5[[#This Row],[30]])</f>
        <v>71745.310000000056</v>
      </c>
      <c r="AI934" s="511">
        <f>IF(((1-Таблица5[[#This Row],[30]]/Таблица5[[#This Row],[20]])=1),"НД",(1-Таблица5[[#This Row],[30]]/Таблица5[[#This Row],[20]]))</f>
        <v>0.10018732274237796</v>
      </c>
      <c r="AJ934" s="111">
        <v>644366.35</v>
      </c>
      <c r="AK934" s="111"/>
      <c r="AL934" s="512"/>
      <c r="AM934" s="513" t="s">
        <v>113</v>
      </c>
      <c r="AN934" s="801">
        <v>31705080527</v>
      </c>
      <c r="AO934" s="468" t="str">
        <f>РПЗ!AD934</f>
        <v>Нет</v>
      </c>
      <c r="AP934" s="472">
        <f>РПЗ!V934</f>
        <v>0</v>
      </c>
      <c r="AQ934" s="470">
        <f>IF(Таблица5[[#This Row],[11]]=0,,MONTH(Таблица5[[#This Row],[11]]))</f>
        <v>5</v>
      </c>
    </row>
    <row r="935" spans="1:43" ht="38.25" x14ac:dyDescent="0.25">
      <c r="A935" s="233" t="str">
        <f t="shared" si="14"/>
        <v>1004-2017-00920</v>
      </c>
      <c r="B935" s="233" t="str">
        <f>РПЗ!$D935</f>
        <v>1004-2017-00920 Поставка Расходные материалы для монтажа сплит-систем</v>
      </c>
      <c r="C935" s="233" t="str">
        <f>РПЗ!$AA935</f>
        <v>АО "НИИ "Полюс" им. М.Ф. Стельмаха" тел. отдела закупок 8-495-333-05-02</v>
      </c>
      <c r="D935" s="870" t="str">
        <f>РПЗ!$AB935</f>
        <v>Заказчик</v>
      </c>
      <c r="E935" s="510" t="s">
        <v>59</v>
      </c>
      <c r="F935" s="233" t="str">
        <f>РПЗ!Q935</f>
        <v>ОЗК</v>
      </c>
      <c r="G935" s="237" t="str">
        <f>Таблица5[[#This Row],[6]]</f>
        <v>ОЗК</v>
      </c>
      <c r="H935" s="237" t="str">
        <f>РПЗ!R935</f>
        <v>да</v>
      </c>
      <c r="I935" s="15">
        <f>РПЗ!W935</f>
        <v>0</v>
      </c>
      <c r="J935" s="233">
        <f>РПЗ!X935</f>
        <v>0</v>
      </c>
      <c r="K935" s="283">
        <f>РПЗ!Z935</f>
        <v>0</v>
      </c>
      <c r="L935" s="17">
        <v>42872</v>
      </c>
      <c r="M935" s="18">
        <f>РПЗ!O935</f>
        <v>42856.5</v>
      </c>
      <c r="N935" s="238">
        <f>Таблица5[[#This Row],[10]]</f>
        <v>42856.5</v>
      </c>
      <c r="O935" s="17">
        <v>42879</v>
      </c>
      <c r="P935" s="17">
        <v>42884</v>
      </c>
      <c r="Q935" s="17">
        <v>42884</v>
      </c>
      <c r="R935" s="17">
        <v>42884</v>
      </c>
      <c r="S935" s="17">
        <v>42884</v>
      </c>
      <c r="T935" s="686"/>
      <c r="U935" s="18">
        <f>РПЗ!P935</f>
        <v>42887.5</v>
      </c>
      <c r="V935" s="686"/>
      <c r="W935" s="236">
        <f>РПЗ!L935</f>
        <v>371059.57</v>
      </c>
      <c r="X935" s="689">
        <v>0</v>
      </c>
      <c r="Y935" s="689">
        <v>0</v>
      </c>
      <c r="Z935" s="690"/>
      <c r="AA935" s="691"/>
      <c r="AB935" s="111"/>
      <c r="AC935" s="17"/>
      <c r="AD935" s="690"/>
      <c r="AE935" s="686"/>
      <c r="AF935" s="474"/>
      <c r="AG935" s="692"/>
      <c r="AH935" s="236" t="str">
        <f>IF(Таблица5[[#This Row],[30]]=0,"НД",Таблица5[[#This Row],[20]]-Таблица5[[#This Row],[30]])</f>
        <v>НД</v>
      </c>
      <c r="AI935" s="511" t="str">
        <f>IF(((1-Таблица5[[#This Row],[30]]/Таблица5[[#This Row],[20]])=1),"НД",(1-Таблица5[[#This Row],[30]]/Таблица5[[#This Row],[20]]))</f>
        <v>НД</v>
      </c>
      <c r="AJ935" s="111"/>
      <c r="AK935" s="111"/>
      <c r="AL935" s="512"/>
      <c r="AM935" s="513"/>
      <c r="AN935" s="465"/>
      <c r="AO935" s="468" t="str">
        <f>РПЗ!AD935</f>
        <v>Нет</v>
      </c>
      <c r="AP935" s="472">
        <f>РПЗ!V935</f>
        <v>0</v>
      </c>
      <c r="AQ935" s="470">
        <f>IF(Таблица5[[#This Row],[11]]=0,,MONTH(Таблица5[[#This Row],[11]]))</f>
        <v>5</v>
      </c>
    </row>
    <row r="936" spans="1:43" ht="39" thickBot="1" x14ac:dyDescent="0.3">
      <c r="A936" s="233" t="str">
        <f t="shared" si="14"/>
        <v>1004-2017-00921</v>
      </c>
      <c r="B936" s="233" t="str">
        <f>РПЗ!$D936</f>
        <v>1004-2017-00921 Поставка Транзисторы          2Т354Б1-2</v>
      </c>
      <c r="C936" s="233" t="str">
        <f>РПЗ!$AA936</f>
        <v>АО "НИИ "Полюс" им. М.Ф. Стельмаха" тел. отдела закупок 8-495-333-05-02</v>
      </c>
      <c r="D936" s="870" t="str">
        <f>РПЗ!$AB936</f>
        <v>Заказчик</v>
      </c>
      <c r="E936" s="510" t="s">
        <v>62</v>
      </c>
      <c r="F936" s="233" t="str">
        <f>РПЗ!Q936</f>
        <v>ЕП</v>
      </c>
      <c r="G936" s="237" t="str">
        <f>Таблица5[[#This Row],[6]]</f>
        <v>ЕП</v>
      </c>
      <c r="H936" s="237" t="str">
        <f>РПЗ!R936</f>
        <v>нет</v>
      </c>
      <c r="I936" s="15" t="str">
        <f>РПЗ!W936</f>
        <v>6.6.2(9)</v>
      </c>
      <c r="J936" s="233" t="str">
        <f>РПЗ!X936</f>
        <v>7733618993</v>
      </c>
      <c r="K936" s="283">
        <f>РПЗ!Z936</f>
        <v>298121.09999999998</v>
      </c>
      <c r="L936" s="17">
        <v>42852</v>
      </c>
      <c r="M936" s="18">
        <f>РПЗ!O936</f>
        <v>42856</v>
      </c>
      <c r="N936" s="238">
        <f>Таблица5[[#This Row],[10]]</f>
        <v>42856</v>
      </c>
      <c r="O936" s="17"/>
      <c r="P936" s="17"/>
      <c r="Q936" s="17"/>
      <c r="R936" s="17"/>
      <c r="S936" s="17"/>
      <c r="T936" s="686">
        <v>42866</v>
      </c>
      <c r="U936" s="18">
        <f>РПЗ!P936</f>
        <v>43070.5</v>
      </c>
      <c r="V936" s="686">
        <v>42948</v>
      </c>
      <c r="W936" s="236">
        <f>РПЗ!L936</f>
        <v>298121.09999999998</v>
      </c>
      <c r="X936" s="689">
        <v>1</v>
      </c>
      <c r="Y936" s="689">
        <v>0</v>
      </c>
      <c r="Z936" s="691">
        <v>7733618993</v>
      </c>
      <c r="AA936" s="691" t="s">
        <v>5089</v>
      </c>
      <c r="AB936" s="111">
        <v>298121.09999999998</v>
      </c>
      <c r="AC936" s="17">
        <v>42948</v>
      </c>
      <c r="AD936" s="690" t="s">
        <v>5090</v>
      </c>
      <c r="AE936" s="686">
        <v>42866</v>
      </c>
      <c r="AF936" s="474"/>
      <c r="AG936" s="692">
        <v>298121.09999999998</v>
      </c>
      <c r="AH936" s="236">
        <f>IF(Таблица5[[#This Row],[30]]=0,"НД",Таблица5[[#This Row],[20]]-Таблица5[[#This Row],[30]])</f>
        <v>0</v>
      </c>
      <c r="AI936" s="511">
        <f>IF(((1-Таблица5[[#This Row],[30]]/Таблица5[[#This Row],[20]])=1),"НД",(1-Таблица5[[#This Row],[30]]/Таблица5[[#This Row],[20]]))</f>
        <v>0</v>
      </c>
      <c r="AJ936" s="111"/>
      <c r="AK936" s="111"/>
      <c r="AL936" s="512"/>
      <c r="AM936" s="513" t="s">
        <v>113</v>
      </c>
      <c r="AN936" s="801">
        <v>31705088501</v>
      </c>
      <c r="AO936" s="468" t="str">
        <f>РПЗ!AD936</f>
        <v>Нет</v>
      </c>
      <c r="AP936" s="472">
        <f>РПЗ!V936</f>
        <v>0</v>
      </c>
      <c r="AQ936" s="470">
        <f>IF(Таблица5[[#This Row],[11]]=0,,MONTH(Таблица5[[#This Row],[11]]))</f>
        <v>5</v>
      </c>
    </row>
    <row r="937" spans="1:43" ht="38.25" x14ac:dyDescent="0.25">
      <c r="A937" s="233" t="str">
        <f t="shared" si="14"/>
        <v>1004-2017-00922</v>
      </c>
      <c r="B937" s="233" t="str">
        <f>РПЗ!$D937</f>
        <v>1004-2017-00922 Поставка Дроссель ДМ-0,1-100-5/5В</v>
      </c>
      <c r="C937" s="233" t="str">
        <f>РПЗ!$AA937</f>
        <v>АО "НИИ "Полюс" им. М.Ф. Стельмаха" тел. отдела закупок 8-495-333-05-02</v>
      </c>
      <c r="D937" s="870" t="str">
        <f>РПЗ!$AB937</f>
        <v>Заказчик</v>
      </c>
      <c r="E937" s="96" t="s">
        <v>46</v>
      </c>
      <c r="F937" s="233" t="str">
        <f>РПЗ!Q937</f>
        <v>ЕП</v>
      </c>
      <c r="G937" s="237"/>
      <c r="H937" s="237" t="str">
        <f>РПЗ!R937</f>
        <v>нет</v>
      </c>
      <c r="I937" s="15">
        <f>РПЗ!W937</f>
        <v>0</v>
      </c>
      <c r="J937" s="233">
        <f>РПЗ!X937</f>
        <v>0</v>
      </c>
      <c r="K937" s="283">
        <f>РПЗ!Z937</f>
        <v>0</v>
      </c>
      <c r="L937" s="17"/>
      <c r="M937" s="18">
        <f>РПЗ!O937</f>
        <v>42887</v>
      </c>
      <c r="N937" s="238">
        <f>Таблица5[[#This Row],[10]]</f>
        <v>42887</v>
      </c>
      <c r="O937" s="17"/>
      <c r="P937" s="17"/>
      <c r="Q937" s="17"/>
      <c r="R937" s="17"/>
      <c r="S937" s="17"/>
      <c r="T937" s="686"/>
      <c r="U937" s="18">
        <f>РПЗ!P937</f>
        <v>43070.5</v>
      </c>
      <c r="V937" s="686"/>
      <c r="W937" s="236">
        <f>РПЗ!L937</f>
        <v>157239.72</v>
      </c>
      <c r="X937" s="689"/>
      <c r="Y937" s="689"/>
      <c r="Z937" s="690"/>
      <c r="AA937" s="691"/>
      <c r="AB937" s="111"/>
      <c r="AC937" s="17"/>
      <c r="AD937" s="690"/>
      <c r="AE937" s="686"/>
      <c r="AF937" s="474"/>
      <c r="AG937" s="692"/>
      <c r="AH937" s="236" t="str">
        <f>IF(Таблица5[[#This Row],[30]]=0,"НД",Таблица5[[#This Row],[20]]-Таблица5[[#This Row],[30]])</f>
        <v>НД</v>
      </c>
      <c r="AI937" s="511" t="str">
        <f>IF(((1-Таблица5[[#This Row],[30]]/Таблица5[[#This Row],[20]])=1),"НД",(1-Таблица5[[#This Row],[30]]/Таблица5[[#This Row],[20]]))</f>
        <v>НД</v>
      </c>
      <c r="AJ937" s="111"/>
      <c r="AK937" s="111"/>
      <c r="AL937" s="512"/>
      <c r="AM937" s="513"/>
      <c r="AN937" s="465"/>
      <c r="AO937" s="468" t="str">
        <f>РПЗ!AD937</f>
        <v>Нет</v>
      </c>
      <c r="AP937" s="472">
        <f>РПЗ!V937</f>
        <v>0</v>
      </c>
      <c r="AQ937" s="470">
        <f>IF(Таблица5[[#This Row],[11]]=0,,MONTH(Таблица5[[#This Row],[11]]))</f>
        <v>6</v>
      </c>
    </row>
    <row r="938" spans="1:43" ht="38.25" x14ac:dyDescent="0.25">
      <c r="A938" s="233" t="str">
        <f t="shared" si="14"/>
        <v>1004-2017-00923</v>
      </c>
      <c r="B938" s="233" t="str">
        <f>РПЗ!$D938</f>
        <v>1004-2017-00923 Поставка Структура эпитаксиальная германиевая ЭГС-39-2а</v>
      </c>
      <c r="C938" s="233" t="str">
        <f>РПЗ!$AA938</f>
        <v>АО "НИИ "Полюс" им. М.Ф. Стельмаха" тел. отдела закупок 8-495-333-05-02</v>
      </c>
      <c r="D938" s="870" t="str">
        <f>РПЗ!$AB938</f>
        <v>Заказчик</v>
      </c>
      <c r="E938" s="510" t="s">
        <v>62</v>
      </c>
      <c r="F938" s="233" t="str">
        <f>РПЗ!Q938</f>
        <v>ЕП</v>
      </c>
      <c r="G938" s="237" t="str">
        <f>Таблица5[[#This Row],[6]]</f>
        <v>ЕП</v>
      </c>
      <c r="H938" s="237" t="str">
        <f>РПЗ!R938</f>
        <v>нет</v>
      </c>
      <c r="I938" s="15" t="str">
        <f>РПЗ!W938</f>
        <v>6.6.2(11)</v>
      </c>
      <c r="J938" s="233" t="str">
        <f>РПЗ!X938</f>
        <v>5003005609</v>
      </c>
      <c r="K938" s="283">
        <f>РПЗ!Z938</f>
        <v>1239000</v>
      </c>
      <c r="L938" s="17">
        <v>42844</v>
      </c>
      <c r="M938" s="18">
        <f>РПЗ!O938</f>
        <v>42887</v>
      </c>
      <c r="N938" s="238">
        <f>Таблица5[[#This Row],[10]]</f>
        <v>42887</v>
      </c>
      <c r="O938" s="17"/>
      <c r="P938" s="17"/>
      <c r="Q938" s="17"/>
      <c r="R938" s="17"/>
      <c r="S938" s="17"/>
      <c r="T938" s="686">
        <v>42866</v>
      </c>
      <c r="U938" s="18">
        <f>РПЗ!P938</f>
        <v>43070.5</v>
      </c>
      <c r="V938" s="686">
        <v>43070</v>
      </c>
      <c r="W938" s="236">
        <f>РПЗ!L938</f>
        <v>1239000</v>
      </c>
      <c r="X938" s="689">
        <v>1</v>
      </c>
      <c r="Y938" s="689">
        <v>0</v>
      </c>
      <c r="Z938" s="691">
        <v>5003005609</v>
      </c>
      <c r="AA938" s="691" t="s">
        <v>5069</v>
      </c>
      <c r="AB938" s="111">
        <v>1239000</v>
      </c>
      <c r="AC938" s="17">
        <v>43070</v>
      </c>
      <c r="AD938" s="690" t="s">
        <v>122</v>
      </c>
      <c r="AE938" s="686" t="s">
        <v>5070</v>
      </c>
      <c r="AF938" s="474"/>
      <c r="AG938" s="692">
        <v>1239000</v>
      </c>
      <c r="AH938" s="236">
        <f>IF(Таблица5[[#This Row],[30]]=0,"НД",Таблица5[[#This Row],[20]]-Таблица5[[#This Row],[30]])</f>
        <v>0</v>
      </c>
      <c r="AI938" s="511">
        <f>IF(((1-Таблица5[[#This Row],[30]]/Таблица5[[#This Row],[20]])=1),"НД",(1-Таблица5[[#This Row],[30]]/Таблица5[[#This Row],[20]]))</f>
        <v>0</v>
      </c>
      <c r="AJ938" s="111">
        <v>1239000</v>
      </c>
      <c r="AK938" s="111"/>
      <c r="AL938" s="512"/>
      <c r="AM938" s="513" t="s">
        <v>113</v>
      </c>
      <c r="AN938" s="801">
        <v>31705088488</v>
      </c>
      <c r="AO938" s="468" t="str">
        <f>РПЗ!AD938</f>
        <v>Нет</v>
      </c>
      <c r="AP938" s="472">
        <f>РПЗ!V938</f>
        <v>0</v>
      </c>
      <c r="AQ938" s="470">
        <f>IF(Таблица5[[#This Row],[11]]=0,,MONTH(Таблица5[[#This Row],[11]]))</f>
        <v>6</v>
      </c>
    </row>
    <row r="939" spans="1:43" ht="51" x14ac:dyDescent="0.25">
      <c r="A939" s="233" t="str">
        <f t="shared" si="14"/>
        <v>1004-2017-00924</v>
      </c>
      <c r="B939" s="233" t="str">
        <f>РПЗ!$D939</f>
        <v xml:space="preserve">1004-2017-00924 Поставка Модуль фоточувствительный  ЖГДК.432231.047 Излучатель ЖГДК. 433751.072 </v>
      </c>
      <c r="C939" s="233" t="str">
        <f>РПЗ!$AA939</f>
        <v>АО "НИИ "Полюс" им. М.Ф. Стельмаха" тел. отдела закупок 8-495-333-05-02</v>
      </c>
      <c r="D939" s="870" t="str">
        <f>РПЗ!$AB939</f>
        <v>Заказчик</v>
      </c>
      <c r="E939" s="510" t="s">
        <v>62</v>
      </c>
      <c r="F939" s="233" t="str">
        <f>РПЗ!Q939</f>
        <v>ЕП</v>
      </c>
      <c r="G939" s="237" t="str">
        <f>Таблица5[[#This Row],[6]]</f>
        <v>ЕП</v>
      </c>
      <c r="H939" s="237" t="str">
        <f>РПЗ!R939</f>
        <v>нет</v>
      </c>
      <c r="I939" s="15" t="str">
        <f>РПЗ!W939</f>
        <v>6.6.2(11)</v>
      </c>
      <c r="J939" s="233" t="str">
        <f>РПЗ!X939</f>
        <v>7729186525</v>
      </c>
      <c r="K939" s="283">
        <f>РПЗ!Z939</f>
        <v>1768251.6</v>
      </c>
      <c r="L939" s="17">
        <v>42891</v>
      </c>
      <c r="M939" s="18">
        <f>РПЗ!O939</f>
        <v>42887</v>
      </c>
      <c r="N939" s="238">
        <f>Таблица5[[#This Row],[10]]</f>
        <v>42887</v>
      </c>
      <c r="O939" s="17"/>
      <c r="P939" s="17"/>
      <c r="Q939" s="17"/>
      <c r="R939" s="17"/>
      <c r="S939" s="17"/>
      <c r="T939" s="686">
        <v>42893</v>
      </c>
      <c r="U939" s="18">
        <f>РПЗ!P939</f>
        <v>43070.5</v>
      </c>
      <c r="V939" s="686">
        <v>42917</v>
      </c>
      <c r="W939" s="236">
        <f>РПЗ!L939</f>
        <v>1768251.6</v>
      </c>
      <c r="X939" s="689">
        <v>1</v>
      </c>
      <c r="Y939" s="689">
        <v>0</v>
      </c>
      <c r="Z939" s="691">
        <v>7729186525</v>
      </c>
      <c r="AA939" s="691" t="s">
        <v>4823</v>
      </c>
      <c r="AB939" s="111">
        <v>1768251.6</v>
      </c>
      <c r="AC939" s="17">
        <v>42917</v>
      </c>
      <c r="AD939" s="690" t="s">
        <v>5936</v>
      </c>
      <c r="AE939" s="686">
        <v>42893</v>
      </c>
      <c r="AF939" s="474"/>
      <c r="AG939" s="692">
        <v>1768251.6</v>
      </c>
      <c r="AH939" s="236">
        <f>IF(Таблица5[[#This Row],[30]]=0,"НД",Таблица5[[#This Row],[20]]-Таблица5[[#This Row],[30]])</f>
        <v>0</v>
      </c>
      <c r="AI939" s="511">
        <f>IF(((1-Таблица5[[#This Row],[30]]/Таблица5[[#This Row],[20]])=1),"НД",(1-Таблица5[[#This Row],[30]]/Таблица5[[#This Row],[20]]))</f>
        <v>0</v>
      </c>
      <c r="AJ939" s="111">
        <v>1768251.6</v>
      </c>
      <c r="AK939" s="111"/>
      <c r="AL939" s="512"/>
      <c r="AM939" s="513" t="s">
        <v>113</v>
      </c>
      <c r="AN939" s="801">
        <v>31705195225</v>
      </c>
      <c r="AO939" s="468" t="str">
        <f>РПЗ!AD939</f>
        <v>Нет</v>
      </c>
      <c r="AP939" s="472" t="str">
        <f>РПЗ!V939</f>
        <v>ГОЗ</v>
      </c>
      <c r="AQ939" s="470">
        <f>IF(Таблица5[[#This Row],[11]]=0,,MONTH(Таблица5[[#This Row],[11]]))</f>
        <v>6</v>
      </c>
    </row>
    <row r="940" spans="1:43" ht="38.25" x14ac:dyDescent="0.25">
      <c r="A940" s="233" t="str">
        <f t="shared" si="14"/>
        <v>1004-2017-00925</v>
      </c>
      <c r="B940" s="233" t="str">
        <f>РПЗ!$D940</f>
        <v>1004-2017-00925 Поставка Структура эпитаксиальная германиевая ЭГС-39-2а</v>
      </c>
      <c r="C940" s="233" t="str">
        <f>РПЗ!$AA940</f>
        <v>АО "НИИ "Полюс" им. М.Ф. Стельмаха" тел. отдела закупок 8-495-333-05-02</v>
      </c>
      <c r="D940" s="870" t="str">
        <f>РПЗ!$AB940</f>
        <v>Заказчик</v>
      </c>
      <c r="E940" s="510" t="s">
        <v>62</v>
      </c>
      <c r="F940" s="233" t="str">
        <f>РПЗ!Q940</f>
        <v>ЕП</v>
      </c>
      <c r="G940" s="237" t="str">
        <f>Таблица5[[#This Row],[6]]</f>
        <v>ЕП</v>
      </c>
      <c r="H940" s="237" t="str">
        <f>РПЗ!R940</f>
        <v>нет</v>
      </c>
      <c r="I940" s="15" t="str">
        <f>РПЗ!W940</f>
        <v>6.6.2(11)</v>
      </c>
      <c r="J940" s="233" t="str">
        <f>РПЗ!X940</f>
        <v>5003005609</v>
      </c>
      <c r="K940" s="283">
        <f>РПЗ!Z940</f>
        <v>1062000</v>
      </c>
      <c r="L940" s="17">
        <v>42857</v>
      </c>
      <c r="M940" s="18">
        <f>РПЗ!O940</f>
        <v>42887</v>
      </c>
      <c r="N940" s="238">
        <f>Таблица5[[#This Row],[10]]</f>
        <v>42887</v>
      </c>
      <c r="O940" s="17"/>
      <c r="P940" s="17"/>
      <c r="Q940" s="17"/>
      <c r="R940" s="17"/>
      <c r="S940" s="17"/>
      <c r="T940" s="686">
        <v>42859</v>
      </c>
      <c r="U940" s="18">
        <f>РПЗ!P940</f>
        <v>43070.5</v>
      </c>
      <c r="V940" s="686">
        <v>42887</v>
      </c>
      <c r="W940" s="236">
        <f>РПЗ!L940</f>
        <v>1062000</v>
      </c>
      <c r="X940" s="689">
        <v>1</v>
      </c>
      <c r="Y940" s="689">
        <v>0</v>
      </c>
      <c r="Z940" s="691">
        <v>5003005609</v>
      </c>
      <c r="AA940" s="691" t="s">
        <v>5120</v>
      </c>
      <c r="AB940" s="111">
        <v>1062000</v>
      </c>
      <c r="AC940" s="17">
        <v>42887</v>
      </c>
      <c r="AD940" s="690" t="s">
        <v>5121</v>
      </c>
      <c r="AE940" s="686">
        <v>42859</v>
      </c>
      <c r="AF940" s="474"/>
      <c r="AG940" s="692">
        <v>1062000</v>
      </c>
      <c r="AH940" s="236">
        <f>IF(Таблица5[[#This Row],[30]]=0,"НД",Таблица5[[#This Row],[20]]-Таблица5[[#This Row],[30]])</f>
        <v>0</v>
      </c>
      <c r="AI940" s="511">
        <f>IF(((1-Таблица5[[#This Row],[30]]/Таблица5[[#This Row],[20]])=1),"НД",(1-Таблица5[[#This Row],[30]]/Таблица5[[#This Row],[20]]))</f>
        <v>0</v>
      </c>
      <c r="AJ940" s="111"/>
      <c r="AK940" s="111"/>
      <c r="AL940" s="512"/>
      <c r="AM940" s="513" t="s">
        <v>113</v>
      </c>
      <c r="AN940" s="801">
        <v>31705079841</v>
      </c>
      <c r="AO940" s="468" t="str">
        <f>РПЗ!AD940</f>
        <v>Нет</v>
      </c>
      <c r="AP940" s="472">
        <f>РПЗ!V940</f>
        <v>0</v>
      </c>
      <c r="AQ940" s="470">
        <f>IF(Таблица5[[#This Row],[11]]=0,,MONTH(Таблица5[[#This Row],[11]]))</f>
        <v>6</v>
      </c>
    </row>
    <row r="941" spans="1:43" ht="51" x14ac:dyDescent="0.25">
      <c r="A941" s="233" t="str">
        <f t="shared" si="14"/>
        <v>1004-2017-00926</v>
      </c>
      <c r="B941" s="233" t="str">
        <f>РПЗ!$D941</f>
        <v>1004-2017-00926 Поставка Кристалл ЖГДК.432245.006</v>
      </c>
      <c r="C941" s="233" t="str">
        <f>РПЗ!$AA941</f>
        <v>АО "НИИ "Полюс" им. М.Ф. Стельмаха" тел. отдела закупок 8-495-333-05-02</v>
      </c>
      <c r="D941" s="870" t="str">
        <f>РПЗ!$AB941</f>
        <v>Заказчик</v>
      </c>
      <c r="E941" s="510" t="s">
        <v>62</v>
      </c>
      <c r="F941" s="233" t="str">
        <f>РПЗ!Q941</f>
        <v>ЕП</v>
      </c>
      <c r="G941" s="237" t="str">
        <f>Таблица5[[#This Row],[6]]</f>
        <v>ЕП</v>
      </c>
      <c r="H941" s="237" t="str">
        <f>РПЗ!R941</f>
        <v>нет</v>
      </c>
      <c r="I941" s="15" t="str">
        <f>РПЗ!W941</f>
        <v>6.6.2(11)</v>
      </c>
      <c r="J941" s="233" t="str">
        <f>РПЗ!X941</f>
        <v>4026000108</v>
      </c>
      <c r="K941" s="283">
        <f>РПЗ!Z941</f>
        <v>261252</v>
      </c>
      <c r="L941" s="17">
        <v>42901</v>
      </c>
      <c r="M941" s="18">
        <f>РПЗ!O941</f>
        <v>42887.5</v>
      </c>
      <c r="N941" s="238">
        <f>Таблица5[[#This Row],[10]]</f>
        <v>42887.5</v>
      </c>
      <c r="O941" s="17"/>
      <c r="P941" s="17"/>
      <c r="Q941" s="17"/>
      <c r="R941" s="17"/>
      <c r="S941" s="17"/>
      <c r="T941" s="686">
        <v>42912</v>
      </c>
      <c r="U941" s="18">
        <f>РПЗ!P941</f>
        <v>43070.5</v>
      </c>
      <c r="V941" s="686">
        <v>43070</v>
      </c>
      <c r="W941" s="236">
        <f>РПЗ!L941</f>
        <v>261252</v>
      </c>
      <c r="X941" s="689">
        <v>1</v>
      </c>
      <c r="Y941" s="689">
        <v>0</v>
      </c>
      <c r="Z941" s="691">
        <v>4026000108</v>
      </c>
      <c r="AA941" s="691" t="s">
        <v>5084</v>
      </c>
      <c r="AB941" s="111">
        <v>261252</v>
      </c>
      <c r="AC941" s="17">
        <v>43070</v>
      </c>
      <c r="AD941" s="690" t="s">
        <v>5953</v>
      </c>
      <c r="AE941" s="686">
        <v>42912</v>
      </c>
      <c r="AF941" s="474"/>
      <c r="AG941" s="692">
        <v>261252</v>
      </c>
      <c r="AH941" s="236">
        <f>IF(Таблица5[[#This Row],[30]]=0,"НД",Таблица5[[#This Row],[20]]-Таблица5[[#This Row],[30]])</f>
        <v>0</v>
      </c>
      <c r="AI941" s="511">
        <f>IF(((1-Таблица5[[#This Row],[30]]/Таблица5[[#This Row],[20]])=1),"НД",(1-Таблица5[[#This Row],[30]]/Таблица5[[#This Row],[20]]))</f>
        <v>0</v>
      </c>
      <c r="AJ941" s="111"/>
      <c r="AK941" s="111"/>
      <c r="AL941" s="512"/>
      <c r="AM941" s="513" t="s">
        <v>113</v>
      </c>
      <c r="AN941" s="465">
        <v>31705229257</v>
      </c>
      <c r="AO941" s="468" t="str">
        <f>РПЗ!AD941</f>
        <v>Нет</v>
      </c>
      <c r="AP941" s="472" t="str">
        <f>РПЗ!V941</f>
        <v>ГОЗ</v>
      </c>
      <c r="AQ941" s="470">
        <f>IF(Таблица5[[#This Row],[11]]=0,,MONTH(Таблица5[[#This Row],[11]]))</f>
        <v>6</v>
      </c>
    </row>
    <row r="942" spans="1:43" ht="51" x14ac:dyDescent="0.25">
      <c r="A942" s="233" t="str">
        <f t="shared" si="14"/>
        <v>1004-2017-00927</v>
      </c>
      <c r="B942" s="233" t="str">
        <f>РПЗ!$D942</f>
        <v>1004-2017-00927 Поставка Кристалл ЖГДК.432245.006</v>
      </c>
      <c r="C942" s="233" t="str">
        <f>РПЗ!$AA942</f>
        <v>АО "НИИ "Полюс" им. М.Ф. Стельмаха" тел. отдела закупок 8-495-333-05-02</v>
      </c>
      <c r="D942" s="870" t="str">
        <f>РПЗ!$AB942</f>
        <v>Заказчик</v>
      </c>
      <c r="E942" s="510" t="s">
        <v>62</v>
      </c>
      <c r="F942" s="233" t="str">
        <f>РПЗ!Q942</f>
        <v>ЕП</v>
      </c>
      <c r="G942" s="237" t="str">
        <f>Таблица5[[#This Row],[6]]</f>
        <v>ЕП</v>
      </c>
      <c r="H942" s="237" t="str">
        <f>РПЗ!R942</f>
        <v>нет</v>
      </c>
      <c r="I942" s="15" t="str">
        <f>РПЗ!W942</f>
        <v>6.6.2(11)</v>
      </c>
      <c r="J942" s="233" t="str">
        <f>РПЗ!X942</f>
        <v>4026000108</v>
      </c>
      <c r="K942" s="283">
        <f>РПЗ!Z942</f>
        <v>0</v>
      </c>
      <c r="L942" s="17">
        <v>43031</v>
      </c>
      <c r="M942" s="18">
        <f>РПЗ!O942</f>
        <v>43009.625</v>
      </c>
      <c r="N942" s="238">
        <f>Таблица5[[#This Row],[10]]</f>
        <v>43009.625</v>
      </c>
      <c r="O942" s="17"/>
      <c r="P942" s="17"/>
      <c r="Q942" s="17"/>
      <c r="R942" s="17"/>
      <c r="S942" s="17"/>
      <c r="T942" s="686">
        <v>43047</v>
      </c>
      <c r="U942" s="18">
        <f>РПЗ!P942</f>
        <v>43070.5</v>
      </c>
      <c r="V942" s="686">
        <v>43039</v>
      </c>
      <c r="W942" s="236">
        <f>РПЗ!L942</f>
        <v>101598</v>
      </c>
      <c r="X942" s="689">
        <v>1</v>
      </c>
      <c r="Y942" s="689">
        <v>0</v>
      </c>
      <c r="Z942" s="691">
        <v>4026000108</v>
      </c>
      <c r="AA942" s="691" t="s">
        <v>5084</v>
      </c>
      <c r="AB942" s="111">
        <v>101598</v>
      </c>
      <c r="AC942" s="17">
        <v>43039</v>
      </c>
      <c r="AD942" s="690" t="s">
        <v>7281</v>
      </c>
      <c r="AE942" s="686">
        <v>43047</v>
      </c>
      <c r="AF942" s="474"/>
      <c r="AG942" s="692">
        <v>101598</v>
      </c>
      <c r="AH942" s="236">
        <f>IF(Таблица5[[#This Row],[30]]=0,"НД",Таблица5[[#This Row],[20]]-Таблица5[[#This Row],[30]])</f>
        <v>0</v>
      </c>
      <c r="AI942" s="511">
        <f>IF(((1-Таблица5[[#This Row],[30]]/Таблица5[[#This Row],[20]])=1),"НД",(1-Таблица5[[#This Row],[30]]/Таблица5[[#This Row],[20]]))</f>
        <v>0</v>
      </c>
      <c r="AJ942" s="111"/>
      <c r="AK942" s="111"/>
      <c r="AL942" s="512"/>
      <c r="AM942" s="513" t="s">
        <v>113</v>
      </c>
      <c r="AN942" s="801">
        <v>31705664969</v>
      </c>
      <c r="AO942" s="468" t="str">
        <f>РПЗ!AD942</f>
        <v>Нет</v>
      </c>
      <c r="AP942" s="472" t="str">
        <f>РПЗ!V942</f>
        <v>ГОЗ</v>
      </c>
      <c r="AQ942" s="470">
        <f>IF(Таблица5[[#This Row],[11]]=0,,MONTH(Таблица5[[#This Row],[11]]))</f>
        <v>10</v>
      </c>
    </row>
    <row r="943" spans="1:43" ht="51" x14ac:dyDescent="0.25">
      <c r="A943" s="233" t="str">
        <f t="shared" si="14"/>
        <v>1004-2017-00928</v>
      </c>
      <c r="B943" s="233" t="str">
        <f>РПЗ!$D943</f>
        <v>1004-2017-00928 Поставка Кристалл ЖГДК.432245.006</v>
      </c>
      <c r="C943" s="233" t="str">
        <f>РПЗ!$AA943</f>
        <v>АО "НИИ "Полюс" им. М.Ф. Стельмаха" тел. отдела закупок 8-495-333-05-02</v>
      </c>
      <c r="D943" s="870" t="str">
        <f>РПЗ!$AB943</f>
        <v>Заказчик</v>
      </c>
      <c r="E943" s="510" t="s">
        <v>62</v>
      </c>
      <c r="F943" s="233" t="str">
        <f>РПЗ!Q943</f>
        <v>ЕП</v>
      </c>
      <c r="G943" s="237" t="str">
        <f>Таблица5[[#This Row],[6]]</f>
        <v>ЕП</v>
      </c>
      <c r="H943" s="237" t="str">
        <f>РПЗ!R943</f>
        <v>нет</v>
      </c>
      <c r="I943" s="15" t="str">
        <f>РПЗ!W943</f>
        <v>6.6.2(11)</v>
      </c>
      <c r="J943" s="233" t="str">
        <f>РПЗ!X943</f>
        <v>4026000108</v>
      </c>
      <c r="K943" s="283">
        <f>РПЗ!Z943</f>
        <v>478962</v>
      </c>
      <c r="L943" s="17">
        <v>42901</v>
      </c>
      <c r="M943" s="18">
        <f>РПЗ!O943</f>
        <v>42887.5</v>
      </c>
      <c r="N943" s="238">
        <f>Таблица5[[#This Row],[10]]</f>
        <v>42887.5</v>
      </c>
      <c r="O943" s="17"/>
      <c r="P943" s="17"/>
      <c r="Q943" s="17"/>
      <c r="R943" s="17"/>
      <c r="S943" s="17"/>
      <c r="T943" s="686">
        <v>42912</v>
      </c>
      <c r="U943" s="18">
        <f>РПЗ!P943</f>
        <v>43070.5</v>
      </c>
      <c r="V943" s="686">
        <v>43070</v>
      </c>
      <c r="W943" s="236">
        <f>РПЗ!L943</f>
        <v>478962</v>
      </c>
      <c r="X943" s="689">
        <v>1</v>
      </c>
      <c r="Y943" s="689">
        <v>0</v>
      </c>
      <c r="Z943" s="691">
        <v>4026000108</v>
      </c>
      <c r="AA943" s="691" t="s">
        <v>5084</v>
      </c>
      <c r="AB943" s="111">
        <v>478962</v>
      </c>
      <c r="AC943" s="17">
        <v>43070</v>
      </c>
      <c r="AD943" s="690" t="s">
        <v>5955</v>
      </c>
      <c r="AE943" s="686">
        <v>42912</v>
      </c>
      <c r="AF943" s="474"/>
      <c r="AG943" s="692">
        <v>478962</v>
      </c>
      <c r="AH943" s="236">
        <f>IF(Таблица5[[#This Row],[30]]=0,"НД",Таблица5[[#This Row],[20]]-Таблица5[[#This Row],[30]])</f>
        <v>0</v>
      </c>
      <c r="AI943" s="511">
        <f>IF(((1-Таблица5[[#This Row],[30]]/Таблица5[[#This Row],[20]])=1),"НД",(1-Таблица5[[#This Row],[30]]/Таблица5[[#This Row],[20]]))</f>
        <v>0</v>
      </c>
      <c r="AJ943" s="111"/>
      <c r="AK943" s="111"/>
      <c r="AL943" s="512"/>
      <c r="AM943" s="513" t="s">
        <v>113</v>
      </c>
      <c r="AN943" s="801">
        <v>31705229479</v>
      </c>
      <c r="AO943" s="468" t="str">
        <f>РПЗ!AD943</f>
        <v>Нет</v>
      </c>
      <c r="AP943" s="472" t="str">
        <f>РПЗ!V943</f>
        <v>ГОЗ</v>
      </c>
      <c r="AQ943" s="470">
        <f>IF(Таблица5[[#This Row],[11]]=0,,MONTH(Таблица5[[#This Row],[11]]))</f>
        <v>6</v>
      </c>
    </row>
    <row r="944" spans="1:43" ht="51" x14ac:dyDescent="0.25">
      <c r="A944" s="233" t="str">
        <f t="shared" si="14"/>
        <v>1004-2017-00929</v>
      </c>
      <c r="B944" s="233" t="str">
        <f>РПЗ!$D944</f>
        <v>1004-2017-00929 Поставка Кристалл ЖГДК.432245.006</v>
      </c>
      <c r="C944" s="233" t="str">
        <f>РПЗ!$AA944</f>
        <v>АО "НИИ "Полюс" им. М.Ф. Стельмаха" тел. отдела закупок 8-495-333-05-02</v>
      </c>
      <c r="D944" s="870" t="str">
        <f>РПЗ!$AB944</f>
        <v>Заказчик</v>
      </c>
      <c r="E944" s="510" t="s">
        <v>62</v>
      </c>
      <c r="F944" s="233" t="str">
        <f>РПЗ!Q944</f>
        <v>ЕП</v>
      </c>
      <c r="G944" s="237" t="str">
        <f>Таблица5[[#This Row],[6]]</f>
        <v>ЕП</v>
      </c>
      <c r="H944" s="237" t="str">
        <f>РПЗ!R944</f>
        <v>нет</v>
      </c>
      <c r="I944" s="15" t="str">
        <f>РПЗ!W944</f>
        <v>6.6.2(11)</v>
      </c>
      <c r="J944" s="233" t="str">
        <f>РПЗ!X944</f>
        <v>4026000108</v>
      </c>
      <c r="K944" s="283">
        <f>РПЗ!Z944</f>
        <v>1059522</v>
      </c>
      <c r="L944" s="17">
        <v>42901</v>
      </c>
      <c r="M944" s="18">
        <f>РПЗ!O944</f>
        <v>42887.5</v>
      </c>
      <c r="N944" s="238">
        <f>Таблица5[[#This Row],[10]]</f>
        <v>42887.5</v>
      </c>
      <c r="O944" s="17"/>
      <c r="P944" s="17"/>
      <c r="Q944" s="17"/>
      <c r="R944" s="17"/>
      <c r="S944" s="17"/>
      <c r="T944" s="686">
        <v>42912</v>
      </c>
      <c r="U944" s="18">
        <f>РПЗ!P944</f>
        <v>43070.5</v>
      </c>
      <c r="V944" s="686">
        <v>43070</v>
      </c>
      <c r="W944" s="236">
        <f>РПЗ!L944</f>
        <v>1059522</v>
      </c>
      <c r="X944" s="689">
        <v>1</v>
      </c>
      <c r="Y944" s="689">
        <v>0</v>
      </c>
      <c r="Z944" s="691">
        <v>4026000108</v>
      </c>
      <c r="AA944" s="691" t="s">
        <v>5084</v>
      </c>
      <c r="AB944" s="111">
        <v>1059522</v>
      </c>
      <c r="AC944" s="17">
        <v>43070</v>
      </c>
      <c r="AD944" s="690" t="s">
        <v>5954</v>
      </c>
      <c r="AE944" s="686">
        <v>42912</v>
      </c>
      <c r="AF944" s="474"/>
      <c r="AG944" s="692">
        <v>1059522</v>
      </c>
      <c r="AH944" s="236">
        <f>IF(Таблица5[[#This Row],[30]]=0,"НД",Таблица5[[#This Row],[20]]-Таблица5[[#This Row],[30]])</f>
        <v>0</v>
      </c>
      <c r="AI944" s="511">
        <f>IF(((1-Таблица5[[#This Row],[30]]/Таблица5[[#This Row],[20]])=1),"НД",(1-Таблица5[[#This Row],[30]]/Таблица5[[#This Row],[20]]))</f>
        <v>0</v>
      </c>
      <c r="AJ944" s="111"/>
      <c r="AK944" s="111"/>
      <c r="AL944" s="512"/>
      <c r="AM944" s="513" t="s">
        <v>113</v>
      </c>
      <c r="AN944" s="465">
        <v>31705231716</v>
      </c>
      <c r="AO944" s="468" t="str">
        <f>РПЗ!AD944</f>
        <v>Нет</v>
      </c>
      <c r="AP944" s="472" t="str">
        <f>РПЗ!V944</f>
        <v>ГОЗ</v>
      </c>
      <c r="AQ944" s="470">
        <f>IF(Таблица5[[#This Row],[11]]=0,,MONTH(Таблица5[[#This Row],[11]]))</f>
        <v>6</v>
      </c>
    </row>
    <row r="945" spans="1:43" ht="51" x14ac:dyDescent="0.25">
      <c r="A945" s="233" t="str">
        <f t="shared" si="14"/>
        <v>1004-2017-00930</v>
      </c>
      <c r="B945" s="233" t="str">
        <f>РПЗ!$D945</f>
        <v>1004-2017-00930 Поставка Кристалл ЖГДК.432245.006</v>
      </c>
      <c r="C945" s="233" t="str">
        <f>РПЗ!$AA945</f>
        <v>АО "НИИ "Полюс" им. М.Ф. Стельмаха" тел. отдела закупок 8-495-333-05-02</v>
      </c>
      <c r="D945" s="870" t="str">
        <f>РПЗ!$AB945</f>
        <v>Заказчик</v>
      </c>
      <c r="E945" s="510" t="s">
        <v>62</v>
      </c>
      <c r="F945" s="233" t="str">
        <f>РПЗ!Q945</f>
        <v>ЕП</v>
      </c>
      <c r="G945" s="237" t="str">
        <f>Таблица5[[#This Row],[6]]</f>
        <v>ЕП</v>
      </c>
      <c r="H945" s="237" t="str">
        <f>РПЗ!R945</f>
        <v>нет</v>
      </c>
      <c r="I945" s="15" t="str">
        <f>РПЗ!W945</f>
        <v>6.6.2(11)</v>
      </c>
      <c r="J945" s="233" t="str">
        <f>РПЗ!X945</f>
        <v>4026000108</v>
      </c>
      <c r="K945" s="283">
        <f>РПЗ!Z945</f>
        <v>1596540</v>
      </c>
      <c r="L945" s="17">
        <v>43018</v>
      </c>
      <c r="M945" s="18">
        <f>РПЗ!O945</f>
        <v>43040.5</v>
      </c>
      <c r="N945" s="238">
        <f>Таблица5[[#This Row],[10]]</f>
        <v>43040.5</v>
      </c>
      <c r="O945" s="17"/>
      <c r="P945" s="17"/>
      <c r="Q945" s="17"/>
      <c r="R945" s="17"/>
      <c r="S945" s="17"/>
      <c r="T945" s="686">
        <v>43042</v>
      </c>
      <c r="U945" s="18">
        <f>РПЗ!P945</f>
        <v>43070.5</v>
      </c>
      <c r="V945" s="686">
        <v>43100</v>
      </c>
      <c r="W945" s="236">
        <f>РПЗ!L945</f>
        <v>1596540</v>
      </c>
      <c r="X945" s="689">
        <v>1</v>
      </c>
      <c r="Y945" s="689">
        <v>0</v>
      </c>
      <c r="Z945" s="691">
        <v>4026000108</v>
      </c>
      <c r="AA945" s="691" t="s">
        <v>5084</v>
      </c>
      <c r="AB945" s="111">
        <v>1596540</v>
      </c>
      <c r="AC945" s="17">
        <v>43100</v>
      </c>
      <c r="AD945" s="690" t="s">
        <v>7665</v>
      </c>
      <c r="AE945" s="686">
        <v>43042</v>
      </c>
      <c r="AF945" s="474"/>
      <c r="AG945" s="692">
        <v>1596540</v>
      </c>
      <c r="AH945" s="236">
        <f>IF(Таблица5[[#This Row],[30]]=0,"НД",Таблица5[[#This Row],[20]]-Таблица5[[#This Row],[30]])</f>
        <v>0</v>
      </c>
      <c r="AI945" s="511">
        <f>IF(((1-Таблица5[[#This Row],[30]]/Таблица5[[#This Row],[20]])=1),"НД",(1-Таблица5[[#This Row],[30]]/Таблица5[[#This Row],[20]]))</f>
        <v>0</v>
      </c>
      <c r="AJ945" s="111"/>
      <c r="AK945" s="111"/>
      <c r="AL945" s="512"/>
      <c r="AM945" s="513" t="s">
        <v>113</v>
      </c>
      <c r="AN945" s="801">
        <v>31705615051</v>
      </c>
      <c r="AO945" s="468" t="str">
        <f>РПЗ!AD945</f>
        <v>Нет</v>
      </c>
      <c r="AP945" s="472" t="str">
        <f>РПЗ!V945</f>
        <v>ГОЗ</v>
      </c>
      <c r="AQ945" s="470">
        <f>IF(Таблица5[[#This Row],[11]]=0,,MONTH(Таблица5[[#This Row],[11]]))</f>
        <v>11</v>
      </c>
    </row>
    <row r="946" spans="1:43" ht="38.25" x14ac:dyDescent="0.25">
      <c r="A946" s="233" t="str">
        <f t="shared" si="14"/>
        <v>1004-2017-00931</v>
      </c>
      <c r="B946" s="233" t="str">
        <f>РПЗ!$D946</f>
        <v>1004-2017-00931 Поставка Печатные платы ЖГДК.758773.011</v>
      </c>
      <c r="C946" s="233" t="str">
        <f>РПЗ!$AA946</f>
        <v>АО "НИИ "Полюс" им. М.Ф. Стельмаха" тел. отдела закупок 8-495-333-05-02</v>
      </c>
      <c r="D946" s="870" t="str">
        <f>РПЗ!$AB946</f>
        <v>Заказчик</v>
      </c>
      <c r="E946" s="510" t="s">
        <v>62</v>
      </c>
      <c r="F946" s="233" t="str">
        <f>РПЗ!Q946</f>
        <v>ЕП</v>
      </c>
      <c r="G946" s="237" t="str">
        <f>Таблица5[[#This Row],[6]]</f>
        <v>ЕП</v>
      </c>
      <c r="H946" s="237" t="str">
        <f>РПЗ!R946</f>
        <v>нет</v>
      </c>
      <c r="I946" s="15" t="str">
        <f>РПЗ!W946</f>
        <v>6.6.2(11)</v>
      </c>
      <c r="J946" s="233" t="str">
        <f>РПЗ!X946</f>
        <v>1831079259</v>
      </c>
      <c r="K946" s="283">
        <f>РПЗ!Z946</f>
        <v>0</v>
      </c>
      <c r="L946" s="17">
        <v>42887</v>
      </c>
      <c r="M946" s="18">
        <f>РПЗ!O946</f>
        <v>42887.5</v>
      </c>
      <c r="N946" s="238">
        <f>Таблица5[[#This Row],[10]]</f>
        <v>42887.5</v>
      </c>
      <c r="O946" s="17"/>
      <c r="P946" s="17"/>
      <c r="Q946" s="17"/>
      <c r="R946" s="17"/>
      <c r="S946" s="17"/>
      <c r="T946" s="686">
        <v>42899</v>
      </c>
      <c r="U946" s="18">
        <f>РПЗ!P946</f>
        <v>43070.5</v>
      </c>
      <c r="V946" s="686">
        <v>43070</v>
      </c>
      <c r="W946" s="236">
        <f>РПЗ!L946</f>
        <v>678547.2</v>
      </c>
      <c r="X946" s="689">
        <v>1</v>
      </c>
      <c r="Y946" s="689">
        <v>0</v>
      </c>
      <c r="Z946" s="691">
        <v>1831079259</v>
      </c>
      <c r="AA946" s="691" t="s">
        <v>5923</v>
      </c>
      <c r="AB946" s="111">
        <v>678547.2</v>
      </c>
      <c r="AC946" s="17">
        <v>43070</v>
      </c>
      <c r="AD946" s="690" t="s">
        <v>5925</v>
      </c>
      <c r="AE946" s="686">
        <v>42899</v>
      </c>
      <c r="AF946" s="474"/>
      <c r="AG946" s="692">
        <v>678547.2</v>
      </c>
      <c r="AH946" s="236">
        <f>IF(Таблица5[[#This Row],[30]]=0,"НД",Таблица5[[#This Row],[20]]-Таблица5[[#This Row],[30]])</f>
        <v>0</v>
      </c>
      <c r="AI946" s="511">
        <f>IF(((1-Таблица5[[#This Row],[30]]/Таблица5[[#This Row],[20]])=1),"НД",(1-Таблица5[[#This Row],[30]]/Таблица5[[#This Row],[20]]))</f>
        <v>0</v>
      </c>
      <c r="AJ946" s="111"/>
      <c r="AK946" s="111"/>
      <c r="AL946" s="512"/>
      <c r="AM946" s="513" t="s">
        <v>113</v>
      </c>
      <c r="AN946" s="801">
        <v>31705185977</v>
      </c>
      <c r="AO946" s="468" t="str">
        <f>РПЗ!AD946</f>
        <v>Нет</v>
      </c>
      <c r="AP946" s="472" t="str">
        <f>РПЗ!V946</f>
        <v>ГОЗ</v>
      </c>
      <c r="AQ946" s="470">
        <f>IF(Таблица5[[#This Row],[11]]=0,,MONTH(Таблица5[[#This Row],[11]]))</f>
        <v>6</v>
      </c>
    </row>
    <row r="947" spans="1:43" ht="38.25" x14ac:dyDescent="0.25">
      <c r="A947" s="233" t="str">
        <f t="shared" ref="A947:A1011" si="15">INDEX(Диапазон1,ROW(), COLUMN())</f>
        <v>1004-2017-00932</v>
      </c>
      <c r="B947" s="233" t="str">
        <f>РПЗ!$D947</f>
        <v>1004-2017-00932 Поставка Печатные платы ЖГДК.758773.011</v>
      </c>
      <c r="C947" s="233" t="str">
        <f>РПЗ!$AA947</f>
        <v>АО "НИИ "Полюс" им. М.Ф. Стельмаха" тел. отдела закупок 8-495-333-05-02</v>
      </c>
      <c r="D947" s="870" t="str">
        <f>РПЗ!$AB947</f>
        <v>Заказчик</v>
      </c>
      <c r="E947" s="510" t="s">
        <v>62</v>
      </c>
      <c r="F947" s="233" t="str">
        <f>РПЗ!Q947</f>
        <v>ЕП</v>
      </c>
      <c r="G947" s="237" t="str">
        <f>Таблица5[[#This Row],[6]]</f>
        <v>ЕП</v>
      </c>
      <c r="H947" s="237" t="str">
        <f>РПЗ!R947</f>
        <v>нет</v>
      </c>
      <c r="I947" s="15" t="str">
        <f>РПЗ!W947</f>
        <v>6.6.2(11)</v>
      </c>
      <c r="J947" s="233" t="str">
        <f>РПЗ!X947</f>
        <v>1831079259</v>
      </c>
      <c r="K947" s="283">
        <f>РПЗ!Z947</f>
        <v>593728.80000000005</v>
      </c>
      <c r="L947" s="17">
        <v>42891</v>
      </c>
      <c r="M947" s="18">
        <f>РПЗ!O947</f>
        <v>42887.5</v>
      </c>
      <c r="N947" s="238">
        <f>Таблица5[[#This Row],[10]]</f>
        <v>42887.5</v>
      </c>
      <c r="O947" s="17"/>
      <c r="P947" s="17"/>
      <c r="Q947" s="17"/>
      <c r="R947" s="17"/>
      <c r="S947" s="17"/>
      <c r="T947" s="686" t="s">
        <v>5928</v>
      </c>
      <c r="U947" s="18">
        <f>РПЗ!P947</f>
        <v>43070.5</v>
      </c>
      <c r="V947" s="686">
        <v>43070</v>
      </c>
      <c r="W947" s="236">
        <f>РПЗ!L947</f>
        <v>593728.80000000005</v>
      </c>
      <c r="X947" s="689">
        <v>1</v>
      </c>
      <c r="Y947" s="689">
        <v>0</v>
      </c>
      <c r="Z947" s="691">
        <v>1831079259</v>
      </c>
      <c r="AA947" s="691" t="s">
        <v>5923</v>
      </c>
      <c r="AB947" s="111">
        <v>593728.80000000005</v>
      </c>
      <c r="AC947" s="17">
        <v>43070</v>
      </c>
      <c r="AD947" s="690" t="s">
        <v>5929</v>
      </c>
      <c r="AE947" s="686">
        <v>42899</v>
      </c>
      <c r="AF947" s="474"/>
      <c r="AG947" s="692">
        <v>593728.80000000005</v>
      </c>
      <c r="AH947" s="236">
        <f>IF(Таблица5[[#This Row],[30]]=0,"НД",Таблица5[[#This Row],[20]]-Таблица5[[#This Row],[30]])</f>
        <v>0</v>
      </c>
      <c r="AI947" s="511">
        <f>IF(((1-Таблица5[[#This Row],[30]]/Таблица5[[#This Row],[20]])=1),"НД",(1-Таблица5[[#This Row],[30]]/Таблица5[[#This Row],[20]]))</f>
        <v>0</v>
      </c>
      <c r="AJ947" s="111"/>
      <c r="AK947" s="111"/>
      <c r="AL947" s="512"/>
      <c r="AM947" s="513" t="s">
        <v>113</v>
      </c>
      <c r="AN947" s="801">
        <v>31705195244</v>
      </c>
      <c r="AO947" s="468" t="str">
        <f>РПЗ!AD947</f>
        <v>Нет</v>
      </c>
      <c r="AP947" s="472" t="str">
        <f>РПЗ!V947</f>
        <v>ГОЗ</v>
      </c>
      <c r="AQ947" s="470">
        <f>IF(Таблица5[[#This Row],[11]]=0,,MONTH(Таблица5[[#This Row],[11]]))</f>
        <v>6</v>
      </c>
    </row>
    <row r="948" spans="1:43" ht="38.25" x14ac:dyDescent="0.25">
      <c r="A948" s="233" t="str">
        <f t="shared" si="15"/>
        <v>1004-2017-00933</v>
      </c>
      <c r="B948" s="233" t="str">
        <f>РПЗ!$D948</f>
        <v>1004-2017-00933 Поставка Печатные платы ЖГДК.758773.012</v>
      </c>
      <c r="C948" s="233" t="str">
        <f>РПЗ!$AA948</f>
        <v>АО "НИИ "Полюс" им. М.Ф. Стельмаха" тел. отдела закупок 8-495-333-05-02</v>
      </c>
      <c r="D948" s="870" t="str">
        <f>РПЗ!$AB948</f>
        <v>Заказчик</v>
      </c>
      <c r="E948" s="510" t="s">
        <v>62</v>
      </c>
      <c r="F948" s="233" t="str">
        <f>РПЗ!Q948</f>
        <v>ЕП</v>
      </c>
      <c r="G948" s="237" t="str">
        <f>Таблица5[[#This Row],[6]]</f>
        <v>ЕП</v>
      </c>
      <c r="H948" s="237" t="str">
        <f>РПЗ!R948</f>
        <v>нет</v>
      </c>
      <c r="I948" s="15" t="str">
        <f>РПЗ!W948</f>
        <v>6.6.2(11)</v>
      </c>
      <c r="J948" s="233" t="str">
        <f>РПЗ!X948</f>
        <v>1831079259</v>
      </c>
      <c r="K948" s="283">
        <f>РПЗ!Z948</f>
        <v>278456.40000000002</v>
      </c>
      <c r="L948" s="17">
        <v>42891</v>
      </c>
      <c r="M948" s="18">
        <f>РПЗ!O948</f>
        <v>42887.5</v>
      </c>
      <c r="N948" s="238">
        <f>Таблица5[[#This Row],[10]]</f>
        <v>42887.5</v>
      </c>
      <c r="O948" s="17"/>
      <c r="P948" s="17"/>
      <c r="Q948" s="17"/>
      <c r="R948" s="17"/>
      <c r="S948" s="17"/>
      <c r="T948" s="686">
        <v>42899</v>
      </c>
      <c r="U948" s="18">
        <f>РПЗ!P948</f>
        <v>43070.5</v>
      </c>
      <c r="V948" s="686">
        <v>43070</v>
      </c>
      <c r="W948" s="236">
        <f>РПЗ!L948</f>
        <v>278456.40000000002</v>
      </c>
      <c r="X948" s="689">
        <v>1</v>
      </c>
      <c r="Y948" s="689">
        <v>0</v>
      </c>
      <c r="Z948" s="691">
        <v>1831079259</v>
      </c>
      <c r="AA948" s="691" t="s">
        <v>5923</v>
      </c>
      <c r="AB948" s="111">
        <v>278456.40000000002</v>
      </c>
      <c r="AC948" s="17">
        <v>43070</v>
      </c>
      <c r="AD948" s="690" t="s">
        <v>5924</v>
      </c>
      <c r="AE948" s="686">
        <v>42899</v>
      </c>
      <c r="AF948" s="474"/>
      <c r="AG948" s="692">
        <v>278456.40000000002</v>
      </c>
      <c r="AH948" s="236">
        <f>IF(Таблица5[[#This Row],[30]]=0,"НД",Таблица5[[#This Row],[20]]-Таблица5[[#This Row],[30]])</f>
        <v>0</v>
      </c>
      <c r="AI948" s="511">
        <f>IF(((1-Таблица5[[#This Row],[30]]/Таблица5[[#This Row],[20]])=1),"НД",(1-Таблица5[[#This Row],[30]]/Таблица5[[#This Row],[20]]))</f>
        <v>0</v>
      </c>
      <c r="AJ948" s="111"/>
      <c r="AK948" s="111"/>
      <c r="AL948" s="512"/>
      <c r="AM948" s="513" t="s">
        <v>113</v>
      </c>
      <c r="AN948" s="801">
        <v>31705195215</v>
      </c>
      <c r="AO948" s="468" t="str">
        <f>РПЗ!AD948</f>
        <v>Нет</v>
      </c>
      <c r="AP948" s="472" t="str">
        <f>РПЗ!V948</f>
        <v>ГОЗ</v>
      </c>
      <c r="AQ948" s="470">
        <f>IF(Таблица5[[#This Row],[11]]=0,,MONTH(Таблица5[[#This Row],[11]]))</f>
        <v>6</v>
      </c>
    </row>
    <row r="949" spans="1:43" ht="38.25" x14ac:dyDescent="0.25">
      <c r="A949" s="233" t="str">
        <f t="shared" si="15"/>
        <v>1004-2017-00934</v>
      </c>
      <c r="B949" s="233" t="str">
        <f>РПЗ!$D949</f>
        <v>1004-2017-00934 Поставка Печатные платы ЖГДК.758773.012</v>
      </c>
      <c r="C949" s="233" t="str">
        <f>РПЗ!$AA949</f>
        <v>АО "НИИ "Полюс" им. М.Ф. Стельмаха" тел. отдела закупок 8-495-333-05-02</v>
      </c>
      <c r="D949" s="870" t="str">
        <f>РПЗ!$AB949</f>
        <v>Заказчик</v>
      </c>
      <c r="E949" s="510" t="s">
        <v>62</v>
      </c>
      <c r="F949" s="233" t="str">
        <f>РПЗ!Q949</f>
        <v>ЕП</v>
      </c>
      <c r="G949" s="237" t="str">
        <f>Таблица5[[#This Row],[6]]</f>
        <v>ЕП</v>
      </c>
      <c r="H949" s="237" t="str">
        <f>РПЗ!R949</f>
        <v>нет</v>
      </c>
      <c r="I949" s="15" t="str">
        <f>РПЗ!W949</f>
        <v>6.6.2(11)</v>
      </c>
      <c r="J949" s="233" t="str">
        <f>РПЗ!X949</f>
        <v>1831079259</v>
      </c>
      <c r="K949" s="283">
        <f>РПЗ!Z949</f>
        <v>726408</v>
      </c>
      <c r="L949" s="17">
        <v>42887</v>
      </c>
      <c r="M949" s="18">
        <f>РПЗ!O949</f>
        <v>42887.5</v>
      </c>
      <c r="N949" s="238">
        <f>Таблица5[[#This Row],[10]]</f>
        <v>42887.5</v>
      </c>
      <c r="O949" s="17"/>
      <c r="P949" s="17"/>
      <c r="Q949" s="17"/>
      <c r="R949" s="17"/>
      <c r="S949" s="17"/>
      <c r="T949" s="686">
        <v>42899</v>
      </c>
      <c r="U949" s="18">
        <f>РПЗ!P949</f>
        <v>43070.5</v>
      </c>
      <c r="V949" s="686">
        <v>43070</v>
      </c>
      <c r="W949" s="236">
        <f>РПЗ!L949</f>
        <v>726408</v>
      </c>
      <c r="X949" s="689">
        <v>1</v>
      </c>
      <c r="Y949" s="689">
        <v>0</v>
      </c>
      <c r="Z949" s="691">
        <v>1831079259</v>
      </c>
      <c r="AA949" s="691" t="s">
        <v>5923</v>
      </c>
      <c r="AB949" s="111">
        <v>726408</v>
      </c>
      <c r="AC949" s="17">
        <v>43070</v>
      </c>
      <c r="AD949" s="690" t="s">
        <v>5927</v>
      </c>
      <c r="AE949" s="686">
        <v>42899</v>
      </c>
      <c r="AF949" s="474"/>
      <c r="AG949" s="692">
        <v>726408</v>
      </c>
      <c r="AH949" s="236">
        <f>IF(Таблица5[[#This Row],[30]]=0,"НД",Таблица5[[#This Row],[20]]-Таблица5[[#This Row],[30]])</f>
        <v>0</v>
      </c>
      <c r="AI949" s="511">
        <f>IF(((1-Таблица5[[#This Row],[30]]/Таблица5[[#This Row],[20]])=1),"НД",(1-Таблица5[[#This Row],[30]]/Таблица5[[#This Row],[20]]))</f>
        <v>0</v>
      </c>
      <c r="AJ949" s="111"/>
      <c r="AK949" s="111"/>
      <c r="AL949" s="512"/>
      <c r="AM949" s="513" t="s">
        <v>113</v>
      </c>
      <c r="AN949" s="801">
        <v>31705182564</v>
      </c>
      <c r="AO949" s="468" t="str">
        <f>РПЗ!AD949</f>
        <v>Нет</v>
      </c>
      <c r="AP949" s="472">
        <f>РПЗ!V949</f>
        <v>0</v>
      </c>
      <c r="AQ949" s="470">
        <f>IF(Таблица5[[#This Row],[11]]=0,,MONTH(Таблица5[[#This Row],[11]]))</f>
        <v>6</v>
      </c>
    </row>
    <row r="950" spans="1:43" ht="38.25" x14ac:dyDescent="0.25">
      <c r="A950" s="233" t="str">
        <f t="shared" si="15"/>
        <v>1004-2017-00935</v>
      </c>
      <c r="B950" s="233" t="str">
        <f>РПЗ!$D950</f>
        <v>1004-2017-00935 Поставка Печатные платы ЖГДК.758773.012</v>
      </c>
      <c r="C950" s="233" t="str">
        <f>РПЗ!$AA950</f>
        <v>АО "НИИ "Полюс" им. М.Ф. Стельмаха" тел. отдела закупок 8-495-333-05-02</v>
      </c>
      <c r="D950" s="870" t="str">
        <f>РПЗ!$AB950</f>
        <v>Заказчик</v>
      </c>
      <c r="E950" s="510" t="s">
        <v>62</v>
      </c>
      <c r="F950" s="233" t="str">
        <f>РПЗ!Q950</f>
        <v>ЕП</v>
      </c>
      <c r="G950" s="237" t="str">
        <f>Таблица5[[#This Row],[6]]</f>
        <v>ЕП</v>
      </c>
      <c r="H950" s="237" t="str">
        <f>РПЗ!R950</f>
        <v>нет</v>
      </c>
      <c r="I950" s="15" t="str">
        <f>РПЗ!W950</f>
        <v>6.6.2(11)</v>
      </c>
      <c r="J950" s="233" t="str">
        <f>РПЗ!X950</f>
        <v>1831079259</v>
      </c>
      <c r="K950" s="283">
        <f>РПЗ!Z950</f>
        <v>496378.8</v>
      </c>
      <c r="L950" s="17">
        <v>42887</v>
      </c>
      <c r="M950" s="18">
        <f>РПЗ!O950</f>
        <v>42887.5</v>
      </c>
      <c r="N950" s="238">
        <f>Таблица5[[#This Row],[10]]</f>
        <v>42887.5</v>
      </c>
      <c r="O950" s="17"/>
      <c r="P950" s="17"/>
      <c r="Q950" s="17"/>
      <c r="R950" s="17"/>
      <c r="S950" s="17"/>
      <c r="T950" s="686">
        <v>42899</v>
      </c>
      <c r="U950" s="18">
        <f>РПЗ!P950</f>
        <v>43070.5</v>
      </c>
      <c r="V950" s="686">
        <v>43070</v>
      </c>
      <c r="W950" s="236">
        <f>РПЗ!L950</f>
        <v>496378.8</v>
      </c>
      <c r="X950" s="689">
        <v>1</v>
      </c>
      <c r="Y950" s="689">
        <v>0</v>
      </c>
      <c r="Z950" s="691">
        <v>1831079259</v>
      </c>
      <c r="AA950" s="691" t="s">
        <v>5923</v>
      </c>
      <c r="AB950" s="111">
        <v>496378.8</v>
      </c>
      <c r="AC950" s="17">
        <v>43070</v>
      </c>
      <c r="AD950" s="690" t="s">
        <v>5926</v>
      </c>
      <c r="AE950" s="686">
        <v>42899</v>
      </c>
      <c r="AF950" s="474"/>
      <c r="AG950" s="692">
        <v>496378.8</v>
      </c>
      <c r="AH950" s="236">
        <f>IF(Таблица5[[#This Row],[30]]=0,"НД",Таблица5[[#This Row],[20]]-Таблица5[[#This Row],[30]])</f>
        <v>0</v>
      </c>
      <c r="AI950" s="511">
        <f>IF(((1-Таблица5[[#This Row],[30]]/Таблица5[[#This Row],[20]])=1),"НД",(1-Таблица5[[#This Row],[30]]/Таблица5[[#This Row],[20]]))</f>
        <v>0</v>
      </c>
      <c r="AJ950" s="111"/>
      <c r="AK950" s="111"/>
      <c r="AL950" s="512"/>
      <c r="AM950" s="513" t="s">
        <v>113</v>
      </c>
      <c r="AN950" s="801">
        <v>31705196644</v>
      </c>
      <c r="AO950" s="468" t="str">
        <f>РПЗ!AD950</f>
        <v>Нет</v>
      </c>
      <c r="AP950" s="472" t="str">
        <f>РПЗ!V950</f>
        <v>ГОЗ</v>
      </c>
      <c r="AQ950" s="470">
        <f>IF(Таблица5[[#This Row],[11]]=0,,MONTH(Таблица5[[#This Row],[11]]))</f>
        <v>6</v>
      </c>
    </row>
    <row r="951" spans="1:43" ht="39" thickBot="1" x14ac:dyDescent="0.3">
      <c r="A951" s="233" t="str">
        <f t="shared" si="15"/>
        <v>1004-2017-00936</v>
      </c>
      <c r="B951" s="233" t="str">
        <f>РПЗ!$D951</f>
        <v>1004-2017-00936 Поставка Корпус ЖГДК.469333.005</v>
      </c>
      <c r="C951" s="233" t="str">
        <f>РПЗ!$AA951</f>
        <v>АО "НИИ "Полюс" им. М.Ф. Стельмаха" тел. отдела закупок 8-495-333-05-02</v>
      </c>
      <c r="D951" s="870" t="str">
        <f>РПЗ!$AB951</f>
        <v>Заказчик</v>
      </c>
      <c r="E951" s="510" t="s">
        <v>62</v>
      </c>
      <c r="F951" s="233" t="str">
        <f>РПЗ!Q951</f>
        <v>ЕП</v>
      </c>
      <c r="G951" s="237" t="str">
        <f>Таблица5[[#This Row],[6]]</f>
        <v>ЕП</v>
      </c>
      <c r="H951" s="237" t="str">
        <f>РПЗ!R951</f>
        <v>нет</v>
      </c>
      <c r="I951" s="15" t="str">
        <f>РПЗ!W951</f>
        <v>6.6.2(11)</v>
      </c>
      <c r="J951" s="233" t="str">
        <f>РПЗ!X951</f>
        <v>3525023010</v>
      </c>
      <c r="K951" s="283">
        <f>РПЗ!Z951</f>
        <v>104320.26</v>
      </c>
      <c r="L951" s="17">
        <v>43070</v>
      </c>
      <c r="M951" s="18">
        <f>РПЗ!O951</f>
        <v>43070</v>
      </c>
      <c r="N951" s="238">
        <f>Таблица5[[#This Row],[10]]</f>
        <v>43070</v>
      </c>
      <c r="O951" s="17"/>
      <c r="P951" s="17"/>
      <c r="Q951" s="17"/>
      <c r="R951" s="17"/>
      <c r="S951" s="17"/>
      <c r="T951" s="686">
        <v>43087</v>
      </c>
      <c r="U951" s="18">
        <f>РПЗ!P951</f>
        <v>43101</v>
      </c>
      <c r="V951" s="686">
        <v>43435</v>
      </c>
      <c r="W951" s="236">
        <f>РПЗ!L951</f>
        <v>104320.26</v>
      </c>
      <c r="X951" s="689">
        <v>1</v>
      </c>
      <c r="Y951" s="689">
        <v>0</v>
      </c>
      <c r="Z951" s="691">
        <v>3525023010</v>
      </c>
      <c r="AA951" s="691" t="s">
        <v>2388</v>
      </c>
      <c r="AB951" s="111">
        <v>104320.26</v>
      </c>
      <c r="AC951" s="17">
        <v>43435</v>
      </c>
      <c r="AD951" s="690" t="s">
        <v>8032</v>
      </c>
      <c r="AE951" s="686">
        <v>43087</v>
      </c>
      <c r="AF951" s="474"/>
      <c r="AG951" s="692">
        <v>104320.26</v>
      </c>
      <c r="AH951" s="236">
        <f>IF(Таблица5[[#This Row],[30]]=0,"НД",Таблица5[[#This Row],[20]]-Таблица5[[#This Row],[30]])</f>
        <v>0</v>
      </c>
      <c r="AI951" s="511">
        <f>IF(((1-Таблица5[[#This Row],[30]]/Таблица5[[#This Row],[20]])=1),"НД",(1-Таблица5[[#This Row],[30]]/Таблица5[[#This Row],[20]]))</f>
        <v>0</v>
      </c>
      <c r="AJ951" s="111"/>
      <c r="AK951" s="111"/>
      <c r="AL951" s="512"/>
      <c r="AM951" s="513" t="s">
        <v>113</v>
      </c>
      <c r="AN951" s="801">
        <v>31705868220</v>
      </c>
      <c r="AO951" s="468" t="str">
        <f>РПЗ!AD951</f>
        <v>Нет</v>
      </c>
      <c r="AP951" s="472">
        <f>РПЗ!V951</f>
        <v>0</v>
      </c>
      <c r="AQ951" s="470">
        <f>IF(Таблица5[[#This Row],[11]]=0,,MONTH(Таблица5[[#This Row],[11]]))</f>
        <v>12</v>
      </c>
    </row>
    <row r="952" spans="1:43" ht="38.25" x14ac:dyDescent="0.25">
      <c r="A952" s="233" t="str">
        <f t="shared" si="15"/>
        <v>1004-2017-00937</v>
      </c>
      <c r="B952" s="233" t="str">
        <f>РПЗ!$D952</f>
        <v>1004-2017-00937 Поставка Корпус ЖГДК.301172.013 и Кожух ЖГДК.305143.001 (без покрытия)</v>
      </c>
      <c r="C952" s="233" t="str">
        <f>РПЗ!$AA952</f>
        <v>АО "НИИ "Полюс" им. М.Ф. Стельмаха" тел. отдела закупок 8-495-333-05-02</v>
      </c>
      <c r="D952" s="870" t="str">
        <f>РПЗ!$AB952</f>
        <v>Заказчик</v>
      </c>
      <c r="E952" s="96" t="s">
        <v>46</v>
      </c>
      <c r="F952" s="233" t="str">
        <f>РПЗ!Q952</f>
        <v>ЕП</v>
      </c>
      <c r="G952" s="237"/>
      <c r="H952" s="237" t="str">
        <f>РПЗ!R952</f>
        <v>нет</v>
      </c>
      <c r="I952" s="15">
        <f>РПЗ!W952</f>
        <v>0</v>
      </c>
      <c r="J952" s="233">
        <f>РПЗ!X952</f>
        <v>0</v>
      </c>
      <c r="K952" s="283">
        <f>РПЗ!Z952</f>
        <v>0</v>
      </c>
      <c r="L952" s="17"/>
      <c r="M952" s="18">
        <f>РПЗ!O952</f>
        <v>42856.5</v>
      </c>
      <c r="N952" s="238">
        <f>Таблица5[[#This Row],[10]]</f>
        <v>42856.5</v>
      </c>
      <c r="O952" s="17"/>
      <c r="P952" s="17"/>
      <c r="Q952" s="17"/>
      <c r="R952" s="17"/>
      <c r="S952" s="17"/>
      <c r="T952" s="686"/>
      <c r="U952" s="18">
        <f>РПЗ!P952</f>
        <v>43070.5</v>
      </c>
      <c r="V952" s="686"/>
      <c r="W952" s="236">
        <f>РПЗ!L952</f>
        <v>2906340</v>
      </c>
      <c r="X952" s="689"/>
      <c r="Y952" s="689"/>
      <c r="Z952" s="690"/>
      <c r="AA952" s="691"/>
      <c r="AB952" s="111"/>
      <c r="AC952" s="17"/>
      <c r="AD952" s="690"/>
      <c r="AE952" s="686"/>
      <c r="AF952" s="474"/>
      <c r="AG952" s="692"/>
      <c r="AH952" s="236" t="str">
        <f>IF(Таблица5[[#This Row],[30]]=0,"НД",Таблица5[[#This Row],[20]]-Таблица5[[#This Row],[30]])</f>
        <v>НД</v>
      </c>
      <c r="AI952" s="511" t="str">
        <f>IF(((1-Таблица5[[#This Row],[30]]/Таблица5[[#This Row],[20]])=1),"НД",(1-Таблица5[[#This Row],[30]]/Таблица5[[#This Row],[20]]))</f>
        <v>НД</v>
      </c>
      <c r="AJ952" s="111"/>
      <c r="AK952" s="111"/>
      <c r="AL952" s="512"/>
      <c r="AM952" s="513"/>
      <c r="AN952" s="465"/>
      <c r="AO952" s="468" t="str">
        <f>РПЗ!AD952</f>
        <v>Нет</v>
      </c>
      <c r="AP952" s="472">
        <f>РПЗ!V952</f>
        <v>0</v>
      </c>
      <c r="AQ952" s="470">
        <f>IF(Таблица5[[#This Row],[11]]=0,,MONTH(Таблица5[[#This Row],[11]]))</f>
        <v>5</v>
      </c>
    </row>
    <row r="953" spans="1:43" ht="38.25" x14ac:dyDescent="0.25">
      <c r="A953" s="233" t="str">
        <f t="shared" si="15"/>
        <v>1004-2017-00938</v>
      </c>
      <c r="B953" s="233" t="str">
        <f>РПЗ!$D953</f>
        <v>1004-2017-00938 Поставка Корпус ЖГДК.301172.013 и Кожух ЖГДК.305143.001 (без покрытия)</v>
      </c>
      <c r="C953" s="233" t="str">
        <f>РПЗ!$AA953</f>
        <v>АО "НИИ "Полюс" им. М.Ф. Стельмаха" тел. отдела закупок 8-495-333-05-02</v>
      </c>
      <c r="D953" s="870" t="str">
        <f>РПЗ!$AB953</f>
        <v>Заказчик</v>
      </c>
      <c r="E953" s="510" t="s">
        <v>62</v>
      </c>
      <c r="F953" s="233" t="str">
        <f>РПЗ!Q953</f>
        <v>ЕП</v>
      </c>
      <c r="G953" s="237" t="s">
        <v>110</v>
      </c>
      <c r="H953" s="237" t="str">
        <f>РПЗ!R953</f>
        <v>нет</v>
      </c>
      <c r="I953" s="15" t="str">
        <f>РПЗ!W953</f>
        <v>6.6.2(11)</v>
      </c>
      <c r="J953" s="233" t="str">
        <f>РПЗ!X953</f>
        <v>6829000109</v>
      </c>
      <c r="K953" s="283">
        <f>РПЗ!Z953</f>
        <v>678146</v>
      </c>
      <c r="L953" s="17">
        <v>43028</v>
      </c>
      <c r="M953" s="18">
        <f>РПЗ!O953</f>
        <v>43009</v>
      </c>
      <c r="N953" s="238">
        <f>Таблица5[[#This Row],[10]]</f>
        <v>43009</v>
      </c>
      <c r="O953" s="17"/>
      <c r="P953" s="17"/>
      <c r="Q953" s="17"/>
      <c r="R953" s="17"/>
      <c r="S953" s="17"/>
      <c r="T953" s="686">
        <v>43062</v>
      </c>
      <c r="U953" s="18">
        <f>РПЗ!P953</f>
        <v>43070.5</v>
      </c>
      <c r="V953" s="686">
        <v>43100</v>
      </c>
      <c r="W953" s="236">
        <f>РПЗ!L953</f>
        <v>678146</v>
      </c>
      <c r="X953" s="689">
        <v>1</v>
      </c>
      <c r="Y953" s="689">
        <v>0</v>
      </c>
      <c r="Z953" s="691">
        <v>6829000109</v>
      </c>
      <c r="AA953" s="691" t="s">
        <v>2384</v>
      </c>
      <c r="AB953" s="111">
        <v>678146</v>
      </c>
      <c r="AC953" s="17">
        <v>43100</v>
      </c>
      <c r="AD953" s="690" t="s">
        <v>7713</v>
      </c>
      <c r="AE953" s="686">
        <v>43062</v>
      </c>
      <c r="AF953" s="474"/>
      <c r="AG953" s="692">
        <v>678146</v>
      </c>
      <c r="AH953" s="236">
        <f>IF(Таблица5[[#This Row],[30]]=0,"НД",Таблица5[[#This Row],[20]]-Таблица5[[#This Row],[30]])</f>
        <v>0</v>
      </c>
      <c r="AI953" s="511">
        <f>IF(((1-Таблица5[[#This Row],[30]]/Таблица5[[#This Row],[20]])=1),"НД",(1-Таблица5[[#This Row],[30]]/Таблица5[[#This Row],[20]]))</f>
        <v>0</v>
      </c>
      <c r="AJ953" s="111"/>
      <c r="AK953" s="111"/>
      <c r="AL953" s="512"/>
      <c r="AM953" s="513" t="s">
        <v>113</v>
      </c>
      <c r="AN953" s="801">
        <v>31705654376</v>
      </c>
      <c r="AO953" s="468" t="str">
        <f>РПЗ!AD953</f>
        <v>Нет</v>
      </c>
      <c r="AP953" s="472" t="str">
        <f>РПЗ!V953</f>
        <v>ГОЗ</v>
      </c>
      <c r="AQ953" s="470">
        <f>IF(Таблица5[[#This Row],[11]]=0,,MONTH(Таблица5[[#This Row],[11]]))</f>
        <v>10</v>
      </c>
    </row>
    <row r="954" spans="1:43" ht="39" thickBot="1" x14ac:dyDescent="0.3">
      <c r="A954" s="233" t="str">
        <f t="shared" si="15"/>
        <v>1004-2017-00939</v>
      </c>
      <c r="B954" s="233" t="str">
        <f>РПЗ!$D954</f>
        <v>1004-2017-00939 Поставка Корпус ЖГДК.301172.013 и Кожух ЖГДК.305143.001 (без покрытия)</v>
      </c>
      <c r="C954" s="233" t="str">
        <f>РПЗ!$AA954</f>
        <v>АО "НИИ "Полюс" им. М.Ф. Стельмаха" тел. отдела закупок 8-495-333-05-02</v>
      </c>
      <c r="D954" s="870" t="str">
        <f>РПЗ!$AB954</f>
        <v>Заказчик</v>
      </c>
      <c r="E954" s="510" t="s">
        <v>62</v>
      </c>
      <c r="F954" s="233" t="str">
        <f>РПЗ!Q954</f>
        <v>ЕП</v>
      </c>
      <c r="G954" s="237" t="str">
        <f>Таблица5[[#This Row],[6]]</f>
        <v>ЕП</v>
      </c>
      <c r="H954" s="237" t="str">
        <f>РПЗ!R954</f>
        <v>нет</v>
      </c>
      <c r="I954" s="15" t="str">
        <f>РПЗ!W954</f>
        <v>6.6.2(11)</v>
      </c>
      <c r="J954" s="233" t="str">
        <f>РПЗ!X954</f>
        <v>6829000109</v>
      </c>
      <c r="K954" s="283">
        <f>РПЗ!Z954</f>
        <v>775024</v>
      </c>
      <c r="L954" s="17">
        <v>42873</v>
      </c>
      <c r="M954" s="18">
        <f>РПЗ!O954</f>
        <v>42948.5</v>
      </c>
      <c r="N954" s="238">
        <f>Таблица5[[#This Row],[10]]</f>
        <v>42948.5</v>
      </c>
      <c r="O954" s="17"/>
      <c r="P954" s="17"/>
      <c r="Q954" s="17"/>
      <c r="R954" s="17"/>
      <c r="S954" s="17"/>
      <c r="T954" s="686">
        <v>59</v>
      </c>
      <c r="U954" s="18">
        <f>РПЗ!P954</f>
        <v>43070.5</v>
      </c>
      <c r="V954" s="686">
        <v>43070</v>
      </c>
      <c r="W954" s="236">
        <f>РПЗ!L954</f>
        <v>775024</v>
      </c>
      <c r="X954" s="689">
        <v>1</v>
      </c>
      <c r="Y954" s="689">
        <v>0</v>
      </c>
      <c r="Z954" s="691">
        <v>6829000109</v>
      </c>
      <c r="AA954" s="691" t="s">
        <v>2384</v>
      </c>
      <c r="AB954" s="111">
        <v>775024</v>
      </c>
      <c r="AC954" s="17">
        <v>43070</v>
      </c>
      <c r="AD954" s="690" t="s">
        <v>6423</v>
      </c>
      <c r="AE954" s="686">
        <v>42950</v>
      </c>
      <c r="AF954" s="474"/>
      <c r="AG954" s="692">
        <v>775024</v>
      </c>
      <c r="AH954" s="236">
        <f>IF(Таблица5[[#This Row],[30]]=0,"НД",Таблица5[[#This Row],[20]]-Таблица5[[#This Row],[30]])</f>
        <v>0</v>
      </c>
      <c r="AI954" s="511">
        <f>IF(((1-Таблица5[[#This Row],[30]]/Таблица5[[#This Row],[20]])=1),"НД",(1-Таблица5[[#This Row],[30]]/Таблица5[[#This Row],[20]]))</f>
        <v>0</v>
      </c>
      <c r="AJ954" s="111"/>
      <c r="AK954" s="111"/>
      <c r="AL954" s="512"/>
      <c r="AM954" s="513" t="s">
        <v>113</v>
      </c>
      <c r="AN954" s="801">
        <v>31705146110</v>
      </c>
      <c r="AO954" s="468" t="str">
        <f>РПЗ!AD954</f>
        <v>Нет</v>
      </c>
      <c r="AP954" s="472" t="str">
        <f>РПЗ!V954</f>
        <v>ГОЗ</v>
      </c>
      <c r="AQ954" s="470">
        <f>IF(Таблица5[[#This Row],[11]]=0,,MONTH(Таблица5[[#This Row],[11]]))</f>
        <v>8</v>
      </c>
    </row>
    <row r="955" spans="1:43" ht="51.75" thickBot="1" x14ac:dyDescent="0.3">
      <c r="A955" s="233" t="str">
        <f t="shared" si="15"/>
        <v>1004-2017-00940</v>
      </c>
      <c r="B955" s="233" t="str">
        <f>РПЗ!$D955</f>
        <v>1004-2017-00940 поставка тонера и бункера для отработанного тонера для копировально-множительной техники</v>
      </c>
      <c r="C955" s="233" t="str">
        <f>РПЗ!$AA955</f>
        <v>АО "НИИ "Полюс" им. М.Ф. Стельмаха" тел. отдела закупок 8-495-333-05-02</v>
      </c>
      <c r="D955" s="870" t="str">
        <f>РПЗ!$AB955</f>
        <v>Заказчик</v>
      </c>
      <c r="E955" s="96" t="s">
        <v>46</v>
      </c>
      <c r="F955" s="233" t="str">
        <f>РПЗ!Q955</f>
        <v>ОЗК</v>
      </c>
      <c r="G955" s="237"/>
      <c r="H955" s="237" t="str">
        <f>РПЗ!R955</f>
        <v>да</v>
      </c>
      <c r="I955" s="15">
        <f>РПЗ!W955</f>
        <v>0</v>
      </c>
      <c r="J955" s="233">
        <f>РПЗ!X955</f>
        <v>0</v>
      </c>
      <c r="K955" s="283">
        <f>РПЗ!Z955</f>
        <v>0</v>
      </c>
      <c r="L955" s="17"/>
      <c r="M955" s="18">
        <f>РПЗ!O955</f>
        <v>42856.5</v>
      </c>
      <c r="N955" s="238">
        <f>Таблица5[[#This Row],[10]]</f>
        <v>42856.5</v>
      </c>
      <c r="O955" s="17"/>
      <c r="P955" s="17"/>
      <c r="Q955" s="17"/>
      <c r="R955" s="17"/>
      <c r="S955" s="17"/>
      <c r="T955" s="686"/>
      <c r="U955" s="18">
        <f>РПЗ!P955</f>
        <v>43070.5</v>
      </c>
      <c r="V955" s="686"/>
      <c r="W955" s="236">
        <f>РПЗ!L955</f>
        <v>500000</v>
      </c>
      <c r="X955" s="689"/>
      <c r="Y955" s="689"/>
      <c r="Z955" s="690"/>
      <c r="AA955" s="691"/>
      <c r="AB955" s="111"/>
      <c r="AC955" s="17"/>
      <c r="AD955" s="690"/>
      <c r="AE955" s="686"/>
      <c r="AF955" s="474"/>
      <c r="AG955" s="692"/>
      <c r="AH955" s="236" t="str">
        <f>IF(Таблица5[[#This Row],[30]]=0,"НД",Таблица5[[#This Row],[20]]-Таблица5[[#This Row],[30]])</f>
        <v>НД</v>
      </c>
      <c r="AI955" s="511" t="str">
        <f>IF(((1-Таблица5[[#This Row],[30]]/Таблица5[[#This Row],[20]])=1),"НД",(1-Таблица5[[#This Row],[30]]/Таблица5[[#This Row],[20]]))</f>
        <v>НД</v>
      </c>
      <c r="AJ955" s="111"/>
      <c r="AK955" s="111"/>
      <c r="AL955" s="512"/>
      <c r="AM955" s="513"/>
      <c r="AN955" s="465"/>
      <c r="AO955" s="468" t="str">
        <f>РПЗ!AD955</f>
        <v>Нет</v>
      </c>
      <c r="AP955" s="472">
        <f>РПЗ!V955</f>
        <v>0</v>
      </c>
      <c r="AQ955" s="470">
        <f>IF(Таблица5[[#This Row],[11]]=0,,MONTH(Таблица5[[#This Row],[11]]))</f>
        <v>5</v>
      </c>
    </row>
    <row r="956" spans="1:43" ht="38.25" x14ac:dyDescent="0.25">
      <c r="A956" s="233" t="str">
        <f t="shared" si="15"/>
        <v>1004-2017-00941</v>
      </c>
      <c r="B956" s="233" t="str">
        <f>РПЗ!$D956</f>
        <v>1004-2017-00941 Поставка и закупка кальки рулонной</v>
      </c>
      <c r="C956" s="233" t="str">
        <f>РПЗ!$AA956</f>
        <v>АО "НИИ "Полюс" им. М.Ф. Стельмаха" тел. отдела закупок 8-495-333-05-02</v>
      </c>
      <c r="D956" s="870" t="str">
        <f>РПЗ!$AB956</f>
        <v>Заказчик</v>
      </c>
      <c r="E956" s="96" t="s">
        <v>46</v>
      </c>
      <c r="F956" s="233" t="str">
        <f>РПЗ!Q956</f>
        <v>ОЗК</v>
      </c>
      <c r="G956" s="237"/>
      <c r="H956" s="237" t="str">
        <f>РПЗ!R956</f>
        <v>да</v>
      </c>
      <c r="I956" s="15">
        <f>РПЗ!W956</f>
        <v>0</v>
      </c>
      <c r="J956" s="233">
        <f>РПЗ!X956</f>
        <v>0</v>
      </c>
      <c r="K956" s="283">
        <f>РПЗ!Z956</f>
        <v>0</v>
      </c>
      <c r="L956" s="17"/>
      <c r="M956" s="18">
        <f>РПЗ!O956</f>
        <v>42856.5</v>
      </c>
      <c r="N956" s="238">
        <f>Таблица5[[#This Row],[10]]</f>
        <v>42856.5</v>
      </c>
      <c r="O956" s="17"/>
      <c r="P956" s="17"/>
      <c r="Q956" s="17"/>
      <c r="R956" s="17"/>
      <c r="S956" s="17"/>
      <c r="T956" s="686"/>
      <c r="U956" s="18">
        <f>РПЗ!P956</f>
        <v>43070.5</v>
      </c>
      <c r="V956" s="686"/>
      <c r="W956" s="236">
        <f>РПЗ!L956</f>
        <v>130000</v>
      </c>
      <c r="X956" s="689"/>
      <c r="Y956" s="689"/>
      <c r="Z956" s="690"/>
      <c r="AA956" s="691"/>
      <c r="AB956" s="111"/>
      <c r="AC956" s="17"/>
      <c r="AD956" s="690"/>
      <c r="AE956" s="686"/>
      <c r="AF956" s="474"/>
      <c r="AG956" s="692"/>
      <c r="AH956" s="236" t="str">
        <f>IF(Таблица5[[#This Row],[30]]=0,"НД",Таблица5[[#This Row],[20]]-Таблица5[[#This Row],[30]])</f>
        <v>НД</v>
      </c>
      <c r="AI956" s="511" t="str">
        <f>IF(((1-Таблица5[[#This Row],[30]]/Таблица5[[#This Row],[20]])=1),"НД",(1-Таблица5[[#This Row],[30]]/Таблица5[[#This Row],[20]]))</f>
        <v>НД</v>
      </c>
      <c r="AJ956" s="111"/>
      <c r="AK956" s="111"/>
      <c r="AL956" s="512"/>
      <c r="AM956" s="513"/>
      <c r="AN956" s="465"/>
      <c r="AO956" s="468" t="str">
        <f>РПЗ!AD956</f>
        <v>Нет</v>
      </c>
      <c r="AP956" s="472">
        <f>РПЗ!V956</f>
        <v>0</v>
      </c>
      <c r="AQ956" s="470">
        <f>IF(Таблица5[[#This Row],[11]]=0,,MONTH(Таблица5[[#This Row],[11]]))</f>
        <v>5</v>
      </c>
    </row>
    <row r="957" spans="1:43" ht="38.25" x14ac:dyDescent="0.25">
      <c r="A957" s="233" t="str">
        <f t="shared" si="15"/>
        <v>1004-2017-00942</v>
      </c>
      <c r="B957" s="233" t="str">
        <f>РПЗ!$D957</f>
        <v>1004-2017-00942 Поставка и закупка переплетных обложек</v>
      </c>
      <c r="C957" s="233" t="str">
        <f>РПЗ!$AA957</f>
        <v>АО "НИИ "Полюс" им. М.Ф. Стельмаха" тел. отдела закупок 8-495-333-05-02</v>
      </c>
      <c r="D957" s="870" t="str">
        <f>РПЗ!$AB957</f>
        <v>Заказчик</v>
      </c>
      <c r="E957" s="510" t="s">
        <v>62</v>
      </c>
      <c r="F957" s="233" t="str">
        <f>РПЗ!Q957</f>
        <v>ОЗК</v>
      </c>
      <c r="G957" s="237" t="str">
        <f>Таблица5[[#This Row],[6]]</f>
        <v>ОЗК</v>
      </c>
      <c r="H957" s="237" t="str">
        <f>РПЗ!R957</f>
        <v>да</v>
      </c>
      <c r="I957" s="15">
        <f>РПЗ!W957</f>
        <v>0</v>
      </c>
      <c r="J957" s="233">
        <f>РПЗ!X957</f>
        <v>0</v>
      </c>
      <c r="K957" s="283">
        <f>РПЗ!Z957</f>
        <v>0</v>
      </c>
      <c r="L957" s="17">
        <v>42872</v>
      </c>
      <c r="M957" s="18">
        <f>РПЗ!O957</f>
        <v>42856.5</v>
      </c>
      <c r="N957" s="238">
        <f>Таблица5[[#This Row],[10]]</f>
        <v>42856.5</v>
      </c>
      <c r="O957" s="17">
        <v>42879</v>
      </c>
      <c r="P957" s="17">
        <v>42884</v>
      </c>
      <c r="Q957" s="17">
        <v>42884</v>
      </c>
      <c r="R957" s="17">
        <v>42880</v>
      </c>
      <c r="S957" s="17">
        <v>42880</v>
      </c>
      <c r="T957" s="686">
        <v>42891</v>
      </c>
      <c r="U957" s="18">
        <f>РПЗ!P957</f>
        <v>43070.5</v>
      </c>
      <c r="V957" s="686">
        <v>42887</v>
      </c>
      <c r="W957" s="236">
        <f>РПЗ!L957</f>
        <v>135852.92000000001</v>
      </c>
      <c r="X957" s="689">
        <v>1</v>
      </c>
      <c r="Y957" s="689">
        <v>0</v>
      </c>
      <c r="Z957" s="691">
        <v>7716589527</v>
      </c>
      <c r="AA957" s="691" t="s">
        <v>5995</v>
      </c>
      <c r="AB957" s="111">
        <v>122757.52</v>
      </c>
      <c r="AC957" s="17">
        <v>42887</v>
      </c>
      <c r="AD957" s="690" t="s">
        <v>5996</v>
      </c>
      <c r="AE957" s="686">
        <v>42891</v>
      </c>
      <c r="AF957" s="474"/>
      <c r="AG957" s="692">
        <v>122757.52</v>
      </c>
      <c r="AH957" s="236">
        <f>IF(Таблица5[[#This Row],[30]]=0,"НД",Таблица5[[#This Row],[20]]-Таблица5[[#This Row],[30]])</f>
        <v>13095.400000000009</v>
      </c>
      <c r="AI957" s="511">
        <f>IF(((1-Таблица5[[#This Row],[30]]/Таблица5[[#This Row],[20]])=1),"НД",(1-Таблица5[[#This Row],[30]]/Таблица5[[#This Row],[20]]))</f>
        <v>9.6393953107522523E-2</v>
      </c>
      <c r="AJ957" s="111">
        <v>122757.52</v>
      </c>
      <c r="AK957" s="111"/>
      <c r="AL957" s="512"/>
      <c r="AM957" s="513" t="s">
        <v>113</v>
      </c>
      <c r="AN957" s="801">
        <v>31705118607</v>
      </c>
      <c r="AO957" s="468" t="str">
        <f>РПЗ!AD957</f>
        <v>Нет</v>
      </c>
      <c r="AP957" s="472">
        <f>РПЗ!V957</f>
        <v>0</v>
      </c>
      <c r="AQ957" s="470">
        <f>IF(Таблица5[[#This Row],[11]]=0,,MONTH(Таблица5[[#This Row],[11]]))</f>
        <v>5</v>
      </c>
    </row>
    <row r="958" spans="1:43" ht="51.75" thickBot="1" x14ac:dyDescent="0.3">
      <c r="A958" s="233" t="str">
        <f t="shared" si="15"/>
        <v>1004-2017-00943</v>
      </c>
      <c r="B958" s="233" t="str">
        <f>РПЗ!$D958</f>
        <v>1004-2017-00943 Оказание усгуг сервисное обслуживание копировально-множительных аппаратов</v>
      </c>
      <c r="C958" s="233" t="str">
        <f>РПЗ!$AA958</f>
        <v>АО "НИИ "Полюс" им. М.Ф. Стельмаха" тел. отдела закупок 8-495-333-05-02</v>
      </c>
      <c r="D958" s="870" t="str">
        <f>РПЗ!$AB958</f>
        <v>Заказчик</v>
      </c>
      <c r="E958" s="510" t="s">
        <v>59</v>
      </c>
      <c r="F958" s="233" t="str">
        <f>РПЗ!Q958</f>
        <v>ОЗК</v>
      </c>
      <c r="G958" s="237" t="str">
        <f>Таблица5[[#This Row],[6]]</f>
        <v>ОЗК</v>
      </c>
      <c r="H958" s="237" t="str">
        <f>РПЗ!R958</f>
        <v>да</v>
      </c>
      <c r="I958" s="15">
        <f>РПЗ!W958</f>
        <v>0</v>
      </c>
      <c r="J958" s="233">
        <f>РПЗ!X958</f>
        <v>0</v>
      </c>
      <c r="K958" s="283">
        <f>РПЗ!Z958</f>
        <v>0</v>
      </c>
      <c r="L958" s="17">
        <v>42895</v>
      </c>
      <c r="M958" s="18">
        <f>РПЗ!O958</f>
        <v>42887.5</v>
      </c>
      <c r="N958" s="238">
        <f>Таблица5[[#This Row],[10]]</f>
        <v>42887.5</v>
      </c>
      <c r="O958" s="17">
        <v>42906</v>
      </c>
      <c r="P958" s="17">
        <v>42909</v>
      </c>
      <c r="Q958" s="17">
        <v>42909</v>
      </c>
      <c r="R958" s="17">
        <v>42909</v>
      </c>
      <c r="S958" s="17">
        <v>42909</v>
      </c>
      <c r="T958" s="686"/>
      <c r="U958" s="18">
        <f>РПЗ!P958</f>
        <v>43070.5</v>
      </c>
      <c r="V958" s="686"/>
      <c r="W958" s="236">
        <f>РПЗ!L958</f>
        <v>150000</v>
      </c>
      <c r="X958" s="689">
        <v>0</v>
      </c>
      <c r="Y958" s="689">
        <v>0</v>
      </c>
      <c r="Z958" s="690"/>
      <c r="AA958" s="691"/>
      <c r="AB958" s="111"/>
      <c r="AC958" s="17"/>
      <c r="AD958" s="690"/>
      <c r="AE958" s="686"/>
      <c r="AF958" s="474"/>
      <c r="AG958" s="692"/>
      <c r="AH958" s="236" t="str">
        <f>IF(Таблица5[[#This Row],[30]]=0,"НД",Таблица5[[#This Row],[20]]-Таблица5[[#This Row],[30]])</f>
        <v>НД</v>
      </c>
      <c r="AI958" s="511" t="str">
        <f>IF(((1-Таблица5[[#This Row],[30]]/Таблица5[[#This Row],[20]])=1),"НД",(1-Таблица5[[#This Row],[30]]/Таблица5[[#This Row],[20]]))</f>
        <v>НД</v>
      </c>
      <c r="AJ958" s="111"/>
      <c r="AK958" s="111"/>
      <c r="AL958" s="512"/>
      <c r="AM958" s="513" t="s">
        <v>113</v>
      </c>
      <c r="AN958" s="801">
        <v>31705209421</v>
      </c>
      <c r="AO958" s="468" t="str">
        <f>РПЗ!AD958</f>
        <v>Нет</v>
      </c>
      <c r="AP958" s="472">
        <f>РПЗ!V958</f>
        <v>0</v>
      </c>
      <c r="AQ958" s="470">
        <f>IF(Таблица5[[#This Row],[11]]=0,,MONTH(Таблица5[[#This Row],[11]]))</f>
        <v>6</v>
      </c>
    </row>
    <row r="959" spans="1:43" ht="38.25" x14ac:dyDescent="0.25">
      <c r="A959" s="233" t="str">
        <f t="shared" si="15"/>
        <v>1004-2017-00944</v>
      </c>
      <c r="B959" s="233" t="str">
        <f>РПЗ!$D959</f>
        <v>1004-2017-00944 Поставка и закупка комплектующих для копировально-множительных аппаратов</v>
      </c>
      <c r="C959" s="233" t="str">
        <f>РПЗ!$AA959</f>
        <v>АО "НИИ "Полюс" им. М.Ф. Стельмаха" тел. отдела закупок 8-495-333-05-02</v>
      </c>
      <c r="D959" s="870" t="str">
        <f>РПЗ!$AB959</f>
        <v>Заказчик</v>
      </c>
      <c r="E959" s="96" t="s">
        <v>46</v>
      </c>
      <c r="F959" s="233" t="str">
        <f>РПЗ!Q959</f>
        <v>ОЗК</v>
      </c>
      <c r="G959" s="237"/>
      <c r="H959" s="237" t="str">
        <f>РПЗ!R959</f>
        <v>да</v>
      </c>
      <c r="I959" s="15">
        <f>РПЗ!W959</f>
        <v>0</v>
      </c>
      <c r="J959" s="233">
        <f>РПЗ!X959</f>
        <v>0</v>
      </c>
      <c r="K959" s="283">
        <f>РПЗ!Z959</f>
        <v>0</v>
      </c>
      <c r="L959" s="17"/>
      <c r="M959" s="18">
        <f>РПЗ!O959</f>
        <v>42856.5</v>
      </c>
      <c r="N959" s="238">
        <f>Таблица5[[#This Row],[10]]</f>
        <v>42856.5</v>
      </c>
      <c r="O959" s="17"/>
      <c r="P959" s="17"/>
      <c r="Q959" s="17"/>
      <c r="R959" s="17"/>
      <c r="S959" s="17"/>
      <c r="T959" s="686"/>
      <c r="U959" s="18">
        <f>РПЗ!P959</f>
        <v>43070.5</v>
      </c>
      <c r="V959" s="686"/>
      <c r="W959" s="236">
        <f>РПЗ!L959</f>
        <v>200000</v>
      </c>
      <c r="X959" s="689"/>
      <c r="Y959" s="689"/>
      <c r="Z959" s="690"/>
      <c r="AA959" s="691"/>
      <c r="AB959" s="111"/>
      <c r="AC959" s="17"/>
      <c r="AD959" s="690"/>
      <c r="AE959" s="686"/>
      <c r="AF959" s="474"/>
      <c r="AG959" s="692"/>
      <c r="AH959" s="236" t="str">
        <f>IF(Таблица5[[#This Row],[30]]=0,"НД",Таблица5[[#This Row],[20]]-Таблица5[[#This Row],[30]])</f>
        <v>НД</v>
      </c>
      <c r="AI959" s="511" t="str">
        <f>IF(((1-Таблица5[[#This Row],[30]]/Таблица5[[#This Row],[20]])=1),"НД",(1-Таблица5[[#This Row],[30]]/Таблица5[[#This Row],[20]]))</f>
        <v>НД</v>
      </c>
      <c r="AJ959" s="111"/>
      <c r="AK959" s="111"/>
      <c r="AL959" s="512"/>
      <c r="AM959" s="513"/>
      <c r="AN959" s="465"/>
      <c r="AO959" s="468" t="str">
        <f>РПЗ!AD959</f>
        <v>Нет</v>
      </c>
      <c r="AP959" s="472">
        <f>РПЗ!V959</f>
        <v>0</v>
      </c>
      <c r="AQ959" s="470">
        <f>IF(Таблица5[[#This Row],[11]]=0,,MONTH(Таблица5[[#This Row],[11]]))</f>
        <v>5</v>
      </c>
    </row>
    <row r="960" spans="1:43" ht="38.25" x14ac:dyDescent="0.25">
      <c r="A960" s="233" t="str">
        <f t="shared" si="15"/>
        <v>1004-2017-00945</v>
      </c>
      <c r="B960" s="233" t="str">
        <f>РПЗ!$D960</f>
        <v>1004-2017-00945 Поставка Изделия оптические из кристаллов ниобата лития</v>
      </c>
      <c r="C960" s="233" t="str">
        <f>РПЗ!$AA960</f>
        <v>АО "НИИ "Полюс" им. М.Ф. Стельмаха" тел. отдела закупок 8-495-333-05-02</v>
      </c>
      <c r="D960" s="870" t="str">
        <f>РПЗ!$AB960</f>
        <v>Заказчик</v>
      </c>
      <c r="E960" s="510" t="s">
        <v>62</v>
      </c>
      <c r="F960" s="233" t="str">
        <f>РПЗ!Q960</f>
        <v>ЕП</v>
      </c>
      <c r="G960" s="237" t="str">
        <f>Таблица5[[#This Row],[6]]</f>
        <v>ЕП</v>
      </c>
      <c r="H960" s="237" t="str">
        <f>РПЗ!R960</f>
        <v>нет</v>
      </c>
      <c r="I960" s="15" t="str">
        <f>РПЗ!W960</f>
        <v>6.6.2(31)</v>
      </c>
      <c r="J960" s="233" t="str">
        <f>РПЗ!X960</f>
        <v>5044066978</v>
      </c>
      <c r="K960" s="283">
        <f>РПЗ!Z960</f>
        <v>2356696</v>
      </c>
      <c r="L960" s="17">
        <v>42853</v>
      </c>
      <c r="M960" s="18">
        <f>РПЗ!O960</f>
        <v>42826.5</v>
      </c>
      <c r="N960" s="238">
        <f>Таблица5[[#This Row],[10]]</f>
        <v>42826.5</v>
      </c>
      <c r="O960" s="17"/>
      <c r="P960" s="17"/>
      <c r="Q960" s="17"/>
      <c r="R960" s="17"/>
      <c r="S960" s="17"/>
      <c r="T960" s="686">
        <v>42860</v>
      </c>
      <c r="U960" s="18">
        <f>РПЗ!P960</f>
        <v>42887.5</v>
      </c>
      <c r="V960" s="686">
        <v>42948</v>
      </c>
      <c r="W960" s="236">
        <f>РПЗ!L960</f>
        <v>2356696</v>
      </c>
      <c r="X960" s="689">
        <v>1</v>
      </c>
      <c r="Y960" s="689">
        <v>0</v>
      </c>
      <c r="Z960" s="691">
        <v>5044066978</v>
      </c>
      <c r="AA960" s="691" t="s">
        <v>3325</v>
      </c>
      <c r="AB960" s="111">
        <v>2356696</v>
      </c>
      <c r="AC960" s="17">
        <v>42948</v>
      </c>
      <c r="AD960" s="690" t="s">
        <v>5140</v>
      </c>
      <c r="AE960" s="686">
        <v>42860</v>
      </c>
      <c r="AF960" s="474"/>
      <c r="AG960" s="692">
        <v>2356696</v>
      </c>
      <c r="AH960" s="236">
        <f>IF(Таблица5[[#This Row],[30]]=0,"НД",Таблица5[[#This Row],[20]]-Таблица5[[#This Row],[30]])</f>
        <v>0</v>
      </c>
      <c r="AI960" s="511">
        <f>IF(((1-Таблица5[[#This Row],[30]]/Таблица5[[#This Row],[20]])=1),"НД",(1-Таблица5[[#This Row],[30]]/Таблица5[[#This Row],[20]]))</f>
        <v>0</v>
      </c>
      <c r="AJ960" s="111"/>
      <c r="AK960" s="111"/>
      <c r="AL960" s="512"/>
      <c r="AM960" s="513" t="s">
        <v>113</v>
      </c>
      <c r="AN960" s="801">
        <v>31705077355</v>
      </c>
      <c r="AO960" s="468" t="str">
        <f>РПЗ!AD960</f>
        <v>Нет</v>
      </c>
      <c r="AP960" s="472">
        <f>РПЗ!V960</f>
        <v>0</v>
      </c>
      <c r="AQ960" s="470">
        <f>IF(Таблица5[[#This Row],[11]]=0,,MONTH(Таблица5[[#This Row],[11]]))</f>
        <v>4</v>
      </c>
    </row>
    <row r="961" spans="1:43" ht="51" x14ac:dyDescent="0.25">
      <c r="A961" s="233" t="str">
        <f t="shared" si="15"/>
        <v>1004-2017-00946</v>
      </c>
      <c r="B961" s="233" t="str">
        <f>РПЗ!$D961</f>
        <v>1004-2017-00946  Поставка Металлические сплавы</v>
      </c>
      <c r="C961" s="233" t="str">
        <f>РПЗ!$AA961</f>
        <v>АО "НИИ "Полюс" им. М.Ф. Стельмаха" тел. отдела закупок 8-495-333-05-02</v>
      </c>
      <c r="D961" s="870" t="str">
        <f>РПЗ!$AB961</f>
        <v>Заказчик</v>
      </c>
      <c r="E961" s="510" t="s">
        <v>62</v>
      </c>
      <c r="F961" s="233" t="str">
        <f>РПЗ!Q961</f>
        <v>ОЗК</v>
      </c>
      <c r="G961" s="237" t="str">
        <f>Таблица5[[#This Row],[6]]</f>
        <v>ОЗК</v>
      </c>
      <c r="H961" s="237" t="str">
        <f>РПЗ!R961</f>
        <v>да</v>
      </c>
      <c r="I961" s="15">
        <f>РПЗ!W961</f>
        <v>0</v>
      </c>
      <c r="J961" s="233">
        <f>РПЗ!X961</f>
        <v>0</v>
      </c>
      <c r="K961" s="283">
        <f>РПЗ!Z961</f>
        <v>0</v>
      </c>
      <c r="L961" s="17">
        <v>42886</v>
      </c>
      <c r="M961" s="18">
        <f>РПЗ!O961</f>
        <v>42856.5</v>
      </c>
      <c r="N961" s="238">
        <f>Таблица5[[#This Row],[10]]</f>
        <v>42856.5</v>
      </c>
      <c r="O961" s="17">
        <v>42892</v>
      </c>
      <c r="P961" s="17">
        <v>42899</v>
      </c>
      <c r="Q961" s="17">
        <v>42899</v>
      </c>
      <c r="R961" s="17">
        <v>42893</v>
      </c>
      <c r="S961" s="17">
        <v>42893</v>
      </c>
      <c r="T961" s="686">
        <v>42909</v>
      </c>
      <c r="U961" s="18">
        <f>РПЗ!P961</f>
        <v>42887.5</v>
      </c>
      <c r="V961" s="686">
        <v>42948</v>
      </c>
      <c r="W961" s="236">
        <f>РПЗ!L961</f>
        <v>416095.02</v>
      </c>
      <c r="X961" s="689">
        <v>6</v>
      </c>
      <c r="Y961" s="689">
        <v>0</v>
      </c>
      <c r="Z961" s="691">
        <v>7709574625</v>
      </c>
      <c r="AA961" s="691" t="s">
        <v>5951</v>
      </c>
      <c r="AB961" s="111">
        <v>245274.8</v>
      </c>
      <c r="AC961" s="17">
        <v>42948</v>
      </c>
      <c r="AD961" s="690" t="s">
        <v>6125</v>
      </c>
      <c r="AE961" s="686">
        <v>42909</v>
      </c>
      <c r="AF961" s="474"/>
      <c r="AG961" s="692">
        <v>245274.8</v>
      </c>
      <c r="AH961" s="236">
        <f>IF(Таблица5[[#This Row],[30]]=0,"НД",Таблица5[[#This Row],[20]]-Таблица5[[#This Row],[30]])</f>
        <v>170820.22000000003</v>
      </c>
      <c r="AI961" s="511">
        <f>IF(((1-Таблица5[[#This Row],[30]]/Таблица5[[#This Row],[20]])=1),"НД",(1-Таблица5[[#This Row],[30]]/Таблица5[[#This Row],[20]]))</f>
        <v>0.41053175786626817</v>
      </c>
      <c r="AJ961" s="111">
        <v>245274.8</v>
      </c>
      <c r="AK961" s="111"/>
      <c r="AL961" s="512"/>
      <c r="AM961" s="513" t="s">
        <v>113</v>
      </c>
      <c r="AN961" s="801">
        <v>31705170801</v>
      </c>
      <c r="AO961" s="468" t="str">
        <f>РПЗ!AD961</f>
        <v>Нет</v>
      </c>
      <c r="AP961" s="472">
        <f>РПЗ!V961</f>
        <v>0</v>
      </c>
      <c r="AQ961" s="470">
        <f>IF(Таблица5[[#This Row],[11]]=0,,MONTH(Таблица5[[#This Row],[11]]))</f>
        <v>5</v>
      </c>
    </row>
    <row r="962" spans="1:43" ht="38.25" x14ac:dyDescent="0.25">
      <c r="A962" s="233" t="str">
        <f t="shared" si="15"/>
        <v>1004-2017-00947</v>
      </c>
      <c r="B962" s="233" t="str">
        <f>РПЗ!$D962</f>
        <v>1004-2017-00947 Поставка Металлопрокат</v>
      </c>
      <c r="C962" s="233" t="str">
        <f>РПЗ!$AA962</f>
        <v>АО "НИИ "Полюс" им. М.Ф. Стельмаха" тел. отдела закупок 8-495-333-05-02</v>
      </c>
      <c r="D962" s="870" t="str">
        <f>РПЗ!$AB962</f>
        <v>Заказчик</v>
      </c>
      <c r="E962" s="510" t="s">
        <v>59</v>
      </c>
      <c r="F962" s="233" t="str">
        <f>РПЗ!Q962</f>
        <v>ОЗК</v>
      </c>
      <c r="G962" s="237" t="str">
        <f>Таблица5[[#This Row],[6]]</f>
        <v>ОЗК</v>
      </c>
      <c r="H962" s="237" t="str">
        <f>РПЗ!R962</f>
        <v>да</v>
      </c>
      <c r="I962" s="15">
        <f>РПЗ!W962</f>
        <v>0</v>
      </c>
      <c r="J962" s="233">
        <f>РПЗ!X962</f>
        <v>0</v>
      </c>
      <c r="K962" s="283">
        <f>РПЗ!Z962</f>
        <v>0</v>
      </c>
      <c r="L962" s="17">
        <v>42886</v>
      </c>
      <c r="M962" s="18">
        <f>РПЗ!O962</f>
        <v>42887.5</v>
      </c>
      <c r="N962" s="238">
        <f>Таблица5[[#This Row],[10]]</f>
        <v>42887.5</v>
      </c>
      <c r="O962" s="17">
        <v>42906</v>
      </c>
      <c r="P962" s="17">
        <v>42899</v>
      </c>
      <c r="Q962" s="17">
        <v>42899</v>
      </c>
      <c r="R962" s="17">
        <v>42899</v>
      </c>
      <c r="S962" s="17">
        <v>42899</v>
      </c>
      <c r="T962" s="686"/>
      <c r="U962" s="18">
        <f>РПЗ!P962</f>
        <v>42887.5</v>
      </c>
      <c r="V962" s="686"/>
      <c r="W962" s="236">
        <f>РПЗ!L962</f>
        <v>357866.25</v>
      </c>
      <c r="X962" s="689">
        <v>0</v>
      </c>
      <c r="Y962" s="689">
        <v>0</v>
      </c>
      <c r="Z962" s="690"/>
      <c r="AA962" s="691"/>
      <c r="AB962" s="111"/>
      <c r="AC962" s="17"/>
      <c r="AD962" s="690"/>
      <c r="AE962" s="686"/>
      <c r="AF962" s="474"/>
      <c r="AG962" s="692"/>
      <c r="AH962" s="236" t="str">
        <f>IF(Таблица5[[#This Row],[30]]=0,"НД",Таблица5[[#This Row],[20]]-Таблица5[[#This Row],[30]])</f>
        <v>НД</v>
      </c>
      <c r="AI962" s="511" t="str">
        <f>IF(((1-Таблица5[[#This Row],[30]]/Таблица5[[#This Row],[20]])=1),"НД",(1-Таблица5[[#This Row],[30]]/Таблица5[[#This Row],[20]]))</f>
        <v>НД</v>
      </c>
      <c r="AJ962" s="111"/>
      <c r="AK962" s="111"/>
      <c r="AL962" s="512"/>
      <c r="AM962" s="513"/>
      <c r="AN962" s="801">
        <v>31705206914</v>
      </c>
      <c r="AO962" s="468" t="str">
        <f>РПЗ!AD962</f>
        <v>Нет</v>
      </c>
      <c r="AP962" s="472">
        <f>РПЗ!V962</f>
        <v>0</v>
      </c>
      <c r="AQ962" s="470">
        <f>IF(Таблица5[[#This Row],[11]]=0,,MONTH(Таблица5[[#This Row],[11]]))</f>
        <v>6</v>
      </c>
    </row>
    <row r="963" spans="1:43" ht="39" thickBot="1" x14ac:dyDescent="0.3">
      <c r="A963" s="233" t="str">
        <f t="shared" si="15"/>
        <v>1004-2017-00948</v>
      </c>
      <c r="B963" s="233" t="str">
        <f>РПЗ!$D963</f>
        <v>1004-2017-00948 Поставка Металлические сплавы</v>
      </c>
      <c r="C963" s="233" t="str">
        <f>РПЗ!$AA963</f>
        <v>АО "НИИ "Полюс" им. М.Ф. Стельмаха" тел. отдела закупок 8-495-333-05-02</v>
      </c>
      <c r="D963" s="870" t="str">
        <f>РПЗ!$AB963</f>
        <v>Заказчик</v>
      </c>
      <c r="E963" s="510" t="s">
        <v>62</v>
      </c>
      <c r="F963" s="233" t="str">
        <f>РПЗ!Q963</f>
        <v>ОЗК</v>
      </c>
      <c r="G963" s="237" t="str">
        <f>Таблица5[[#This Row],[6]]</f>
        <v>ОЗК</v>
      </c>
      <c r="H963" s="237" t="str">
        <f>РПЗ!R963</f>
        <v>Да</v>
      </c>
      <c r="I963" s="15">
        <f>РПЗ!W963</f>
        <v>0</v>
      </c>
      <c r="J963" s="233">
        <f>РПЗ!X963</f>
        <v>0</v>
      </c>
      <c r="K963" s="283">
        <f>РПЗ!Z963</f>
        <v>0</v>
      </c>
      <c r="L963" s="17">
        <v>42867</v>
      </c>
      <c r="M963" s="18">
        <f>РПЗ!O963</f>
        <v>42856.5</v>
      </c>
      <c r="N963" s="238">
        <f>Таблица5[[#This Row],[10]]</f>
        <v>42856.5</v>
      </c>
      <c r="O963" s="17">
        <v>42874</v>
      </c>
      <c r="P963" s="17">
        <v>42879</v>
      </c>
      <c r="Q963" s="17">
        <v>42879</v>
      </c>
      <c r="R963" s="17">
        <v>42877</v>
      </c>
      <c r="S963" s="17">
        <v>42877</v>
      </c>
      <c r="T963" s="686">
        <v>42891</v>
      </c>
      <c r="U963" s="18">
        <f>РПЗ!P963</f>
        <v>42887.5</v>
      </c>
      <c r="V963" s="686">
        <v>42887</v>
      </c>
      <c r="W963" s="236">
        <f>РПЗ!L963</f>
        <v>782772.33</v>
      </c>
      <c r="X963" s="689">
        <v>4</v>
      </c>
      <c r="Y963" s="689">
        <v>0</v>
      </c>
      <c r="Z963" s="691">
        <v>7723866669</v>
      </c>
      <c r="AA963" s="691" t="s">
        <v>5990</v>
      </c>
      <c r="AB963" s="111">
        <v>711028.02</v>
      </c>
      <c r="AC963" s="17">
        <v>42887</v>
      </c>
      <c r="AD963" s="690" t="s">
        <v>5991</v>
      </c>
      <c r="AE963" s="686" t="s">
        <v>5992</v>
      </c>
      <c r="AF963" s="474"/>
      <c r="AG963" s="692">
        <v>711028.02</v>
      </c>
      <c r="AH963" s="236">
        <f>IF(Таблица5[[#This Row],[30]]=0,"НД",Таблица5[[#This Row],[20]]-Таблица5[[#This Row],[30]])</f>
        <v>71744.309999999939</v>
      </c>
      <c r="AI963" s="511">
        <f>IF(((1-Таблица5[[#This Row],[30]]/Таблица5[[#This Row],[20]])=1),"НД",(1-Таблица5[[#This Row],[30]]/Таблица5[[#This Row],[20]]))</f>
        <v>9.165412119255667E-2</v>
      </c>
      <c r="AJ963" s="111">
        <v>711028.02</v>
      </c>
      <c r="AK963" s="111"/>
      <c r="AL963" s="512"/>
      <c r="AM963" s="513" t="s">
        <v>113</v>
      </c>
      <c r="AN963" s="801">
        <v>31705103979</v>
      </c>
      <c r="AO963" s="468" t="str">
        <f>РПЗ!AD963</f>
        <v>Нет</v>
      </c>
      <c r="AP963" s="472">
        <f>РПЗ!V963</f>
        <v>0</v>
      </c>
      <c r="AQ963" s="470">
        <f>IF(Таблица5[[#This Row],[11]]=0,,MONTH(Таблица5[[#This Row],[11]]))</f>
        <v>5</v>
      </c>
    </row>
    <row r="964" spans="1:43" ht="38.25" x14ac:dyDescent="0.25">
      <c r="A964" s="233" t="str">
        <f t="shared" si="15"/>
        <v>1004-2017-00949</v>
      </c>
      <c r="B964" s="233" t="str">
        <f>РПЗ!$D964</f>
        <v>1004-2017-00949 Поставка лампы импульсные</v>
      </c>
      <c r="C964" s="233" t="str">
        <f>РПЗ!$AA964</f>
        <v>АО "НИИ "Полюс" им. М.Ф. Стельмаха" тел. отдела закупок 8-495-333-05-02</v>
      </c>
      <c r="D964" s="870" t="str">
        <f>РПЗ!$AB964</f>
        <v>Заказчик</v>
      </c>
      <c r="E964" s="96" t="s">
        <v>46</v>
      </c>
      <c r="F964" s="233" t="str">
        <f>РПЗ!Q964</f>
        <v>ЕП</v>
      </c>
      <c r="G964" s="237"/>
      <c r="H964" s="237" t="str">
        <f>РПЗ!R964</f>
        <v>нет</v>
      </c>
      <c r="I964" s="15">
        <f>РПЗ!W964</f>
        <v>0</v>
      </c>
      <c r="J964" s="233">
        <f>РПЗ!X964</f>
        <v>0</v>
      </c>
      <c r="K964" s="283">
        <f>РПЗ!Z964</f>
        <v>0</v>
      </c>
      <c r="L964" s="17"/>
      <c r="M964" s="18">
        <f>РПЗ!O964</f>
        <v>42856.5</v>
      </c>
      <c r="N964" s="238">
        <f>Таблица5[[#This Row],[10]]</f>
        <v>42856.5</v>
      </c>
      <c r="O964" s="17"/>
      <c r="P964" s="17"/>
      <c r="Q964" s="17"/>
      <c r="R964" s="17"/>
      <c r="S964" s="17"/>
      <c r="T964" s="686"/>
      <c r="U964" s="18">
        <f>РПЗ!P964</f>
        <v>42856.5</v>
      </c>
      <c r="V964" s="686"/>
      <c r="W964" s="236">
        <f>РПЗ!L964</f>
        <v>148680</v>
      </c>
      <c r="X964" s="689"/>
      <c r="Y964" s="689"/>
      <c r="Z964" s="690"/>
      <c r="AA964" s="691"/>
      <c r="AB964" s="111"/>
      <c r="AC964" s="17"/>
      <c r="AD964" s="690"/>
      <c r="AE964" s="686"/>
      <c r="AF964" s="474"/>
      <c r="AG964" s="692"/>
      <c r="AH964" s="236" t="str">
        <f>IF(Таблица5[[#This Row],[30]]=0,"НД",Таблица5[[#This Row],[20]]-Таблица5[[#This Row],[30]])</f>
        <v>НД</v>
      </c>
      <c r="AI964" s="511" t="str">
        <f>IF(((1-Таблица5[[#This Row],[30]]/Таблица5[[#This Row],[20]])=1),"НД",(1-Таблица5[[#This Row],[30]]/Таблица5[[#This Row],[20]]))</f>
        <v>НД</v>
      </c>
      <c r="AJ964" s="111"/>
      <c r="AK964" s="111"/>
      <c r="AL964" s="512"/>
      <c r="AM964" s="513"/>
      <c r="AN964" s="465"/>
      <c r="AO964" s="468" t="str">
        <f>РПЗ!AD964</f>
        <v>Нет</v>
      </c>
      <c r="AP964" s="472">
        <f>РПЗ!V964</f>
        <v>0</v>
      </c>
      <c r="AQ964" s="470">
        <f>IF(Таблица5[[#This Row],[11]]=0,,MONTH(Таблица5[[#This Row],[11]]))</f>
        <v>5</v>
      </c>
    </row>
    <row r="965" spans="1:43" ht="51.75" thickBot="1" x14ac:dyDescent="0.3">
      <c r="A965" s="233" t="str">
        <f t="shared" si="15"/>
        <v>1004-2017-00950</v>
      </c>
      <c r="B965" s="233" t="str">
        <f>РПЗ!$D965</f>
        <v>1004-2017-00950 Поставка Микросхемы</v>
      </c>
      <c r="C965" s="233" t="str">
        <f>РПЗ!$AA965</f>
        <v>АО "НИИ "Полюс" им. М.Ф. Стельмаха" тел. отдела закупок 8-495-333-05-02</v>
      </c>
      <c r="D965" s="870" t="str">
        <f>РПЗ!$AB965</f>
        <v>Заказчик</v>
      </c>
      <c r="E965" s="510" t="s">
        <v>62</v>
      </c>
      <c r="F965" s="233" t="str">
        <f>РПЗ!Q965</f>
        <v>ЕП</v>
      </c>
      <c r="G965" s="237" t="str">
        <f>Таблица5[[#This Row],[6]]</f>
        <v>ЕП</v>
      </c>
      <c r="H965" s="237" t="str">
        <f>РПЗ!R965</f>
        <v>нет</v>
      </c>
      <c r="I965" s="15" t="str">
        <f>РПЗ!W965</f>
        <v>6.6.2(10)</v>
      </c>
      <c r="J965" s="233" t="str">
        <f>РПЗ!X965</f>
        <v>4026000108</v>
      </c>
      <c r="K965" s="283">
        <f>РПЗ!Z965</f>
        <v>285975.36</v>
      </c>
      <c r="L965" s="17">
        <v>42858</v>
      </c>
      <c r="M965" s="18">
        <f>РПЗ!O965</f>
        <v>42856.5</v>
      </c>
      <c r="N965" s="238">
        <f>Таблица5[[#This Row],[10]]</f>
        <v>42856.5</v>
      </c>
      <c r="O965" s="17"/>
      <c r="P965" s="17"/>
      <c r="Q965" s="17"/>
      <c r="R965" s="17"/>
      <c r="S965" s="17"/>
      <c r="T965" s="686">
        <v>42866</v>
      </c>
      <c r="U965" s="18">
        <f>РПЗ!P965</f>
        <v>42856.5</v>
      </c>
      <c r="V965" s="686">
        <v>43009</v>
      </c>
      <c r="W965" s="236">
        <f>РПЗ!L965</f>
        <v>285975.36</v>
      </c>
      <c r="X965" s="689">
        <v>1</v>
      </c>
      <c r="Y965" s="689">
        <v>0</v>
      </c>
      <c r="Z965" s="691">
        <v>4026000108</v>
      </c>
      <c r="AA965" s="691" t="s">
        <v>5084</v>
      </c>
      <c r="AB965" s="111">
        <v>285975.36</v>
      </c>
      <c r="AC965" s="17">
        <v>43009</v>
      </c>
      <c r="AD965" s="690" t="s">
        <v>5085</v>
      </c>
      <c r="AE965" s="686">
        <v>42866</v>
      </c>
      <c r="AF965" s="474"/>
      <c r="AG965" s="692">
        <v>285975.36</v>
      </c>
      <c r="AH965" s="236">
        <f>IF(Таблица5[[#This Row],[30]]=0,"НД",Таблица5[[#This Row],[20]]-Таблица5[[#This Row],[30]])</f>
        <v>0</v>
      </c>
      <c r="AI965" s="511">
        <f>IF(((1-Таблица5[[#This Row],[30]]/Таблица5[[#This Row],[20]])=1),"НД",(1-Таблица5[[#This Row],[30]]/Таблица5[[#This Row],[20]]))</f>
        <v>0</v>
      </c>
      <c r="AJ965" s="111"/>
      <c r="AK965" s="111"/>
      <c r="AL965" s="512"/>
      <c r="AM965" s="513" t="s">
        <v>113</v>
      </c>
      <c r="AN965" s="801">
        <v>31705082610</v>
      </c>
      <c r="AO965" s="468" t="str">
        <f>РПЗ!AD965</f>
        <v>Нет</v>
      </c>
      <c r="AP965" s="472">
        <f>РПЗ!V965</f>
        <v>0</v>
      </c>
      <c r="AQ965" s="470">
        <f>IF(Таблица5[[#This Row],[11]]=0,,MONTH(Таблица5[[#This Row],[11]]))</f>
        <v>5</v>
      </c>
    </row>
    <row r="966" spans="1:43" ht="39" thickBot="1" x14ac:dyDescent="0.3">
      <c r="A966" s="233" t="str">
        <f t="shared" si="15"/>
        <v>1004-2017-00951</v>
      </c>
      <c r="B966" s="233" t="str">
        <f>РПЗ!$D966</f>
        <v>1004-2017-00951 Поставка Диоды, микросхемы</v>
      </c>
      <c r="C966" s="233" t="str">
        <f>РПЗ!$AA966</f>
        <v>АО "НИИ "Полюс" им. М.Ф. Стельмаха" тел. отдела закупок 8-495-333-05-02</v>
      </c>
      <c r="D966" s="870" t="str">
        <f>РПЗ!$AB966</f>
        <v>Заказчик</v>
      </c>
      <c r="E966" s="96" t="s">
        <v>46</v>
      </c>
      <c r="F966" s="233" t="str">
        <f>РПЗ!Q966</f>
        <v>ЕП</v>
      </c>
      <c r="G966" s="237"/>
      <c r="H966" s="237" t="str">
        <f>РПЗ!R966</f>
        <v>нет</v>
      </c>
      <c r="I966" s="15">
        <f>РПЗ!W966</f>
        <v>0</v>
      </c>
      <c r="J966" s="233">
        <f>РПЗ!X966</f>
        <v>0</v>
      </c>
      <c r="K966" s="283">
        <f>РПЗ!Z966</f>
        <v>0</v>
      </c>
      <c r="L966" s="17"/>
      <c r="M966" s="18">
        <f>РПЗ!O966</f>
        <v>42856.5</v>
      </c>
      <c r="N966" s="238">
        <f>Таблица5[[#This Row],[10]]</f>
        <v>42856.5</v>
      </c>
      <c r="O966" s="17"/>
      <c r="P966" s="17"/>
      <c r="Q966" s="17"/>
      <c r="R966" s="17"/>
      <c r="S966" s="17"/>
      <c r="T966" s="686"/>
      <c r="U966" s="18">
        <f>РПЗ!P966</f>
        <v>42856.5</v>
      </c>
      <c r="V966" s="686"/>
      <c r="W966" s="236">
        <f>РПЗ!L966</f>
        <v>156798.39999999999</v>
      </c>
      <c r="X966" s="689"/>
      <c r="Y966" s="689"/>
      <c r="Z966" s="690"/>
      <c r="AA966" s="691"/>
      <c r="AB966" s="111"/>
      <c r="AC966" s="17"/>
      <c r="AD966" s="690"/>
      <c r="AE966" s="686"/>
      <c r="AF966" s="474"/>
      <c r="AG966" s="692"/>
      <c r="AH966" s="236" t="str">
        <f>IF(Таблица5[[#This Row],[30]]=0,"НД",Таблица5[[#This Row],[20]]-Таблица5[[#This Row],[30]])</f>
        <v>НД</v>
      </c>
      <c r="AI966" s="511" t="str">
        <f>IF(((1-Таблица5[[#This Row],[30]]/Таблица5[[#This Row],[20]])=1),"НД",(1-Таблица5[[#This Row],[30]]/Таблица5[[#This Row],[20]]))</f>
        <v>НД</v>
      </c>
      <c r="AJ966" s="111"/>
      <c r="AK966" s="111"/>
      <c r="AL966" s="512"/>
      <c r="AM966" s="513"/>
      <c r="AN966" s="465"/>
      <c r="AO966" s="468" t="str">
        <f>РПЗ!AD966</f>
        <v>Нет</v>
      </c>
      <c r="AP966" s="472">
        <f>РПЗ!V966</f>
        <v>0</v>
      </c>
      <c r="AQ966" s="470">
        <f>IF(Таблица5[[#This Row],[11]]=0,,MONTH(Таблица5[[#This Row],[11]]))</f>
        <v>5</v>
      </c>
    </row>
    <row r="967" spans="1:43" ht="39" thickBot="1" x14ac:dyDescent="0.3">
      <c r="A967" s="233" t="str">
        <f t="shared" si="15"/>
        <v>1004-2017-00952</v>
      </c>
      <c r="B967" s="233" t="str">
        <f>РПЗ!$D967</f>
        <v>1004-2017-00952 Поставка Электродвигатели</v>
      </c>
      <c r="C967" s="233" t="str">
        <f>РПЗ!$AA967</f>
        <v>АО "НИИ "Полюс" им. М.Ф. Стельмаха" тел. отдела закупок 8-495-333-05-02</v>
      </c>
      <c r="D967" s="870" t="str">
        <f>РПЗ!$AB967</f>
        <v>Заказчик</v>
      </c>
      <c r="E967" s="96" t="s">
        <v>46</v>
      </c>
      <c r="F967" s="233" t="str">
        <f>РПЗ!Q967</f>
        <v>ЕП</v>
      </c>
      <c r="G967" s="237"/>
      <c r="H967" s="237" t="str">
        <f>РПЗ!R967</f>
        <v>нет</v>
      </c>
      <c r="I967" s="15">
        <f>РПЗ!W967</f>
        <v>0</v>
      </c>
      <c r="J967" s="233">
        <f>РПЗ!X967</f>
        <v>0</v>
      </c>
      <c r="K967" s="283">
        <f>РПЗ!Z967</f>
        <v>0</v>
      </c>
      <c r="L967" s="17"/>
      <c r="M967" s="18">
        <f>РПЗ!O967</f>
        <v>42857.5</v>
      </c>
      <c r="N967" s="238">
        <f>Таблица5[[#This Row],[10]]</f>
        <v>42857.5</v>
      </c>
      <c r="O967" s="17"/>
      <c r="P967" s="17"/>
      <c r="Q967" s="17"/>
      <c r="R967" s="17"/>
      <c r="S967" s="17"/>
      <c r="T967" s="686"/>
      <c r="U967" s="18">
        <f>РПЗ!P967</f>
        <v>42857.5</v>
      </c>
      <c r="V967" s="686"/>
      <c r="W967" s="236">
        <f>РПЗ!L967</f>
        <v>1142169.2</v>
      </c>
      <c r="X967" s="689"/>
      <c r="Y967" s="689"/>
      <c r="Z967" s="690"/>
      <c r="AA967" s="691"/>
      <c r="AB967" s="111"/>
      <c r="AC967" s="17"/>
      <c r="AD967" s="690"/>
      <c r="AE967" s="686"/>
      <c r="AF967" s="474"/>
      <c r="AG967" s="692"/>
      <c r="AH967" s="236" t="str">
        <f>IF(Таблица5[[#This Row],[30]]=0,"НД",Таблица5[[#This Row],[20]]-Таблица5[[#This Row],[30]])</f>
        <v>НД</v>
      </c>
      <c r="AI967" s="511" t="str">
        <f>IF(((1-Таблица5[[#This Row],[30]]/Таблица5[[#This Row],[20]])=1),"НД",(1-Таблица5[[#This Row],[30]]/Таблица5[[#This Row],[20]]))</f>
        <v>НД</v>
      </c>
      <c r="AJ967" s="111"/>
      <c r="AK967" s="111"/>
      <c r="AL967" s="512"/>
      <c r="AM967" s="513"/>
      <c r="AN967" s="465"/>
      <c r="AO967" s="468" t="str">
        <f>РПЗ!AD967</f>
        <v>Нет</v>
      </c>
      <c r="AP967" s="472">
        <f>РПЗ!V967</f>
        <v>0</v>
      </c>
      <c r="AQ967" s="470">
        <f>IF(Таблица5[[#This Row],[11]]=0,,MONTH(Таблица5[[#This Row],[11]]))</f>
        <v>5</v>
      </c>
    </row>
    <row r="968" spans="1:43" ht="38.25" x14ac:dyDescent="0.25">
      <c r="A968" s="233" t="str">
        <f t="shared" si="15"/>
        <v>1004-2017-00953</v>
      </c>
      <c r="B968" s="233" t="str">
        <f>РПЗ!$D968</f>
        <v>1004-2017-00953 Поставка химической продукции</v>
      </c>
      <c r="C968" s="233" t="str">
        <f>РПЗ!$AA968</f>
        <v>АО "НИИ "Полюс" им. М.Ф. Стельмаха" тел. отдела закупок 8-495-333-05-02</v>
      </c>
      <c r="D968" s="870" t="str">
        <f>РПЗ!$AB968</f>
        <v>Заказчик</v>
      </c>
      <c r="E968" s="96" t="s">
        <v>46</v>
      </c>
      <c r="F968" s="233" t="str">
        <f>РПЗ!Q968</f>
        <v>ЕП</v>
      </c>
      <c r="G968" s="237"/>
      <c r="H968" s="237" t="str">
        <f>РПЗ!R968</f>
        <v>нет</v>
      </c>
      <c r="I968" s="15">
        <f>РПЗ!W968</f>
        <v>0</v>
      </c>
      <c r="J968" s="233">
        <f>РПЗ!X968</f>
        <v>0</v>
      </c>
      <c r="K968" s="283">
        <f>РПЗ!Z968</f>
        <v>0</v>
      </c>
      <c r="L968" s="17"/>
      <c r="M968" s="18">
        <f>РПЗ!O968</f>
        <v>42858.5</v>
      </c>
      <c r="N968" s="238">
        <f>Таблица5[[#This Row],[10]]</f>
        <v>42858.5</v>
      </c>
      <c r="O968" s="17"/>
      <c r="P968" s="17"/>
      <c r="Q968" s="17"/>
      <c r="R968" s="17"/>
      <c r="S968" s="17"/>
      <c r="T968" s="686"/>
      <c r="U968" s="18">
        <f>РПЗ!P968</f>
        <v>42858.5</v>
      </c>
      <c r="V968" s="686"/>
      <c r="W968" s="236">
        <f>РПЗ!L968</f>
        <v>1350000</v>
      </c>
      <c r="X968" s="689"/>
      <c r="Y968" s="689"/>
      <c r="Z968" s="690"/>
      <c r="AA968" s="691"/>
      <c r="AB968" s="111"/>
      <c r="AC968" s="17"/>
      <c r="AD968" s="690"/>
      <c r="AE968" s="686"/>
      <c r="AF968" s="474"/>
      <c r="AG968" s="692"/>
      <c r="AH968" s="236" t="str">
        <f>IF(Таблица5[[#This Row],[30]]=0,"НД",Таблица5[[#This Row],[20]]-Таблица5[[#This Row],[30]])</f>
        <v>НД</v>
      </c>
      <c r="AI968" s="511" t="str">
        <f>IF(((1-Таблица5[[#This Row],[30]]/Таблица5[[#This Row],[20]])=1),"НД",(1-Таблица5[[#This Row],[30]]/Таблица5[[#This Row],[20]]))</f>
        <v>НД</v>
      </c>
      <c r="AJ968" s="111"/>
      <c r="AK968" s="111"/>
      <c r="AL968" s="512"/>
      <c r="AM968" s="513"/>
      <c r="AN968" s="465"/>
      <c r="AO968" s="468" t="str">
        <f>РПЗ!AD968</f>
        <v>Нет</v>
      </c>
      <c r="AP968" s="472">
        <f>РПЗ!V968</f>
        <v>0</v>
      </c>
      <c r="AQ968" s="470">
        <f>IF(Таблица5[[#This Row],[11]]=0,,MONTH(Таблица5[[#This Row],[11]]))</f>
        <v>5</v>
      </c>
    </row>
    <row r="969" spans="1:43" ht="127.5" x14ac:dyDescent="0.25">
      <c r="A969" s="233" t="str">
        <f t="shared" si="15"/>
        <v>1004-2017-00954</v>
      </c>
      <c r="B969" s="233" t="str">
        <f>РПЗ!$D969</f>
        <v>1004-2017-00954 Поставка электронной платы 2-х канальной (4-2-мА) для газоанализатора МХ52, датчика газа OLCT100 (Н2, 0-100%НКПР), ячеек газа SIH4 для датчика OLCT20/40, ячеек газа РН3 для датчика OLCT20/40, ячеек газа ASH3 для датчика OLCT20/40, датчика газа СТХ300 (ASH3, 0-1 ppm)</v>
      </c>
      <c r="C969" s="233" t="str">
        <f>РПЗ!$AA969</f>
        <v>АО "НИИ "Полюс" им. М.Ф. Стельмаха" тел. отдела закупок 8-495-333-05-02</v>
      </c>
      <c r="D969" s="870" t="str">
        <f>РПЗ!$AB969</f>
        <v>Заказчик</v>
      </c>
      <c r="E969" s="510" t="s">
        <v>62</v>
      </c>
      <c r="F969" s="233" t="str">
        <f>РПЗ!Q969</f>
        <v>ОЗК</v>
      </c>
      <c r="G969" s="237" t="str">
        <f>Таблица5[[#This Row],[6]]</f>
        <v>ОЗК</v>
      </c>
      <c r="H969" s="237" t="str">
        <f>РПЗ!R969</f>
        <v>да</v>
      </c>
      <c r="I969" s="15">
        <f>РПЗ!W969</f>
        <v>0</v>
      </c>
      <c r="J969" s="233">
        <f>РПЗ!X969</f>
        <v>0</v>
      </c>
      <c r="K969" s="283">
        <f>РПЗ!Z969</f>
        <v>0</v>
      </c>
      <c r="L969" s="17">
        <v>42851</v>
      </c>
      <c r="M969" s="18">
        <f>РПЗ!O969</f>
        <v>42850.5</v>
      </c>
      <c r="N969" s="238">
        <f>Таблица5[[#This Row],[10]]</f>
        <v>42850.5</v>
      </c>
      <c r="O969" s="17">
        <v>42858</v>
      </c>
      <c r="P969" s="17">
        <v>42865</v>
      </c>
      <c r="Q969" s="17">
        <v>42865</v>
      </c>
      <c r="R969" s="17">
        <v>42858</v>
      </c>
      <c r="S969" s="17">
        <v>42858</v>
      </c>
      <c r="T969" s="686">
        <v>42873</v>
      </c>
      <c r="U969" s="18">
        <f>РПЗ!P969</f>
        <v>43100.5</v>
      </c>
      <c r="V969" s="686">
        <v>42948</v>
      </c>
      <c r="W969" s="236">
        <f>РПЗ!L969</f>
        <v>19472</v>
      </c>
      <c r="X969" s="689">
        <v>1</v>
      </c>
      <c r="Y969" s="689">
        <v>0</v>
      </c>
      <c r="Z969" s="691">
        <v>7714795193</v>
      </c>
      <c r="AA969" s="691" t="s">
        <v>6088</v>
      </c>
      <c r="AB969" s="111">
        <v>19465.28</v>
      </c>
      <c r="AC969" s="17">
        <v>42948</v>
      </c>
      <c r="AD969" s="690" t="s">
        <v>6089</v>
      </c>
      <c r="AE969" s="686">
        <v>42873</v>
      </c>
      <c r="AF969" s="474"/>
      <c r="AG969" s="692">
        <v>19465.28</v>
      </c>
      <c r="AH969" s="236">
        <f>IF(Таблица5[[#This Row],[30]]=0,"НД",Таблица5[[#This Row],[20]]-Таблица5[[#This Row],[30]])</f>
        <v>6.7200000000011642</v>
      </c>
      <c r="AI969" s="511">
        <f>IF(((1-Таблица5[[#This Row],[30]]/Таблица5[[#This Row],[20]])=1),"НД",(1-Таблица5[[#This Row],[30]]/Таблица5[[#This Row],[20]]))</f>
        <v>3.4511092851274849E-4</v>
      </c>
      <c r="AJ969" s="111">
        <v>19465.28</v>
      </c>
      <c r="AK969" s="111"/>
      <c r="AL969" s="512"/>
      <c r="AM969" s="513" t="s">
        <v>113</v>
      </c>
      <c r="AN969" s="465">
        <v>31705055981</v>
      </c>
      <c r="AO969" s="468" t="str">
        <f>РПЗ!AD969</f>
        <v>Нет</v>
      </c>
      <c r="AP969" s="472">
        <f>РПЗ!V969</f>
        <v>0</v>
      </c>
      <c r="AQ969" s="470">
        <f>IF(Таблица5[[#This Row],[11]]=0,,MONTH(Таблица5[[#This Row],[11]]))</f>
        <v>4</v>
      </c>
    </row>
    <row r="970" spans="1:43" ht="51.75" thickBot="1" x14ac:dyDescent="0.3">
      <c r="A970" s="233" t="str">
        <f t="shared" si="15"/>
        <v>1004-2017-00955</v>
      </c>
      <c r="B970" s="233" t="str">
        <f>РПЗ!$D970</f>
        <v>1004-2017-00955 оказание услуг по организации летнего детского оздоровительного отдыха для детей сотрудников предприятия</v>
      </c>
      <c r="C970" s="233" t="str">
        <f>РПЗ!$AA970</f>
        <v>АО "НИИ "Полюс" им. М.Ф. Стельмаха" тел. отдела закупок 8-495-333-05-02</v>
      </c>
      <c r="D970" s="870" t="str">
        <f>РПЗ!$AB970</f>
        <v>Заказчик</v>
      </c>
      <c r="E970" s="510" t="s">
        <v>59</v>
      </c>
      <c r="F970" s="233" t="str">
        <f>РПЗ!Q970</f>
        <v>ОЗК</v>
      </c>
      <c r="G970" s="237" t="str">
        <f>Таблица5[[#This Row],[6]]</f>
        <v>ОЗК</v>
      </c>
      <c r="H970" s="237" t="str">
        <f>РПЗ!R970</f>
        <v>да</v>
      </c>
      <c r="I970" s="15">
        <f>РПЗ!W970</f>
        <v>0</v>
      </c>
      <c r="J970" s="233">
        <f>РПЗ!X970</f>
        <v>0</v>
      </c>
      <c r="K970" s="283">
        <f>РПЗ!Z970</f>
        <v>0</v>
      </c>
      <c r="L970" s="17">
        <v>42873</v>
      </c>
      <c r="M970" s="18">
        <f>РПЗ!O970</f>
        <v>42856</v>
      </c>
      <c r="N970" s="238">
        <f>Таблица5[[#This Row],[10]]</f>
        <v>42856</v>
      </c>
      <c r="O970" s="17">
        <v>42880</v>
      </c>
      <c r="P970" s="17">
        <v>42885</v>
      </c>
      <c r="Q970" s="17">
        <v>42885</v>
      </c>
      <c r="R970" s="17">
        <v>42885</v>
      </c>
      <c r="S970" s="17">
        <v>42885</v>
      </c>
      <c r="T970" s="686"/>
      <c r="U970" s="18">
        <f>РПЗ!P970</f>
        <v>42979</v>
      </c>
      <c r="V970" s="686"/>
      <c r="W970" s="236">
        <f>РПЗ!L970</f>
        <v>1980000</v>
      </c>
      <c r="X970" s="689">
        <v>0</v>
      </c>
      <c r="Y970" s="689">
        <v>0</v>
      </c>
      <c r="Z970" s="690"/>
      <c r="AA970" s="691"/>
      <c r="AB970" s="111"/>
      <c r="AC970" s="17"/>
      <c r="AD970" s="690"/>
      <c r="AE970" s="686"/>
      <c r="AF970" s="474"/>
      <c r="AG970" s="692"/>
      <c r="AH970" s="236" t="str">
        <f>IF(Таблица5[[#This Row],[30]]=0,"НД",Таблица5[[#This Row],[20]]-Таблица5[[#This Row],[30]])</f>
        <v>НД</v>
      </c>
      <c r="AI970" s="511" t="str">
        <f>IF(((1-Таблица5[[#This Row],[30]]/Таблица5[[#This Row],[20]])=1),"НД",(1-Таблица5[[#This Row],[30]]/Таблица5[[#This Row],[20]]))</f>
        <v>НД</v>
      </c>
      <c r="AJ970" s="111"/>
      <c r="AK970" s="111"/>
      <c r="AL970" s="512"/>
      <c r="AM970" s="513" t="s">
        <v>113</v>
      </c>
      <c r="AN970" s="801">
        <v>31705124007</v>
      </c>
      <c r="AO970" s="468" t="str">
        <f>РПЗ!AD970</f>
        <v>Нет</v>
      </c>
      <c r="AP970" s="472">
        <f>РПЗ!V970</f>
        <v>0</v>
      </c>
      <c r="AQ970" s="470">
        <f>IF(Таблица5[[#This Row],[11]]=0,,MONTH(Таблица5[[#This Row],[11]]))</f>
        <v>5</v>
      </c>
    </row>
    <row r="971" spans="1:43" ht="128.25" thickBot="1" x14ac:dyDescent="0.3">
      <c r="A971" s="233" t="str">
        <f t="shared" si="15"/>
        <v>1004-2017-00956</v>
      </c>
      <c r="B971" s="233" t="str">
        <f>РПЗ!$D971</f>
        <v>1004-2017-00956 Оказание услуг пр Корректировка проектно-сметной документации, получение положительного заключения по результатам проведения государственной экспертизы, разработка рабочей документации "Реконструкция и техническое перевооружение производства" АО "НИИ "Полюс" им. М.Ф. Стельмаха."</v>
      </c>
      <c r="C971" s="233" t="str">
        <f>РПЗ!$AA971</f>
        <v>АО "НИИ "Полюс" им. М.Ф. Стельмаха" тел. отдела закупок 8-495-333-05-02</v>
      </c>
      <c r="D971" s="870" t="str">
        <f>РПЗ!$AB971</f>
        <v>Заказчик</v>
      </c>
      <c r="E971" s="96" t="s">
        <v>46</v>
      </c>
      <c r="F971" s="233" t="str">
        <f>РПЗ!Q971</f>
        <v>ЕП</v>
      </c>
      <c r="G971" s="237"/>
      <c r="H971" s="237" t="str">
        <f>РПЗ!R971</f>
        <v>нет</v>
      </c>
      <c r="I971" s="15">
        <f>РПЗ!W971</f>
        <v>0</v>
      </c>
      <c r="J971" s="233">
        <f>РПЗ!X971</f>
        <v>0</v>
      </c>
      <c r="K971" s="283">
        <f>РПЗ!Z971</f>
        <v>0</v>
      </c>
      <c r="L971" s="17"/>
      <c r="M971" s="18">
        <f>РПЗ!O971</f>
        <v>42850.5</v>
      </c>
      <c r="N971" s="238">
        <f>Таблица5[[#This Row],[10]]</f>
        <v>42850.5</v>
      </c>
      <c r="O971" s="17"/>
      <c r="P971" s="17"/>
      <c r="Q971" s="17"/>
      <c r="R971" s="17"/>
      <c r="S971" s="17"/>
      <c r="T971" s="686"/>
      <c r="U971" s="18">
        <f>РПЗ!P971</f>
        <v>42856</v>
      </c>
      <c r="V971" s="686"/>
      <c r="W971" s="236">
        <f>РПЗ!L971</f>
        <v>170000</v>
      </c>
      <c r="X971" s="689"/>
      <c r="Y971" s="689"/>
      <c r="Z971" s="690"/>
      <c r="AA971" s="691"/>
      <c r="AB971" s="111"/>
      <c r="AC971" s="17"/>
      <c r="AD971" s="690"/>
      <c r="AE971" s="686"/>
      <c r="AF971" s="474"/>
      <c r="AG971" s="692"/>
      <c r="AH971" s="236" t="str">
        <f>IF(Таблица5[[#This Row],[30]]=0,"НД",Таблица5[[#This Row],[20]]-Таблица5[[#This Row],[30]])</f>
        <v>НД</v>
      </c>
      <c r="AI971" s="511" t="str">
        <f>IF(((1-Таблица5[[#This Row],[30]]/Таблица5[[#This Row],[20]])=1),"НД",(1-Таблица5[[#This Row],[30]]/Таблица5[[#This Row],[20]]))</f>
        <v>НД</v>
      </c>
      <c r="AJ971" s="111"/>
      <c r="AK971" s="111"/>
      <c r="AL971" s="512"/>
      <c r="AM971" s="513"/>
      <c r="AN971" s="465"/>
      <c r="AO971" s="468" t="str">
        <f>РПЗ!AD971</f>
        <v>Нет</v>
      </c>
      <c r="AP971" s="472">
        <f>РПЗ!V971</f>
        <v>0</v>
      </c>
      <c r="AQ971" s="470">
        <f>IF(Таблица5[[#This Row],[11]]=0,,MONTH(Таблица5[[#This Row],[11]]))</f>
        <v>4</v>
      </c>
    </row>
    <row r="972" spans="1:43" ht="38.25" x14ac:dyDescent="0.25">
      <c r="A972" s="233" t="str">
        <f t="shared" si="15"/>
        <v>1004-2017-00957</v>
      </c>
      <c r="B972" s="233" t="str">
        <f>РПЗ!$D972</f>
        <v>1004-2017-00957 Поставка Заготовки из ситалла СО-33М (165х165х50 мм)</v>
      </c>
      <c r="C972" s="233" t="str">
        <f>РПЗ!$AA972</f>
        <v>АО "НИИ "Полюс" им. М.Ф. Стельмаха" тел. отдела закупок 8-495-333-05-02</v>
      </c>
      <c r="D972" s="870" t="str">
        <f>РПЗ!$AB972</f>
        <v>Заказчик</v>
      </c>
      <c r="E972" s="96" t="s">
        <v>46</v>
      </c>
      <c r="F972" s="233" t="str">
        <f>РПЗ!Q972</f>
        <v>ЕП</v>
      </c>
      <c r="G972" s="237"/>
      <c r="H972" s="237" t="str">
        <f>РПЗ!R972</f>
        <v>нет</v>
      </c>
      <c r="I972" s="15">
        <f>РПЗ!W972</f>
        <v>0</v>
      </c>
      <c r="J972" s="233">
        <f>РПЗ!X972</f>
        <v>0</v>
      </c>
      <c r="K972" s="283">
        <f>РПЗ!Z972</f>
        <v>0</v>
      </c>
      <c r="L972" s="17"/>
      <c r="M972" s="18">
        <f>РПЗ!O972</f>
        <v>42850.5</v>
      </c>
      <c r="N972" s="238">
        <f>Таблица5[[#This Row],[10]]</f>
        <v>42850.5</v>
      </c>
      <c r="O972" s="17"/>
      <c r="P972" s="17"/>
      <c r="Q972" s="17"/>
      <c r="R972" s="17"/>
      <c r="S972" s="17"/>
      <c r="T972" s="686"/>
      <c r="U972" s="18">
        <f>РПЗ!P972</f>
        <v>43100.5</v>
      </c>
      <c r="V972" s="686"/>
      <c r="W972" s="236">
        <f>РПЗ!L972</f>
        <v>380000</v>
      </c>
      <c r="X972" s="689"/>
      <c r="Y972" s="689"/>
      <c r="Z972" s="690"/>
      <c r="AA972" s="691"/>
      <c r="AB972" s="111"/>
      <c r="AC972" s="17"/>
      <c r="AD972" s="690"/>
      <c r="AE972" s="686"/>
      <c r="AF972" s="474"/>
      <c r="AG972" s="692"/>
      <c r="AH972" s="236" t="str">
        <f>IF(Таблица5[[#This Row],[30]]=0,"НД",Таблица5[[#This Row],[20]]-Таблица5[[#This Row],[30]])</f>
        <v>НД</v>
      </c>
      <c r="AI972" s="511" t="str">
        <f>IF(((1-Таблица5[[#This Row],[30]]/Таблица5[[#This Row],[20]])=1),"НД",(1-Таблица5[[#This Row],[30]]/Таблица5[[#This Row],[20]]))</f>
        <v>НД</v>
      </c>
      <c r="AJ972" s="111"/>
      <c r="AK972" s="111"/>
      <c r="AL972" s="512"/>
      <c r="AM972" s="513"/>
      <c r="AN972" s="465"/>
      <c r="AO972" s="468" t="str">
        <f>РПЗ!AD972</f>
        <v>Нет</v>
      </c>
      <c r="AP972" s="472">
        <f>РПЗ!V972</f>
        <v>0</v>
      </c>
      <c r="AQ972" s="470">
        <f>IF(Таблица5[[#This Row],[11]]=0,,MONTH(Таблица5[[#This Row],[11]]))</f>
        <v>4</v>
      </c>
    </row>
    <row r="973" spans="1:43" ht="63.75" x14ac:dyDescent="0.25">
      <c r="A973" s="233" t="str">
        <f t="shared" si="15"/>
        <v>1004-2017-00958</v>
      </c>
      <c r="B973" s="233" t="str">
        <f>РПЗ!$D973</f>
        <v>1004-2017-00958 Поставка Датчик пироэлектрический PE50 BF-DIFH-C – 6 шт., датчик пироэлектрический PE100 BF-DIF-C – 1 шт., дисплей ВЕГА – 3 шт.</v>
      </c>
      <c r="C973" s="233" t="str">
        <f>РПЗ!$AA973</f>
        <v>АО "НИИ "Полюс" им. М.Ф. Стельмаха" тел. отдела закупок 8-495-333-05-02</v>
      </c>
      <c r="D973" s="870" t="str">
        <f>РПЗ!$AB973</f>
        <v>Заказчик</v>
      </c>
      <c r="E973" s="510" t="s">
        <v>62</v>
      </c>
      <c r="F973" s="233" t="str">
        <f>РПЗ!Q973</f>
        <v>ОЗК</v>
      </c>
      <c r="G973" s="237" t="str">
        <f>Таблица5[[#This Row],[6]]</f>
        <v>ОЗК</v>
      </c>
      <c r="H973" s="237" t="str">
        <f>РПЗ!R973</f>
        <v>да</v>
      </c>
      <c r="I973" s="15">
        <f>РПЗ!W973</f>
        <v>0</v>
      </c>
      <c r="J973" s="233">
        <f>РПЗ!X973</f>
        <v>0</v>
      </c>
      <c r="K973" s="283">
        <f>РПЗ!Z973</f>
        <v>0</v>
      </c>
      <c r="L973" s="17">
        <v>42859</v>
      </c>
      <c r="M973" s="18">
        <f>РПЗ!O973</f>
        <v>42858.5</v>
      </c>
      <c r="N973" s="238">
        <f>Таблица5[[#This Row],[10]]</f>
        <v>42858.5</v>
      </c>
      <c r="O973" s="17">
        <v>42870</v>
      </c>
      <c r="P973" s="17">
        <v>42873</v>
      </c>
      <c r="Q973" s="17">
        <v>42873</v>
      </c>
      <c r="R973" s="17">
        <v>42870</v>
      </c>
      <c r="S973" s="17">
        <v>42870</v>
      </c>
      <c r="T973" s="686">
        <v>42909</v>
      </c>
      <c r="U973" s="18">
        <f>РПЗ!P973</f>
        <v>43100.5</v>
      </c>
      <c r="V973" s="686">
        <v>42917</v>
      </c>
      <c r="W973" s="236">
        <f>РПЗ!L973</f>
        <v>1978822.67</v>
      </c>
      <c r="X973" s="689">
        <v>2</v>
      </c>
      <c r="Y973" s="689">
        <v>0</v>
      </c>
      <c r="Z973" s="691">
        <v>6230059610</v>
      </c>
      <c r="AA973" s="691" t="s">
        <v>3357</v>
      </c>
      <c r="AB973" s="111">
        <v>1744512</v>
      </c>
      <c r="AC973" s="17">
        <v>42917</v>
      </c>
      <c r="AD973" s="690" t="s">
        <v>6007</v>
      </c>
      <c r="AE973" s="686">
        <v>42909</v>
      </c>
      <c r="AF973" s="474"/>
      <c r="AG973" s="692">
        <v>1744512</v>
      </c>
      <c r="AH973" s="236">
        <f>IF(Таблица5[[#This Row],[30]]=0,"НД",Таблица5[[#This Row],[20]]-Таблица5[[#This Row],[30]])</f>
        <v>234310.66999999993</v>
      </c>
      <c r="AI973" s="511">
        <f>IF(((1-Таблица5[[#This Row],[30]]/Таблица5[[#This Row],[20]])=1),"НД",(1-Таблица5[[#This Row],[30]]/Таблица5[[#This Row],[20]]))</f>
        <v>0.11840912960634309</v>
      </c>
      <c r="AJ973" s="111">
        <v>1744512</v>
      </c>
      <c r="AK973" s="111"/>
      <c r="AL973" s="512"/>
      <c r="AM973" s="513" t="s">
        <v>113</v>
      </c>
      <c r="AN973" s="801">
        <v>31705085114</v>
      </c>
      <c r="AO973" s="468" t="str">
        <f>РПЗ!AD973</f>
        <v>Нет</v>
      </c>
      <c r="AP973" s="472">
        <f>РПЗ!V973</f>
        <v>0</v>
      </c>
      <c r="AQ973" s="470">
        <f>IF(Таблица5[[#This Row],[11]]=0,,MONTH(Таблица5[[#This Row],[11]]))</f>
        <v>5</v>
      </c>
    </row>
    <row r="974" spans="1:43" ht="38.25" x14ac:dyDescent="0.25">
      <c r="A974" s="233" t="str">
        <f t="shared" si="15"/>
        <v>1004-2017-00959</v>
      </c>
      <c r="B974" s="233" t="str">
        <f>РПЗ!$D974</f>
        <v xml:space="preserve">1004-2017-00959 Поставка Датчик пироэлектрический PE50-С – 2 шт., </v>
      </c>
      <c r="C974" s="233" t="str">
        <f>РПЗ!$AA974</f>
        <v>АО "НИИ "Полюс" им. М.Ф. Стельмаха" тел. отдела закупок 8-495-333-05-02</v>
      </c>
      <c r="D974" s="870" t="str">
        <f>РПЗ!$AB974</f>
        <v>Заказчик</v>
      </c>
      <c r="E974" s="510" t="s">
        <v>62</v>
      </c>
      <c r="F974" s="233" t="str">
        <f>РПЗ!Q974</f>
        <v>ОЗК</v>
      </c>
      <c r="G974" s="237" t="str">
        <f>Таблица5[[#This Row],[6]]</f>
        <v>ОЗК</v>
      </c>
      <c r="H974" s="237" t="str">
        <f>РПЗ!R974</f>
        <v>да</v>
      </c>
      <c r="I974" s="15">
        <f>РПЗ!W974</f>
        <v>0</v>
      </c>
      <c r="J974" s="233">
        <f>РПЗ!X974</f>
        <v>0</v>
      </c>
      <c r="K974" s="283">
        <f>РПЗ!Z974</f>
        <v>0</v>
      </c>
      <c r="L974" s="17">
        <v>42859</v>
      </c>
      <c r="M974" s="18">
        <f>РПЗ!O974</f>
        <v>42858.5</v>
      </c>
      <c r="N974" s="238">
        <f>Таблица5[[#This Row],[10]]</f>
        <v>42858.5</v>
      </c>
      <c r="O974" s="17">
        <v>42873</v>
      </c>
      <c r="P974" s="17">
        <v>42879</v>
      </c>
      <c r="Q974" s="17">
        <v>42879</v>
      </c>
      <c r="R974" s="17">
        <v>42877</v>
      </c>
      <c r="S974" s="17">
        <v>42877</v>
      </c>
      <c r="T974" s="686">
        <v>42891</v>
      </c>
      <c r="U974" s="18">
        <f>РПЗ!P974</f>
        <v>43100.5</v>
      </c>
      <c r="V974" s="686">
        <v>42948</v>
      </c>
      <c r="W974" s="236">
        <f>РПЗ!L974</f>
        <v>482895.33</v>
      </c>
      <c r="X974" s="689">
        <v>2</v>
      </c>
      <c r="Y974" s="689">
        <v>0</v>
      </c>
      <c r="Z974" s="691">
        <v>7704798614</v>
      </c>
      <c r="AA974" s="691" t="s">
        <v>5993</v>
      </c>
      <c r="AB974" s="111">
        <v>420000</v>
      </c>
      <c r="AC974" s="17">
        <v>42948</v>
      </c>
      <c r="AD974" s="690" t="s">
        <v>5994</v>
      </c>
      <c r="AE974" s="686">
        <v>42891</v>
      </c>
      <c r="AF974" s="474"/>
      <c r="AG974" s="692">
        <v>420000</v>
      </c>
      <c r="AH974" s="236">
        <f>IF(Таблица5[[#This Row],[30]]=0,"НД",Таблица5[[#This Row],[20]]-Таблица5[[#This Row],[30]])</f>
        <v>62895.330000000016</v>
      </c>
      <c r="AI974" s="511">
        <f>IF(((1-Таблица5[[#This Row],[30]]/Таблица5[[#This Row],[20]])=1),"НД",(1-Таблица5[[#This Row],[30]]/Таблица5[[#This Row],[20]]))</f>
        <v>0.1302462999590408</v>
      </c>
      <c r="AJ974" s="111">
        <v>420000</v>
      </c>
      <c r="AK974" s="111"/>
      <c r="AL974" s="512"/>
      <c r="AM974" s="513" t="s">
        <v>113</v>
      </c>
      <c r="AN974" s="801">
        <v>31705085112</v>
      </c>
      <c r="AO974" s="468" t="str">
        <f>РПЗ!AD974</f>
        <v>Нет</v>
      </c>
      <c r="AP974" s="472">
        <f>РПЗ!V974</f>
        <v>0</v>
      </c>
      <c r="AQ974" s="470">
        <f>IF(Таблица5[[#This Row],[11]]=0,,MONTH(Таблица5[[#This Row],[11]]))</f>
        <v>5</v>
      </c>
    </row>
    <row r="975" spans="1:43" ht="38.25" x14ac:dyDescent="0.25">
      <c r="A975" s="233" t="str">
        <f t="shared" si="15"/>
        <v>1004-2017-00960</v>
      </c>
      <c r="B975" s="233" t="str">
        <f>РПЗ!$D975</f>
        <v>1004-2017-00960 Поставка Комплект радиоизмерительных приборов  1 к-т.</v>
      </c>
      <c r="C975" s="233" t="str">
        <f>РПЗ!$AA975</f>
        <v>АО "НИИ "Полюс" им. М.Ф. Стельмаха" тел. отдела закупок 8-495-333-05-02</v>
      </c>
      <c r="D975" s="870" t="str">
        <f>РПЗ!$AB975</f>
        <v>Заказчик</v>
      </c>
      <c r="E975" s="510" t="s">
        <v>62</v>
      </c>
      <c r="F975" s="233" t="str">
        <f>РПЗ!Q975</f>
        <v>ОЗК</v>
      </c>
      <c r="G975" s="237" t="str">
        <f>Таблица5[[#This Row],[6]]</f>
        <v>ОЗК</v>
      </c>
      <c r="H975" s="237" t="str">
        <f>РПЗ!R975</f>
        <v>да</v>
      </c>
      <c r="I975" s="15">
        <f>РПЗ!W975</f>
        <v>0</v>
      </c>
      <c r="J975" s="233">
        <f>РПЗ!X975</f>
        <v>0</v>
      </c>
      <c r="K975" s="283">
        <f>РПЗ!Z975</f>
        <v>0</v>
      </c>
      <c r="L975" s="17">
        <v>42859</v>
      </c>
      <c r="M975" s="18">
        <f>РПЗ!O975</f>
        <v>42858.5</v>
      </c>
      <c r="N975" s="238">
        <f>Таблица5[[#This Row],[10]]</f>
        <v>42858.5</v>
      </c>
      <c r="O975" s="17">
        <v>42870</v>
      </c>
      <c r="P975" s="17">
        <v>42873</v>
      </c>
      <c r="Q975" s="17">
        <v>42873</v>
      </c>
      <c r="R975" s="17">
        <v>42870</v>
      </c>
      <c r="S975" s="17">
        <v>42870</v>
      </c>
      <c r="T975" s="686">
        <v>42879</v>
      </c>
      <c r="U975" s="18">
        <f>РПЗ!P975</f>
        <v>43100.5</v>
      </c>
      <c r="V975" s="686">
        <v>42948</v>
      </c>
      <c r="W975" s="236">
        <f>РПЗ!L975</f>
        <v>1573174.49</v>
      </c>
      <c r="X975" s="689">
        <v>2</v>
      </c>
      <c r="Y975" s="689">
        <v>0</v>
      </c>
      <c r="Z975" s="691">
        <v>7729713450</v>
      </c>
      <c r="AA975" s="691" t="s">
        <v>5997</v>
      </c>
      <c r="AB975" s="111">
        <v>1464705</v>
      </c>
      <c r="AC975" s="17">
        <v>42948</v>
      </c>
      <c r="AD975" s="690" t="s">
        <v>5998</v>
      </c>
      <c r="AE975" s="686">
        <v>42879</v>
      </c>
      <c r="AF975" s="474"/>
      <c r="AG975" s="692">
        <v>1464705</v>
      </c>
      <c r="AH975" s="236">
        <f>IF(Таблица5[[#This Row],[30]]=0,"НД",Таблица5[[#This Row],[20]]-Таблица5[[#This Row],[30]])</f>
        <v>108469.48999999999</v>
      </c>
      <c r="AI975" s="511">
        <f>IF(((1-Таблица5[[#This Row],[30]]/Таблица5[[#This Row],[20]])=1),"НД",(1-Таблица5[[#This Row],[30]]/Таблица5[[#This Row],[20]]))</f>
        <v>6.8949433574911345E-2</v>
      </c>
      <c r="AJ975" s="111">
        <v>1464705</v>
      </c>
      <c r="AK975" s="111"/>
      <c r="AL975" s="512"/>
      <c r="AM975" s="513" t="s">
        <v>113</v>
      </c>
      <c r="AN975" s="801">
        <v>31705085098</v>
      </c>
      <c r="AO975" s="468" t="str">
        <f>РПЗ!AD975</f>
        <v>Нет</v>
      </c>
      <c r="AP975" s="472">
        <f>РПЗ!V975</f>
        <v>0</v>
      </c>
      <c r="AQ975" s="470">
        <f>IF(Таблица5[[#This Row],[11]]=0,,MONTH(Таблица5[[#This Row],[11]]))</f>
        <v>5</v>
      </c>
    </row>
    <row r="976" spans="1:43" ht="38.25" x14ac:dyDescent="0.25">
      <c r="A976" s="233" t="str">
        <f t="shared" si="15"/>
        <v>1004-2017-00961</v>
      </c>
      <c r="B976" s="233" t="str">
        <f>РПЗ!$D976</f>
        <v>1004-2017-00961 Поставка Осциллограф MSOX 3024A, Keysight Technologies  с поверкой 3 шт.</v>
      </c>
      <c r="C976" s="233" t="str">
        <f>РПЗ!$AA976</f>
        <v>АО "НИИ "Полюс" им. М.Ф. Стельмаха" тел. отдела закупок 8-495-333-05-02</v>
      </c>
      <c r="D976" s="870" t="str">
        <f>РПЗ!$AB976</f>
        <v>Заказчик</v>
      </c>
      <c r="E976" s="510" t="s">
        <v>62</v>
      </c>
      <c r="F976" s="233" t="str">
        <f>РПЗ!Q976</f>
        <v>ОЗК</v>
      </c>
      <c r="G976" s="237" t="str">
        <f>Таблица5[[#This Row],[6]]</f>
        <v>ОЗК</v>
      </c>
      <c r="H976" s="237" t="str">
        <f>РПЗ!R976</f>
        <v>да</v>
      </c>
      <c r="I976" s="15">
        <f>РПЗ!W976</f>
        <v>0</v>
      </c>
      <c r="J976" s="233">
        <f>РПЗ!X976</f>
        <v>0</v>
      </c>
      <c r="K976" s="283">
        <f>РПЗ!Z976</f>
        <v>0</v>
      </c>
      <c r="L976" s="17">
        <v>42859</v>
      </c>
      <c r="M976" s="18">
        <f>РПЗ!O976</f>
        <v>42858.5</v>
      </c>
      <c r="N976" s="238">
        <f>Таблица5[[#This Row],[10]]</f>
        <v>42858.5</v>
      </c>
      <c r="O976" s="17">
        <v>42870</v>
      </c>
      <c r="P976" s="17">
        <v>42873</v>
      </c>
      <c r="Q976" s="17">
        <v>42873</v>
      </c>
      <c r="R976" s="17">
        <v>42870</v>
      </c>
      <c r="S976" s="17">
        <v>42870</v>
      </c>
      <c r="T976" s="686">
        <v>42887</v>
      </c>
      <c r="U976" s="18">
        <f>РПЗ!P976</f>
        <v>43100.5</v>
      </c>
      <c r="V976" s="686">
        <v>42948</v>
      </c>
      <c r="W976" s="236">
        <f>РПЗ!L976</f>
        <v>1423120.96</v>
      </c>
      <c r="X976" s="689">
        <v>7</v>
      </c>
      <c r="Y976" s="689">
        <v>0</v>
      </c>
      <c r="Z976" s="691">
        <v>7702790095</v>
      </c>
      <c r="AA976" s="691" t="s">
        <v>5999</v>
      </c>
      <c r="AB976" s="111">
        <v>1000005</v>
      </c>
      <c r="AC976" s="17">
        <v>42948</v>
      </c>
      <c r="AD976" s="690" t="s">
        <v>6000</v>
      </c>
      <c r="AE976" s="686">
        <v>42887</v>
      </c>
      <c r="AF976" s="474"/>
      <c r="AG976" s="692">
        <v>1000005</v>
      </c>
      <c r="AH976" s="236">
        <f>IF(Таблица5[[#This Row],[30]]=0,"НД",Таблица5[[#This Row],[20]]-Таблица5[[#This Row],[30]])</f>
        <v>423115.95999999996</v>
      </c>
      <c r="AI976" s="511">
        <f>IF(((1-Таблица5[[#This Row],[30]]/Таблица5[[#This Row],[20]])=1),"НД",(1-Таблица5[[#This Row],[30]]/Таблица5[[#This Row],[20]]))</f>
        <v>0.29731552825980445</v>
      </c>
      <c r="AJ976" s="111">
        <v>1000005</v>
      </c>
      <c r="AK976" s="111"/>
      <c r="AL976" s="512"/>
      <c r="AM976" s="513" t="s">
        <v>113</v>
      </c>
      <c r="AN976" s="801">
        <v>31705085117</v>
      </c>
      <c r="AO976" s="468" t="str">
        <f>РПЗ!AD976</f>
        <v>Нет</v>
      </c>
      <c r="AP976" s="472">
        <f>РПЗ!V976</f>
        <v>0</v>
      </c>
      <c r="AQ976" s="470">
        <f>IF(Таблица5[[#This Row],[11]]=0,,MONTH(Таблица5[[#This Row],[11]]))</f>
        <v>5</v>
      </c>
    </row>
    <row r="977" spans="1:43" ht="51" x14ac:dyDescent="0.25">
      <c r="A977" s="233" t="str">
        <f t="shared" si="15"/>
        <v>1004-2017-00962</v>
      </c>
      <c r="B977" s="233" t="str">
        <f>РПЗ!$D977</f>
        <v>1004-2017-00962 Поставка Газовый лазер 6 
ГН-5П с общепромышленным источником питания 6 шт.</v>
      </c>
      <c r="C977" s="233" t="str">
        <f>РПЗ!$AA977</f>
        <v>АО "НИИ "Полюс" им. М.Ф. Стельмаха" тел. отдела закупок 8-495-333-05-02</v>
      </c>
      <c r="D977" s="870" t="str">
        <f>РПЗ!$AB977</f>
        <v>Заказчик</v>
      </c>
      <c r="E977" s="510" t="s">
        <v>62</v>
      </c>
      <c r="F977" s="233" t="str">
        <f>РПЗ!Q977</f>
        <v>ОЗК</v>
      </c>
      <c r="G977" s="237" t="str">
        <f>Таблица5[[#This Row],[6]]</f>
        <v>ОЗК</v>
      </c>
      <c r="H977" s="237" t="str">
        <f>РПЗ!R977</f>
        <v>да</v>
      </c>
      <c r="I977" s="15">
        <f>РПЗ!W977</f>
        <v>0</v>
      </c>
      <c r="J977" s="233">
        <f>РПЗ!X977</f>
        <v>0</v>
      </c>
      <c r="K977" s="283">
        <f>РПЗ!Z977</f>
        <v>0</v>
      </c>
      <c r="L977" s="17">
        <v>42859</v>
      </c>
      <c r="M977" s="18">
        <f>РПЗ!O977</f>
        <v>42858.5</v>
      </c>
      <c r="N977" s="238">
        <f>Таблица5[[#This Row],[10]]</f>
        <v>42858.5</v>
      </c>
      <c r="O977" s="17">
        <v>42870</v>
      </c>
      <c r="P977" s="17">
        <v>42873</v>
      </c>
      <c r="Q977" s="17">
        <v>42873</v>
      </c>
      <c r="R977" s="17">
        <v>42870</v>
      </c>
      <c r="S977" s="17">
        <v>42870</v>
      </c>
      <c r="T977" s="686">
        <v>42899</v>
      </c>
      <c r="U977" s="18">
        <f>РПЗ!P977</f>
        <v>43100.5</v>
      </c>
      <c r="V977" s="686">
        <v>42979</v>
      </c>
      <c r="W977" s="236">
        <f>РПЗ!L977</f>
        <v>476640.4</v>
      </c>
      <c r="X977" s="689">
        <v>2</v>
      </c>
      <c r="Y977" s="689">
        <v>0</v>
      </c>
      <c r="Z977" s="691">
        <v>6230005886</v>
      </c>
      <c r="AA977" s="691" t="s">
        <v>6005</v>
      </c>
      <c r="AB977" s="111">
        <v>461545.2</v>
      </c>
      <c r="AC977" s="17">
        <v>42979</v>
      </c>
      <c r="AD977" s="690" t="s">
        <v>6006</v>
      </c>
      <c r="AE977" s="686">
        <v>42899</v>
      </c>
      <c r="AF977" s="474"/>
      <c r="AG977" s="692">
        <v>461545.2</v>
      </c>
      <c r="AH977" s="236">
        <f>IF(Таблица5[[#This Row],[30]]=0,"НД",Таблица5[[#This Row],[20]]-Таблица5[[#This Row],[30]])</f>
        <v>15095.200000000012</v>
      </c>
      <c r="AI977" s="511">
        <f>IF(((1-Таблица5[[#This Row],[30]]/Таблица5[[#This Row],[20]])=1),"НД",(1-Таблица5[[#This Row],[30]]/Таблица5[[#This Row],[20]]))</f>
        <v>3.1669996920110077E-2</v>
      </c>
      <c r="AJ977" s="111"/>
      <c r="AK977" s="111"/>
      <c r="AL977" s="512"/>
      <c r="AM977" s="513" t="s">
        <v>113</v>
      </c>
      <c r="AN977" s="801">
        <v>31705085091</v>
      </c>
      <c r="AO977" s="468" t="str">
        <f>РПЗ!AD977</f>
        <v>Нет</v>
      </c>
      <c r="AP977" s="472">
        <f>РПЗ!V977</f>
        <v>0</v>
      </c>
      <c r="AQ977" s="470">
        <f>IF(Таблица5[[#This Row],[11]]=0,,MONTH(Таблица5[[#This Row],[11]]))</f>
        <v>5</v>
      </c>
    </row>
    <row r="978" spans="1:43" ht="38.25" x14ac:dyDescent="0.25">
      <c r="A978" s="233" t="str">
        <f t="shared" si="15"/>
        <v>1004-2017-00963</v>
      </c>
      <c r="B978" s="233" t="str">
        <f>РПЗ!$D978</f>
        <v>1004-2017-00963 Поставка Ламинарный бокс БАВнп-01-«Ламинар-С»-1.2   1 шт.</v>
      </c>
      <c r="C978" s="233" t="str">
        <f>РПЗ!$AA978</f>
        <v>АО "НИИ "Полюс" им. М.Ф. Стельмаха" тел. отдела закупок 8-495-333-05-02</v>
      </c>
      <c r="D978" s="870" t="str">
        <f>РПЗ!$AB978</f>
        <v>Заказчик</v>
      </c>
      <c r="E978" s="510" t="s">
        <v>62</v>
      </c>
      <c r="F978" s="233" t="str">
        <f>РПЗ!Q978</f>
        <v>ОЗК</v>
      </c>
      <c r="G978" s="237" t="str">
        <f>Таблица5[[#This Row],[6]]</f>
        <v>ОЗК</v>
      </c>
      <c r="H978" s="237" t="str">
        <f>РПЗ!R978</f>
        <v>да</v>
      </c>
      <c r="I978" s="15">
        <f>РПЗ!W978</f>
        <v>0</v>
      </c>
      <c r="J978" s="233">
        <f>РПЗ!X978</f>
        <v>0</v>
      </c>
      <c r="K978" s="283">
        <f>РПЗ!Z978</f>
        <v>0</v>
      </c>
      <c r="L978" s="17">
        <v>42870</v>
      </c>
      <c r="M978" s="18">
        <f>РПЗ!O978</f>
        <v>42858.5</v>
      </c>
      <c r="N978" s="238">
        <f>Таблица5[[#This Row],[10]]</f>
        <v>42858.5</v>
      </c>
      <c r="O978" s="17">
        <v>42877</v>
      </c>
      <c r="P978" s="17">
        <v>42880</v>
      </c>
      <c r="Q978" s="17">
        <v>42880</v>
      </c>
      <c r="R978" s="17">
        <v>42877</v>
      </c>
      <c r="S978" s="17">
        <v>42877</v>
      </c>
      <c r="T978" s="686">
        <v>42891</v>
      </c>
      <c r="U978" s="18">
        <f>РПЗ!P978</f>
        <v>43100.5</v>
      </c>
      <c r="V978" s="686">
        <v>42948</v>
      </c>
      <c r="W978" s="236">
        <f>РПЗ!L978</f>
        <v>306961.67</v>
      </c>
      <c r="X978" s="689">
        <v>1</v>
      </c>
      <c r="Y978" s="689">
        <v>0</v>
      </c>
      <c r="Z978" s="691">
        <v>7704543951</v>
      </c>
      <c r="AA978" s="691" t="s">
        <v>6003</v>
      </c>
      <c r="AB978" s="111">
        <v>241700</v>
      </c>
      <c r="AC978" s="17">
        <v>42948</v>
      </c>
      <c r="AD978" s="690" t="s">
        <v>6004</v>
      </c>
      <c r="AE978" s="686">
        <v>42891</v>
      </c>
      <c r="AF978" s="474"/>
      <c r="AG978" s="692">
        <v>241700</v>
      </c>
      <c r="AH978" s="236">
        <f>IF(Таблица5[[#This Row],[30]]=0,"НД",Таблица5[[#This Row],[20]]-Таблица5[[#This Row],[30]])</f>
        <v>65261.669999999984</v>
      </c>
      <c r="AI978" s="511">
        <f>IF(((1-Таблица5[[#This Row],[30]]/Таблица5[[#This Row],[20]])=1),"НД",(1-Таблица5[[#This Row],[30]]/Таблица5[[#This Row],[20]]))</f>
        <v>0.21260527413732144</v>
      </c>
      <c r="AJ978" s="111"/>
      <c r="AK978" s="111"/>
      <c r="AL978" s="512"/>
      <c r="AM978" s="513" t="s">
        <v>113</v>
      </c>
      <c r="AN978" s="801">
        <v>31705108847</v>
      </c>
      <c r="AO978" s="468" t="str">
        <f>РПЗ!AD978</f>
        <v>Нет</v>
      </c>
      <c r="AP978" s="472">
        <f>РПЗ!V978</f>
        <v>0</v>
      </c>
      <c r="AQ978" s="470">
        <f>IF(Таблица5[[#This Row],[11]]=0,,MONTH(Таблица5[[#This Row],[11]]))</f>
        <v>5</v>
      </c>
    </row>
    <row r="979" spans="1:43" ht="39" thickBot="1" x14ac:dyDescent="0.3">
      <c r="A979" s="233" t="str">
        <f t="shared" si="15"/>
        <v>1004-2017-00964</v>
      </c>
      <c r="B979" s="233" t="str">
        <f>РПЗ!$D979</f>
        <v xml:space="preserve">1004-2017-00964 Поставка Металлографический микроскоп ММН-2 </v>
      </c>
      <c r="C979" s="233" t="str">
        <f>РПЗ!$AA979</f>
        <v>АО "НИИ "Полюс" им. М.Ф. Стельмаха" тел. отдела закупок 8-495-333-05-02</v>
      </c>
      <c r="D979" s="870" t="str">
        <f>РПЗ!$AB979</f>
        <v>Заказчик</v>
      </c>
      <c r="E979" s="510" t="s">
        <v>62</v>
      </c>
      <c r="F979" s="233" t="str">
        <f>РПЗ!Q979</f>
        <v>ОЗК</v>
      </c>
      <c r="G979" s="237" t="str">
        <f>Таблица5[[#This Row],[6]]</f>
        <v>ОЗК</v>
      </c>
      <c r="H979" s="237" t="str">
        <f>РПЗ!R979</f>
        <v>да</v>
      </c>
      <c r="I979" s="15">
        <f>РПЗ!W979</f>
        <v>0</v>
      </c>
      <c r="J979" s="233">
        <f>РПЗ!X979</f>
        <v>0</v>
      </c>
      <c r="K979" s="283">
        <f>РПЗ!Z979</f>
        <v>0</v>
      </c>
      <c r="L979" s="17">
        <v>42859</v>
      </c>
      <c r="M979" s="18">
        <f>РПЗ!O979</f>
        <v>42858.5</v>
      </c>
      <c r="N979" s="238">
        <f>Таблица5[[#This Row],[10]]</f>
        <v>42858.5</v>
      </c>
      <c r="O979" s="17">
        <v>42870</v>
      </c>
      <c r="P979" s="17">
        <v>42873</v>
      </c>
      <c r="Q979" s="17">
        <v>42873</v>
      </c>
      <c r="R979" s="17">
        <v>42870</v>
      </c>
      <c r="S979" s="17">
        <v>42870</v>
      </c>
      <c r="T979" s="686">
        <v>42879</v>
      </c>
      <c r="U979" s="18">
        <f>РПЗ!P979</f>
        <v>43100.5</v>
      </c>
      <c r="V979" s="686">
        <v>43070</v>
      </c>
      <c r="W979" s="236">
        <f>РПЗ!L979</f>
        <v>141494.67000000001</v>
      </c>
      <c r="X979" s="689">
        <v>4</v>
      </c>
      <c r="Y979" s="689">
        <v>1</v>
      </c>
      <c r="Z979" s="691">
        <v>7804494881</v>
      </c>
      <c r="AA979" s="691" t="s">
        <v>6001</v>
      </c>
      <c r="AB979" s="111">
        <v>124980</v>
      </c>
      <c r="AC979" s="17">
        <v>43070</v>
      </c>
      <c r="AD979" s="690" t="s">
        <v>6002</v>
      </c>
      <c r="AE979" s="686">
        <v>42879</v>
      </c>
      <c r="AF979" s="474"/>
      <c r="AG979" s="692">
        <v>124980</v>
      </c>
      <c r="AH979" s="236">
        <f>IF(Таблица5[[#This Row],[30]]=0,"НД",Таблица5[[#This Row],[20]]-Таблица5[[#This Row],[30]])</f>
        <v>16514.670000000013</v>
      </c>
      <c r="AI979" s="511">
        <f>IF(((1-Таблица5[[#This Row],[30]]/Таблица5[[#This Row],[20]])=1),"НД",(1-Таблица5[[#This Row],[30]]/Таблица5[[#This Row],[20]]))</f>
        <v>0.11671584519756129</v>
      </c>
      <c r="AJ979" s="111">
        <v>124980</v>
      </c>
      <c r="AK979" s="111"/>
      <c r="AL979" s="512"/>
      <c r="AM979" s="513" t="s">
        <v>113</v>
      </c>
      <c r="AN979" s="801">
        <v>31705085131</v>
      </c>
      <c r="AO979" s="468" t="str">
        <f>РПЗ!AD979</f>
        <v>Нет</v>
      </c>
      <c r="AP979" s="472">
        <f>РПЗ!V979</f>
        <v>0</v>
      </c>
      <c r="AQ979" s="470">
        <f>IF(Таблица5[[#This Row],[11]]=0,,MONTH(Таблица5[[#This Row],[11]]))</f>
        <v>5</v>
      </c>
    </row>
    <row r="980" spans="1:43" ht="51" x14ac:dyDescent="0.25">
      <c r="A980" s="233" t="str">
        <f t="shared" si="15"/>
        <v>1004-2017-00965</v>
      </c>
      <c r="B980" s="233" t="str">
        <f>РПЗ!$D980</f>
        <v>1004-2017-00965 Поставка Комплект оптического оборудования с проведением пуско-наладочных работ и поверкой</v>
      </c>
      <c r="C980" s="233" t="str">
        <f>РПЗ!$AA980</f>
        <v>АО "НИИ "Полюс" им. М.Ф. Стельмаха" тел. отдела закупок 8-495-333-05-02</v>
      </c>
      <c r="D980" s="870" t="str">
        <f>РПЗ!$AB980</f>
        <v>Заказчик</v>
      </c>
      <c r="E980" s="96" t="s">
        <v>46</v>
      </c>
      <c r="F980" s="233" t="str">
        <f>РПЗ!Q980</f>
        <v>ОЗК</v>
      </c>
      <c r="G980" s="237"/>
      <c r="H980" s="237" t="str">
        <f>РПЗ!R980</f>
        <v>да</v>
      </c>
      <c r="I980" s="15">
        <f>РПЗ!W980</f>
        <v>0</v>
      </c>
      <c r="J980" s="233">
        <f>РПЗ!X980</f>
        <v>0</v>
      </c>
      <c r="K980" s="283">
        <f>РПЗ!Z980</f>
        <v>0</v>
      </c>
      <c r="L980" s="17"/>
      <c r="M980" s="18">
        <f>РПЗ!O980</f>
        <v>42858.5</v>
      </c>
      <c r="N980" s="238">
        <f>Таблица5[[#This Row],[10]]</f>
        <v>42858.5</v>
      </c>
      <c r="O980" s="17"/>
      <c r="P980" s="17"/>
      <c r="Q980" s="17"/>
      <c r="R980" s="17"/>
      <c r="S980" s="17"/>
      <c r="T980" s="686"/>
      <c r="U980" s="18">
        <f>РПЗ!P980</f>
        <v>43100.5</v>
      </c>
      <c r="V980" s="686"/>
      <c r="W980" s="236">
        <f>РПЗ!L980</f>
        <v>4253983.03</v>
      </c>
      <c r="X980" s="689"/>
      <c r="Y980" s="689"/>
      <c r="Z980" s="690"/>
      <c r="AA980" s="691"/>
      <c r="AB980" s="111"/>
      <c r="AC980" s="17"/>
      <c r="AD980" s="690"/>
      <c r="AE980" s="686"/>
      <c r="AF980" s="474"/>
      <c r="AG980" s="692"/>
      <c r="AH980" s="236" t="str">
        <f>IF(Таблица5[[#This Row],[30]]=0,"НД",Таблица5[[#This Row],[20]]-Таблица5[[#This Row],[30]])</f>
        <v>НД</v>
      </c>
      <c r="AI980" s="511" t="str">
        <f>IF(((1-Таблица5[[#This Row],[30]]/Таблица5[[#This Row],[20]])=1),"НД",(1-Таблица5[[#This Row],[30]]/Таблица5[[#This Row],[20]]))</f>
        <v>НД</v>
      </c>
      <c r="AJ980" s="111"/>
      <c r="AK980" s="111"/>
      <c r="AL980" s="512"/>
      <c r="AM980" s="513"/>
      <c r="AN980" s="465"/>
      <c r="AO980" s="468" t="str">
        <f>РПЗ!AD980</f>
        <v>Нет</v>
      </c>
      <c r="AP980" s="472">
        <f>РПЗ!V980</f>
        <v>0</v>
      </c>
      <c r="AQ980" s="470">
        <f>IF(Таблица5[[#This Row],[11]]=0,,MONTH(Таблица5[[#This Row],[11]]))</f>
        <v>5</v>
      </c>
    </row>
    <row r="981" spans="1:43" ht="51.75" thickBot="1" x14ac:dyDescent="0.3">
      <c r="A981" s="233" t="str">
        <f t="shared" si="15"/>
        <v>1004-2017-00966</v>
      </c>
      <c r="B981" s="233" t="str">
        <f>РПЗ!$D981</f>
        <v xml:space="preserve">1004-2017-00966 Поставка Комплект оптического оборудования с проведением пуско-наладочных работ и поверкой </v>
      </c>
      <c r="C981" s="233" t="str">
        <f>РПЗ!$AA981</f>
        <v>АО "НИИ "Полюс" им. М.Ф. Стельмаха" тел. отдела закупок 8-495-333-05-02</v>
      </c>
      <c r="D981" s="870" t="str">
        <f>РПЗ!$AB981</f>
        <v>Заказчик</v>
      </c>
      <c r="E981" s="510" t="s">
        <v>62</v>
      </c>
      <c r="F981" s="233" t="str">
        <f>РПЗ!Q981</f>
        <v>ОЗК</v>
      </c>
      <c r="G981" s="237" t="str">
        <f>Таблица5[[#This Row],[6]]</f>
        <v>ОЗК</v>
      </c>
      <c r="H981" s="237" t="str">
        <f>РПЗ!R981</f>
        <v>да</v>
      </c>
      <c r="I981" s="15">
        <f>РПЗ!W981</f>
        <v>0</v>
      </c>
      <c r="J981" s="233">
        <f>РПЗ!X981</f>
        <v>0</v>
      </c>
      <c r="K981" s="283">
        <f>РПЗ!Z981</f>
        <v>0</v>
      </c>
      <c r="L981" s="17">
        <v>42859</v>
      </c>
      <c r="M981" s="18">
        <f>РПЗ!O981</f>
        <v>42858.5</v>
      </c>
      <c r="N981" s="238">
        <f>Таблица5[[#This Row],[10]]</f>
        <v>42858.5</v>
      </c>
      <c r="O981" s="17">
        <v>42879</v>
      </c>
      <c r="P981" s="17">
        <v>42884</v>
      </c>
      <c r="Q981" s="17">
        <v>42884</v>
      </c>
      <c r="R981" s="17">
        <v>42880</v>
      </c>
      <c r="S981" s="17">
        <v>42880</v>
      </c>
      <c r="T981" s="686">
        <v>42893</v>
      </c>
      <c r="U981" s="18">
        <f>РПЗ!P981</f>
        <v>43100.5</v>
      </c>
      <c r="V981" s="686">
        <v>43070</v>
      </c>
      <c r="W981" s="236">
        <f>РПЗ!L981</f>
        <v>4205379.3600000003</v>
      </c>
      <c r="X981" s="689">
        <v>1</v>
      </c>
      <c r="Y981" s="689">
        <v>0</v>
      </c>
      <c r="Z981" s="691">
        <v>5410787870</v>
      </c>
      <c r="AA981" s="691" t="s">
        <v>5988</v>
      </c>
      <c r="AB981" s="111">
        <v>4205379.3600000003</v>
      </c>
      <c r="AC981" s="17">
        <v>43070</v>
      </c>
      <c r="AD981" s="690" t="s">
        <v>5989</v>
      </c>
      <c r="AE981" s="686">
        <v>42893</v>
      </c>
      <c r="AF981" s="474"/>
      <c r="AG981" s="692">
        <v>4205379.3600000003</v>
      </c>
      <c r="AH981" s="236">
        <f>IF(Таблица5[[#This Row],[30]]=0,"НД",Таблица5[[#This Row],[20]]-Таблица5[[#This Row],[30]])</f>
        <v>0</v>
      </c>
      <c r="AI981" s="511">
        <f>IF(((1-Таблица5[[#This Row],[30]]/Таблица5[[#This Row],[20]])=1),"НД",(1-Таблица5[[#This Row],[30]]/Таблица5[[#This Row],[20]]))</f>
        <v>0</v>
      </c>
      <c r="AJ981" s="111">
        <v>4205379.3600000003</v>
      </c>
      <c r="AK981" s="111"/>
      <c r="AL981" s="512"/>
      <c r="AM981" s="513" t="s">
        <v>113</v>
      </c>
      <c r="AN981" s="801">
        <v>31705085097</v>
      </c>
      <c r="AO981" s="468" t="str">
        <f>РПЗ!AD981</f>
        <v>Нет</v>
      </c>
      <c r="AP981" s="472">
        <f>РПЗ!V981</f>
        <v>0</v>
      </c>
      <c r="AQ981" s="470">
        <f>IF(Таблица5[[#This Row],[11]]=0,,MONTH(Таблица5[[#This Row],[11]]))</f>
        <v>5</v>
      </c>
    </row>
    <row r="982" spans="1:43" ht="63.75" x14ac:dyDescent="0.25">
      <c r="A982" s="233" t="str">
        <f t="shared" si="15"/>
        <v>1004-2017-00967</v>
      </c>
      <c r="B982" s="233" t="str">
        <f>РПЗ!$D982</f>
        <v>1004-2017-00967 Поставка Прецизионный автомат продольного точеная щвейцарского типа с ЧПУ, противошпинделем и функциями сверления и фрезерования</v>
      </c>
      <c r="C982" s="233" t="str">
        <f>РПЗ!$AA982</f>
        <v>АО "НИИ "Полюс" им. М.Ф. Стельмаха" тел. отдела закупок 8-495-333-05-02</v>
      </c>
      <c r="D982" s="870" t="str">
        <f>РПЗ!$AB982</f>
        <v>Заказчик</v>
      </c>
      <c r="E982" s="96" t="s">
        <v>46</v>
      </c>
      <c r="F982" s="233" t="str">
        <f>РПЗ!Q982</f>
        <v>ОЗК</v>
      </c>
      <c r="G982" s="237"/>
      <c r="H982" s="237" t="str">
        <f>РПЗ!R982</f>
        <v>да</v>
      </c>
      <c r="I982" s="15">
        <f>РПЗ!W982</f>
        <v>0</v>
      </c>
      <c r="J982" s="233">
        <f>РПЗ!X982</f>
        <v>0</v>
      </c>
      <c r="K982" s="283">
        <f>РПЗ!Z982</f>
        <v>0</v>
      </c>
      <c r="L982" s="17"/>
      <c r="M982" s="18">
        <f>РПЗ!O982</f>
        <v>42858.5</v>
      </c>
      <c r="N982" s="238">
        <f>Таблица5[[#This Row],[10]]</f>
        <v>42858.5</v>
      </c>
      <c r="O982" s="17"/>
      <c r="P982" s="17"/>
      <c r="Q982" s="17"/>
      <c r="R982" s="17"/>
      <c r="S982" s="17"/>
      <c r="T982" s="686"/>
      <c r="U982" s="18">
        <f>РПЗ!P982</f>
        <v>43100.5</v>
      </c>
      <c r="V982" s="686"/>
      <c r="W982" s="236">
        <f>РПЗ!L982</f>
        <v>11555030.470000001</v>
      </c>
      <c r="X982" s="689"/>
      <c r="Y982" s="689"/>
      <c r="Z982" s="690"/>
      <c r="AA982" s="691"/>
      <c r="AB982" s="111"/>
      <c r="AC982" s="17"/>
      <c r="AD982" s="690"/>
      <c r="AE982" s="686"/>
      <c r="AF982" s="474"/>
      <c r="AG982" s="692"/>
      <c r="AH982" s="236" t="str">
        <f>IF(Таблица5[[#This Row],[30]]=0,"НД",Таблица5[[#This Row],[20]]-Таблица5[[#This Row],[30]])</f>
        <v>НД</v>
      </c>
      <c r="AI982" s="511" t="str">
        <f>IF(((1-Таблица5[[#This Row],[30]]/Таблица5[[#This Row],[20]])=1),"НД",(1-Таблица5[[#This Row],[30]]/Таблица5[[#This Row],[20]]))</f>
        <v>НД</v>
      </c>
      <c r="AJ982" s="111"/>
      <c r="AK982" s="111"/>
      <c r="AL982" s="512"/>
      <c r="AM982" s="513"/>
      <c r="AN982" s="465"/>
      <c r="AO982" s="468" t="str">
        <f>РПЗ!AD982</f>
        <v>Нет</v>
      </c>
      <c r="AP982" s="472">
        <f>РПЗ!V982</f>
        <v>0</v>
      </c>
      <c r="AQ982" s="470">
        <f>IF(Таблица5[[#This Row],[11]]=0,,MONTH(Таблица5[[#This Row],[11]]))</f>
        <v>5</v>
      </c>
    </row>
    <row r="983" spans="1:43" ht="64.5" thickBot="1" x14ac:dyDescent="0.3">
      <c r="A983" s="233" t="str">
        <f t="shared" si="15"/>
        <v>1004-2017-00968</v>
      </c>
      <c r="B983" s="233" t="str">
        <f>РПЗ!$D983</f>
        <v>1004-2017-00968 Оказание услуг по ремонт 3-з компонентов модулей в составе:вычислительный модуль ПИРЩ.468157,013, блок сбора данных ПИРШ.467444.006</v>
      </c>
      <c r="C983" s="233" t="str">
        <f>РПЗ!$AA983</f>
        <v>АО "НИИ "Полюс" им. М.Ф. Стельмаха" тел. отдела закупок 8-495-333-05-02</v>
      </c>
      <c r="D983" s="870" t="str">
        <f>РПЗ!$AB983</f>
        <v>Заказчик</v>
      </c>
      <c r="E983" s="510" t="s">
        <v>62</v>
      </c>
      <c r="F983" s="233" t="str">
        <f>РПЗ!Q983</f>
        <v>ЕП</v>
      </c>
      <c r="G983" s="237" t="str">
        <f>Таблица5[[#This Row],[6]]</f>
        <v>ЕП</v>
      </c>
      <c r="H983" s="237" t="str">
        <f>РПЗ!R983</f>
        <v>нет</v>
      </c>
      <c r="I983" s="15" t="str">
        <f>РПЗ!W983</f>
        <v>6.6.2(38)</v>
      </c>
      <c r="J983" s="233" t="str">
        <f>РПЗ!X983</f>
        <v>7729493501</v>
      </c>
      <c r="K983" s="283">
        <f>РПЗ!Z983</f>
        <v>578200</v>
      </c>
      <c r="L983" s="17">
        <v>42845</v>
      </c>
      <c r="M983" s="18">
        <f>РПЗ!O983</f>
        <v>42850.5</v>
      </c>
      <c r="N983" s="238">
        <f>Таблица5[[#This Row],[10]]</f>
        <v>42850.5</v>
      </c>
      <c r="O983" s="17"/>
      <c r="P983" s="17"/>
      <c r="Q983" s="17"/>
      <c r="R983" s="17"/>
      <c r="S983" s="17"/>
      <c r="T983" s="686">
        <v>42866</v>
      </c>
      <c r="U983" s="18">
        <f>РПЗ!P983</f>
        <v>43100.5</v>
      </c>
      <c r="V983" s="686">
        <v>42887</v>
      </c>
      <c r="W983" s="236">
        <f>РПЗ!L983</f>
        <v>578200</v>
      </c>
      <c r="X983" s="689">
        <v>1</v>
      </c>
      <c r="Y983" s="689">
        <v>0</v>
      </c>
      <c r="Z983" s="691">
        <v>7729493501</v>
      </c>
      <c r="AA983" s="691" t="s">
        <v>5138</v>
      </c>
      <c r="AB983" s="111">
        <v>578200</v>
      </c>
      <c r="AC983" s="17">
        <v>42887</v>
      </c>
      <c r="AD983" s="690" t="s">
        <v>5139</v>
      </c>
      <c r="AE983" s="686">
        <v>42866</v>
      </c>
      <c r="AF983" s="474"/>
      <c r="AG983" s="692">
        <v>578200</v>
      </c>
      <c r="AH983" s="236">
        <f>IF(Таблица5[[#This Row],[30]]=0,"НД",Таблица5[[#This Row],[20]]-Таблица5[[#This Row],[30]])</f>
        <v>0</v>
      </c>
      <c r="AI983" s="511">
        <f>IF(((1-Таблица5[[#This Row],[30]]/Таблица5[[#This Row],[20]])=1),"НД",(1-Таблица5[[#This Row],[30]]/Таблица5[[#This Row],[20]]))</f>
        <v>0</v>
      </c>
      <c r="AJ983" s="111">
        <v>578200</v>
      </c>
      <c r="AK983" s="111"/>
      <c r="AL983" s="512"/>
      <c r="AM983" s="513" t="s">
        <v>113</v>
      </c>
      <c r="AN983" s="801">
        <v>31705079890</v>
      </c>
      <c r="AO983" s="468" t="str">
        <f>РПЗ!AD983</f>
        <v>Нет</v>
      </c>
      <c r="AP983" s="472">
        <f>РПЗ!V983</f>
        <v>0</v>
      </c>
      <c r="AQ983" s="470">
        <f>IF(Таблица5[[#This Row],[11]]=0,,MONTH(Таблица5[[#This Row],[11]]))</f>
        <v>4</v>
      </c>
    </row>
    <row r="984" spans="1:43" ht="39" thickBot="1" x14ac:dyDescent="0.3">
      <c r="A984" s="233" t="str">
        <f t="shared" si="15"/>
        <v>1004-2017-00969</v>
      </c>
      <c r="B984" s="233" t="str">
        <f>РПЗ!$D984</f>
        <v>1004-2017-00969 Поставка Комплект промышленной мебели</v>
      </c>
      <c r="C984" s="233" t="str">
        <f>РПЗ!$AA984</f>
        <v>АО "НИИ "Полюс" им. М.Ф. Стельмаха" тел. отдела закупок 8-495-333-05-02</v>
      </c>
      <c r="D984" s="870" t="str">
        <f>РПЗ!$AB984</f>
        <v>Заказчик</v>
      </c>
      <c r="E984" s="96" t="s">
        <v>46</v>
      </c>
      <c r="F984" s="233" t="str">
        <f>РПЗ!Q984</f>
        <v>ОЗК</v>
      </c>
      <c r="G984" s="237"/>
      <c r="H984" s="237" t="str">
        <f>РПЗ!R984</f>
        <v>да</v>
      </c>
      <c r="I984" s="15">
        <f>РПЗ!W984</f>
        <v>0</v>
      </c>
      <c r="J984" s="233">
        <f>РПЗ!X984</f>
        <v>0</v>
      </c>
      <c r="K984" s="283">
        <f>РПЗ!Z984</f>
        <v>0</v>
      </c>
      <c r="L984" s="17"/>
      <c r="M984" s="18">
        <f>РПЗ!O984</f>
        <v>42858.5</v>
      </c>
      <c r="N984" s="238">
        <f>Таблица5[[#This Row],[10]]</f>
        <v>42858.5</v>
      </c>
      <c r="O984" s="17"/>
      <c r="P984" s="17"/>
      <c r="Q984" s="17"/>
      <c r="R984" s="17"/>
      <c r="S984" s="17"/>
      <c r="T984" s="686"/>
      <c r="U984" s="18">
        <f>РПЗ!P984</f>
        <v>42917.5</v>
      </c>
      <c r="V984" s="686"/>
      <c r="W984" s="236">
        <f>РПЗ!L984</f>
        <v>949544.01</v>
      </c>
      <c r="X984" s="689"/>
      <c r="Y984" s="689"/>
      <c r="Z984" s="690"/>
      <c r="AA984" s="691"/>
      <c r="AB984" s="111"/>
      <c r="AC984" s="17"/>
      <c r="AD984" s="690"/>
      <c r="AE984" s="686"/>
      <c r="AF984" s="474"/>
      <c r="AG984" s="692"/>
      <c r="AH984" s="236" t="str">
        <f>IF(Таблица5[[#This Row],[30]]=0,"НД",Таблица5[[#This Row],[20]]-Таблица5[[#This Row],[30]])</f>
        <v>НД</v>
      </c>
      <c r="AI984" s="511" t="str">
        <f>IF(((1-Таблица5[[#This Row],[30]]/Таблица5[[#This Row],[20]])=1),"НД",(1-Таблица5[[#This Row],[30]]/Таблица5[[#This Row],[20]]))</f>
        <v>НД</v>
      </c>
      <c r="AJ984" s="111"/>
      <c r="AK984" s="111"/>
      <c r="AL984" s="512"/>
      <c r="AM984" s="513"/>
      <c r="AN984" s="465"/>
      <c r="AO984" s="468" t="str">
        <f>РПЗ!AD984</f>
        <v>Нет</v>
      </c>
      <c r="AP984" s="472">
        <f>РПЗ!V984</f>
        <v>0</v>
      </c>
      <c r="AQ984" s="470">
        <f>IF(Таблица5[[#This Row],[11]]=0,,MONTH(Таблица5[[#This Row],[11]]))</f>
        <v>5</v>
      </c>
    </row>
    <row r="985" spans="1:43" ht="51.75" thickBot="1" x14ac:dyDescent="0.3">
      <c r="A985" s="233" t="str">
        <f t="shared" si="15"/>
        <v>1004-2017-00970</v>
      </c>
      <c r="B985" s="233" t="str">
        <f>РПЗ!$D985</f>
        <v>1004-2017-00970 Программное обеспечение для системы управления виброиспытаними ВС-301</v>
      </c>
      <c r="C985" s="233" t="str">
        <f>РПЗ!$AA985</f>
        <v>АО "НИИ "Полюс" им. М.Ф. Стельмаха" тел. отдела закупок 8-495-333-05-02</v>
      </c>
      <c r="D985" s="870" t="str">
        <f>РПЗ!$AB985</f>
        <v>Заказчик</v>
      </c>
      <c r="E985" s="96" t="s">
        <v>46</v>
      </c>
      <c r="F985" s="233" t="str">
        <f>РПЗ!Q985</f>
        <v>ОЗК</v>
      </c>
      <c r="G985" s="237"/>
      <c r="H985" s="237" t="str">
        <f>РПЗ!R985</f>
        <v>да</v>
      </c>
      <c r="I985" s="15">
        <f>РПЗ!W985</f>
        <v>0</v>
      </c>
      <c r="J985" s="233">
        <f>РПЗ!X985</f>
        <v>0</v>
      </c>
      <c r="K985" s="283">
        <f>РПЗ!Z985</f>
        <v>0</v>
      </c>
      <c r="L985" s="17"/>
      <c r="M985" s="18">
        <f>РПЗ!O985</f>
        <v>42858.5</v>
      </c>
      <c r="N985" s="238">
        <f>Таблица5[[#This Row],[10]]</f>
        <v>42858.5</v>
      </c>
      <c r="O985" s="17"/>
      <c r="P985" s="17"/>
      <c r="Q985" s="17"/>
      <c r="R985" s="17"/>
      <c r="S985" s="17"/>
      <c r="T985" s="686"/>
      <c r="U985" s="18">
        <f>РПЗ!P985</f>
        <v>42917.5</v>
      </c>
      <c r="V985" s="686"/>
      <c r="W985" s="236">
        <f>РПЗ!L985</f>
        <v>221100</v>
      </c>
      <c r="X985" s="689"/>
      <c r="Y985" s="689"/>
      <c r="Z985" s="690"/>
      <c r="AA985" s="691"/>
      <c r="AB985" s="111"/>
      <c r="AC985" s="17"/>
      <c r="AD985" s="690"/>
      <c r="AE985" s="686"/>
      <c r="AF985" s="474"/>
      <c r="AG985" s="692"/>
      <c r="AH985" s="236" t="str">
        <f>IF(Таблица5[[#This Row],[30]]=0,"НД",Таблица5[[#This Row],[20]]-Таблица5[[#This Row],[30]])</f>
        <v>НД</v>
      </c>
      <c r="AI985" s="511" t="str">
        <f>IF(((1-Таблица5[[#This Row],[30]]/Таблица5[[#This Row],[20]])=1),"НД",(1-Таблица5[[#This Row],[30]]/Таблица5[[#This Row],[20]]))</f>
        <v>НД</v>
      </c>
      <c r="AJ985" s="111"/>
      <c r="AK985" s="111"/>
      <c r="AL985" s="512"/>
      <c r="AM985" s="513"/>
      <c r="AN985" s="465"/>
      <c r="AO985" s="468" t="str">
        <f>РПЗ!AD985</f>
        <v>Нет</v>
      </c>
      <c r="AP985" s="472">
        <f>РПЗ!V985</f>
        <v>0</v>
      </c>
      <c r="AQ985" s="470">
        <f>IF(Таблица5[[#This Row],[11]]=0,,MONTH(Таблица5[[#This Row],[11]]))</f>
        <v>5</v>
      </c>
    </row>
    <row r="986" spans="1:43" ht="64.5" thickBot="1" x14ac:dyDescent="0.3">
      <c r="A986" s="233" t="str">
        <f t="shared" si="15"/>
        <v>1004-2017-00971</v>
      </c>
      <c r="B986" s="233" t="str">
        <f>РПЗ!$D986</f>
        <v xml:space="preserve">1004-2017-00971 Поставка Двухканальная цифровая ремонтная паяльная станция с дополнительными принадлежностями </v>
      </c>
      <c r="C986" s="233" t="str">
        <f>РПЗ!$AA986</f>
        <v>АО "НИИ "Полюс" им. М.Ф. Стельмаха" тел. отдела закупок 8-495-333-05-02</v>
      </c>
      <c r="D986" s="870" t="str">
        <f>РПЗ!$AB986</f>
        <v>Заказчик</v>
      </c>
      <c r="E986" s="96" t="s">
        <v>46</v>
      </c>
      <c r="F986" s="233" t="str">
        <f>РПЗ!Q986</f>
        <v>ОЗК</v>
      </c>
      <c r="G986" s="237"/>
      <c r="H986" s="237" t="str">
        <f>РПЗ!R986</f>
        <v>да</v>
      </c>
      <c r="I986" s="15">
        <f>РПЗ!W986</f>
        <v>0</v>
      </c>
      <c r="J986" s="233">
        <f>РПЗ!X986</f>
        <v>0</v>
      </c>
      <c r="K986" s="283">
        <f>РПЗ!Z986</f>
        <v>0</v>
      </c>
      <c r="L986" s="17"/>
      <c r="M986" s="18">
        <f>РПЗ!O986</f>
        <v>42858.5</v>
      </c>
      <c r="N986" s="238">
        <f>Таблица5[[#This Row],[10]]</f>
        <v>42858.5</v>
      </c>
      <c r="O986" s="17"/>
      <c r="P986" s="17"/>
      <c r="Q986" s="17"/>
      <c r="R986" s="17"/>
      <c r="S986" s="17"/>
      <c r="T986" s="686"/>
      <c r="U986" s="18">
        <f>РПЗ!P986</f>
        <v>42917.5</v>
      </c>
      <c r="V986" s="686"/>
      <c r="W986" s="236">
        <f>РПЗ!L986</f>
        <v>210655.2</v>
      </c>
      <c r="X986" s="689"/>
      <c r="Y986" s="689"/>
      <c r="Z986" s="690"/>
      <c r="AA986" s="691"/>
      <c r="AB986" s="111"/>
      <c r="AC986" s="17"/>
      <c r="AD986" s="690"/>
      <c r="AE986" s="686"/>
      <c r="AF986" s="474"/>
      <c r="AG986" s="692"/>
      <c r="AH986" s="236" t="str">
        <f>IF(Таблица5[[#This Row],[30]]=0,"НД",Таблица5[[#This Row],[20]]-Таблица5[[#This Row],[30]])</f>
        <v>НД</v>
      </c>
      <c r="AI986" s="511" t="str">
        <f>IF(((1-Таблица5[[#This Row],[30]]/Таблица5[[#This Row],[20]])=1),"НД",(1-Таблица5[[#This Row],[30]]/Таблица5[[#This Row],[20]]))</f>
        <v>НД</v>
      </c>
      <c r="AJ986" s="111"/>
      <c r="AK986" s="111"/>
      <c r="AL986" s="512"/>
      <c r="AM986" s="513"/>
      <c r="AN986" s="465"/>
      <c r="AO986" s="468" t="str">
        <f>РПЗ!AD986</f>
        <v>Нет</v>
      </c>
      <c r="AP986" s="472">
        <f>РПЗ!V986</f>
        <v>0</v>
      </c>
      <c r="AQ986" s="470">
        <f>IF(Таблица5[[#This Row],[11]]=0,,MONTH(Таблица5[[#This Row],[11]]))</f>
        <v>5</v>
      </c>
    </row>
    <row r="987" spans="1:43" ht="38.25" x14ac:dyDescent="0.25">
      <c r="A987" s="233" t="str">
        <f t="shared" si="15"/>
        <v>1004-2017-00972</v>
      </c>
      <c r="B987" s="233" t="str">
        <f>РПЗ!$D987</f>
        <v xml:space="preserve">1004-2017-00972 Поставка Комплект частотных преобразователей </v>
      </c>
      <c r="C987" s="233" t="str">
        <f>РПЗ!$AA987</f>
        <v>АО "НИИ "Полюс" им. М.Ф. Стельмаха" тел. отдела закупок 8-495-333-05-02</v>
      </c>
      <c r="D987" s="870" t="str">
        <f>РПЗ!$AB987</f>
        <v>Заказчик</v>
      </c>
      <c r="E987" s="96" t="s">
        <v>46</v>
      </c>
      <c r="F987" s="233" t="str">
        <f>РПЗ!Q987</f>
        <v>ОЗК</v>
      </c>
      <c r="G987" s="237"/>
      <c r="H987" s="237" t="str">
        <f>РПЗ!R987</f>
        <v>да</v>
      </c>
      <c r="I987" s="15">
        <f>РПЗ!W987</f>
        <v>0</v>
      </c>
      <c r="J987" s="233">
        <f>РПЗ!X987</f>
        <v>0</v>
      </c>
      <c r="K987" s="283">
        <f>РПЗ!Z987</f>
        <v>0</v>
      </c>
      <c r="L987" s="17"/>
      <c r="M987" s="18">
        <f>РПЗ!O987</f>
        <v>42858.5</v>
      </c>
      <c r="N987" s="238">
        <f>Таблица5[[#This Row],[10]]</f>
        <v>42858.5</v>
      </c>
      <c r="O987" s="17"/>
      <c r="P987" s="17"/>
      <c r="Q987" s="17"/>
      <c r="R987" s="17"/>
      <c r="S987" s="17"/>
      <c r="T987" s="686"/>
      <c r="U987" s="18">
        <f>РПЗ!P987</f>
        <v>42917.5</v>
      </c>
      <c r="V987" s="686"/>
      <c r="W987" s="236">
        <f>РПЗ!L987</f>
        <v>1297988</v>
      </c>
      <c r="X987" s="689"/>
      <c r="Y987" s="689"/>
      <c r="Z987" s="690"/>
      <c r="AA987" s="691"/>
      <c r="AB987" s="111"/>
      <c r="AC987" s="17"/>
      <c r="AD987" s="690"/>
      <c r="AE987" s="686"/>
      <c r="AF987" s="474"/>
      <c r="AG987" s="692"/>
      <c r="AH987" s="236" t="str">
        <f>IF(Таблица5[[#This Row],[30]]=0,"НД",Таблица5[[#This Row],[20]]-Таблица5[[#This Row],[30]])</f>
        <v>НД</v>
      </c>
      <c r="AI987" s="511" t="str">
        <f>IF(((1-Таблица5[[#This Row],[30]]/Таблица5[[#This Row],[20]])=1),"НД",(1-Таблица5[[#This Row],[30]]/Таблица5[[#This Row],[20]]))</f>
        <v>НД</v>
      </c>
      <c r="AJ987" s="111"/>
      <c r="AK987" s="111"/>
      <c r="AL987" s="512"/>
      <c r="AM987" s="513"/>
      <c r="AN987" s="465"/>
      <c r="AO987" s="468" t="str">
        <f>РПЗ!AD987</f>
        <v>Нет</v>
      </c>
      <c r="AP987" s="472">
        <f>РПЗ!V987</f>
        <v>0</v>
      </c>
      <c r="AQ987" s="470">
        <f>IF(Таблица5[[#This Row],[11]]=0,,MONTH(Таблица5[[#This Row],[11]]))</f>
        <v>5</v>
      </c>
    </row>
    <row r="988" spans="1:43" ht="64.5" thickBot="1" x14ac:dyDescent="0.3">
      <c r="A988" s="233" t="str">
        <f t="shared" si="15"/>
        <v>1004-2017-00973</v>
      </c>
      <c r="B988" s="233" t="str">
        <f>РПЗ!$D988</f>
        <v>1004-2017-00973 Услуги по диагностике и ремонту    универсального обрабатывающего центра ULTRASONIC 20 linear (заводской №  11790002477)</v>
      </c>
      <c r="C988" s="233" t="str">
        <f>РПЗ!$AA988</f>
        <v>АО "НИИ "Полюс" им. М.Ф. Стельмаха" тел. отдела закупок 8-495-333-05-02</v>
      </c>
      <c r="D988" s="870" t="str">
        <f>РПЗ!$AB988</f>
        <v>Заказчик</v>
      </c>
      <c r="E988" s="510" t="s">
        <v>62</v>
      </c>
      <c r="F988" s="233" t="str">
        <f>РПЗ!Q988</f>
        <v>ЕП</v>
      </c>
      <c r="G988" s="237" t="str">
        <f>Таблица5[[#This Row],[6]]</f>
        <v>ЕП</v>
      </c>
      <c r="H988" s="237" t="str">
        <f>РПЗ!R988</f>
        <v>нет</v>
      </c>
      <c r="I988" s="15" t="str">
        <f>РПЗ!W988</f>
        <v>6.6.2(38)</v>
      </c>
      <c r="J988" s="233" t="str">
        <f>РПЗ!X988</f>
        <v>7714710760</v>
      </c>
      <c r="K988" s="283">
        <f>РПЗ!Z988</f>
        <v>299680</v>
      </c>
      <c r="L988" s="17">
        <v>42857</v>
      </c>
      <c r="M988" s="18">
        <f>РПЗ!O988</f>
        <v>42858.5</v>
      </c>
      <c r="N988" s="238">
        <f>Таблица5[[#This Row],[10]]</f>
        <v>42858.5</v>
      </c>
      <c r="O988" s="17"/>
      <c r="P988" s="17"/>
      <c r="Q988" s="17"/>
      <c r="R988" s="17"/>
      <c r="S988" s="17"/>
      <c r="T988" s="686">
        <v>42870</v>
      </c>
      <c r="U988" s="18">
        <f>РПЗ!P988</f>
        <v>42917.5</v>
      </c>
      <c r="V988" s="686">
        <v>42917</v>
      </c>
      <c r="W988" s="236">
        <f>РПЗ!L988</f>
        <v>299680</v>
      </c>
      <c r="X988" s="689">
        <v>1</v>
      </c>
      <c r="Y988" s="689">
        <v>0</v>
      </c>
      <c r="Z988" s="691">
        <v>7714710760</v>
      </c>
      <c r="AA988" s="691" t="s">
        <v>5076</v>
      </c>
      <c r="AB988" s="111">
        <v>299680</v>
      </c>
      <c r="AC988" s="17">
        <v>42917</v>
      </c>
      <c r="AD988" s="690" t="s">
        <v>5077</v>
      </c>
      <c r="AE988" s="686">
        <v>42870</v>
      </c>
      <c r="AF988" s="474"/>
      <c r="AG988" s="692">
        <v>299680</v>
      </c>
      <c r="AH988" s="236">
        <f>IF(Таблица5[[#This Row],[30]]=0,"НД",Таблица5[[#This Row],[20]]-Таблица5[[#This Row],[30]])</f>
        <v>0</v>
      </c>
      <c r="AI988" s="511">
        <f>IF(((1-Таблица5[[#This Row],[30]]/Таблица5[[#This Row],[20]])=1),"НД",(1-Таблица5[[#This Row],[30]]/Таблица5[[#This Row],[20]]))</f>
        <v>0</v>
      </c>
      <c r="AJ988" s="111"/>
      <c r="AK988" s="111"/>
      <c r="AL988" s="512"/>
      <c r="AM988" s="513" t="s">
        <v>113</v>
      </c>
      <c r="AN988" s="801">
        <v>31705106651</v>
      </c>
      <c r="AO988" s="468" t="str">
        <f>РПЗ!AD988</f>
        <v>Нет</v>
      </c>
      <c r="AP988" s="472">
        <f>РПЗ!V988</f>
        <v>0</v>
      </c>
      <c r="AQ988" s="470">
        <f>IF(Таблица5[[#This Row],[11]]=0,,MONTH(Таблица5[[#This Row],[11]]))</f>
        <v>5</v>
      </c>
    </row>
    <row r="989" spans="1:43" ht="191.25" x14ac:dyDescent="0.25">
      <c r="A989" s="233" t="str">
        <f t="shared" si="15"/>
        <v>1004-2017-00974</v>
      </c>
      <c r="B989" s="233" t="str">
        <f>РПЗ!$D989</f>
        <v>1004-2017-00974 оказание услуг Кадастровые работы по изготовлению технических планов объектов недвижимого имущества (внесение в данные ЕГРН сведений о планировке помещений, расположенных в зданиях по адресам: г. Москва, ул. Введенского, д. 3, к.1; д. 3, к. 1, стр. 1; д. 3, к. 2; д. 3, к. 4; д. 3, к. 5; д. 3, к. 8, общей площадью 6 327 кв.м.) с целью последующей регистрации договоров аренды на помещения, находящиеся в границах этих объектов)</v>
      </c>
      <c r="C989" s="233" t="str">
        <f>РПЗ!$AA989</f>
        <v>АО "НИИ "Полюс" им. М.Ф. Стельмаха" тел. отдела закупок 8-495-333-05-02</v>
      </c>
      <c r="D989" s="870" t="str">
        <f>РПЗ!$AB989</f>
        <v>Заказчик</v>
      </c>
      <c r="E989" s="96" t="s">
        <v>46</v>
      </c>
      <c r="F989" s="233" t="str">
        <f>РПЗ!Q989</f>
        <v>ОЗП</v>
      </c>
      <c r="G989" s="237"/>
      <c r="H989" s="237" t="str">
        <f>РПЗ!R989</f>
        <v>да</v>
      </c>
      <c r="I989" s="15">
        <f>РПЗ!W989</f>
        <v>0</v>
      </c>
      <c r="J989" s="233">
        <f>РПЗ!X989</f>
        <v>0</v>
      </c>
      <c r="K989" s="283">
        <f>РПЗ!Z989</f>
        <v>0</v>
      </c>
      <c r="L989" s="17"/>
      <c r="M989" s="18">
        <f>РПЗ!O989</f>
        <v>42858.5</v>
      </c>
      <c r="N989" s="238">
        <f>Таблица5[[#This Row],[10]]</f>
        <v>42858.5</v>
      </c>
      <c r="O989" s="17"/>
      <c r="P989" s="17"/>
      <c r="Q989" s="17"/>
      <c r="R989" s="17"/>
      <c r="S989" s="17"/>
      <c r="T989" s="686"/>
      <c r="U989" s="18">
        <f>РПЗ!P989</f>
        <v>42948</v>
      </c>
      <c r="V989" s="686"/>
      <c r="W989" s="236">
        <f>РПЗ!L989</f>
        <v>3100000</v>
      </c>
      <c r="X989" s="689"/>
      <c r="Y989" s="689"/>
      <c r="Z989" s="690"/>
      <c r="AA989" s="691"/>
      <c r="AB989" s="111"/>
      <c r="AC989" s="17"/>
      <c r="AD989" s="690"/>
      <c r="AE989" s="686"/>
      <c r="AF989" s="474"/>
      <c r="AG989" s="692"/>
      <c r="AH989" s="236" t="str">
        <f>IF(Таблица5[[#This Row],[30]]=0,"НД",Таблица5[[#This Row],[20]]-Таблица5[[#This Row],[30]])</f>
        <v>НД</v>
      </c>
      <c r="AI989" s="511" t="str">
        <f>IF(((1-Таблица5[[#This Row],[30]]/Таблица5[[#This Row],[20]])=1),"НД",(1-Таблица5[[#This Row],[30]]/Таблица5[[#This Row],[20]]))</f>
        <v>НД</v>
      </c>
      <c r="AJ989" s="111"/>
      <c r="AK989" s="111"/>
      <c r="AL989" s="512"/>
      <c r="AM989" s="513"/>
      <c r="AN989" s="465"/>
      <c r="AO989" s="468" t="str">
        <f>РПЗ!AD989</f>
        <v>Нет</v>
      </c>
      <c r="AP989" s="472">
        <f>РПЗ!V989</f>
        <v>0</v>
      </c>
      <c r="AQ989" s="470">
        <f>IF(Таблица5[[#This Row],[11]]=0,,MONTH(Таблица5[[#This Row],[11]]))</f>
        <v>5</v>
      </c>
    </row>
    <row r="990" spans="1:43" ht="39" thickBot="1" x14ac:dyDescent="0.3">
      <c r="A990" s="233" t="str">
        <f t="shared" si="15"/>
        <v>1004-2017-00975</v>
      </c>
      <c r="B990" s="233" t="str">
        <f>РПЗ!$D990</f>
        <v>1004-2017-00975 Поставка комплект электротехнических изделий</v>
      </c>
      <c r="C990" s="233" t="str">
        <f>РПЗ!$AA990</f>
        <v>АО "НИИ "Полюс" им. М.Ф. Стельмаха" тел. отдела закупок 8-495-333-05-02</v>
      </c>
      <c r="D990" s="870" t="str">
        <f>РПЗ!$AB990</f>
        <v>Заказчик</v>
      </c>
      <c r="E990" s="510" t="s">
        <v>62</v>
      </c>
      <c r="F990" s="233" t="str">
        <f>РПЗ!Q990</f>
        <v>ОЗК</v>
      </c>
      <c r="G990" s="237" t="s">
        <v>108</v>
      </c>
      <c r="H990" s="237" t="str">
        <f>РПЗ!R990</f>
        <v>да</v>
      </c>
      <c r="I990" s="15">
        <f>РПЗ!W990</f>
        <v>0</v>
      </c>
      <c r="J990" s="233">
        <f>РПЗ!X990</f>
        <v>0</v>
      </c>
      <c r="K990" s="283">
        <f>РПЗ!Z990</f>
        <v>0</v>
      </c>
      <c r="L990" s="17">
        <v>42887</v>
      </c>
      <c r="M990" s="18">
        <f>РПЗ!O990</f>
        <v>42889.5</v>
      </c>
      <c r="N990" s="238">
        <f>Таблица5[[#This Row],[10]]</f>
        <v>42889.5</v>
      </c>
      <c r="O990" s="17">
        <v>42893</v>
      </c>
      <c r="P990" s="17">
        <v>42900</v>
      </c>
      <c r="Q990" s="17">
        <v>42900</v>
      </c>
      <c r="R990" s="17">
        <v>42893</v>
      </c>
      <c r="S990" s="17">
        <v>42893</v>
      </c>
      <c r="T990" s="686">
        <v>42909</v>
      </c>
      <c r="U990" s="18">
        <f>РПЗ!P990</f>
        <v>42887.5</v>
      </c>
      <c r="V990" s="686">
        <v>42917</v>
      </c>
      <c r="W990" s="236">
        <f>РПЗ!L990</f>
        <v>116410.79</v>
      </c>
      <c r="X990" s="689">
        <v>1</v>
      </c>
      <c r="Y990" s="689">
        <v>0</v>
      </c>
      <c r="Z990" s="691">
        <v>7703407138</v>
      </c>
      <c r="AA990" s="691" t="s">
        <v>5952</v>
      </c>
      <c r="AB990" s="111">
        <v>113765.49</v>
      </c>
      <c r="AC990" s="17">
        <v>42917</v>
      </c>
      <c r="AD990" s="690" t="s">
        <v>6126</v>
      </c>
      <c r="AE990" s="686">
        <v>42909</v>
      </c>
      <c r="AF990" s="474"/>
      <c r="AG990" s="692">
        <v>113765.49</v>
      </c>
      <c r="AH990" s="236">
        <f>IF(Таблица5[[#This Row],[30]]=0,"НД",Таблица5[[#This Row],[20]]-Таблица5[[#This Row],[30]])</f>
        <v>2645.2999999999884</v>
      </c>
      <c r="AI990" s="511">
        <f>IF(((1-Таблица5[[#This Row],[30]]/Таблица5[[#This Row],[20]])=1),"НД",(1-Таблица5[[#This Row],[30]]/Таблица5[[#This Row],[20]]))</f>
        <v>2.2723838572008548E-2</v>
      </c>
      <c r="AJ990" s="111">
        <v>113765.49</v>
      </c>
      <c r="AK990" s="111"/>
      <c r="AL990" s="512"/>
      <c r="AM990" s="513" t="s">
        <v>113</v>
      </c>
      <c r="AN990" s="801">
        <v>31705177776</v>
      </c>
      <c r="AO990" s="468" t="str">
        <f>РПЗ!AD990</f>
        <v>Нет</v>
      </c>
      <c r="AP990" s="472">
        <f>РПЗ!V990</f>
        <v>0</v>
      </c>
      <c r="AQ990" s="470">
        <f>IF(Таблица5[[#This Row],[11]]=0,,MONTH(Таблица5[[#This Row],[11]]))</f>
        <v>6</v>
      </c>
    </row>
    <row r="991" spans="1:43" ht="63.75" x14ac:dyDescent="0.25">
      <c r="A991" s="233" t="str">
        <f t="shared" si="15"/>
        <v>1004-2017-00976</v>
      </c>
      <c r="B991" s="233" t="str">
        <f>РПЗ!$D991</f>
        <v>1004-2017-00976 Услуги по диагностике и ремонту    универсального обрабатывающего центра ULTRASONIC 20 linear (заводской №  11790002477)</v>
      </c>
      <c r="C991" s="233" t="str">
        <f>РПЗ!$AA991</f>
        <v>АО "НИИ "Полюс" им. М.Ф. Стельмаха" тел. отдела закупок 8-495-333-05-02</v>
      </c>
      <c r="D991" s="870" t="str">
        <f>РПЗ!$AB991</f>
        <v>Заказчик</v>
      </c>
      <c r="E991" s="96" t="s">
        <v>46</v>
      </c>
      <c r="F991" s="233" t="str">
        <f>РПЗ!Q991</f>
        <v>ЕП</v>
      </c>
      <c r="G991" s="237"/>
      <c r="H991" s="237" t="str">
        <f>РПЗ!R991</f>
        <v>нет</v>
      </c>
      <c r="I991" s="15">
        <f>РПЗ!W991</f>
        <v>0</v>
      </c>
      <c r="J991" s="233">
        <f>РПЗ!X991</f>
        <v>0</v>
      </c>
      <c r="K991" s="283">
        <f>РПЗ!Z991</f>
        <v>0</v>
      </c>
      <c r="L991" s="17"/>
      <c r="M991" s="18">
        <f>РПЗ!O991</f>
        <v>42858.5</v>
      </c>
      <c r="N991" s="238">
        <f>Таблица5[[#This Row],[10]]</f>
        <v>42858.5</v>
      </c>
      <c r="O991" s="17"/>
      <c r="P991" s="17"/>
      <c r="Q991" s="17"/>
      <c r="R991" s="17"/>
      <c r="S991" s="17"/>
      <c r="T991" s="686"/>
      <c r="U991" s="18">
        <f>РПЗ!P991</f>
        <v>42917.5</v>
      </c>
      <c r="V991" s="686"/>
      <c r="W991" s="236">
        <f>РПЗ!L991</f>
        <v>299680</v>
      </c>
      <c r="X991" s="689"/>
      <c r="Y991" s="689"/>
      <c r="Z991" s="690"/>
      <c r="AA991" s="691"/>
      <c r="AB991" s="111"/>
      <c r="AC991" s="17"/>
      <c r="AD991" s="690"/>
      <c r="AE991" s="686"/>
      <c r="AF991" s="474"/>
      <c r="AG991" s="692"/>
      <c r="AH991" s="236" t="str">
        <f>IF(Таблица5[[#This Row],[30]]=0,"НД",Таблица5[[#This Row],[20]]-Таблица5[[#This Row],[30]])</f>
        <v>НД</v>
      </c>
      <c r="AI991" s="511" t="str">
        <f>IF(((1-Таблица5[[#This Row],[30]]/Таблица5[[#This Row],[20]])=1),"НД",(1-Таблица5[[#This Row],[30]]/Таблица5[[#This Row],[20]]))</f>
        <v>НД</v>
      </c>
      <c r="AJ991" s="111"/>
      <c r="AK991" s="111"/>
      <c r="AL991" s="512"/>
      <c r="AM991" s="513"/>
      <c r="AN991" s="465"/>
      <c r="AO991" s="468" t="str">
        <f>РПЗ!AD991</f>
        <v>Нет</v>
      </c>
      <c r="AP991" s="472">
        <f>РПЗ!V991</f>
        <v>0</v>
      </c>
      <c r="AQ991" s="470">
        <f>IF(Таблица5[[#This Row],[11]]=0,,MONTH(Таблица5[[#This Row],[11]]))</f>
        <v>5</v>
      </c>
    </row>
    <row r="992" spans="1:43" ht="38.25" x14ac:dyDescent="0.25">
      <c r="A992" s="233" t="str">
        <f t="shared" si="15"/>
        <v>1004-2017-00977</v>
      </c>
      <c r="B992" s="233" t="str">
        <f>РПЗ!$D992</f>
        <v xml:space="preserve">1004-2017-00977 Поставка арсина </v>
      </c>
      <c r="C992" s="233" t="str">
        <f>РПЗ!$AA992</f>
        <v>АО "НИИ "Полюс" им. М.Ф. Стельмаха" тел. отдела закупок 8-495-333-05-02</v>
      </c>
      <c r="D992" s="870" t="str">
        <f>РПЗ!$AB992</f>
        <v>Заказчик</v>
      </c>
      <c r="E992" s="510" t="s">
        <v>62</v>
      </c>
      <c r="F992" s="233" t="str">
        <f>РПЗ!Q992</f>
        <v>ЕП</v>
      </c>
      <c r="G992" s="237" t="str">
        <f>Таблица5[[#This Row],[6]]</f>
        <v>ЕП</v>
      </c>
      <c r="H992" s="237" t="str">
        <f>РПЗ!R992</f>
        <v>нет</v>
      </c>
      <c r="I992" s="15" t="str">
        <f>РПЗ!W992</f>
        <v>6.6.2(9)</v>
      </c>
      <c r="J992" s="233" t="str">
        <f>РПЗ!X992</f>
        <v>5261079332</v>
      </c>
      <c r="K992" s="283">
        <f>РПЗ!Z992</f>
        <v>2849700</v>
      </c>
      <c r="L992" s="17">
        <v>42878</v>
      </c>
      <c r="M992" s="18">
        <f>РПЗ!O992</f>
        <v>42856</v>
      </c>
      <c r="N992" s="238">
        <f>Таблица5[[#This Row],[10]]</f>
        <v>42856</v>
      </c>
      <c r="O992" s="17"/>
      <c r="P992" s="17"/>
      <c r="Q992" s="17"/>
      <c r="R992" s="17"/>
      <c r="S992" s="17"/>
      <c r="T992" s="686">
        <v>42880</v>
      </c>
      <c r="U992" s="18">
        <f>РПЗ!P992</f>
        <v>42856</v>
      </c>
      <c r="V992" s="686">
        <v>42887</v>
      </c>
      <c r="W992" s="236">
        <f>РПЗ!L992</f>
        <v>2849700</v>
      </c>
      <c r="X992" s="689">
        <v>1</v>
      </c>
      <c r="Y992" s="689">
        <v>0</v>
      </c>
      <c r="Z992" s="691">
        <v>5261079332</v>
      </c>
      <c r="AA992" s="691" t="s">
        <v>3365</v>
      </c>
      <c r="AB992" s="111">
        <v>2849700</v>
      </c>
      <c r="AC992" s="17">
        <v>42887</v>
      </c>
      <c r="AD992" s="690" t="s">
        <v>5129</v>
      </c>
      <c r="AE992" s="686">
        <v>42880</v>
      </c>
      <c r="AF992" s="474"/>
      <c r="AG992" s="692">
        <v>2849700</v>
      </c>
      <c r="AH992" s="236">
        <f>IF(Таблица5[[#This Row],[30]]=0,"НД",Таблица5[[#This Row],[20]]-Таблица5[[#This Row],[30]])</f>
        <v>0</v>
      </c>
      <c r="AI992" s="511">
        <f>IF(((1-Таблица5[[#This Row],[30]]/Таблица5[[#This Row],[20]])=1),"НД",(1-Таблица5[[#This Row],[30]]/Таблица5[[#This Row],[20]]))</f>
        <v>0</v>
      </c>
      <c r="AJ992" s="111"/>
      <c r="AK992" s="111"/>
      <c r="AL992" s="512"/>
      <c r="AM992" s="513" t="s">
        <v>113</v>
      </c>
      <c r="AN992" s="801">
        <v>31705148246</v>
      </c>
      <c r="AO992" s="468" t="str">
        <f>РПЗ!AD992</f>
        <v>Нет</v>
      </c>
      <c r="AP992" s="472">
        <f>РПЗ!V992</f>
        <v>0</v>
      </c>
      <c r="AQ992" s="470">
        <f>IF(Таблица5[[#This Row],[11]]=0,,MONTH(Таблица5[[#This Row],[11]]))</f>
        <v>5</v>
      </c>
    </row>
    <row r="993" spans="1:43" ht="51" x14ac:dyDescent="0.25">
      <c r="A993" s="233" t="str">
        <f t="shared" si="15"/>
        <v>1004-2017-00978</v>
      </c>
      <c r="B993" s="233" t="str">
        <f>РПЗ!$D993</f>
        <v>1004-2017-00978 Поставка триметилгаллия, триэтилгаллия, триметилиндия, триметилалюминия, диэтилцинка</v>
      </c>
      <c r="C993" s="233" t="str">
        <f>РПЗ!$AA993</f>
        <v>АО "НИИ "Полюс" им. М.Ф. Стельмаха" тел. отдела закупок 8-495-333-05-02</v>
      </c>
      <c r="D993" s="870" t="str">
        <f>РПЗ!$AB993</f>
        <v>Заказчик</v>
      </c>
      <c r="E993" s="510" t="s">
        <v>62</v>
      </c>
      <c r="F993" s="233" t="str">
        <f>РПЗ!Q993</f>
        <v>ЕП</v>
      </c>
      <c r="G993" s="237" t="str">
        <f>Таблица5[[#This Row],[6]]</f>
        <v>ЕП</v>
      </c>
      <c r="H993" s="237" t="str">
        <f>РПЗ!R993</f>
        <v>нет</v>
      </c>
      <c r="I993" s="15" t="str">
        <f>РПЗ!W993</f>
        <v>6.6.2(9)</v>
      </c>
      <c r="J993" s="233" t="str">
        <f>РПЗ!X993</f>
        <v>7735148768</v>
      </c>
      <c r="K993" s="283">
        <f>РПЗ!Z993</f>
        <v>1499500</v>
      </c>
      <c r="L993" s="17">
        <v>42878</v>
      </c>
      <c r="M993" s="18">
        <f>РПЗ!O993</f>
        <v>42856</v>
      </c>
      <c r="N993" s="238">
        <f>Таблица5[[#This Row],[10]]</f>
        <v>42856</v>
      </c>
      <c r="O993" s="17"/>
      <c r="P993" s="17"/>
      <c r="Q993" s="17"/>
      <c r="R993" s="17"/>
      <c r="S993" s="17"/>
      <c r="T993" s="686">
        <v>42880</v>
      </c>
      <c r="U993" s="18">
        <f>РПЗ!P993</f>
        <v>42856</v>
      </c>
      <c r="V993" s="686">
        <v>42887</v>
      </c>
      <c r="W993" s="236">
        <f>РПЗ!L993</f>
        <v>1499500</v>
      </c>
      <c r="X993" s="689">
        <v>1</v>
      </c>
      <c r="Y993" s="689">
        <v>0</v>
      </c>
      <c r="Z993" s="691">
        <v>7735148768</v>
      </c>
      <c r="AA993" s="691" t="s">
        <v>3360</v>
      </c>
      <c r="AB993" s="111">
        <v>1499500</v>
      </c>
      <c r="AC993" s="17">
        <v>42887</v>
      </c>
      <c r="AD993" s="690" t="s">
        <v>5130</v>
      </c>
      <c r="AE993" s="686">
        <v>42880</v>
      </c>
      <c r="AF993" s="474"/>
      <c r="AG993" s="692">
        <v>1499500</v>
      </c>
      <c r="AH993" s="236">
        <f>IF(Таблица5[[#This Row],[30]]=0,"НД",Таблица5[[#This Row],[20]]-Таблица5[[#This Row],[30]])</f>
        <v>0</v>
      </c>
      <c r="AI993" s="511">
        <f>IF(((1-Таблица5[[#This Row],[30]]/Таблица5[[#This Row],[20]])=1),"НД",(1-Таблица5[[#This Row],[30]]/Таблица5[[#This Row],[20]]))</f>
        <v>0</v>
      </c>
      <c r="AJ993" s="111">
        <v>1499500</v>
      </c>
      <c r="AK993" s="111"/>
      <c r="AL993" s="512"/>
      <c r="AM993" s="513" t="s">
        <v>113</v>
      </c>
      <c r="AN993" s="801">
        <v>31705148352</v>
      </c>
      <c r="AO993" s="468" t="str">
        <f>РПЗ!AD993</f>
        <v>Нет</v>
      </c>
      <c r="AP993" s="472">
        <f>РПЗ!V993</f>
        <v>0</v>
      </c>
      <c r="AQ993" s="470">
        <f>IF(Таблица5[[#This Row],[11]]=0,,MONTH(Таблица5[[#This Row],[11]]))</f>
        <v>5</v>
      </c>
    </row>
    <row r="994" spans="1:43" ht="38.25" x14ac:dyDescent="0.25">
      <c r="A994" s="233" t="str">
        <f t="shared" si="15"/>
        <v>1004-2017-00979</v>
      </c>
      <c r="B994" s="233" t="str">
        <f>РПЗ!$D994</f>
        <v>1004-2017-00979 Инвестиционный кредит</v>
      </c>
      <c r="C994" s="233" t="str">
        <f>РПЗ!$AA994</f>
        <v>АО "НИИ "Полюс" им. М.Ф. Стельмаха" тел. отдела закупок 8-495-333-05-02</v>
      </c>
      <c r="D994" s="870" t="str">
        <f>РПЗ!$AB994</f>
        <v>Заказчик</v>
      </c>
      <c r="E994" s="510" t="s">
        <v>62</v>
      </c>
      <c r="F994" s="233" t="str">
        <f>РПЗ!Q994</f>
        <v>ЕП</v>
      </c>
      <c r="G994" s="237" t="str">
        <f>Таблица5[[#This Row],[6]]</f>
        <v>ЕП</v>
      </c>
      <c r="H994" s="237" t="str">
        <f>РПЗ!R994</f>
        <v>Нет</v>
      </c>
      <c r="I994" s="15" t="str">
        <f>РПЗ!W994</f>
        <v>6.6.2(37)</v>
      </c>
      <c r="J994" s="233" t="str">
        <f>РПЗ!X994</f>
        <v>7702070139</v>
      </c>
      <c r="K994" s="283">
        <f>РПЗ!Z994</f>
        <v>80625000</v>
      </c>
      <c r="L994" s="17">
        <v>42874</v>
      </c>
      <c r="M994" s="18">
        <f>РПЗ!O994</f>
        <v>42856</v>
      </c>
      <c r="N994" s="238">
        <f>Таблица5[[#This Row],[10]]</f>
        <v>42856</v>
      </c>
      <c r="O994" s="17"/>
      <c r="P994" s="17"/>
      <c r="Q994" s="17"/>
      <c r="R994" s="17"/>
      <c r="S994" s="17"/>
      <c r="T994" s="686">
        <v>42914</v>
      </c>
      <c r="U994" s="18">
        <f>РПЗ!P994</f>
        <v>42887.5</v>
      </c>
      <c r="V994" s="686">
        <v>42917</v>
      </c>
      <c r="W994" s="236">
        <f>РПЗ!L994</f>
        <v>80625000</v>
      </c>
      <c r="X994" s="689">
        <v>1</v>
      </c>
      <c r="Y994" s="689">
        <v>0</v>
      </c>
      <c r="Z994" s="691">
        <v>7702070139</v>
      </c>
      <c r="AA994" s="691" t="s">
        <v>6011</v>
      </c>
      <c r="AB994" s="111">
        <v>80625000</v>
      </c>
      <c r="AC994" s="17">
        <v>42917</v>
      </c>
      <c r="AD994" s="690" t="s">
        <v>6014</v>
      </c>
      <c r="AE994" s="686">
        <v>42914</v>
      </c>
      <c r="AF994" s="474"/>
      <c r="AG994" s="692">
        <v>80625000</v>
      </c>
      <c r="AH994" s="236">
        <f>IF(Таблица5[[#This Row],[30]]=0,"НД",Таблица5[[#This Row],[20]]-Таблица5[[#This Row],[30]])</f>
        <v>0</v>
      </c>
      <c r="AI994" s="511">
        <f>IF(((1-Таблица5[[#This Row],[30]]/Таблица5[[#This Row],[20]])=1),"НД",(1-Таблица5[[#This Row],[30]]/Таблица5[[#This Row],[20]]))</f>
        <v>0</v>
      </c>
      <c r="AJ994" s="111"/>
      <c r="AK994" s="111"/>
      <c r="AL994" s="512"/>
      <c r="AM994" s="513" t="s">
        <v>113</v>
      </c>
      <c r="AN994" s="801">
        <v>31705144791</v>
      </c>
      <c r="AO994" s="468" t="str">
        <f>РПЗ!AD994</f>
        <v>Нет</v>
      </c>
      <c r="AP994" s="472">
        <f>РПЗ!V994</f>
        <v>0</v>
      </c>
      <c r="AQ994" s="470">
        <f>IF(Таблица5[[#This Row],[11]]=0,,MONTH(Таблица5[[#This Row],[11]]))</f>
        <v>5</v>
      </c>
    </row>
    <row r="995" spans="1:43" ht="51" x14ac:dyDescent="0.25">
      <c r="A995" s="233" t="str">
        <f t="shared" si="15"/>
        <v>1004-2017-00980</v>
      </c>
      <c r="B995" s="233" t="str">
        <f>РПЗ!$D995</f>
        <v>1004-2017-00980 Поставка Электроды ЭК1</v>
      </c>
      <c r="C995" s="233" t="str">
        <f>РПЗ!$AA995</f>
        <v>АО "НИИ "Полюс" им. М.Ф. Стельмаха" тел. отдела закупок 8-495-333-05-02</v>
      </c>
      <c r="D995" s="870" t="str">
        <f>РПЗ!$AB995</f>
        <v>Заказчик</v>
      </c>
      <c r="E995" s="510" t="s">
        <v>62</v>
      </c>
      <c r="F995" s="233" t="str">
        <f>РПЗ!Q995</f>
        <v>ОЗК</v>
      </c>
      <c r="G995" s="237" t="str">
        <f>Таблица5[[#This Row],[6]]</f>
        <v>ОЗК</v>
      </c>
      <c r="H995" s="237" t="str">
        <f>РПЗ!R995</f>
        <v>да</v>
      </c>
      <c r="I995" s="15">
        <f>РПЗ!W995</f>
        <v>0</v>
      </c>
      <c r="J995" s="233">
        <f>РПЗ!X995</f>
        <v>0</v>
      </c>
      <c r="K995" s="283">
        <f>РПЗ!Z995</f>
        <v>0</v>
      </c>
      <c r="L995" s="17">
        <v>42916</v>
      </c>
      <c r="M995" s="18">
        <f>РПЗ!O995</f>
        <v>42887</v>
      </c>
      <c r="N995" s="238">
        <f>Таблица5[[#This Row],[10]]</f>
        <v>42887</v>
      </c>
      <c r="O995" s="17">
        <v>42922</v>
      </c>
      <c r="P995" s="17">
        <v>42927</v>
      </c>
      <c r="Q995" s="17">
        <v>42927</v>
      </c>
      <c r="R995" s="17">
        <v>42922</v>
      </c>
      <c r="S995" s="17">
        <v>42922</v>
      </c>
      <c r="T995" s="686">
        <v>42934</v>
      </c>
      <c r="U995" s="18">
        <f>РПЗ!P995</f>
        <v>42887.5</v>
      </c>
      <c r="V995" s="686">
        <v>42948</v>
      </c>
      <c r="W995" s="236">
        <f>РПЗ!L995</f>
        <v>119102</v>
      </c>
      <c r="X995" s="689">
        <v>2</v>
      </c>
      <c r="Y995" s="689">
        <v>0</v>
      </c>
      <c r="Z995" s="691">
        <v>2104007460</v>
      </c>
      <c r="AA995" s="691" t="s">
        <v>6472</v>
      </c>
      <c r="AB995" s="111">
        <v>99120</v>
      </c>
      <c r="AC995" s="17">
        <v>42948</v>
      </c>
      <c r="AD995" s="690" t="s">
        <v>6471</v>
      </c>
      <c r="AE995" s="686">
        <v>42934</v>
      </c>
      <c r="AF995" s="474"/>
      <c r="AG995" s="692">
        <v>99120</v>
      </c>
      <c r="AH995" s="236">
        <f>IF(Таблица5[[#This Row],[30]]=0,"НД",Таблица5[[#This Row],[20]]-Таблица5[[#This Row],[30]])</f>
        <v>19982</v>
      </c>
      <c r="AI995" s="511">
        <f>IF(((1-Таблица5[[#This Row],[30]]/Таблица5[[#This Row],[20]])=1),"НД",(1-Таблица5[[#This Row],[30]]/Таблица5[[#This Row],[20]]))</f>
        <v>0.16777216167654618</v>
      </c>
      <c r="AJ995" s="111">
        <v>99120</v>
      </c>
      <c r="AK995" s="111"/>
      <c r="AL995" s="512"/>
      <c r="AM995" s="513" t="s">
        <v>113</v>
      </c>
      <c r="AN995" s="465">
        <v>31705277584</v>
      </c>
      <c r="AO995" s="468" t="str">
        <f>РПЗ!AD995</f>
        <v>Нет</v>
      </c>
      <c r="AP995" s="472">
        <f>РПЗ!V995</f>
        <v>0</v>
      </c>
      <c r="AQ995" s="470">
        <f>IF(Таблица5[[#This Row],[11]]=0,,MONTH(Таблица5[[#This Row],[11]]))</f>
        <v>6</v>
      </c>
    </row>
    <row r="996" spans="1:43" ht="38.25" x14ac:dyDescent="0.25">
      <c r="A996" s="233" t="str">
        <f t="shared" si="15"/>
        <v>1004-2017-00981</v>
      </c>
      <c r="B996" s="233" t="str">
        <f>РПЗ!$D996</f>
        <v>1004-2017-00981 Поставка конденсаторы</v>
      </c>
      <c r="C996" s="233" t="str">
        <f>РПЗ!$AA996</f>
        <v>АО "НИИ "Полюс" им. М.Ф. Стельмаха" тел. отдела закупок 8-495-333-05-02</v>
      </c>
      <c r="D996" s="870" t="str">
        <f>РПЗ!$AB996</f>
        <v>Заказчик</v>
      </c>
      <c r="E996" s="510" t="s">
        <v>62</v>
      </c>
      <c r="F996" s="233" t="str">
        <f>РПЗ!Q996</f>
        <v>ЕП</v>
      </c>
      <c r="G996" s="237" t="str">
        <f>Таблица5[[#This Row],[6]]</f>
        <v>ЕП</v>
      </c>
      <c r="H996" s="237" t="str">
        <f>РПЗ!R996</f>
        <v>нет</v>
      </c>
      <c r="I996" s="15" t="str">
        <f>РПЗ!W996</f>
        <v>6.6.2(10)</v>
      </c>
      <c r="J996" s="233" t="str">
        <f>РПЗ!X996</f>
        <v>7802005951</v>
      </c>
      <c r="K996" s="283">
        <f>РПЗ!Z996</f>
        <v>449863.2</v>
      </c>
      <c r="L996" s="17">
        <v>42881</v>
      </c>
      <c r="M996" s="18">
        <f>РПЗ!O996</f>
        <v>42856</v>
      </c>
      <c r="N996" s="238">
        <f>Таблица5[[#This Row],[10]]</f>
        <v>42856</v>
      </c>
      <c r="O996" s="17"/>
      <c r="P996" s="17"/>
      <c r="Q996" s="17"/>
      <c r="R996" s="17"/>
      <c r="S996" s="17"/>
      <c r="T996" s="686">
        <v>42895</v>
      </c>
      <c r="U996" s="18">
        <f>РПЗ!P996</f>
        <v>42979</v>
      </c>
      <c r="V996" s="686">
        <v>43070</v>
      </c>
      <c r="W996" s="236">
        <f>РПЗ!L996</f>
        <v>449863.2</v>
      </c>
      <c r="X996" s="689">
        <v>1</v>
      </c>
      <c r="Y996" s="689">
        <v>0</v>
      </c>
      <c r="Z996" s="691">
        <v>7802005951</v>
      </c>
      <c r="AA996" s="691" t="s">
        <v>5920</v>
      </c>
      <c r="AB996" s="111">
        <v>449863.2</v>
      </c>
      <c r="AC996" s="17">
        <v>43070</v>
      </c>
      <c r="AD996" s="690" t="s">
        <v>5921</v>
      </c>
      <c r="AE996" s="686">
        <v>42895</v>
      </c>
      <c r="AF996" s="474"/>
      <c r="AG996" s="692">
        <v>449863.2</v>
      </c>
      <c r="AH996" s="236">
        <f>IF(Таблица5[[#This Row],[30]]=0,"НД",Таблица5[[#This Row],[20]]-Таблица5[[#This Row],[30]])</f>
        <v>0</v>
      </c>
      <c r="AI996" s="511">
        <f>IF(((1-Таблица5[[#This Row],[30]]/Таблица5[[#This Row],[20]])=1),"НД",(1-Таблица5[[#This Row],[30]]/Таблица5[[#This Row],[20]]))</f>
        <v>0</v>
      </c>
      <c r="AJ996" s="111"/>
      <c r="AK996" s="111"/>
      <c r="AL996" s="512"/>
      <c r="AM996" s="513" t="s">
        <v>113</v>
      </c>
      <c r="AN996" s="801">
        <v>31705167559</v>
      </c>
      <c r="AO996" s="468" t="str">
        <f>РПЗ!AD996</f>
        <v>Нет</v>
      </c>
      <c r="AP996" s="472" t="str">
        <f>РПЗ!V996</f>
        <v>ГОЗ</v>
      </c>
      <c r="AQ996" s="470">
        <f>IF(Таблица5[[#This Row],[11]]=0,,MONTH(Таблица5[[#This Row],[11]]))</f>
        <v>5</v>
      </c>
    </row>
    <row r="997" spans="1:43" ht="38.25" x14ac:dyDescent="0.25">
      <c r="A997" s="233" t="str">
        <f t="shared" si="15"/>
        <v>1004-2017-00982</v>
      </c>
      <c r="B997" s="233" t="str">
        <f>РПЗ!$D997</f>
        <v>1004-2017-00982  Установка металлических дверей ЭК</v>
      </c>
      <c r="C997" s="233" t="str">
        <f>РПЗ!$AA997</f>
        <v>АО "НИИ "Полюс" им. М.Ф. Стельмаха" тел. отдела закупок 8-495-333-05-02</v>
      </c>
      <c r="D997" s="870" t="str">
        <f>РПЗ!$AB997</f>
        <v>Заказчик</v>
      </c>
      <c r="E997" s="510" t="s">
        <v>62</v>
      </c>
      <c r="F997" s="233" t="str">
        <f>РПЗ!Q997</f>
        <v>ОЗК</v>
      </c>
      <c r="G997" s="237" t="str">
        <f>Таблица5[[#This Row],[6]]</f>
        <v>ОЗК</v>
      </c>
      <c r="H997" s="237" t="str">
        <f>РПЗ!R997</f>
        <v>Да</v>
      </c>
      <c r="I997" s="15">
        <f>РПЗ!W997</f>
        <v>0</v>
      </c>
      <c r="J997" s="233">
        <f>РПЗ!X997</f>
        <v>0</v>
      </c>
      <c r="K997" s="283">
        <f>РПЗ!Z997</f>
        <v>0</v>
      </c>
      <c r="L997" s="17">
        <v>42891</v>
      </c>
      <c r="M997" s="18">
        <f>РПЗ!O997</f>
        <v>42856</v>
      </c>
      <c r="N997" s="238">
        <f>Таблица5[[#This Row],[10]]</f>
        <v>42856</v>
      </c>
      <c r="O997" s="17">
        <v>42900</v>
      </c>
      <c r="P997" s="17">
        <v>42906</v>
      </c>
      <c r="Q997" s="17">
        <v>42906</v>
      </c>
      <c r="R997" s="17">
        <v>42900</v>
      </c>
      <c r="S997" s="17">
        <v>42900</v>
      </c>
      <c r="T997" s="686">
        <v>42926</v>
      </c>
      <c r="U997" s="18">
        <f>РПЗ!P997</f>
        <v>44713</v>
      </c>
      <c r="V997" s="686">
        <v>42946</v>
      </c>
      <c r="W997" s="236">
        <f>РПЗ!L997</f>
        <v>548225</v>
      </c>
      <c r="X997" s="689">
        <v>2</v>
      </c>
      <c r="Y997" s="689">
        <v>1</v>
      </c>
      <c r="Z997" s="690" t="s">
        <v>6474</v>
      </c>
      <c r="AA997" s="691" t="s">
        <v>5983</v>
      </c>
      <c r="AB997" s="111">
        <v>540000</v>
      </c>
      <c r="AC997" s="17">
        <v>42946</v>
      </c>
      <c r="AD997" s="690" t="s">
        <v>6473</v>
      </c>
      <c r="AE997" s="686">
        <v>42926</v>
      </c>
      <c r="AF997" s="474"/>
      <c r="AG997" s="692">
        <v>540000</v>
      </c>
      <c r="AH997" s="236">
        <f>IF(Таблица5[[#This Row],[30]]=0,"НД",Таблица5[[#This Row],[20]]-Таблица5[[#This Row],[30]])</f>
        <v>8225</v>
      </c>
      <c r="AI997" s="511">
        <f>IF(((1-Таблица5[[#This Row],[30]]/Таблица5[[#This Row],[20]])=1),"НД",(1-Таблица5[[#This Row],[30]]/Таблица5[[#This Row],[20]]))</f>
        <v>1.5002964111450634E-2</v>
      </c>
      <c r="AJ997" s="111">
        <v>540000</v>
      </c>
      <c r="AK997" s="111"/>
      <c r="AL997" s="512"/>
      <c r="AM997" s="513" t="s">
        <v>113</v>
      </c>
      <c r="AN997" s="801">
        <v>31705187795</v>
      </c>
      <c r="AO997" s="468" t="str">
        <f>РПЗ!AD997</f>
        <v>Нет</v>
      </c>
      <c r="AP997" s="472">
        <f>РПЗ!V997</f>
        <v>0</v>
      </c>
      <c r="AQ997" s="470">
        <f>IF(Таблица5[[#This Row],[11]]=0,,MONTH(Таблица5[[#This Row],[11]]))</f>
        <v>5</v>
      </c>
    </row>
    <row r="998" spans="1:43" ht="51.75" thickBot="1" x14ac:dyDescent="0.3">
      <c r="A998" s="233" t="str">
        <f t="shared" si="15"/>
        <v>1004-2017-00983</v>
      </c>
      <c r="B998" s="233" t="str">
        <f>РПЗ!$D998</f>
        <v>1004-2017-00983 Изготовление и поставка комплектов механических деталей для изд. МТД (с излучателем)</v>
      </c>
      <c r="C998" s="233" t="str">
        <f>РПЗ!$AA998</f>
        <v>АО "НИИ "Полюс" им. М.Ф. Стельмаха" тел. отдела закупок 8-495-333-05-02</v>
      </c>
      <c r="D998" s="870" t="str">
        <f>РПЗ!$AB998</f>
        <v>Заказчик</v>
      </c>
      <c r="E998" s="510" t="s">
        <v>62</v>
      </c>
      <c r="F998" s="233" t="str">
        <f>РПЗ!Q998</f>
        <v>ЕП</v>
      </c>
      <c r="G998" s="237" t="str">
        <f>Таблица5[[#This Row],[6]]</f>
        <v>ЕП</v>
      </c>
      <c r="H998" s="237" t="str">
        <f>РПЗ!R998</f>
        <v>нет</v>
      </c>
      <c r="I998" s="15" t="str">
        <f>РПЗ!W998</f>
        <v>6.6.2(11)</v>
      </c>
      <c r="J998" s="233" t="str">
        <f>РПЗ!X998</f>
        <v>190437885</v>
      </c>
      <c r="K998" s="283">
        <f>РПЗ!Z998</f>
        <v>14110000</v>
      </c>
      <c r="L998" s="17">
        <v>42887</v>
      </c>
      <c r="M998" s="18">
        <f>РПЗ!O998</f>
        <v>42887</v>
      </c>
      <c r="N998" s="238">
        <f>Таблица5[[#This Row],[10]]</f>
        <v>42887</v>
      </c>
      <c r="O998" s="17"/>
      <c r="P998" s="17"/>
      <c r="Q998" s="17"/>
      <c r="R998" s="17"/>
      <c r="S998" s="17"/>
      <c r="T998" s="686">
        <v>42893</v>
      </c>
      <c r="U998" s="18">
        <f>РПЗ!P998</f>
        <v>43009</v>
      </c>
      <c r="V998" s="686">
        <v>43009</v>
      </c>
      <c r="W998" s="236">
        <f>РПЗ!L998</f>
        <v>14110000</v>
      </c>
      <c r="X998" s="689">
        <v>1</v>
      </c>
      <c r="Y998" s="689">
        <v>0</v>
      </c>
      <c r="Z998" s="691">
        <v>190437885</v>
      </c>
      <c r="AA998" s="691" t="s">
        <v>2335</v>
      </c>
      <c r="AB998" s="111">
        <v>14110000</v>
      </c>
      <c r="AC998" s="17">
        <v>43009</v>
      </c>
      <c r="AD998" s="690"/>
      <c r="AE998" s="686"/>
      <c r="AF998" s="474" t="s">
        <v>5937</v>
      </c>
      <c r="AG998" s="692">
        <v>14110000</v>
      </c>
      <c r="AH998" s="236">
        <f>IF(Таблица5[[#This Row],[30]]=0,"НД",Таблица5[[#This Row],[20]]-Таблица5[[#This Row],[30]])</f>
        <v>0</v>
      </c>
      <c r="AI998" s="511">
        <f>IF(((1-Таблица5[[#This Row],[30]]/Таблица5[[#This Row],[20]])=1),"НД",(1-Таблица5[[#This Row],[30]]/Таблица5[[#This Row],[20]]))</f>
        <v>0</v>
      </c>
      <c r="AJ998" s="111"/>
      <c r="AK998" s="111"/>
      <c r="AL998" s="512"/>
      <c r="AM998" s="513" t="s">
        <v>113</v>
      </c>
      <c r="AN998" s="801">
        <v>31705190515</v>
      </c>
      <c r="AO998" s="468" t="str">
        <f>РПЗ!AD998</f>
        <v>Нет</v>
      </c>
      <c r="AP998" s="472">
        <f>РПЗ!V998</f>
        <v>0</v>
      </c>
      <c r="AQ998" s="470">
        <f>IF(Таблица5[[#This Row],[11]]=0,,MONTH(Таблица5[[#This Row],[11]]))</f>
        <v>6</v>
      </c>
    </row>
    <row r="999" spans="1:43" ht="38.25" x14ac:dyDescent="0.25">
      <c r="A999" s="233" t="str">
        <f t="shared" si="15"/>
        <v>1004-2017-00984</v>
      </c>
      <c r="B999" s="233" t="str">
        <f>РПЗ!$D999</f>
        <v xml:space="preserve">1004-2017-00984 Изготовление и поставка комплектов механических деталей для изд. МТД </v>
      </c>
      <c r="C999" s="233" t="str">
        <f>РПЗ!$AA999</f>
        <v>АО "НИИ "Полюс" им. М.Ф. Стельмаха" тел. отдела закупок 8-495-333-05-02</v>
      </c>
      <c r="D999" s="870" t="str">
        <f>РПЗ!$AB999</f>
        <v>Заказчик</v>
      </c>
      <c r="E999" s="96" t="s">
        <v>46</v>
      </c>
      <c r="F999" s="233" t="str">
        <f>РПЗ!Q999</f>
        <v>ЕП</v>
      </c>
      <c r="G999" s="237"/>
      <c r="H999" s="237" t="str">
        <f>РПЗ!R999</f>
        <v>нет</v>
      </c>
      <c r="I999" s="15">
        <f>РПЗ!W999</f>
        <v>0</v>
      </c>
      <c r="J999" s="233">
        <f>РПЗ!X999</f>
        <v>0</v>
      </c>
      <c r="K999" s="283">
        <f>РПЗ!Z999</f>
        <v>0</v>
      </c>
      <c r="L999" s="17"/>
      <c r="M999" s="18">
        <f>РПЗ!O999</f>
        <v>42887</v>
      </c>
      <c r="N999" s="238">
        <f>Таблица5[[#This Row],[10]]</f>
        <v>42887</v>
      </c>
      <c r="O999" s="17"/>
      <c r="P999" s="17"/>
      <c r="Q999" s="17"/>
      <c r="R999" s="17"/>
      <c r="S999" s="17"/>
      <c r="T999" s="686"/>
      <c r="U999" s="18">
        <f>РПЗ!P999</f>
        <v>43009</v>
      </c>
      <c r="V999" s="686"/>
      <c r="W999" s="236">
        <f>РПЗ!L999</f>
        <v>4500000</v>
      </c>
      <c r="X999" s="689"/>
      <c r="Y999" s="689"/>
      <c r="Z999" s="690"/>
      <c r="AA999" s="691"/>
      <c r="AB999" s="111"/>
      <c r="AC999" s="17"/>
      <c r="AD999" s="690"/>
      <c r="AE999" s="686"/>
      <c r="AF999" s="474"/>
      <c r="AG999" s="692"/>
      <c r="AH999" s="236" t="str">
        <f>IF(Таблица5[[#This Row],[30]]=0,"НД",Таблица5[[#This Row],[20]]-Таблица5[[#This Row],[30]])</f>
        <v>НД</v>
      </c>
      <c r="AI999" s="511" t="str">
        <f>IF(((1-Таблица5[[#This Row],[30]]/Таблица5[[#This Row],[20]])=1),"НД",(1-Таблица5[[#This Row],[30]]/Таблица5[[#This Row],[20]]))</f>
        <v>НД</v>
      </c>
      <c r="AJ999" s="111"/>
      <c r="AK999" s="111"/>
      <c r="AL999" s="512"/>
      <c r="AM999" s="513"/>
      <c r="AN999" s="465"/>
      <c r="AO999" s="468" t="str">
        <f>РПЗ!AD999</f>
        <v>Нет</v>
      </c>
      <c r="AP999" s="472">
        <f>РПЗ!V999</f>
        <v>0</v>
      </c>
      <c r="AQ999" s="470">
        <f>IF(Таблица5[[#This Row],[11]]=0,,MONTH(Таблица5[[#This Row],[11]]))</f>
        <v>6</v>
      </c>
    </row>
    <row r="1000" spans="1:43" ht="39" thickBot="1" x14ac:dyDescent="0.3">
      <c r="A1000" s="233" t="str">
        <f t="shared" si="15"/>
        <v>1004-2017-00985</v>
      </c>
      <c r="B1000" s="233" t="str">
        <f>РПЗ!$D1000</f>
        <v>1004-2017-00985 Поставка Катушка ЖГДК.671128.034СБ</v>
      </c>
      <c r="C1000" s="233" t="str">
        <f>РПЗ!$AA1000</f>
        <v>АО "НИИ "Полюс" им. М.Ф. Стельмаха" тел. отдела закупок 8-495-333-05-02</v>
      </c>
      <c r="D1000" s="870" t="str">
        <f>РПЗ!$AB1000</f>
        <v>Заказчик</v>
      </c>
      <c r="E1000" s="510" t="s">
        <v>62</v>
      </c>
      <c r="F1000" s="233" t="str">
        <f>РПЗ!Q1000</f>
        <v>ЕП</v>
      </c>
      <c r="G1000" s="237" t="str">
        <f>Таблица5[[#This Row],[6]]</f>
        <v>ЕП</v>
      </c>
      <c r="H1000" s="237" t="str">
        <f>РПЗ!R1000</f>
        <v>нет</v>
      </c>
      <c r="I1000" s="15" t="str">
        <f>РПЗ!W1000</f>
        <v>6.6.2(11)</v>
      </c>
      <c r="J1000" s="233" t="str">
        <f>РПЗ!X1000</f>
        <v>6829000109</v>
      </c>
      <c r="K1000" s="283">
        <f>РПЗ!Z1000</f>
        <v>450760</v>
      </c>
      <c r="L1000" s="17">
        <v>42891</v>
      </c>
      <c r="M1000" s="18">
        <f>РПЗ!O1000</f>
        <v>42887</v>
      </c>
      <c r="N1000" s="238">
        <f>Таблица5[[#This Row],[10]]</f>
        <v>42887</v>
      </c>
      <c r="O1000" s="17"/>
      <c r="P1000" s="17"/>
      <c r="Q1000" s="17"/>
      <c r="R1000" s="17"/>
      <c r="S1000" s="17"/>
      <c r="T1000" s="686">
        <v>42916</v>
      </c>
      <c r="U1000" s="18">
        <f>РПЗ!P1000</f>
        <v>43070</v>
      </c>
      <c r="V1000" s="686">
        <v>43070</v>
      </c>
      <c r="W1000" s="236">
        <f>РПЗ!L1000</f>
        <v>450760</v>
      </c>
      <c r="X1000" s="689">
        <v>1</v>
      </c>
      <c r="Y1000" s="689">
        <v>0</v>
      </c>
      <c r="Z1000" s="691">
        <v>6829000109</v>
      </c>
      <c r="AA1000" s="691" t="s">
        <v>2384</v>
      </c>
      <c r="AB1000" s="111">
        <v>450760</v>
      </c>
      <c r="AC1000" s="17">
        <v>43070</v>
      </c>
      <c r="AD1000" s="690" t="s">
        <v>6083</v>
      </c>
      <c r="AE1000" s="686">
        <v>42916</v>
      </c>
      <c r="AF1000" s="474"/>
      <c r="AG1000" s="692">
        <v>450760</v>
      </c>
      <c r="AH1000" s="236">
        <f>IF(Таблица5[[#This Row],[30]]=0,"НД",Таблица5[[#This Row],[20]]-Таблица5[[#This Row],[30]])</f>
        <v>0</v>
      </c>
      <c r="AI1000" s="511">
        <f>IF(((1-Таблица5[[#This Row],[30]]/Таблица5[[#This Row],[20]])=1),"НД",(1-Таблица5[[#This Row],[30]]/Таблица5[[#This Row],[20]]))</f>
        <v>0</v>
      </c>
      <c r="AJ1000" s="111"/>
      <c r="AK1000" s="111"/>
      <c r="AL1000" s="512"/>
      <c r="AM1000" s="513"/>
      <c r="AN1000" s="801">
        <v>31705194282</v>
      </c>
      <c r="AO1000" s="468" t="str">
        <f>РПЗ!AD1000</f>
        <v>Нет</v>
      </c>
      <c r="AP1000" s="472" t="str">
        <f>РПЗ!V1000</f>
        <v>ГОЗ</v>
      </c>
      <c r="AQ1000" s="470">
        <f>IF(Таблица5[[#This Row],[11]]=0,,MONTH(Таблица5[[#This Row],[11]]))</f>
        <v>6</v>
      </c>
    </row>
    <row r="1001" spans="1:43" ht="38.25" x14ac:dyDescent="0.25">
      <c r="A1001" s="233" t="str">
        <f t="shared" si="15"/>
        <v>1004-2017-00986</v>
      </c>
      <c r="B1001" s="233" t="str">
        <f>РПЗ!$D1001</f>
        <v>1004-2017-00986 Поставка Печатные платы для изд. МТ-401</v>
      </c>
      <c r="C1001" s="233" t="str">
        <f>РПЗ!$AA1001</f>
        <v>АО "НИИ "Полюс" им. М.Ф. Стельмаха" тел. отдела закупок 8-495-333-05-02</v>
      </c>
      <c r="D1001" s="870" t="str">
        <f>РПЗ!$AB1001</f>
        <v>Заказчик</v>
      </c>
      <c r="E1001" s="96" t="s">
        <v>46</v>
      </c>
      <c r="F1001" s="233" t="str">
        <f>РПЗ!Q1001</f>
        <v>ЕП</v>
      </c>
      <c r="G1001" s="237"/>
      <c r="H1001" s="237" t="str">
        <f>РПЗ!R1001</f>
        <v>нет</v>
      </c>
      <c r="I1001" s="15">
        <f>РПЗ!W1001</f>
        <v>0</v>
      </c>
      <c r="J1001" s="233">
        <f>РПЗ!X1001</f>
        <v>0</v>
      </c>
      <c r="K1001" s="283">
        <f>РПЗ!Z1001</f>
        <v>0</v>
      </c>
      <c r="L1001" s="17"/>
      <c r="M1001" s="18">
        <f>РПЗ!O1001</f>
        <v>42887</v>
      </c>
      <c r="N1001" s="238">
        <f>Таблица5[[#This Row],[10]]</f>
        <v>42887</v>
      </c>
      <c r="O1001" s="17"/>
      <c r="P1001" s="17"/>
      <c r="Q1001" s="17"/>
      <c r="R1001" s="17"/>
      <c r="S1001" s="17"/>
      <c r="T1001" s="686"/>
      <c r="U1001" s="18">
        <f>РПЗ!P1001</f>
        <v>43070</v>
      </c>
      <c r="V1001" s="686"/>
      <c r="W1001" s="236">
        <f>РПЗ!L1001</f>
        <v>496929.28000000003</v>
      </c>
      <c r="X1001" s="689"/>
      <c r="Y1001" s="689"/>
      <c r="Z1001" s="690"/>
      <c r="AA1001" s="691"/>
      <c r="AB1001" s="111"/>
      <c r="AC1001" s="17"/>
      <c r="AD1001" s="690"/>
      <c r="AE1001" s="686"/>
      <c r="AF1001" s="474"/>
      <c r="AG1001" s="692"/>
      <c r="AH1001" s="236" t="str">
        <f>IF(Таблица5[[#This Row],[30]]=0,"НД",Таблица5[[#This Row],[20]]-Таблица5[[#This Row],[30]])</f>
        <v>НД</v>
      </c>
      <c r="AI1001" s="511" t="str">
        <f>IF(((1-Таблица5[[#This Row],[30]]/Таблица5[[#This Row],[20]])=1),"НД",(1-Таблица5[[#This Row],[30]]/Таблица5[[#This Row],[20]]))</f>
        <v>НД</v>
      </c>
      <c r="AJ1001" s="111"/>
      <c r="AK1001" s="111"/>
      <c r="AL1001" s="512"/>
      <c r="AM1001" s="513"/>
      <c r="AN1001" s="465"/>
      <c r="AO1001" s="468" t="str">
        <f>РПЗ!AD1001</f>
        <v>Нет</v>
      </c>
      <c r="AP1001" s="472">
        <f>РПЗ!V1001</f>
        <v>0</v>
      </c>
      <c r="AQ1001" s="470">
        <f>IF(Таблица5[[#This Row],[11]]=0,,MONTH(Таблица5[[#This Row],[11]]))</f>
        <v>6</v>
      </c>
    </row>
    <row r="1002" spans="1:43" ht="38.25" x14ac:dyDescent="0.25">
      <c r="A1002" s="233" t="str">
        <f t="shared" si="15"/>
        <v>1004-2017-00987</v>
      </c>
      <c r="B1002" s="233" t="str">
        <f>РПЗ!$D1002</f>
        <v>1004-2017-00987 Поставка Комплектующие материалы</v>
      </c>
      <c r="C1002" s="233" t="str">
        <f>РПЗ!$AA1002</f>
        <v>АО "НИИ "Полюс" им. М.Ф. Стельмаха" тел. отдела закупок 8-495-333-05-02</v>
      </c>
      <c r="D1002" s="870" t="str">
        <f>РПЗ!$AB1002</f>
        <v>Заказчик</v>
      </c>
      <c r="E1002" s="510" t="s">
        <v>62</v>
      </c>
      <c r="F1002" s="233" t="str">
        <f>РПЗ!Q1002</f>
        <v>ОЗК</v>
      </c>
      <c r="G1002" s="237" t="s">
        <v>108</v>
      </c>
      <c r="H1002" s="237" t="str">
        <f>РПЗ!R1002</f>
        <v>да</v>
      </c>
      <c r="I1002" s="15">
        <f>РПЗ!W1002</f>
        <v>0</v>
      </c>
      <c r="J1002" s="233">
        <f>РПЗ!X1002</f>
        <v>0</v>
      </c>
      <c r="K1002" s="283">
        <f>РПЗ!Z1002</f>
        <v>0</v>
      </c>
      <c r="L1002" s="17">
        <v>42885</v>
      </c>
      <c r="M1002" s="18">
        <f>РПЗ!O1002</f>
        <v>42856</v>
      </c>
      <c r="N1002" s="238">
        <f>Таблица5[[#This Row],[10]]</f>
        <v>42856</v>
      </c>
      <c r="O1002" s="17">
        <v>42892</v>
      </c>
      <c r="P1002" s="17">
        <v>42894</v>
      </c>
      <c r="Q1002" s="17">
        <v>42894</v>
      </c>
      <c r="R1002" s="17">
        <v>42892</v>
      </c>
      <c r="S1002" s="17">
        <v>42892</v>
      </c>
      <c r="T1002" s="686">
        <v>42909</v>
      </c>
      <c r="U1002" s="18">
        <f>РПЗ!P1002</f>
        <v>43070</v>
      </c>
      <c r="V1002" s="686">
        <v>43070</v>
      </c>
      <c r="W1002" s="236">
        <f>РПЗ!L1002</f>
        <v>68644.06</v>
      </c>
      <c r="X1002" s="689">
        <v>1</v>
      </c>
      <c r="Y1002" s="689">
        <v>0</v>
      </c>
      <c r="Z1002" s="691">
        <v>7705579703</v>
      </c>
      <c r="AA1002" s="691" t="s">
        <v>3287</v>
      </c>
      <c r="AB1002" s="111">
        <v>58989.37</v>
      </c>
      <c r="AC1002" s="17">
        <v>43070</v>
      </c>
      <c r="AD1002" s="690" t="s">
        <v>6127</v>
      </c>
      <c r="AE1002" s="686">
        <v>42909</v>
      </c>
      <c r="AF1002" s="474"/>
      <c r="AG1002" s="692">
        <v>58989.37</v>
      </c>
      <c r="AH1002" s="236">
        <f>IF(Таблица5[[#This Row],[30]]=0,"НД",Таблица5[[#This Row],[20]]-Таблица5[[#This Row],[30]])</f>
        <v>9654.6899999999951</v>
      </c>
      <c r="AI1002" s="511">
        <f>IF(((1-Таблица5[[#This Row],[30]]/Таблица5[[#This Row],[20]])=1),"НД",(1-Таблица5[[#This Row],[30]]/Таблица5[[#This Row],[20]]))</f>
        <v>0.14064858634527144</v>
      </c>
      <c r="AJ1002" s="111">
        <v>58989.37</v>
      </c>
      <c r="AK1002" s="111"/>
      <c r="AL1002" s="512"/>
      <c r="AM1002" s="513" t="s">
        <v>113</v>
      </c>
      <c r="AN1002" s="801">
        <v>31705165080</v>
      </c>
      <c r="AO1002" s="468" t="str">
        <f>РПЗ!AD1002</f>
        <v>Нет</v>
      </c>
      <c r="AP1002" s="472">
        <f>РПЗ!V1002</f>
        <v>0</v>
      </c>
      <c r="AQ1002" s="470">
        <f>IF(Таблица5[[#This Row],[11]]=0,,MONTH(Таблица5[[#This Row],[11]]))</f>
        <v>5</v>
      </c>
    </row>
    <row r="1003" spans="1:43" ht="38.25" x14ac:dyDescent="0.25">
      <c r="A1003" s="233" t="str">
        <f t="shared" si="15"/>
        <v>1004-2017-00988</v>
      </c>
      <c r="B1003" s="233" t="str">
        <f>РПЗ!$D1003</f>
        <v xml:space="preserve">1004-2017-00988 Поставка фотодиод  ЖГДК.432231.052-01, излучатель ЖГДК.433751.092-01 </v>
      </c>
      <c r="C1003" s="233" t="str">
        <f>РПЗ!$AA1003</f>
        <v>АО "НИИ "Полюс" им. М.Ф. Стельмаха" тел. отдела закупок 8-495-333-05-02</v>
      </c>
      <c r="D1003" s="870" t="str">
        <f>РПЗ!$AB1003</f>
        <v>Заказчик</v>
      </c>
      <c r="E1003" s="510" t="s">
        <v>62</v>
      </c>
      <c r="F1003" s="233" t="str">
        <f>РПЗ!Q1003</f>
        <v>ЕП</v>
      </c>
      <c r="G1003" s="237" t="str">
        <f>Таблица5[[#This Row],[6]]</f>
        <v>ЕП</v>
      </c>
      <c r="H1003" s="237" t="str">
        <f>РПЗ!R1003</f>
        <v>нет</v>
      </c>
      <c r="I1003" s="15" t="str">
        <f>РПЗ!W1003</f>
        <v>6.6.2(11)</v>
      </c>
      <c r="J1003" s="233" t="str">
        <f>РПЗ!X1003</f>
        <v>7729186525</v>
      </c>
      <c r="K1003" s="283">
        <f>РПЗ!Z1003</f>
        <v>326420</v>
      </c>
      <c r="L1003" s="17">
        <v>42895</v>
      </c>
      <c r="M1003" s="18">
        <f>РПЗ!O1003</f>
        <v>42887</v>
      </c>
      <c r="N1003" s="238">
        <f>Таблица5[[#This Row],[10]]</f>
        <v>42887</v>
      </c>
      <c r="O1003" s="17"/>
      <c r="P1003" s="17"/>
      <c r="Q1003" s="17"/>
      <c r="R1003" s="17"/>
      <c r="S1003" s="17"/>
      <c r="T1003" s="686">
        <v>42907</v>
      </c>
      <c r="U1003" s="18">
        <f>РПЗ!P1003</f>
        <v>43070</v>
      </c>
      <c r="V1003" s="686">
        <v>42948</v>
      </c>
      <c r="W1003" s="236">
        <f>РПЗ!L1003</f>
        <v>326420</v>
      </c>
      <c r="X1003" s="689">
        <v>1</v>
      </c>
      <c r="Y1003" s="689">
        <v>0</v>
      </c>
      <c r="Z1003" s="691">
        <v>7729186525</v>
      </c>
      <c r="AA1003" s="691" t="s">
        <v>5942</v>
      </c>
      <c r="AB1003" s="111">
        <v>326420</v>
      </c>
      <c r="AC1003" s="17">
        <v>42948</v>
      </c>
      <c r="AD1003" s="690" t="s">
        <v>5943</v>
      </c>
      <c r="AE1003" s="686">
        <v>42907</v>
      </c>
      <c r="AF1003" s="474"/>
      <c r="AG1003" s="692">
        <v>326420</v>
      </c>
      <c r="AH1003" s="236">
        <f>IF(Таблица5[[#This Row],[30]]=0,"НД",Таблица5[[#This Row],[20]]-Таблица5[[#This Row],[30]])</f>
        <v>0</v>
      </c>
      <c r="AI1003" s="511">
        <f>IF(((1-Таблица5[[#This Row],[30]]/Таблица5[[#This Row],[20]])=1),"НД",(1-Таблица5[[#This Row],[30]]/Таблица5[[#This Row],[20]]))</f>
        <v>0</v>
      </c>
      <c r="AJ1003" s="111">
        <v>326420</v>
      </c>
      <c r="AK1003" s="111"/>
      <c r="AL1003" s="512"/>
      <c r="AM1003" s="513" t="s">
        <v>113</v>
      </c>
      <c r="AN1003" s="465">
        <v>31705218662</v>
      </c>
      <c r="AO1003" s="468" t="str">
        <f>РПЗ!AD1003</f>
        <v>Нет</v>
      </c>
      <c r="AP1003" s="472" t="str">
        <f>РПЗ!V1003</f>
        <v>ГОЗ</v>
      </c>
      <c r="AQ1003" s="470">
        <f>IF(Таблица5[[#This Row],[11]]=0,,MONTH(Таблица5[[#This Row],[11]]))</f>
        <v>6</v>
      </c>
    </row>
    <row r="1004" spans="1:43" ht="39" thickBot="1" x14ac:dyDescent="0.3">
      <c r="A1004" s="233" t="str">
        <f t="shared" si="15"/>
        <v>1004-2017-00989</v>
      </c>
      <c r="B1004" s="233" t="str">
        <f>РПЗ!$D1004</f>
        <v>1004-2017-00989 Поставка Конденсаторы К53-68</v>
      </c>
      <c r="C1004" s="233" t="str">
        <f>РПЗ!$AA1004</f>
        <v>АО "НИИ "Полюс" им. М.Ф. Стельмаха" тел. отдела закупок 8-495-333-05-02</v>
      </c>
      <c r="D1004" s="870" t="str">
        <f>РПЗ!$AB1004</f>
        <v>Заказчик</v>
      </c>
      <c r="E1004" s="510" t="s">
        <v>62</v>
      </c>
      <c r="F1004" s="233" t="str">
        <f>РПЗ!Q1004</f>
        <v>ЕП</v>
      </c>
      <c r="G1004" s="237" t="str">
        <f>Таблица5[[#This Row],[6]]</f>
        <v>ЕП</v>
      </c>
      <c r="H1004" s="237" t="str">
        <f>РПЗ!R1004</f>
        <v>нет</v>
      </c>
      <c r="I1004" s="15" t="str">
        <f>РПЗ!W1004</f>
        <v>6.6.2(11)</v>
      </c>
      <c r="J1004" s="233" t="str">
        <f>РПЗ!X1004</f>
        <v>1827003592</v>
      </c>
      <c r="K1004" s="283">
        <f>РПЗ!Z1004</f>
        <v>160875.89000000001</v>
      </c>
      <c r="L1004" s="17">
        <v>42893</v>
      </c>
      <c r="M1004" s="18">
        <f>РПЗ!O1004</f>
        <v>42887</v>
      </c>
      <c r="N1004" s="238">
        <f>Таблица5[[#This Row],[10]]</f>
        <v>42887</v>
      </c>
      <c r="O1004" s="17"/>
      <c r="P1004" s="17"/>
      <c r="Q1004" s="17"/>
      <c r="R1004" s="17"/>
      <c r="S1004" s="17"/>
      <c r="T1004" s="686">
        <v>42933</v>
      </c>
      <c r="U1004" s="18">
        <f>РПЗ!P1004</f>
        <v>43070</v>
      </c>
      <c r="V1004" s="686">
        <v>43070</v>
      </c>
      <c r="W1004" s="236">
        <f>РПЗ!L1004</f>
        <v>160875.89000000001</v>
      </c>
      <c r="X1004" s="689">
        <v>1</v>
      </c>
      <c r="Y1004" s="689">
        <v>0</v>
      </c>
      <c r="Z1004" s="691">
        <v>1827003592</v>
      </c>
      <c r="AA1004" s="691" t="s">
        <v>3078</v>
      </c>
      <c r="AB1004" s="111">
        <v>160875.89000000001</v>
      </c>
      <c r="AC1004" s="17">
        <v>43070</v>
      </c>
      <c r="AD1004" s="690" t="s">
        <v>6445</v>
      </c>
      <c r="AE1004" s="686">
        <v>42933</v>
      </c>
      <c r="AF1004" s="474"/>
      <c r="AG1004" s="692">
        <v>160875.89000000001</v>
      </c>
      <c r="AH1004" s="236">
        <f>IF(Таблица5[[#This Row],[30]]=0,"НД",Таблица5[[#This Row],[20]]-Таблица5[[#This Row],[30]])</f>
        <v>0</v>
      </c>
      <c r="AI1004" s="511">
        <f>IF(((1-Таблица5[[#This Row],[30]]/Таблица5[[#This Row],[20]])=1),"НД",(1-Таблица5[[#This Row],[30]]/Таблица5[[#This Row],[20]]))</f>
        <v>0</v>
      </c>
      <c r="AJ1004" s="111"/>
      <c r="AK1004" s="111"/>
      <c r="AL1004" s="512"/>
      <c r="AM1004" s="513" t="s">
        <v>113</v>
      </c>
      <c r="AN1004" s="801">
        <v>31705203035</v>
      </c>
      <c r="AO1004" s="468" t="str">
        <f>РПЗ!AD1004</f>
        <v>Нет</v>
      </c>
      <c r="AP1004" s="472" t="str">
        <f>РПЗ!V1004</f>
        <v>ГОЗ</v>
      </c>
      <c r="AQ1004" s="470">
        <f>IF(Таблица5[[#This Row],[11]]=0,,MONTH(Таблица5[[#This Row],[11]]))</f>
        <v>6</v>
      </c>
    </row>
    <row r="1005" spans="1:43" ht="39" thickBot="1" x14ac:dyDescent="0.3">
      <c r="A1005" s="233" t="str">
        <f t="shared" si="15"/>
        <v>1004-2017-00990</v>
      </c>
      <c r="B1005" s="233" t="str">
        <f>РПЗ!$D1005</f>
        <v>1004-2017-00990 Поставка Транзисторы 2П308В-1/ДА АЕЯР.432140.526 ТУ</v>
      </c>
      <c r="C1005" s="233" t="str">
        <f>РПЗ!$AA1005</f>
        <v>АО "НИИ "Полюс" им. М.Ф. Стельмаха" тел. отдела закупок 8-495-333-05-02</v>
      </c>
      <c r="D1005" s="870" t="str">
        <f>РПЗ!$AB1005</f>
        <v>Заказчик</v>
      </c>
      <c r="E1005" s="96" t="s">
        <v>46</v>
      </c>
      <c r="F1005" s="233" t="str">
        <f>РПЗ!Q1005</f>
        <v>ЕП</v>
      </c>
      <c r="G1005" s="237"/>
      <c r="H1005" s="237" t="str">
        <f>РПЗ!R1005</f>
        <v>нет</v>
      </c>
      <c r="I1005" s="15">
        <f>РПЗ!W1005</f>
        <v>0</v>
      </c>
      <c r="J1005" s="233">
        <f>РПЗ!X1005</f>
        <v>0</v>
      </c>
      <c r="K1005" s="283">
        <f>РПЗ!Z1005</f>
        <v>0</v>
      </c>
      <c r="L1005" s="17"/>
      <c r="M1005" s="18">
        <f>РПЗ!O1005</f>
        <v>42887</v>
      </c>
      <c r="N1005" s="238">
        <f>Таблица5[[#This Row],[10]]</f>
        <v>42887</v>
      </c>
      <c r="O1005" s="17"/>
      <c r="P1005" s="17"/>
      <c r="Q1005" s="17"/>
      <c r="R1005" s="17"/>
      <c r="S1005" s="17"/>
      <c r="T1005" s="686"/>
      <c r="U1005" s="18">
        <f>РПЗ!P1005</f>
        <v>43070</v>
      </c>
      <c r="V1005" s="686"/>
      <c r="W1005" s="236">
        <f>РПЗ!L1005</f>
        <v>124359.6</v>
      </c>
      <c r="X1005" s="689"/>
      <c r="Y1005" s="689"/>
      <c r="Z1005" s="690"/>
      <c r="AA1005" s="691"/>
      <c r="AB1005" s="111"/>
      <c r="AC1005" s="17"/>
      <c r="AD1005" s="690"/>
      <c r="AE1005" s="686"/>
      <c r="AF1005" s="474"/>
      <c r="AG1005" s="692"/>
      <c r="AH1005" s="236" t="str">
        <f>IF(Таблица5[[#This Row],[30]]=0,"НД",Таблица5[[#This Row],[20]]-Таблица5[[#This Row],[30]])</f>
        <v>НД</v>
      </c>
      <c r="AI1005" s="511" t="str">
        <f>IF(((1-Таблица5[[#This Row],[30]]/Таблица5[[#This Row],[20]])=1),"НД",(1-Таблица5[[#This Row],[30]]/Таблица5[[#This Row],[20]]))</f>
        <v>НД</v>
      </c>
      <c r="AJ1005" s="111"/>
      <c r="AK1005" s="111"/>
      <c r="AL1005" s="512"/>
      <c r="AM1005" s="513"/>
      <c r="AN1005" s="465"/>
      <c r="AO1005" s="468" t="str">
        <f>РПЗ!AD1005</f>
        <v>Нет</v>
      </c>
      <c r="AP1005" s="472">
        <f>РПЗ!V1005</f>
        <v>0</v>
      </c>
      <c r="AQ1005" s="470">
        <f>IF(Таблица5[[#This Row],[11]]=0,,MONTH(Таблица5[[#This Row],[11]]))</f>
        <v>6</v>
      </c>
    </row>
    <row r="1006" spans="1:43" ht="39" thickBot="1" x14ac:dyDescent="0.3">
      <c r="A1006" s="233" t="str">
        <f t="shared" si="15"/>
        <v>1004-2017-00991</v>
      </c>
      <c r="B1006" s="233" t="str">
        <f>РПЗ!$D1006</f>
        <v xml:space="preserve">1004-2017-00991 Поставка Микросхема Б1407 УД3 </v>
      </c>
      <c r="C1006" s="233" t="str">
        <f>РПЗ!$AA1006</f>
        <v>АО "НИИ "Полюс" им. М.Ф. Стельмаха" тел. отдела закупок 8-495-333-05-02</v>
      </c>
      <c r="D1006" s="870" t="str">
        <f>РПЗ!$AB1006</f>
        <v>Заказчик</v>
      </c>
      <c r="E1006" s="96" t="s">
        <v>46</v>
      </c>
      <c r="F1006" s="233" t="str">
        <f>РПЗ!Q1006</f>
        <v>ЕП</v>
      </c>
      <c r="G1006" s="237"/>
      <c r="H1006" s="237" t="str">
        <f>РПЗ!R1006</f>
        <v>нет</v>
      </c>
      <c r="I1006" s="15">
        <f>РПЗ!W1006</f>
        <v>0</v>
      </c>
      <c r="J1006" s="233">
        <f>РПЗ!X1006</f>
        <v>0</v>
      </c>
      <c r="K1006" s="283">
        <f>РПЗ!Z1006</f>
        <v>0</v>
      </c>
      <c r="L1006" s="17"/>
      <c r="M1006" s="18">
        <f>РПЗ!O1006</f>
        <v>42887</v>
      </c>
      <c r="N1006" s="238">
        <f>Таблица5[[#This Row],[10]]</f>
        <v>42887</v>
      </c>
      <c r="O1006" s="17"/>
      <c r="P1006" s="17"/>
      <c r="Q1006" s="17"/>
      <c r="R1006" s="17"/>
      <c r="S1006" s="17"/>
      <c r="T1006" s="686"/>
      <c r="U1006" s="18">
        <f>РПЗ!P1006</f>
        <v>43070</v>
      </c>
      <c r="V1006" s="686"/>
      <c r="W1006" s="236">
        <f>РПЗ!L1006</f>
        <v>352867.2</v>
      </c>
      <c r="X1006" s="689"/>
      <c r="Y1006" s="689"/>
      <c r="Z1006" s="690"/>
      <c r="AA1006" s="691"/>
      <c r="AB1006" s="111"/>
      <c r="AC1006" s="17"/>
      <c r="AD1006" s="690"/>
      <c r="AE1006" s="686"/>
      <c r="AF1006" s="474"/>
      <c r="AG1006" s="692"/>
      <c r="AH1006" s="236" t="str">
        <f>IF(Таблица5[[#This Row],[30]]=0,"НД",Таблица5[[#This Row],[20]]-Таблица5[[#This Row],[30]])</f>
        <v>НД</v>
      </c>
      <c r="AI1006" s="511" t="str">
        <f>IF(((1-Таблица5[[#This Row],[30]]/Таблица5[[#This Row],[20]])=1),"НД",(1-Таблица5[[#This Row],[30]]/Таблица5[[#This Row],[20]]))</f>
        <v>НД</v>
      </c>
      <c r="AJ1006" s="111"/>
      <c r="AK1006" s="111"/>
      <c r="AL1006" s="512"/>
      <c r="AM1006" s="513"/>
      <c r="AN1006" s="465"/>
      <c r="AO1006" s="468" t="str">
        <f>РПЗ!AD1006</f>
        <v>Нет</v>
      </c>
      <c r="AP1006" s="472">
        <f>РПЗ!V1006</f>
        <v>0</v>
      </c>
      <c r="AQ1006" s="470">
        <f>IF(Таблица5[[#This Row],[11]]=0,,MONTH(Таблица5[[#This Row],[11]]))</f>
        <v>6</v>
      </c>
    </row>
    <row r="1007" spans="1:43" ht="39" thickBot="1" x14ac:dyDescent="0.3">
      <c r="A1007" s="233" t="str">
        <f t="shared" si="15"/>
        <v>1004-2017-00992</v>
      </c>
      <c r="B1007" s="233" t="str">
        <f>РПЗ!$D1007</f>
        <v>1004-2017-00992 Поставка Структура эпитаксиальная германиевая ЭГС-39-1а</v>
      </c>
      <c r="C1007" s="233" t="str">
        <f>РПЗ!$AA1007</f>
        <v>АО "НИИ "Полюс" им. М.Ф. Стельмаха" тел. отдела закупок 8-495-333-05-02</v>
      </c>
      <c r="D1007" s="870" t="str">
        <f>РПЗ!$AB1007</f>
        <v>Заказчик</v>
      </c>
      <c r="E1007" s="96" t="s">
        <v>46</v>
      </c>
      <c r="F1007" s="233" t="str">
        <f>РПЗ!Q1007</f>
        <v>ЕП</v>
      </c>
      <c r="G1007" s="237"/>
      <c r="H1007" s="237" t="str">
        <f>РПЗ!R1007</f>
        <v>нет</v>
      </c>
      <c r="I1007" s="15">
        <f>РПЗ!W1007</f>
        <v>0</v>
      </c>
      <c r="J1007" s="233">
        <f>РПЗ!X1007</f>
        <v>0</v>
      </c>
      <c r="K1007" s="283">
        <f>РПЗ!Z1007</f>
        <v>0</v>
      </c>
      <c r="L1007" s="17"/>
      <c r="M1007" s="18">
        <f>РПЗ!O1007</f>
        <v>42887</v>
      </c>
      <c r="N1007" s="238">
        <f>Таблица5[[#This Row],[10]]</f>
        <v>42887</v>
      </c>
      <c r="O1007" s="17"/>
      <c r="P1007" s="17"/>
      <c r="Q1007" s="17"/>
      <c r="R1007" s="17"/>
      <c r="S1007" s="17"/>
      <c r="T1007" s="686"/>
      <c r="U1007" s="18">
        <f>РПЗ!P1007</f>
        <v>43070</v>
      </c>
      <c r="V1007" s="686"/>
      <c r="W1007" s="236">
        <f>РПЗ!L1007</f>
        <v>2490767</v>
      </c>
      <c r="X1007" s="689"/>
      <c r="Y1007" s="689"/>
      <c r="Z1007" s="690"/>
      <c r="AA1007" s="691"/>
      <c r="AB1007" s="111"/>
      <c r="AC1007" s="17"/>
      <c r="AD1007" s="690"/>
      <c r="AE1007" s="686"/>
      <c r="AF1007" s="474"/>
      <c r="AG1007" s="692"/>
      <c r="AH1007" s="236" t="str">
        <f>IF(Таблица5[[#This Row],[30]]=0,"НД",Таблица5[[#This Row],[20]]-Таблица5[[#This Row],[30]])</f>
        <v>НД</v>
      </c>
      <c r="AI1007" s="511" t="str">
        <f>IF(((1-Таблица5[[#This Row],[30]]/Таблица5[[#This Row],[20]])=1),"НД",(1-Таблица5[[#This Row],[30]]/Таблица5[[#This Row],[20]]))</f>
        <v>НД</v>
      </c>
      <c r="AJ1007" s="111"/>
      <c r="AK1007" s="111"/>
      <c r="AL1007" s="512"/>
      <c r="AM1007" s="513"/>
      <c r="AN1007" s="465"/>
      <c r="AO1007" s="468" t="str">
        <f>РПЗ!AD1007</f>
        <v>Нет</v>
      </c>
      <c r="AP1007" s="472">
        <f>РПЗ!V1007</f>
        <v>0</v>
      </c>
      <c r="AQ1007" s="470">
        <f>IF(Таблица5[[#This Row],[11]]=0,,MONTH(Таблица5[[#This Row],[11]]))</f>
        <v>6</v>
      </c>
    </row>
    <row r="1008" spans="1:43" ht="51.75" thickBot="1" x14ac:dyDescent="0.3">
      <c r="A1008" s="233" t="str">
        <f t="shared" si="15"/>
        <v>1004-2017-00993</v>
      </c>
      <c r="B1008" s="233" t="str">
        <f>РПЗ!$D1008</f>
        <v xml:space="preserve">1004-2017-00993 Поставка Элеткронные компоненты (конденсаторы, терморезисторы, микросхемы) </v>
      </c>
      <c r="C1008" s="233" t="str">
        <f>РПЗ!$AA1008</f>
        <v>АО "НИИ "Полюс" им. М.Ф. Стельмаха" тел. отдела закупок 8-495-333-05-02</v>
      </c>
      <c r="D1008" s="870" t="str">
        <f>РПЗ!$AB1008</f>
        <v>Заказчик</v>
      </c>
      <c r="E1008" s="96" t="s">
        <v>46</v>
      </c>
      <c r="F1008" s="233" t="str">
        <f>РПЗ!Q1008</f>
        <v>ОЗК</v>
      </c>
      <c r="G1008" s="237"/>
      <c r="H1008" s="237" t="str">
        <f>РПЗ!R1008</f>
        <v>да</v>
      </c>
      <c r="I1008" s="15">
        <f>РПЗ!W1008</f>
        <v>0</v>
      </c>
      <c r="J1008" s="233">
        <f>РПЗ!X1008</f>
        <v>0</v>
      </c>
      <c r="K1008" s="283">
        <f>РПЗ!Z1008</f>
        <v>0</v>
      </c>
      <c r="L1008" s="17"/>
      <c r="M1008" s="18">
        <f>РПЗ!O1008</f>
        <v>42887</v>
      </c>
      <c r="N1008" s="238">
        <f>Таблица5[[#This Row],[10]]</f>
        <v>42887</v>
      </c>
      <c r="O1008" s="17"/>
      <c r="P1008" s="17"/>
      <c r="Q1008" s="17"/>
      <c r="R1008" s="17"/>
      <c r="S1008" s="17"/>
      <c r="T1008" s="686"/>
      <c r="U1008" s="18">
        <f>РПЗ!P1008</f>
        <v>43070</v>
      </c>
      <c r="V1008" s="686"/>
      <c r="W1008" s="236">
        <f>РПЗ!L1008</f>
        <v>503073.65</v>
      </c>
      <c r="X1008" s="689"/>
      <c r="Y1008" s="689"/>
      <c r="Z1008" s="690"/>
      <c r="AA1008" s="691"/>
      <c r="AB1008" s="111"/>
      <c r="AC1008" s="17"/>
      <c r="AD1008" s="690"/>
      <c r="AE1008" s="686"/>
      <c r="AF1008" s="474"/>
      <c r="AG1008" s="692"/>
      <c r="AH1008" s="236" t="str">
        <f>IF(Таблица5[[#This Row],[30]]=0,"НД",Таблица5[[#This Row],[20]]-Таблица5[[#This Row],[30]])</f>
        <v>НД</v>
      </c>
      <c r="AI1008" s="511" t="str">
        <f>IF(((1-Таблица5[[#This Row],[30]]/Таблица5[[#This Row],[20]])=1),"НД",(1-Таблица5[[#This Row],[30]]/Таблица5[[#This Row],[20]]))</f>
        <v>НД</v>
      </c>
      <c r="AJ1008" s="111"/>
      <c r="AK1008" s="111"/>
      <c r="AL1008" s="512"/>
      <c r="AM1008" s="513"/>
      <c r="AN1008" s="465"/>
      <c r="AO1008" s="468" t="str">
        <f>РПЗ!AD1008</f>
        <v>Нет</v>
      </c>
      <c r="AP1008" s="472">
        <f>РПЗ!V1008</f>
        <v>0</v>
      </c>
      <c r="AQ1008" s="470">
        <f>IF(Таблица5[[#This Row],[11]]=0,,MONTH(Таблица5[[#This Row],[11]]))</f>
        <v>6</v>
      </c>
    </row>
    <row r="1009" spans="1:43" ht="39" thickBot="1" x14ac:dyDescent="0.3">
      <c r="A1009" s="233" t="str">
        <f t="shared" si="15"/>
        <v>1004-2017-00994</v>
      </c>
      <c r="B1009" s="233" t="str">
        <f>РПЗ!$D1009</f>
        <v>1004-2017-00994 Поставка Изделия электроустановочные</v>
      </c>
      <c r="C1009" s="233" t="str">
        <f>РПЗ!$AA1009</f>
        <v>АО "НИИ "Полюс" им. М.Ф. Стельмаха" тел. отдела закупок 8-495-333-05-02</v>
      </c>
      <c r="D1009" s="870" t="str">
        <f>РПЗ!$AB1009</f>
        <v>Заказчик</v>
      </c>
      <c r="E1009" s="96" t="s">
        <v>46</v>
      </c>
      <c r="F1009" s="233" t="str">
        <f>РПЗ!Q1009</f>
        <v>ОЗК</v>
      </c>
      <c r="G1009" s="237"/>
      <c r="H1009" s="237" t="str">
        <f>РПЗ!R1009</f>
        <v>да</v>
      </c>
      <c r="I1009" s="15">
        <f>РПЗ!W1009</f>
        <v>0</v>
      </c>
      <c r="J1009" s="233">
        <f>РПЗ!X1009</f>
        <v>0</v>
      </c>
      <c r="K1009" s="283">
        <f>РПЗ!Z1009</f>
        <v>0</v>
      </c>
      <c r="L1009" s="17"/>
      <c r="M1009" s="18">
        <f>РПЗ!O1009</f>
        <v>42887</v>
      </c>
      <c r="N1009" s="238">
        <f>Таблица5[[#This Row],[10]]</f>
        <v>42887</v>
      </c>
      <c r="O1009" s="17"/>
      <c r="P1009" s="17"/>
      <c r="Q1009" s="17"/>
      <c r="R1009" s="17"/>
      <c r="S1009" s="17"/>
      <c r="T1009" s="686"/>
      <c r="U1009" s="18">
        <f>РПЗ!P1009</f>
        <v>43070</v>
      </c>
      <c r="V1009" s="686"/>
      <c r="W1009" s="236">
        <f>РПЗ!L1009</f>
        <v>147780.22</v>
      </c>
      <c r="X1009" s="689"/>
      <c r="Y1009" s="689"/>
      <c r="Z1009" s="690"/>
      <c r="AA1009" s="691"/>
      <c r="AB1009" s="111"/>
      <c r="AC1009" s="17"/>
      <c r="AD1009" s="690"/>
      <c r="AE1009" s="686"/>
      <c r="AF1009" s="474"/>
      <c r="AG1009" s="692"/>
      <c r="AH1009" s="236" t="str">
        <f>IF(Таблица5[[#This Row],[30]]=0,"НД",Таблица5[[#This Row],[20]]-Таблица5[[#This Row],[30]])</f>
        <v>НД</v>
      </c>
      <c r="AI1009" s="511" t="str">
        <f>IF(((1-Таблица5[[#This Row],[30]]/Таблица5[[#This Row],[20]])=1),"НД",(1-Таблица5[[#This Row],[30]]/Таблица5[[#This Row],[20]]))</f>
        <v>НД</v>
      </c>
      <c r="AJ1009" s="111"/>
      <c r="AK1009" s="111"/>
      <c r="AL1009" s="512"/>
      <c r="AM1009" s="513"/>
      <c r="AN1009" s="465"/>
      <c r="AO1009" s="468" t="str">
        <f>РПЗ!AD1009</f>
        <v>Нет</v>
      </c>
      <c r="AP1009" s="472">
        <f>РПЗ!V1009</f>
        <v>0</v>
      </c>
      <c r="AQ1009" s="470">
        <f>IF(Таблица5[[#This Row],[11]]=0,,MONTH(Таблица5[[#This Row],[11]]))</f>
        <v>6</v>
      </c>
    </row>
    <row r="1010" spans="1:43" ht="41.25" customHeight="1" thickBot="1" x14ac:dyDescent="0.3">
      <c r="A1010" s="233" t="str">
        <f t="shared" si="15"/>
        <v>1004-2017-00995</v>
      </c>
      <c r="B1010" s="233" t="str">
        <f>РПЗ!$D1010</f>
        <v>1004-2017-00995 Поставка Структура эпитаксиальная германиевая ЭГС-39-1а</v>
      </c>
      <c r="C1010" s="233" t="str">
        <f>РПЗ!$AA1010</f>
        <v>АО "НИИ "Полюс" им. М.Ф. Стельмаха" тел. отдела закупок 8-495-333-05-02</v>
      </c>
      <c r="D1010" s="870" t="str">
        <f>РПЗ!$AB1010</f>
        <v>Заказчик</v>
      </c>
      <c r="E1010" s="96" t="s">
        <v>46</v>
      </c>
      <c r="F1010" s="233" t="str">
        <f>РПЗ!Q1010</f>
        <v>ЕП</v>
      </c>
      <c r="G1010" s="237"/>
      <c r="H1010" s="237" t="str">
        <f>РПЗ!R1010</f>
        <v>нет</v>
      </c>
      <c r="I1010" s="15">
        <f>РПЗ!W1010</f>
        <v>0</v>
      </c>
      <c r="J1010" s="233">
        <f>РПЗ!X1010</f>
        <v>0</v>
      </c>
      <c r="K1010" s="283">
        <f>РПЗ!Z1010</f>
        <v>0</v>
      </c>
      <c r="L1010" s="17"/>
      <c r="M1010" s="18">
        <f>РПЗ!O1010</f>
        <v>42887</v>
      </c>
      <c r="N1010" s="238">
        <f>Таблица5[[#This Row],[10]]</f>
        <v>42887</v>
      </c>
      <c r="O1010" s="17"/>
      <c r="P1010" s="17"/>
      <c r="Q1010" s="17"/>
      <c r="R1010" s="17"/>
      <c r="S1010" s="17"/>
      <c r="T1010" s="686"/>
      <c r="U1010" s="18">
        <f>РПЗ!P1010</f>
        <v>43070</v>
      </c>
      <c r="V1010" s="686"/>
      <c r="W1010" s="236">
        <f>РПЗ!L1010</f>
        <v>885000</v>
      </c>
      <c r="X1010" s="689"/>
      <c r="Y1010" s="689"/>
      <c r="Z1010" s="690"/>
      <c r="AA1010" s="691"/>
      <c r="AB1010" s="111"/>
      <c r="AC1010" s="17"/>
      <c r="AD1010" s="690"/>
      <c r="AE1010" s="686"/>
      <c r="AF1010" s="474"/>
      <c r="AG1010" s="692"/>
      <c r="AH1010" s="236" t="str">
        <f>IF(Таблица5[[#This Row],[30]]=0,"НД",Таблица5[[#This Row],[20]]-Таблица5[[#This Row],[30]])</f>
        <v>НД</v>
      </c>
      <c r="AI1010" s="511" t="str">
        <f>IF(((1-Таблица5[[#This Row],[30]]/Таблица5[[#This Row],[20]])=1),"НД",(1-Таблица5[[#This Row],[30]]/Таблица5[[#This Row],[20]]))</f>
        <v>НД</v>
      </c>
      <c r="AJ1010" s="111"/>
      <c r="AK1010" s="111"/>
      <c r="AL1010" s="512"/>
      <c r="AM1010" s="513"/>
      <c r="AN1010" s="465"/>
      <c r="AO1010" s="468" t="str">
        <f>РПЗ!AD1010</f>
        <v>Нет</v>
      </c>
      <c r="AP1010" s="472">
        <f>РПЗ!V1010</f>
        <v>0</v>
      </c>
      <c r="AQ1010" s="470">
        <f>IF(Таблица5[[#This Row],[11]]=0,,MONTH(Таблица5[[#This Row],[11]]))</f>
        <v>6</v>
      </c>
    </row>
    <row r="1011" spans="1:43" ht="38.25" x14ac:dyDescent="0.25">
      <c r="A1011" s="233" t="str">
        <f t="shared" si="15"/>
        <v>1004-2017-00996</v>
      </c>
      <c r="B1011" s="233" t="str">
        <f>РПЗ!$D1011</f>
        <v>1004-2017- 00996  Поставка  Ситалл СО-115М</v>
      </c>
      <c r="C1011" s="233" t="str">
        <f>РПЗ!$AA1011</f>
        <v>АО "НИИ "Полюс" им. М.Ф. Стельмаха" тел. отдела закупок 8-495-333-05-02</v>
      </c>
      <c r="D1011" s="633" t="str">
        <f>РПЗ!$AB1011</f>
        <v>Заказчик</v>
      </c>
      <c r="E1011" s="96" t="s">
        <v>46</v>
      </c>
      <c r="F1011" s="233" t="str">
        <f>РПЗ!Q1011</f>
        <v>ОЗК</v>
      </c>
      <c r="G1011" s="237"/>
      <c r="H1011" s="237" t="str">
        <f>РПЗ!R1011</f>
        <v>Да</v>
      </c>
      <c r="I1011" s="15">
        <f>РПЗ!W1011</f>
        <v>0</v>
      </c>
      <c r="J1011" s="233">
        <f>РПЗ!X1011</f>
        <v>0</v>
      </c>
      <c r="K1011" s="283">
        <f>РПЗ!Z1011</f>
        <v>0</v>
      </c>
      <c r="L1011" s="17"/>
      <c r="M1011" s="18">
        <f>РПЗ!O1011</f>
        <v>42887</v>
      </c>
      <c r="N1011" s="238">
        <f>Таблица5[[#This Row],[10]]</f>
        <v>42887</v>
      </c>
      <c r="O1011" s="17"/>
      <c r="P1011" s="17"/>
      <c r="Q1011" s="17"/>
      <c r="R1011" s="17"/>
      <c r="S1011" s="17"/>
      <c r="T1011" s="686"/>
      <c r="U1011" s="18">
        <f>РПЗ!P1011</f>
        <v>43070</v>
      </c>
      <c r="V1011" s="686"/>
      <c r="W1011" s="236">
        <f>РПЗ!L1011</f>
        <v>491054.64</v>
      </c>
      <c r="X1011" s="689"/>
      <c r="Y1011" s="689"/>
      <c r="Z1011" s="690"/>
      <c r="AA1011" s="691"/>
      <c r="AB1011" s="111"/>
      <c r="AC1011" s="17"/>
      <c r="AD1011" s="690"/>
      <c r="AE1011" s="686"/>
      <c r="AF1011" s="474"/>
      <c r="AG1011" s="692"/>
      <c r="AH1011" s="236" t="str">
        <f>IF(Таблица5[[#This Row],[30]]=0,"НД",Таблица5[[#This Row],[20]]-Таблица5[[#This Row],[30]])</f>
        <v>НД</v>
      </c>
      <c r="AI1011" s="511" t="str">
        <f>IF(((1-Таблица5[[#This Row],[30]]/Таблица5[[#This Row],[20]])=1),"НД",(1-Таблица5[[#This Row],[30]]/Таблица5[[#This Row],[20]]))</f>
        <v>НД</v>
      </c>
      <c r="AJ1011" s="111"/>
      <c r="AK1011" s="111"/>
      <c r="AL1011" s="512"/>
      <c r="AM1011" s="513"/>
      <c r="AN1011" s="465"/>
      <c r="AO1011" s="468" t="str">
        <f>РПЗ!AD1011</f>
        <v>Нет</v>
      </c>
      <c r="AP1011" s="472">
        <f>РПЗ!V1011</f>
        <v>0</v>
      </c>
      <c r="AQ1011" s="470">
        <f>IF(Таблица5[[#This Row],[11]]=0,,MONTH(Таблица5[[#This Row],[11]]))</f>
        <v>6</v>
      </c>
    </row>
    <row r="1012" spans="1:43" ht="77.25" thickBot="1" x14ac:dyDescent="0.3">
      <c r="A1012" s="233" t="str">
        <f t="shared" ref="A1012:A1075" si="16">INDEX(Диапазон1,ROW(), COLUMN())</f>
        <v>1004-2017-00997</v>
      </c>
      <c r="B1012" s="233" t="str">
        <f>РПЗ!$D1012</f>
        <v>1004-2017-00997Предоставление права на использование программного продукта «1С:Документооборот 8 КОРП» на условиях простой (неисключительной) лицензии</v>
      </c>
      <c r="C1012" s="233" t="str">
        <f>РПЗ!$AA1012</f>
        <v>АО "НИИ "Полюс" им. М.Ф. Стельмаха" тел. отдела закупок 8-495-333-05-02</v>
      </c>
      <c r="D1012" s="633" t="str">
        <f>РПЗ!$AB1012</f>
        <v>Заказчик</v>
      </c>
      <c r="E1012" s="510" t="s">
        <v>62</v>
      </c>
      <c r="F1012" s="233" t="str">
        <f>РПЗ!Q1012</f>
        <v>ОЗК</v>
      </c>
      <c r="G1012" s="237" t="str">
        <f>Таблица5[[#This Row],[6]]</f>
        <v>ОЗК</v>
      </c>
      <c r="H1012" s="237" t="str">
        <f>РПЗ!R1012</f>
        <v>Да</v>
      </c>
      <c r="I1012" s="15">
        <f>РПЗ!W1012</f>
        <v>0</v>
      </c>
      <c r="J1012" s="233">
        <f>РПЗ!X1012</f>
        <v>0</v>
      </c>
      <c r="K1012" s="283">
        <f>РПЗ!Z1012</f>
        <v>0</v>
      </c>
      <c r="L1012" s="17">
        <v>42990</v>
      </c>
      <c r="M1012" s="18">
        <f>РПЗ!O1012</f>
        <v>42979</v>
      </c>
      <c r="N1012" s="238">
        <f>Таблица5[[#This Row],[10]]</f>
        <v>42979</v>
      </c>
      <c r="O1012" s="17">
        <v>42997</v>
      </c>
      <c r="P1012" s="17">
        <v>43000</v>
      </c>
      <c r="Q1012" s="17">
        <v>43000</v>
      </c>
      <c r="R1012" s="17">
        <v>43000</v>
      </c>
      <c r="S1012" s="17">
        <v>43000</v>
      </c>
      <c r="T1012" s="686">
        <v>43010</v>
      </c>
      <c r="U1012" s="18">
        <f>РПЗ!P1012</f>
        <v>43040</v>
      </c>
      <c r="V1012" s="686">
        <v>43020</v>
      </c>
      <c r="W1012" s="236">
        <f>РПЗ!L1012</f>
        <v>187000</v>
      </c>
      <c r="X1012" s="689">
        <v>6</v>
      </c>
      <c r="Y1012" s="689">
        <v>0</v>
      </c>
      <c r="Z1012" s="691">
        <v>6672185480</v>
      </c>
      <c r="AA1012" s="691" t="s">
        <v>6885</v>
      </c>
      <c r="AB1012" s="111">
        <v>187000</v>
      </c>
      <c r="AC1012" s="17">
        <v>43020</v>
      </c>
      <c r="AD1012" s="690" t="s">
        <v>6886</v>
      </c>
      <c r="AE1012" s="686">
        <v>43010</v>
      </c>
      <c r="AF1012" s="474"/>
      <c r="AG1012" s="692">
        <v>187000</v>
      </c>
      <c r="AH1012" s="236">
        <f>IF(Таблица5[[#This Row],[30]]=0,"НД",Таблица5[[#This Row],[20]]-Таблица5[[#This Row],[30]])</f>
        <v>0</v>
      </c>
      <c r="AI1012" s="511">
        <f>IF(((1-Таблица5[[#This Row],[30]]/Таблица5[[#This Row],[20]])=1),"НД",(1-Таблица5[[#This Row],[30]]/Таблица5[[#This Row],[20]]))</f>
        <v>0</v>
      </c>
      <c r="AJ1012" s="111">
        <v>187000</v>
      </c>
      <c r="AK1012" s="111"/>
      <c r="AL1012" s="512"/>
      <c r="AM1012" s="513" t="s">
        <v>113</v>
      </c>
      <c r="AN1012" s="801">
        <v>31705511595</v>
      </c>
      <c r="AO1012" s="468" t="str">
        <f>РПЗ!AD1012</f>
        <v>Нет</v>
      </c>
      <c r="AP1012" s="472">
        <f>РПЗ!V1012</f>
        <v>0</v>
      </c>
      <c r="AQ1012" s="470">
        <f>IF(Таблица5[[#This Row],[11]]=0,,MONTH(Таблица5[[#This Row],[11]]))</f>
        <v>9</v>
      </c>
    </row>
    <row r="1013" spans="1:43" ht="38.25" x14ac:dyDescent="0.25">
      <c r="A1013" s="233" t="str">
        <f t="shared" si="16"/>
        <v>1004-2017-00998</v>
      </c>
      <c r="B1013" s="233" t="str">
        <f>РПЗ!$D1013</f>
        <v xml:space="preserve">1004-2017-00998 Поставка   Насос 2НВР-90Д </v>
      </c>
      <c r="C1013" s="233" t="str">
        <f>РПЗ!$AA1013</f>
        <v>АО "НИИ "Полюс" им. М.Ф. Стельмаха" тел. отдела закупок 8-495-333-05-02</v>
      </c>
      <c r="D1013" s="633" t="str">
        <f>РПЗ!$AB1013</f>
        <v>Заказчик</v>
      </c>
      <c r="E1013" s="96" t="s">
        <v>46</v>
      </c>
      <c r="F1013" s="233" t="str">
        <f>РПЗ!Q1013</f>
        <v>ЕП</v>
      </c>
      <c r="G1013" s="237"/>
      <c r="H1013" s="237" t="str">
        <f>РПЗ!R1013</f>
        <v>Нет</v>
      </c>
      <c r="I1013" s="15">
        <f>РПЗ!W1013</f>
        <v>0</v>
      </c>
      <c r="J1013" s="233">
        <f>РПЗ!X1013</f>
        <v>0</v>
      </c>
      <c r="K1013" s="283">
        <f>РПЗ!Z1013</f>
        <v>0</v>
      </c>
      <c r="L1013" s="17"/>
      <c r="M1013" s="18">
        <f>РПЗ!O1013</f>
        <v>42856</v>
      </c>
      <c r="N1013" s="238">
        <f>Таблица5[[#This Row],[10]]</f>
        <v>42856</v>
      </c>
      <c r="O1013" s="17"/>
      <c r="P1013" s="17"/>
      <c r="Q1013" s="17"/>
      <c r="R1013" s="17"/>
      <c r="S1013" s="17"/>
      <c r="T1013" s="686"/>
      <c r="U1013" s="18">
        <f>РПЗ!P1013</f>
        <v>42922</v>
      </c>
      <c r="V1013" s="686"/>
      <c r="W1013" s="236">
        <f>РПЗ!L1013</f>
        <v>151200</v>
      </c>
      <c r="X1013" s="689"/>
      <c r="Y1013" s="689"/>
      <c r="Z1013" s="690"/>
      <c r="AA1013" s="691"/>
      <c r="AB1013" s="111"/>
      <c r="AC1013" s="17"/>
      <c r="AD1013" s="690"/>
      <c r="AE1013" s="686"/>
      <c r="AF1013" s="474"/>
      <c r="AG1013" s="692"/>
      <c r="AH1013" s="236" t="str">
        <f>IF(Таблица5[[#This Row],[30]]=0,"НД",Таблица5[[#This Row],[20]]-Таблица5[[#This Row],[30]])</f>
        <v>НД</v>
      </c>
      <c r="AI1013" s="511" t="str">
        <f>IF(((1-Таблица5[[#This Row],[30]]/Таблица5[[#This Row],[20]])=1),"НД",(1-Таблица5[[#This Row],[30]]/Таблица5[[#This Row],[20]]))</f>
        <v>НД</v>
      </c>
      <c r="AJ1013" s="111"/>
      <c r="AK1013" s="111"/>
      <c r="AL1013" s="512"/>
      <c r="AM1013" s="513"/>
      <c r="AN1013" s="465"/>
      <c r="AO1013" s="468" t="str">
        <f>РПЗ!AD1013</f>
        <v>Нет</v>
      </c>
      <c r="AP1013" s="472">
        <f>РПЗ!V1013</f>
        <v>0</v>
      </c>
      <c r="AQ1013" s="470">
        <f>IF(Таблица5[[#This Row],[11]]=0,,MONTH(Таблица5[[#This Row],[11]]))</f>
        <v>5</v>
      </c>
    </row>
    <row r="1014" spans="1:43" ht="38.25" x14ac:dyDescent="0.25">
      <c r="A1014" s="233" t="str">
        <f t="shared" si="16"/>
        <v>1004-2017-00999</v>
      </c>
      <c r="B1014" s="233" t="str">
        <f>РПЗ!$D1014</f>
        <v xml:space="preserve">1004-2017-00999  Поставка  комплект электротехнических изделий </v>
      </c>
      <c r="C1014" s="233" t="str">
        <f>РПЗ!$AA1014</f>
        <v>АО "НИИ "Полюс" им. М.Ф. Стельмаха" тел. отдела закупок 8-495-333-05-02</v>
      </c>
      <c r="D1014" s="633" t="str">
        <f>РПЗ!$AB1014</f>
        <v>Заказчик</v>
      </c>
      <c r="E1014" s="510" t="s">
        <v>62</v>
      </c>
      <c r="F1014" s="233" t="str">
        <f>РПЗ!Q1014</f>
        <v>ОЗК</v>
      </c>
      <c r="G1014" s="237" t="str">
        <f>Таблица5[[#This Row],[6]]</f>
        <v>ОЗК</v>
      </c>
      <c r="H1014" s="237" t="str">
        <f>РПЗ!R1014</f>
        <v>Да</v>
      </c>
      <c r="I1014" s="15">
        <f>РПЗ!W1014</f>
        <v>0</v>
      </c>
      <c r="J1014" s="233">
        <f>РПЗ!X1014</f>
        <v>0</v>
      </c>
      <c r="K1014" s="283">
        <f>РПЗ!Z1014</f>
        <v>0</v>
      </c>
      <c r="L1014" s="17">
        <v>42901</v>
      </c>
      <c r="M1014" s="18">
        <f>РПЗ!O1014</f>
        <v>42887</v>
      </c>
      <c r="N1014" s="238">
        <f>Таблица5[[#This Row],[10]]</f>
        <v>42887</v>
      </c>
      <c r="O1014" s="17">
        <v>42913</v>
      </c>
      <c r="P1014" s="17">
        <v>42916</v>
      </c>
      <c r="Q1014" s="17">
        <v>42916</v>
      </c>
      <c r="R1014" s="17">
        <v>42916</v>
      </c>
      <c r="S1014" s="17">
        <v>42916</v>
      </c>
      <c r="T1014" s="686">
        <v>42934</v>
      </c>
      <c r="U1014" s="18">
        <f>РПЗ!P1014</f>
        <v>42917</v>
      </c>
      <c r="V1014" s="686">
        <v>42948</v>
      </c>
      <c r="W1014" s="236">
        <f>РПЗ!L1014</f>
        <v>303076.42</v>
      </c>
      <c r="X1014" s="689">
        <v>8</v>
      </c>
      <c r="Y1014" s="689">
        <v>0</v>
      </c>
      <c r="Z1014" s="691">
        <v>7703704772</v>
      </c>
      <c r="AA1014" s="691" t="s">
        <v>6475</v>
      </c>
      <c r="AB1014" s="111">
        <v>226642.01</v>
      </c>
      <c r="AC1014" s="17">
        <v>42948</v>
      </c>
      <c r="AD1014" s="690" t="s">
        <v>6476</v>
      </c>
      <c r="AE1014" s="686">
        <v>42934</v>
      </c>
      <c r="AF1014" s="474"/>
      <c r="AG1014" s="692">
        <v>226642.01</v>
      </c>
      <c r="AH1014" s="236">
        <f>IF(Таблица5[[#This Row],[30]]=0,"НД",Таблица5[[#This Row],[20]]-Таблица5[[#This Row],[30]])</f>
        <v>76434.409999999974</v>
      </c>
      <c r="AI1014" s="511">
        <f>IF(((1-Таблица5[[#This Row],[30]]/Таблица5[[#This Row],[20]])=1),"НД",(1-Таблица5[[#This Row],[30]]/Таблица5[[#This Row],[20]]))</f>
        <v>0.25219517242548917</v>
      </c>
      <c r="AJ1014" s="111"/>
      <c r="AK1014" s="111"/>
      <c r="AL1014" s="512"/>
      <c r="AM1014" s="513" t="s">
        <v>113</v>
      </c>
      <c r="AN1014" s="801">
        <v>31705221823</v>
      </c>
      <c r="AO1014" s="468" t="str">
        <f>РПЗ!AD1014</f>
        <v>Нет</v>
      </c>
      <c r="AP1014" s="472">
        <f>РПЗ!V1014</f>
        <v>0</v>
      </c>
      <c r="AQ1014" s="470">
        <f>IF(Таблица5[[#This Row],[11]]=0,,MONTH(Таблица5[[#This Row],[11]]))</f>
        <v>6</v>
      </c>
    </row>
    <row r="1015" spans="1:43" ht="38.25" x14ac:dyDescent="0.25">
      <c r="A1015" s="233" t="str">
        <f t="shared" si="16"/>
        <v>1004-2017-01000</v>
      </c>
      <c r="B1015" s="233" t="str">
        <f>РПЗ!$D1015</f>
        <v>1004-2017-01000  Поставка  Комплект частотных преобразователей Веспер 1 к-т</v>
      </c>
      <c r="C1015" s="233" t="str">
        <f>РПЗ!$AA1015</f>
        <v>АО "НИИ "Полюс" им. М.Ф. Стельмаха" тел. отдела закупок 8-495-333-05-02</v>
      </c>
      <c r="D1015" s="633" t="str">
        <f>РПЗ!$AB1015</f>
        <v>Заказчик</v>
      </c>
      <c r="E1015" s="510" t="s">
        <v>62</v>
      </c>
      <c r="F1015" s="233" t="str">
        <f>РПЗ!Q1015</f>
        <v>ОЗК</v>
      </c>
      <c r="G1015" s="237" t="str">
        <f>Таблица5[[#This Row],[6]]</f>
        <v>ОЗК</v>
      </c>
      <c r="H1015" s="237" t="str">
        <f>РПЗ!R1015</f>
        <v>Да</v>
      </c>
      <c r="I1015" s="15">
        <f>РПЗ!W1015</f>
        <v>0</v>
      </c>
      <c r="J1015" s="233">
        <f>РПЗ!X1015</f>
        <v>0</v>
      </c>
      <c r="K1015" s="283">
        <f>РПЗ!Z1015</f>
        <v>0</v>
      </c>
      <c r="L1015" s="17">
        <v>42895</v>
      </c>
      <c r="M1015" s="18">
        <f>РПЗ!O1015</f>
        <v>42887</v>
      </c>
      <c r="N1015" s="238">
        <f>Таблица5[[#This Row],[10]]</f>
        <v>42887</v>
      </c>
      <c r="O1015" s="17">
        <v>42906</v>
      </c>
      <c r="P1015" s="17">
        <v>42909</v>
      </c>
      <c r="Q1015" s="17">
        <v>42909</v>
      </c>
      <c r="R1015" s="17">
        <v>42909</v>
      </c>
      <c r="S1015" s="17">
        <v>42909</v>
      </c>
      <c r="T1015" s="686">
        <v>42929</v>
      </c>
      <c r="U1015" s="18">
        <f>РПЗ!P1015</f>
        <v>42948</v>
      </c>
      <c r="V1015" s="686">
        <v>42948</v>
      </c>
      <c r="W1015" s="236">
        <f>РПЗ!L1015</f>
        <v>1297988</v>
      </c>
      <c r="X1015" s="689">
        <v>3</v>
      </c>
      <c r="Y1015" s="689">
        <v>1</v>
      </c>
      <c r="Z1015" s="691">
        <v>9104000273</v>
      </c>
      <c r="AA1015" s="691" t="s">
        <v>6477</v>
      </c>
      <c r="AB1015" s="111">
        <v>1120000</v>
      </c>
      <c r="AC1015" s="17">
        <v>42948</v>
      </c>
      <c r="AD1015" s="690" t="s">
        <v>6478</v>
      </c>
      <c r="AE1015" s="686">
        <v>42929</v>
      </c>
      <c r="AF1015" s="474"/>
      <c r="AG1015" s="692">
        <v>1120000</v>
      </c>
      <c r="AH1015" s="236">
        <f>IF(Таблица5[[#This Row],[30]]=0,"НД",Таблица5[[#This Row],[20]]-Таблица5[[#This Row],[30]])</f>
        <v>177988</v>
      </c>
      <c r="AI1015" s="511">
        <f>IF(((1-Таблица5[[#This Row],[30]]/Таблица5[[#This Row],[20]])=1),"НД",(1-Таблица5[[#This Row],[30]]/Таблица5[[#This Row],[20]]))</f>
        <v>0.1371260751255019</v>
      </c>
      <c r="AJ1015" s="111">
        <v>1120000</v>
      </c>
      <c r="AK1015" s="111"/>
      <c r="AL1015" s="512"/>
      <c r="AM1015" s="513" t="s">
        <v>113</v>
      </c>
      <c r="AN1015" s="801">
        <v>31705206913</v>
      </c>
      <c r="AO1015" s="468" t="str">
        <f>РПЗ!AD1015</f>
        <v>Нет</v>
      </c>
      <c r="AP1015" s="472">
        <f>РПЗ!V1015</f>
        <v>0</v>
      </c>
      <c r="AQ1015" s="470">
        <f>IF(Таблица5[[#This Row],[11]]=0,,MONTH(Таблица5[[#This Row],[11]]))</f>
        <v>6</v>
      </c>
    </row>
    <row r="1016" spans="1:43" ht="39" thickBot="1" x14ac:dyDescent="0.3">
      <c r="A1016" s="233" t="str">
        <f t="shared" si="16"/>
        <v>1004-2017-01001</v>
      </c>
      <c r="B1016" s="233" t="str">
        <f>РПЗ!$D1016</f>
        <v>1004-2017-01001 Поставка Двухканальная цифровая ремонтная паяльная станция DDST SET2  1к-т</v>
      </c>
      <c r="C1016" s="233" t="str">
        <f>РПЗ!$AA1016</f>
        <v>АО "НИИ "Полюс" им. М.Ф. Стельмаха" тел. отдела закупок 8-495-333-05-02</v>
      </c>
      <c r="D1016" s="633" t="str">
        <f>РПЗ!$AB1016</f>
        <v>Заказчик</v>
      </c>
      <c r="E1016" s="510" t="s">
        <v>62</v>
      </c>
      <c r="F1016" s="233" t="str">
        <f>РПЗ!Q1016</f>
        <v>ОЗК</v>
      </c>
      <c r="G1016" s="237" t="str">
        <f>Таблица5[[#This Row],[6]]</f>
        <v>ОЗК</v>
      </c>
      <c r="H1016" s="237" t="str">
        <f>РПЗ!R1016</f>
        <v>Да</v>
      </c>
      <c r="I1016" s="15">
        <f>РПЗ!W1016</f>
        <v>0</v>
      </c>
      <c r="J1016" s="233">
        <f>РПЗ!X1016</f>
        <v>0</v>
      </c>
      <c r="K1016" s="283">
        <f>РПЗ!Z1016</f>
        <v>0</v>
      </c>
      <c r="L1016" s="17">
        <v>42907</v>
      </c>
      <c r="M1016" s="18">
        <f>РПЗ!O1016</f>
        <v>42887</v>
      </c>
      <c r="N1016" s="238">
        <f>Таблица5[[#This Row],[10]]</f>
        <v>42887</v>
      </c>
      <c r="O1016" s="17">
        <v>42913</v>
      </c>
      <c r="P1016" s="17">
        <v>42916</v>
      </c>
      <c r="Q1016" s="17">
        <v>42916</v>
      </c>
      <c r="R1016" s="17">
        <v>42916</v>
      </c>
      <c r="S1016" s="17">
        <v>42916</v>
      </c>
      <c r="T1016" s="686">
        <v>42929</v>
      </c>
      <c r="U1016" s="18">
        <f>РПЗ!P1016</f>
        <v>42949</v>
      </c>
      <c r="V1016" s="686">
        <v>42948</v>
      </c>
      <c r="W1016" s="236">
        <f>РПЗ!L1016</f>
        <v>154507.23000000001</v>
      </c>
      <c r="X1016" s="689">
        <v>1</v>
      </c>
      <c r="Y1016" s="689">
        <v>0</v>
      </c>
      <c r="Z1016" s="691">
        <v>7731481038</v>
      </c>
      <c r="AA1016" s="691" t="s">
        <v>5975</v>
      </c>
      <c r="AB1016" s="111">
        <v>143370</v>
      </c>
      <c r="AC1016" s="17">
        <v>42948</v>
      </c>
      <c r="AD1016" s="690" t="s">
        <v>6479</v>
      </c>
      <c r="AE1016" s="686">
        <v>42929</v>
      </c>
      <c r="AF1016" s="474"/>
      <c r="AG1016" s="692">
        <v>143370</v>
      </c>
      <c r="AH1016" s="236">
        <f>IF(Таблица5[[#This Row],[30]]=0,"НД",Таблица5[[#This Row],[20]]-Таблица5[[#This Row],[30]])</f>
        <v>11137.23000000001</v>
      </c>
      <c r="AI1016" s="511">
        <f>IF(((1-Таблица5[[#This Row],[30]]/Таблица5[[#This Row],[20]])=1),"НД",(1-Таблица5[[#This Row],[30]]/Таблица5[[#This Row],[20]]))</f>
        <v>7.2082257898222646E-2</v>
      </c>
      <c r="AJ1016" s="111">
        <v>143370</v>
      </c>
      <c r="AK1016" s="111"/>
      <c r="AL1016" s="512"/>
      <c r="AM1016" s="513" t="s">
        <v>113</v>
      </c>
      <c r="AN1016" s="801">
        <v>31705241766</v>
      </c>
      <c r="AO1016" s="468" t="str">
        <f>РПЗ!AD1016</f>
        <v>Нет</v>
      </c>
      <c r="AP1016" s="472">
        <f>РПЗ!V1016</f>
        <v>0</v>
      </c>
      <c r="AQ1016" s="470">
        <f>IF(Таблица5[[#This Row],[11]]=0,,MONTH(Таблица5[[#This Row],[11]]))</f>
        <v>6</v>
      </c>
    </row>
    <row r="1017" spans="1:43" ht="90" thickBot="1" x14ac:dyDescent="0.3">
      <c r="A1017" s="233" t="str">
        <f t="shared" si="16"/>
        <v>1004-2017-01002</v>
      </c>
      <c r="B1017" s="233" t="str">
        <f>РПЗ!$D1017</f>
        <v>1004-2017-01002Поставка  Узел корректировки рН "УКК-1600-8,8" ТУ4859.012.27572664.16, Ресивер согласующий "РС-1000-500-М" ТУ4859.013.27572664.16, Ресивер расходный "РР-500-400-М" ТУ4859.014.27572664.16</v>
      </c>
      <c r="C1017" s="233" t="str">
        <f>РПЗ!$AA1017</f>
        <v>АО "НИИ "Полюс" им. М.Ф. Стельмаха" тел. отдела закупок 8-495-333-05-02</v>
      </c>
      <c r="D1017" s="633" t="str">
        <f>РПЗ!$AB1017</f>
        <v>Заказчик</v>
      </c>
      <c r="E1017" s="96" t="s">
        <v>46</v>
      </c>
      <c r="F1017" s="233" t="str">
        <f>РПЗ!Q1017</f>
        <v>ОЗК</v>
      </c>
      <c r="G1017" s="237"/>
      <c r="H1017" s="237" t="str">
        <f>РПЗ!R1017</f>
        <v>Да</v>
      </c>
      <c r="I1017" s="15">
        <f>РПЗ!W1017</f>
        <v>0</v>
      </c>
      <c r="J1017" s="233">
        <f>РПЗ!X1017</f>
        <v>0</v>
      </c>
      <c r="K1017" s="283">
        <f>РПЗ!Z1017</f>
        <v>0</v>
      </c>
      <c r="L1017" s="17"/>
      <c r="M1017" s="18">
        <f>РПЗ!O1017</f>
        <v>42887</v>
      </c>
      <c r="N1017" s="238">
        <f>Таблица5[[#This Row],[10]]</f>
        <v>42887</v>
      </c>
      <c r="O1017" s="17"/>
      <c r="P1017" s="17"/>
      <c r="Q1017" s="17"/>
      <c r="R1017" s="17"/>
      <c r="S1017" s="17"/>
      <c r="T1017" s="686"/>
      <c r="U1017" s="18">
        <f>РПЗ!P1017</f>
        <v>42948</v>
      </c>
      <c r="V1017" s="686"/>
      <c r="W1017" s="236">
        <f>РПЗ!L1017</f>
        <v>2289200</v>
      </c>
      <c r="X1017" s="689"/>
      <c r="Y1017" s="689"/>
      <c r="Z1017" s="690"/>
      <c r="AA1017" s="691"/>
      <c r="AB1017" s="111"/>
      <c r="AC1017" s="17"/>
      <c r="AD1017" s="690"/>
      <c r="AE1017" s="686"/>
      <c r="AF1017" s="474"/>
      <c r="AG1017" s="692"/>
      <c r="AH1017" s="236" t="str">
        <f>IF(Таблица5[[#This Row],[30]]=0,"НД",Таблица5[[#This Row],[20]]-Таблица5[[#This Row],[30]])</f>
        <v>НД</v>
      </c>
      <c r="AI1017" s="511" t="str">
        <f>IF(((1-Таблица5[[#This Row],[30]]/Таблица5[[#This Row],[20]])=1),"НД",(1-Таблица5[[#This Row],[30]]/Таблица5[[#This Row],[20]]))</f>
        <v>НД</v>
      </c>
      <c r="AJ1017" s="111"/>
      <c r="AK1017" s="111"/>
      <c r="AL1017" s="512"/>
      <c r="AM1017" s="513"/>
      <c r="AN1017" s="465"/>
      <c r="AO1017" s="468" t="str">
        <f>РПЗ!AD1017</f>
        <v>Нет</v>
      </c>
      <c r="AP1017" s="472">
        <f>РПЗ!V1017</f>
        <v>0</v>
      </c>
      <c r="AQ1017" s="470">
        <f>IF(Таблица5[[#This Row],[11]]=0,,MONTH(Таблица5[[#This Row],[11]]))</f>
        <v>6</v>
      </c>
    </row>
    <row r="1018" spans="1:43" ht="38.25" x14ac:dyDescent="0.25">
      <c r="A1018" s="233" t="str">
        <f t="shared" si="16"/>
        <v>1004-2017-01003</v>
      </c>
      <c r="B1018" s="233" t="str">
        <f>РПЗ!$D1018</f>
        <v>1004-2017-01003 Поставка Узел ультрафиолетовой стерилизации УФС-160-15</v>
      </c>
      <c r="C1018" s="233" t="str">
        <f>РПЗ!$AA1018</f>
        <v>АО "НИИ "Полюс" им. М.Ф. Стельмаха" тел. отдела закупок 8-495-333-05-02</v>
      </c>
      <c r="D1018" s="633" t="str">
        <f>РПЗ!$AB1018</f>
        <v>Заказчик</v>
      </c>
      <c r="E1018" s="96" t="s">
        <v>46</v>
      </c>
      <c r="F1018" s="233" t="str">
        <f>РПЗ!Q1018</f>
        <v>ОЗК</v>
      </c>
      <c r="G1018" s="237"/>
      <c r="H1018" s="237" t="str">
        <f>РПЗ!R1018</f>
        <v>Да</v>
      </c>
      <c r="I1018" s="15">
        <f>РПЗ!W1018</f>
        <v>0</v>
      </c>
      <c r="J1018" s="233">
        <f>РПЗ!X1018</f>
        <v>0</v>
      </c>
      <c r="K1018" s="283">
        <f>РПЗ!Z1018</f>
        <v>0</v>
      </c>
      <c r="L1018" s="17"/>
      <c r="M1018" s="18">
        <f>РПЗ!O1018</f>
        <v>42887</v>
      </c>
      <c r="N1018" s="238">
        <f>Таблица5[[#This Row],[10]]</f>
        <v>42887</v>
      </c>
      <c r="O1018" s="17"/>
      <c r="P1018" s="17"/>
      <c r="Q1018" s="17"/>
      <c r="R1018" s="17"/>
      <c r="S1018" s="17"/>
      <c r="T1018" s="686"/>
      <c r="U1018" s="18">
        <f>РПЗ!P1018</f>
        <v>42949</v>
      </c>
      <c r="V1018" s="686"/>
      <c r="W1018" s="236">
        <f>РПЗ!L1018</f>
        <v>240720</v>
      </c>
      <c r="X1018" s="689"/>
      <c r="Y1018" s="689"/>
      <c r="Z1018" s="690"/>
      <c r="AA1018" s="691"/>
      <c r="AB1018" s="111"/>
      <c r="AC1018" s="17"/>
      <c r="AD1018" s="690"/>
      <c r="AE1018" s="686"/>
      <c r="AF1018" s="474"/>
      <c r="AG1018" s="692"/>
      <c r="AH1018" s="236" t="str">
        <f>IF(Таблица5[[#This Row],[30]]=0,"НД",Таблица5[[#This Row],[20]]-Таблица5[[#This Row],[30]])</f>
        <v>НД</v>
      </c>
      <c r="AI1018" s="511" t="str">
        <f>IF(((1-Таблица5[[#This Row],[30]]/Таблица5[[#This Row],[20]])=1),"НД",(1-Таблица5[[#This Row],[30]]/Таблица5[[#This Row],[20]]))</f>
        <v>НД</v>
      </c>
      <c r="AJ1018" s="111"/>
      <c r="AK1018" s="111"/>
      <c r="AL1018" s="512"/>
      <c r="AM1018" s="513"/>
      <c r="AN1018" s="465"/>
      <c r="AO1018" s="468" t="str">
        <f>РПЗ!AD1018</f>
        <v>Нет</v>
      </c>
      <c r="AP1018" s="472">
        <f>РПЗ!V1018</f>
        <v>0</v>
      </c>
      <c r="AQ1018" s="470">
        <f>IF(Таблица5[[#This Row],[11]]=0,,MONTH(Таблица5[[#This Row],[11]]))</f>
        <v>6</v>
      </c>
    </row>
    <row r="1019" spans="1:43" ht="38.25" x14ac:dyDescent="0.25">
      <c r="A1019" s="233" t="str">
        <f t="shared" si="16"/>
        <v>1004-2017-01004</v>
      </c>
      <c r="B1019" s="233" t="str">
        <f>РПЗ!$D1019</f>
        <v>1004-2017-01004 Поставка Шкафы металлические</v>
      </c>
      <c r="C1019" s="233" t="str">
        <f>РПЗ!$AA1019</f>
        <v>АО "НИИ "Полюс" им. М.Ф. Стельмаха" тел. отдела закупок 8-495-333-05-02</v>
      </c>
      <c r="D1019" s="633" t="str">
        <f>РПЗ!$AB1019</f>
        <v>Заказчик</v>
      </c>
      <c r="E1019" s="510" t="s">
        <v>62</v>
      </c>
      <c r="F1019" s="233" t="str">
        <f>РПЗ!Q1019</f>
        <v>ОЗК</v>
      </c>
      <c r="G1019" s="237" t="str">
        <f>Таблица5[[#This Row],[6]]</f>
        <v>ОЗК</v>
      </c>
      <c r="H1019" s="237" t="str">
        <f>РПЗ!R1019</f>
        <v>Да</v>
      </c>
      <c r="I1019" s="15">
        <f>РПЗ!W1019</f>
        <v>0</v>
      </c>
      <c r="J1019" s="233">
        <f>РПЗ!X1019</f>
        <v>0</v>
      </c>
      <c r="K1019" s="283">
        <f>РПЗ!Z1019</f>
        <v>0</v>
      </c>
      <c r="L1019" s="17">
        <v>42913</v>
      </c>
      <c r="M1019" s="18">
        <f>РПЗ!O1019</f>
        <v>42887</v>
      </c>
      <c r="N1019" s="238">
        <f>Таблица5[[#This Row],[10]]</f>
        <v>42887</v>
      </c>
      <c r="O1019" s="17">
        <v>42920</v>
      </c>
      <c r="P1019" s="17">
        <v>42923</v>
      </c>
      <c r="Q1019" s="17">
        <v>42923</v>
      </c>
      <c r="R1019" s="17">
        <v>42921</v>
      </c>
      <c r="S1019" s="17">
        <v>42921</v>
      </c>
      <c r="T1019" s="686">
        <v>42940</v>
      </c>
      <c r="U1019" s="18">
        <f>РПЗ!P1019</f>
        <v>42950</v>
      </c>
      <c r="V1019" s="686">
        <v>42979</v>
      </c>
      <c r="W1019" s="236">
        <f>РПЗ!L1019</f>
        <v>270889.57</v>
      </c>
      <c r="X1019" s="689">
        <v>7</v>
      </c>
      <c r="Y1019" s="689">
        <v>0</v>
      </c>
      <c r="Z1019" s="691">
        <v>7751009218</v>
      </c>
      <c r="AA1019" s="691" t="s">
        <v>6480</v>
      </c>
      <c r="AB1019" s="111">
        <v>218348.97</v>
      </c>
      <c r="AC1019" s="17">
        <v>42979</v>
      </c>
      <c r="AD1019" s="690" t="s">
        <v>6481</v>
      </c>
      <c r="AE1019" s="686">
        <v>42940</v>
      </c>
      <c r="AF1019" s="474"/>
      <c r="AG1019" s="692">
        <v>218348.97</v>
      </c>
      <c r="AH1019" s="236">
        <f>IF(Таблица5[[#This Row],[30]]=0,"НД",Таблица5[[#This Row],[20]]-Таблица5[[#This Row],[30]])</f>
        <v>52540.600000000006</v>
      </c>
      <c r="AI1019" s="511">
        <f>IF(((1-Таблица5[[#This Row],[30]]/Таблица5[[#This Row],[20]])=1),"НД",(1-Таблица5[[#This Row],[30]]/Таблица5[[#This Row],[20]]))</f>
        <v>0.19395578796186208</v>
      </c>
      <c r="AJ1019" s="111"/>
      <c r="AK1019" s="111"/>
      <c r="AL1019" s="512"/>
      <c r="AM1019" s="513" t="s">
        <v>113</v>
      </c>
      <c r="AN1019" s="465">
        <v>31705262209</v>
      </c>
      <c r="AO1019" s="468" t="str">
        <f>РПЗ!AD1019</f>
        <v>Нет</v>
      </c>
      <c r="AP1019" s="472">
        <f>РПЗ!V1019</f>
        <v>0</v>
      </c>
      <c r="AQ1019" s="470">
        <f>IF(Таблица5[[#This Row],[11]]=0,,MONTH(Таблица5[[#This Row],[11]]))</f>
        <v>6</v>
      </c>
    </row>
    <row r="1020" spans="1:43" ht="38.25" x14ac:dyDescent="0.25">
      <c r="A1020" s="233" t="str">
        <f t="shared" si="16"/>
        <v>1004-2017-01005</v>
      </c>
      <c r="B1020" s="233" t="str">
        <f>РПЗ!$D1020</f>
        <v>1004-2017-01005 Поставка Комплект промышленной мебели</v>
      </c>
      <c r="C1020" s="233" t="str">
        <f>РПЗ!$AA1020</f>
        <v>АО "НИИ "Полюс" им. М.Ф. Стельмаха" тел. отдела закупок 8-495-333-05-02</v>
      </c>
      <c r="D1020" s="633" t="str">
        <f>РПЗ!$AB1020</f>
        <v>Заказчик</v>
      </c>
      <c r="E1020" s="510" t="s">
        <v>59</v>
      </c>
      <c r="F1020" s="233" t="str">
        <f>РПЗ!Q1020</f>
        <v>ОЗК</v>
      </c>
      <c r="G1020" s="237" t="str">
        <f>Таблица5[[#This Row],[6]]</f>
        <v>ОЗК</v>
      </c>
      <c r="H1020" s="237" t="str">
        <f>РПЗ!R1020</f>
        <v>Да</v>
      </c>
      <c r="I1020" s="15">
        <f>РПЗ!W1020</f>
        <v>0</v>
      </c>
      <c r="J1020" s="233">
        <f>РПЗ!X1020</f>
        <v>0</v>
      </c>
      <c r="K1020" s="283">
        <f>РПЗ!Z1020</f>
        <v>0</v>
      </c>
      <c r="L1020" s="17">
        <v>42907</v>
      </c>
      <c r="M1020" s="18">
        <f>РПЗ!O1020</f>
        <v>42887</v>
      </c>
      <c r="N1020" s="238">
        <f>Таблица5[[#This Row],[10]]</f>
        <v>42887</v>
      </c>
      <c r="O1020" s="17">
        <v>42913</v>
      </c>
      <c r="P1020" s="17">
        <v>42916</v>
      </c>
      <c r="Q1020" s="17">
        <v>42916</v>
      </c>
      <c r="R1020" s="17"/>
      <c r="S1020" s="17"/>
      <c r="T1020" s="686"/>
      <c r="U1020" s="18">
        <f>РПЗ!P1020</f>
        <v>42950</v>
      </c>
      <c r="V1020" s="686"/>
      <c r="W1020" s="236">
        <f>РПЗ!L1020</f>
        <v>498198.31</v>
      </c>
      <c r="X1020" s="689">
        <v>0</v>
      </c>
      <c r="Y1020" s="689">
        <v>0</v>
      </c>
      <c r="Z1020" s="690"/>
      <c r="AA1020" s="691"/>
      <c r="AB1020" s="111"/>
      <c r="AC1020" s="17"/>
      <c r="AD1020" s="690"/>
      <c r="AE1020" s="686"/>
      <c r="AF1020" s="474"/>
      <c r="AG1020" s="692"/>
      <c r="AH1020" s="236" t="str">
        <f>IF(Таблица5[[#This Row],[30]]=0,"НД",Таблица5[[#This Row],[20]]-Таблица5[[#This Row],[30]])</f>
        <v>НД</v>
      </c>
      <c r="AI1020" s="511" t="str">
        <f>IF(((1-Таблица5[[#This Row],[30]]/Таблица5[[#This Row],[20]])=1),"НД",(1-Таблица5[[#This Row],[30]]/Таблица5[[#This Row],[20]]))</f>
        <v>НД</v>
      </c>
      <c r="AJ1020" s="111"/>
      <c r="AK1020" s="111"/>
      <c r="AL1020" s="512"/>
      <c r="AM1020" s="513" t="s">
        <v>113</v>
      </c>
      <c r="AN1020" s="801">
        <v>31705245875</v>
      </c>
      <c r="AO1020" s="468" t="str">
        <f>РПЗ!AD1020</f>
        <v>Нет</v>
      </c>
      <c r="AP1020" s="472">
        <f>РПЗ!V1020</f>
        <v>0</v>
      </c>
      <c r="AQ1020" s="470">
        <f>IF(Таблица5[[#This Row],[11]]=0,,MONTH(Таблица5[[#This Row],[11]]))</f>
        <v>6</v>
      </c>
    </row>
    <row r="1021" spans="1:43" ht="90" thickBot="1" x14ac:dyDescent="0.3">
      <c r="A1021" s="233" t="str">
        <f t="shared" si="16"/>
        <v>1004-2017-01006</v>
      </c>
      <c r="B1021" s="233" t="str">
        <f>РПЗ!$D1021</f>
        <v>1004-2017-01006 Поставка Комплект радиоизмерительных приборов</v>
      </c>
      <c r="C1021" s="233" t="str">
        <f>РПЗ!$AA1021</f>
        <v>АО "НИИ "Полюс" им. М.Ф. Стельмаха" тел. отдела закупок 8-495-333-05-02</v>
      </c>
      <c r="D1021" s="633" t="str">
        <f>РПЗ!$AB1021</f>
        <v>Заказчик</v>
      </c>
      <c r="E1021" s="510" t="s">
        <v>62</v>
      </c>
      <c r="F1021" s="233" t="str">
        <f>РПЗ!Q1021</f>
        <v>ОЗК</v>
      </c>
      <c r="G1021" s="237" t="str">
        <f>Таблица5[[#This Row],[6]]</f>
        <v>ОЗК</v>
      </c>
      <c r="H1021" s="237" t="str">
        <f>РПЗ!R1021</f>
        <v>Да</v>
      </c>
      <c r="I1021" s="15">
        <f>РПЗ!W1021</f>
        <v>0</v>
      </c>
      <c r="J1021" s="233">
        <f>РПЗ!X1021</f>
        <v>0</v>
      </c>
      <c r="K1021" s="283">
        <f>РПЗ!Z1021</f>
        <v>0</v>
      </c>
      <c r="L1021" s="17">
        <v>42907</v>
      </c>
      <c r="M1021" s="18">
        <f>РПЗ!O1021</f>
        <v>42887</v>
      </c>
      <c r="N1021" s="238">
        <f>Таблица5[[#This Row],[10]]</f>
        <v>42887</v>
      </c>
      <c r="O1021" s="17">
        <v>42913</v>
      </c>
      <c r="P1021" s="17">
        <v>42916</v>
      </c>
      <c r="Q1021" s="17">
        <v>42916</v>
      </c>
      <c r="R1021" s="17">
        <v>42920</v>
      </c>
      <c r="S1021" s="17">
        <v>42920</v>
      </c>
      <c r="T1021" s="686">
        <v>42934</v>
      </c>
      <c r="U1021" s="18">
        <f>РПЗ!P1021</f>
        <v>42950</v>
      </c>
      <c r="V1021" s="686">
        <v>43040</v>
      </c>
      <c r="W1021" s="236">
        <f>РПЗ!L1021</f>
        <v>750938.33</v>
      </c>
      <c r="X1021" s="689">
        <v>1</v>
      </c>
      <c r="Y1021" s="689">
        <v>0</v>
      </c>
      <c r="Z1021" s="691">
        <v>7701748975</v>
      </c>
      <c r="AA1021" s="691" t="s">
        <v>6483</v>
      </c>
      <c r="AB1021" s="111">
        <v>750938.33</v>
      </c>
      <c r="AC1021" s="17">
        <v>43040</v>
      </c>
      <c r="AD1021" s="690" t="s">
        <v>6482</v>
      </c>
      <c r="AE1021" s="686">
        <v>42934</v>
      </c>
      <c r="AF1021" s="474"/>
      <c r="AG1021" s="692">
        <v>750938.33</v>
      </c>
      <c r="AH1021" s="236">
        <f>IF(Таблица5[[#This Row],[30]]=0,"НД",Таблица5[[#This Row],[20]]-Таблица5[[#This Row],[30]])</f>
        <v>0</v>
      </c>
      <c r="AI1021" s="511">
        <f>IF(((1-Таблица5[[#This Row],[30]]/Таблица5[[#This Row],[20]])=1),"НД",(1-Таблица5[[#This Row],[30]]/Таблица5[[#This Row],[20]]))</f>
        <v>0</v>
      </c>
      <c r="AJ1021" s="111">
        <v>750938.33</v>
      </c>
      <c r="AK1021" s="111"/>
      <c r="AL1021" s="512"/>
      <c r="AM1021" s="513" t="s">
        <v>113</v>
      </c>
      <c r="AN1021" s="801">
        <v>31705241765</v>
      </c>
      <c r="AO1021" s="468" t="str">
        <f>РПЗ!AD1021</f>
        <v>Нет</v>
      </c>
      <c r="AP1021" s="472">
        <f>РПЗ!V1021</f>
        <v>0</v>
      </c>
      <c r="AQ1021" s="470">
        <f>IF(Таблица5[[#This Row],[11]]=0,,MONTH(Таблица5[[#This Row],[11]]))</f>
        <v>6</v>
      </c>
    </row>
    <row r="1022" spans="1:43" ht="255" x14ac:dyDescent="0.25">
      <c r="A1022" s="233" t="str">
        <f t="shared" si="16"/>
        <v>1004-2017-01007</v>
      </c>
      <c r="B1022" s="233" t="str">
        <f>РПЗ!$D1022</f>
        <v>1004-2017-01007 Проведение историко-культурной экспертизы земельного участка, принадлежащего АО "НИИ "полюс" им. М.Ф.Стельмаха" и расположенного по адресу: г. Москва, ул. Введенского , д.3, стр.1, подлежащего воздействию земельных, строительных. Хозяйственных и иных работ в ходе реализации программы ФЦП-1. путем проведения археологической разведки в порядке установленном в ст.45.1 ФЗ от 25.06.2002г. №73-ФЗ. Получение заключения государственной историко-культурной экспертизы по документации, полученной на основе археологических полевых работ</v>
      </c>
      <c r="C1022" s="233" t="str">
        <f>РПЗ!$AA1022</f>
        <v>АО "НИИ "Полюс" им. М.Ф. Стельмаха" тел. отдела закупок 8-495-333-05-02</v>
      </c>
      <c r="D1022" s="633" t="str">
        <f>РПЗ!$AB1022</f>
        <v>Заказчик</v>
      </c>
      <c r="E1022" s="96" t="s">
        <v>46</v>
      </c>
      <c r="F1022" s="233" t="str">
        <f>РПЗ!Q1022</f>
        <v>ЕП</v>
      </c>
      <c r="G1022" s="237"/>
      <c r="H1022" s="237" t="str">
        <f>РПЗ!R1022</f>
        <v>Нет</v>
      </c>
      <c r="I1022" s="15">
        <f>РПЗ!W1022</f>
        <v>0</v>
      </c>
      <c r="J1022" s="233">
        <f>РПЗ!X1022</f>
        <v>0</v>
      </c>
      <c r="K1022" s="283">
        <f>РПЗ!Z1022</f>
        <v>0</v>
      </c>
      <c r="L1022" s="17"/>
      <c r="M1022" s="18">
        <f>РПЗ!O1022</f>
        <v>42856</v>
      </c>
      <c r="N1022" s="238">
        <f>Таблица5[[#This Row],[10]]</f>
        <v>42856</v>
      </c>
      <c r="O1022" s="17"/>
      <c r="P1022" s="17"/>
      <c r="Q1022" s="17"/>
      <c r="R1022" s="17"/>
      <c r="S1022" s="17"/>
      <c r="T1022" s="686"/>
      <c r="U1022" s="18">
        <f>РПЗ!P1022</f>
        <v>43070</v>
      </c>
      <c r="V1022" s="686"/>
      <c r="W1022" s="236">
        <f>РПЗ!L1022</f>
        <v>703668</v>
      </c>
      <c r="X1022" s="689"/>
      <c r="Y1022" s="689"/>
      <c r="Z1022" s="690"/>
      <c r="AA1022" s="691"/>
      <c r="AB1022" s="111"/>
      <c r="AC1022" s="17"/>
      <c r="AD1022" s="690"/>
      <c r="AE1022" s="686"/>
      <c r="AF1022" s="474"/>
      <c r="AG1022" s="692"/>
      <c r="AH1022" s="236" t="str">
        <f>IF(Таблица5[[#This Row],[30]]=0,"НД",Таблица5[[#This Row],[20]]-Таблица5[[#This Row],[30]])</f>
        <v>НД</v>
      </c>
      <c r="AI1022" s="511" t="str">
        <f>IF(((1-Таблица5[[#This Row],[30]]/Таблица5[[#This Row],[20]])=1),"НД",(1-Таблица5[[#This Row],[30]]/Таблица5[[#This Row],[20]]))</f>
        <v>НД</v>
      </c>
      <c r="AJ1022" s="111"/>
      <c r="AK1022" s="111"/>
      <c r="AL1022" s="512"/>
      <c r="AM1022" s="513"/>
      <c r="AN1022" s="465"/>
      <c r="AO1022" s="468" t="str">
        <f>РПЗ!AD1022</f>
        <v>Нет</v>
      </c>
      <c r="AP1022" s="472">
        <f>РПЗ!V1022</f>
        <v>0</v>
      </c>
      <c r="AQ1022" s="470">
        <f>IF(Таблица5[[#This Row],[11]]=0,,MONTH(Таблица5[[#This Row],[11]]))</f>
        <v>5</v>
      </c>
    </row>
    <row r="1023" spans="1:43" ht="51" x14ac:dyDescent="0.25">
      <c r="A1023" s="233" t="str">
        <f t="shared" si="16"/>
        <v>1004-2017-01008</v>
      </c>
      <c r="B1023" s="233" t="str">
        <f>РПЗ!$D1023</f>
        <v>1004-2017-01008 Поставка пластины  монокристаллического арсенида галлия  марки  АГНК; АГП</v>
      </c>
      <c r="C1023" s="233" t="str">
        <f>РПЗ!$AA1023</f>
        <v>АО "НИИ "Полюс" им. М.Ф. Стельмаха" тел. отдела закупок 8-495-333-05-02</v>
      </c>
      <c r="D1023" s="633" t="str">
        <f>РПЗ!$AB1023</f>
        <v>Заказчик</v>
      </c>
      <c r="E1023" s="510" t="s">
        <v>62</v>
      </c>
      <c r="F1023" s="233" t="str">
        <f>РПЗ!Q1023</f>
        <v>ОЗК</v>
      </c>
      <c r="G1023" s="237" t="str">
        <f>Таблица5[[#This Row],[6]]</f>
        <v>ОЗК</v>
      </c>
      <c r="H1023" s="237" t="str">
        <f>РПЗ!R1023</f>
        <v>Да</v>
      </c>
      <c r="I1023" s="15">
        <f>РПЗ!W1023</f>
        <v>0</v>
      </c>
      <c r="J1023" s="233">
        <f>РПЗ!X1023</f>
        <v>0</v>
      </c>
      <c r="K1023" s="283">
        <f>РПЗ!Z1023</f>
        <v>0</v>
      </c>
      <c r="L1023" s="17">
        <v>42928</v>
      </c>
      <c r="M1023" s="18">
        <f>РПЗ!O1023</f>
        <v>42917</v>
      </c>
      <c r="N1023" s="238">
        <f>Таблица5[[#This Row],[10]]</f>
        <v>42917</v>
      </c>
      <c r="O1023" s="17">
        <v>42934</v>
      </c>
      <c r="P1023" s="17">
        <v>42937</v>
      </c>
      <c r="Q1023" s="17">
        <v>42937</v>
      </c>
      <c r="R1023" s="17">
        <v>42937</v>
      </c>
      <c r="S1023" s="17">
        <v>42937</v>
      </c>
      <c r="T1023" s="686">
        <v>42954</v>
      </c>
      <c r="U1023" s="18">
        <f>РПЗ!P1023</f>
        <v>43070</v>
      </c>
      <c r="V1023" s="686">
        <v>43040</v>
      </c>
      <c r="W1023" s="236">
        <f>РПЗ!L1023</f>
        <v>337480</v>
      </c>
      <c r="X1023" s="689">
        <v>1</v>
      </c>
      <c r="Y1023" s="689">
        <v>0</v>
      </c>
      <c r="Z1023" s="691">
        <v>7721166661</v>
      </c>
      <c r="AA1023" s="691" t="s">
        <v>3346</v>
      </c>
      <c r="AB1023" s="111">
        <v>337480</v>
      </c>
      <c r="AC1023" s="17">
        <v>43040</v>
      </c>
      <c r="AD1023" s="690" t="s">
        <v>6802</v>
      </c>
      <c r="AE1023" s="686">
        <v>42954</v>
      </c>
      <c r="AF1023" s="474"/>
      <c r="AG1023" s="692">
        <v>337480</v>
      </c>
      <c r="AH1023" s="236">
        <f>IF(Таблица5[[#This Row],[30]]=0,"НД",Таблица5[[#This Row],[20]]-Таблица5[[#This Row],[30]])</f>
        <v>0</v>
      </c>
      <c r="AI1023" s="511">
        <f>IF(((1-Таблица5[[#This Row],[30]]/Таблица5[[#This Row],[20]])=1),"НД",(1-Таблица5[[#This Row],[30]]/Таблица5[[#This Row],[20]]))</f>
        <v>0</v>
      </c>
      <c r="AJ1023" s="111">
        <v>337480</v>
      </c>
      <c r="AK1023" s="111"/>
      <c r="AL1023" s="512"/>
      <c r="AM1023" s="513" t="s">
        <v>113</v>
      </c>
      <c r="AN1023" s="801">
        <v>31705318333</v>
      </c>
      <c r="AO1023" s="468" t="str">
        <f>РПЗ!AD1023</f>
        <v>Нет</v>
      </c>
      <c r="AP1023" s="472">
        <f>РПЗ!V1023</f>
        <v>0</v>
      </c>
      <c r="AQ1023" s="470">
        <f>IF(Таблица5[[#This Row],[11]]=0,,MONTH(Таблица5[[#This Row],[11]]))</f>
        <v>7</v>
      </c>
    </row>
    <row r="1024" spans="1:43" ht="38.25" x14ac:dyDescent="0.25">
      <c r="A1024" s="233" t="str">
        <f t="shared" si="16"/>
        <v>1004-2017-01009</v>
      </c>
      <c r="B1024" s="233" t="str">
        <f>РПЗ!$D1024</f>
        <v>1004-2017-01009Поставка  Оптические детали(реставрация)</v>
      </c>
      <c r="C1024" s="233" t="str">
        <f>РПЗ!$AA1024</f>
        <v>АО "НИИ "Полюс" им. М.Ф. Стельмаха" тел. отдела закупок 8-495-333-05-02</v>
      </c>
      <c r="D1024" s="633" t="str">
        <f>РПЗ!$AB1024</f>
        <v>Заказчик</v>
      </c>
      <c r="E1024" s="510" t="s">
        <v>62</v>
      </c>
      <c r="F1024" s="233" t="str">
        <f>РПЗ!Q1024</f>
        <v>ЕП</v>
      </c>
      <c r="G1024" s="237" t="str">
        <f>Таблица5[[#This Row],[6]]</f>
        <v>ЕП</v>
      </c>
      <c r="H1024" s="237" t="str">
        <f>РПЗ!R1024</f>
        <v>Нет</v>
      </c>
      <c r="I1024" s="15" t="str">
        <f>РПЗ!W1024</f>
        <v>6.6.2(11)</v>
      </c>
      <c r="J1024" s="233" t="str">
        <f>РПЗ!X1024</f>
        <v>7713297251</v>
      </c>
      <c r="K1024" s="283">
        <f>РПЗ!Z1024</f>
        <v>2818507.88</v>
      </c>
      <c r="L1024" s="17">
        <v>42908</v>
      </c>
      <c r="M1024" s="18">
        <f>РПЗ!O1024</f>
        <v>42887</v>
      </c>
      <c r="N1024" s="238">
        <f>Таблица5[[#This Row],[10]]</f>
        <v>42887</v>
      </c>
      <c r="O1024" s="17"/>
      <c r="P1024" s="17"/>
      <c r="Q1024" s="17"/>
      <c r="R1024" s="17"/>
      <c r="S1024" s="17"/>
      <c r="T1024" s="686">
        <v>42914</v>
      </c>
      <c r="U1024" s="18">
        <f>РПЗ!P1024</f>
        <v>43070</v>
      </c>
      <c r="V1024" s="686">
        <v>43070</v>
      </c>
      <c r="W1024" s="236">
        <f>РПЗ!L1024</f>
        <v>2818507.88</v>
      </c>
      <c r="X1024" s="689">
        <v>1</v>
      </c>
      <c r="Y1024" s="689">
        <v>0</v>
      </c>
      <c r="Z1024" s="691">
        <v>7713297251</v>
      </c>
      <c r="AA1024" s="691" t="s">
        <v>3006</v>
      </c>
      <c r="AB1024" s="111">
        <v>2818507.88</v>
      </c>
      <c r="AC1024" s="17">
        <v>43070</v>
      </c>
      <c r="AD1024" s="690" t="s">
        <v>5982</v>
      </c>
      <c r="AE1024" s="686">
        <v>42914</v>
      </c>
      <c r="AF1024" s="474"/>
      <c r="AG1024" s="692">
        <v>2818507.88</v>
      </c>
      <c r="AH1024" s="236">
        <f>IF(Таблица5[[#This Row],[30]]=0,"НД",Таблица5[[#This Row],[20]]-Таблица5[[#This Row],[30]])</f>
        <v>0</v>
      </c>
      <c r="AI1024" s="511">
        <f>IF(((1-Таблица5[[#This Row],[30]]/Таблица5[[#This Row],[20]])=1),"НД",(1-Таблица5[[#This Row],[30]]/Таблица5[[#This Row],[20]]))</f>
        <v>0</v>
      </c>
      <c r="AJ1024" s="111"/>
      <c r="AK1024" s="111"/>
      <c r="AL1024" s="512"/>
      <c r="AM1024" s="513" t="s">
        <v>113</v>
      </c>
      <c r="AN1024" s="801">
        <v>31705256456</v>
      </c>
      <c r="AO1024" s="468" t="str">
        <f>РПЗ!AD1024</f>
        <v>Нет</v>
      </c>
      <c r="AP1024" s="472">
        <f>РПЗ!V1024</f>
        <v>0</v>
      </c>
      <c r="AQ1024" s="470">
        <f>IF(Таблица5[[#This Row],[11]]=0,,MONTH(Таблица5[[#This Row],[11]]))</f>
        <v>6</v>
      </c>
    </row>
    <row r="1025" spans="1:43" ht="39" thickBot="1" x14ac:dyDescent="0.3">
      <c r="A1025" s="233" t="str">
        <f t="shared" si="16"/>
        <v>1004-2017-01010</v>
      </c>
      <c r="B1025" s="233" t="str">
        <f>РПЗ!$D1025</f>
        <v>1004-2017-01010Поставка  Оптические детали</v>
      </c>
      <c r="C1025" s="233" t="str">
        <f>РПЗ!$AA1025</f>
        <v>АО "НИИ "Полюс" им. М.Ф. Стельмаха" тел. отдела закупок 8-495-333-05-02</v>
      </c>
      <c r="D1025" s="633" t="str">
        <f>РПЗ!$AB1025</f>
        <v>Заказчик</v>
      </c>
      <c r="E1025" s="510" t="s">
        <v>62</v>
      </c>
      <c r="F1025" s="233" t="str">
        <f>РПЗ!Q1025</f>
        <v>ЕП</v>
      </c>
      <c r="G1025" s="237" t="str">
        <f>Таблица5[[#This Row],[6]]</f>
        <v>ЕП</v>
      </c>
      <c r="H1025" s="237" t="str">
        <f>РПЗ!R1025</f>
        <v>Нет</v>
      </c>
      <c r="I1025" s="15" t="str">
        <f>РПЗ!W1025</f>
        <v>6.6.2(11)</v>
      </c>
      <c r="J1025" s="233" t="str">
        <f>РПЗ!X1025</f>
        <v>7713297251</v>
      </c>
      <c r="K1025" s="283">
        <f>РПЗ!Z1025</f>
        <v>3863863.15</v>
      </c>
      <c r="L1025" s="17">
        <v>42913</v>
      </c>
      <c r="M1025" s="18">
        <f>РПЗ!O1025</f>
        <v>42887</v>
      </c>
      <c r="N1025" s="238">
        <f>Таблица5[[#This Row],[10]]</f>
        <v>42887</v>
      </c>
      <c r="O1025" s="17"/>
      <c r="P1025" s="17"/>
      <c r="Q1025" s="17"/>
      <c r="R1025" s="17"/>
      <c r="S1025" s="17"/>
      <c r="T1025" s="686">
        <v>42916</v>
      </c>
      <c r="U1025" s="18">
        <f>РПЗ!P1025</f>
        <v>43070</v>
      </c>
      <c r="V1025" s="686">
        <v>42979</v>
      </c>
      <c r="W1025" s="236">
        <f>РПЗ!L1025</f>
        <v>3863863.15</v>
      </c>
      <c r="X1025" s="689">
        <v>1</v>
      </c>
      <c r="Y1025" s="689">
        <v>0</v>
      </c>
      <c r="Z1025" s="691">
        <v>7713297251</v>
      </c>
      <c r="AA1025" s="691" t="s">
        <v>3006</v>
      </c>
      <c r="AB1025" s="111">
        <v>3863863.15</v>
      </c>
      <c r="AC1025" s="17">
        <v>42979</v>
      </c>
      <c r="AD1025" s="690" t="s">
        <v>3008</v>
      </c>
      <c r="AE1025" s="686">
        <v>42916</v>
      </c>
      <c r="AF1025" s="474"/>
      <c r="AG1025" s="692">
        <v>3863863.15</v>
      </c>
      <c r="AH1025" s="236">
        <f>IF(Таблица5[[#This Row],[30]]=0,"НД",Таблица5[[#This Row],[20]]-Таблица5[[#This Row],[30]])</f>
        <v>0</v>
      </c>
      <c r="AI1025" s="511">
        <f>IF(((1-Таблица5[[#This Row],[30]]/Таблица5[[#This Row],[20]])=1),"НД",(1-Таблица5[[#This Row],[30]]/Таблица5[[#This Row],[20]]))</f>
        <v>0</v>
      </c>
      <c r="AJ1025" s="111"/>
      <c r="AK1025" s="111"/>
      <c r="AL1025" s="512"/>
      <c r="AM1025" s="513" t="s">
        <v>113</v>
      </c>
      <c r="AN1025" s="801">
        <v>31705268504</v>
      </c>
      <c r="AO1025" s="468" t="str">
        <f>РПЗ!AD1025</f>
        <v>Нет</v>
      </c>
      <c r="AP1025" s="472" t="str">
        <f>РПЗ!V1025</f>
        <v>ГОЗ</v>
      </c>
      <c r="AQ1025" s="470">
        <f>IF(Таблица5[[#This Row],[11]]=0,,MONTH(Таблица5[[#This Row],[11]]))</f>
        <v>6</v>
      </c>
    </row>
    <row r="1026" spans="1:43" ht="39" thickBot="1" x14ac:dyDescent="0.3">
      <c r="A1026" s="233" t="str">
        <f t="shared" si="16"/>
        <v>1004-2017-01011</v>
      </c>
      <c r="B1026" s="233" t="str">
        <f>РПЗ!$D1026</f>
        <v>1004-2017-01011 Поставка ЭРИ</v>
      </c>
      <c r="C1026" s="233" t="str">
        <f>РПЗ!$AA1026</f>
        <v>АО "НИИ "Полюс" им. М.Ф. Стельмаха" тел. отдела закупок 8-495-333-05-02</v>
      </c>
      <c r="D1026" s="633" t="str">
        <f>РПЗ!$AB1026</f>
        <v>Заказчик</v>
      </c>
      <c r="E1026" s="96" t="s">
        <v>46</v>
      </c>
      <c r="F1026" s="233" t="str">
        <f>РПЗ!Q1026</f>
        <v>ОЗК</v>
      </c>
      <c r="G1026" s="237"/>
      <c r="H1026" s="237" t="str">
        <f>РПЗ!R1026</f>
        <v>Да</v>
      </c>
      <c r="I1026" s="15">
        <f>РПЗ!W1026</f>
        <v>0</v>
      </c>
      <c r="J1026" s="233">
        <f>РПЗ!X1026</f>
        <v>0</v>
      </c>
      <c r="K1026" s="283">
        <f>РПЗ!Z1026</f>
        <v>0</v>
      </c>
      <c r="L1026" s="17"/>
      <c r="M1026" s="18">
        <f>РПЗ!O1026</f>
        <v>42887</v>
      </c>
      <c r="N1026" s="238">
        <f>Таблица5[[#This Row],[10]]</f>
        <v>42887</v>
      </c>
      <c r="O1026" s="17"/>
      <c r="P1026" s="17"/>
      <c r="Q1026" s="17"/>
      <c r="R1026" s="17"/>
      <c r="S1026" s="17"/>
      <c r="T1026" s="686"/>
      <c r="U1026" s="18">
        <f>РПЗ!P1026</f>
        <v>43070</v>
      </c>
      <c r="V1026" s="686"/>
      <c r="W1026" s="236">
        <f>РПЗ!L1026</f>
        <v>20000000</v>
      </c>
      <c r="X1026" s="689"/>
      <c r="Y1026" s="689"/>
      <c r="Z1026" s="690"/>
      <c r="AA1026" s="691"/>
      <c r="AB1026" s="111"/>
      <c r="AC1026" s="17"/>
      <c r="AD1026" s="690"/>
      <c r="AE1026" s="686"/>
      <c r="AF1026" s="474"/>
      <c r="AG1026" s="692"/>
      <c r="AH1026" s="236" t="str">
        <f>IF(Таблица5[[#This Row],[30]]=0,"НД",Таблица5[[#This Row],[20]]-Таблица5[[#This Row],[30]])</f>
        <v>НД</v>
      </c>
      <c r="AI1026" s="511" t="str">
        <f>IF(((1-Таблица5[[#This Row],[30]]/Таблица5[[#This Row],[20]])=1),"НД",(1-Таблица5[[#This Row],[30]]/Таблица5[[#This Row],[20]]))</f>
        <v>НД</v>
      </c>
      <c r="AJ1026" s="111"/>
      <c r="AK1026" s="111"/>
      <c r="AL1026" s="512"/>
      <c r="AM1026" s="513"/>
      <c r="AN1026" s="465"/>
      <c r="AO1026" s="468" t="str">
        <f>РПЗ!AD1026</f>
        <v>Нет</v>
      </c>
      <c r="AP1026" s="472">
        <f>РПЗ!V1026</f>
        <v>0</v>
      </c>
      <c r="AQ1026" s="470">
        <f>IF(Таблица5[[#This Row],[11]]=0,,MONTH(Таблица5[[#This Row],[11]]))</f>
        <v>6</v>
      </c>
    </row>
    <row r="1027" spans="1:43" ht="38.25" x14ac:dyDescent="0.25">
      <c r="A1027" s="233" t="str">
        <f t="shared" si="16"/>
        <v>1004-2017-01012</v>
      </c>
      <c r="B1027" s="233" t="str">
        <f>РПЗ!$D1027</f>
        <v>1004-2017-01012 Поставка ЭРИ</v>
      </c>
      <c r="C1027" s="233" t="str">
        <f>РПЗ!$AA1027</f>
        <v>АО "НИИ "Полюс" им. М.Ф. Стельмаха" тел. отдела закупок 8-495-333-05-02</v>
      </c>
      <c r="D1027" s="633" t="str">
        <f>РПЗ!$AB1027</f>
        <v>Заказчик</v>
      </c>
      <c r="E1027" s="96" t="s">
        <v>46</v>
      </c>
      <c r="F1027" s="233" t="str">
        <f>РПЗ!Q1027</f>
        <v>ОЗК</v>
      </c>
      <c r="G1027" s="237"/>
      <c r="H1027" s="237" t="str">
        <f>РПЗ!R1027</f>
        <v>Да</v>
      </c>
      <c r="I1027" s="15">
        <f>РПЗ!W1027</f>
        <v>0</v>
      </c>
      <c r="J1027" s="233">
        <f>РПЗ!X1027</f>
        <v>0</v>
      </c>
      <c r="K1027" s="283">
        <f>РПЗ!Z1027</f>
        <v>0</v>
      </c>
      <c r="L1027" s="17"/>
      <c r="M1027" s="18">
        <f>РПЗ!O1027</f>
        <v>42887</v>
      </c>
      <c r="N1027" s="238">
        <f>Таблица5[[#This Row],[10]]</f>
        <v>42887</v>
      </c>
      <c r="O1027" s="17"/>
      <c r="P1027" s="17"/>
      <c r="Q1027" s="17"/>
      <c r="R1027" s="17"/>
      <c r="S1027" s="17"/>
      <c r="T1027" s="686"/>
      <c r="U1027" s="18">
        <f>РПЗ!P1027</f>
        <v>43070</v>
      </c>
      <c r="V1027" s="686"/>
      <c r="W1027" s="236">
        <f>РПЗ!L1027</f>
        <v>7000000</v>
      </c>
      <c r="X1027" s="689"/>
      <c r="Y1027" s="689"/>
      <c r="Z1027" s="690"/>
      <c r="AA1027" s="691"/>
      <c r="AB1027" s="111"/>
      <c r="AC1027" s="17"/>
      <c r="AD1027" s="690"/>
      <c r="AE1027" s="686"/>
      <c r="AF1027" s="474"/>
      <c r="AG1027" s="692"/>
      <c r="AH1027" s="236" t="str">
        <f>IF(Таблица5[[#This Row],[30]]=0,"НД",Таблица5[[#This Row],[20]]-Таблица5[[#This Row],[30]])</f>
        <v>НД</v>
      </c>
      <c r="AI1027" s="511" t="str">
        <f>IF(((1-Таблица5[[#This Row],[30]]/Таблица5[[#This Row],[20]])=1),"НД",(1-Таблица5[[#This Row],[30]]/Таблица5[[#This Row],[20]]))</f>
        <v>НД</v>
      </c>
      <c r="AJ1027" s="111"/>
      <c r="AK1027" s="111"/>
      <c r="AL1027" s="512"/>
      <c r="AM1027" s="513"/>
      <c r="AN1027" s="465"/>
      <c r="AO1027" s="468" t="str">
        <f>РПЗ!AD1027</f>
        <v>Нет</v>
      </c>
      <c r="AP1027" s="472">
        <f>РПЗ!V1027</f>
        <v>0</v>
      </c>
      <c r="AQ1027" s="470">
        <f>IF(Таблица5[[#This Row],[11]]=0,,MONTH(Таблица5[[#This Row],[11]]))</f>
        <v>6</v>
      </c>
    </row>
    <row r="1028" spans="1:43" ht="39" thickBot="1" x14ac:dyDescent="0.3">
      <c r="A1028" s="233" t="str">
        <f t="shared" si="16"/>
        <v>1004-2017-01013</v>
      </c>
      <c r="B1028" s="233" t="str">
        <f>РПЗ!$D1028</f>
        <v>1004-2017-01013 Поставка Видеосистема высокого разрешения  KH-8700</v>
      </c>
      <c r="C1028" s="233" t="str">
        <f>РПЗ!$AA1028</f>
        <v>АО "НИИ "Полюс" им. М.Ф. Стельмаха" тел. отдела закупок 8-495-333-05-02</v>
      </c>
      <c r="D1028" s="633" t="str">
        <f>РПЗ!$AB1028</f>
        <v>Заказчик</v>
      </c>
      <c r="E1028" s="510" t="s">
        <v>62</v>
      </c>
      <c r="F1028" s="233" t="str">
        <f>РПЗ!Q1028</f>
        <v>ЕП</v>
      </c>
      <c r="G1028" s="237" t="str">
        <f>Таблица5[[#This Row],[6]]</f>
        <v>ЕП</v>
      </c>
      <c r="H1028" s="237" t="str">
        <f>РПЗ!R1028</f>
        <v>Нет</v>
      </c>
      <c r="I1028" s="15" t="str">
        <f>РПЗ!W1028</f>
        <v>6.6.2(31)</v>
      </c>
      <c r="J1028" s="233" t="str">
        <f>РПЗ!X1028</f>
        <v>7731481038</v>
      </c>
      <c r="K1028" s="283">
        <f>РПЗ!Z1028</f>
        <v>9690000</v>
      </c>
      <c r="L1028" s="17">
        <v>42870</v>
      </c>
      <c r="M1028" s="18">
        <f>РПЗ!O1028</f>
        <v>42856.5</v>
      </c>
      <c r="N1028" s="238">
        <f>Таблица5[[#This Row],[10]]</f>
        <v>42856.5</v>
      </c>
      <c r="O1028" s="17"/>
      <c r="P1028" s="17"/>
      <c r="Q1028" s="17"/>
      <c r="R1028" s="17"/>
      <c r="S1028" s="17"/>
      <c r="T1028" s="686">
        <v>42885</v>
      </c>
      <c r="U1028" s="18">
        <f>РПЗ!P1028</f>
        <v>43100.5</v>
      </c>
      <c r="V1028" s="686">
        <v>42917</v>
      </c>
      <c r="W1028" s="236">
        <f>РПЗ!L1028</f>
        <v>9690000</v>
      </c>
      <c r="X1028" s="689">
        <v>1</v>
      </c>
      <c r="Y1028" s="689">
        <v>0</v>
      </c>
      <c r="Z1028" s="690" t="s">
        <v>5977</v>
      </c>
      <c r="AA1028" s="691" t="s">
        <v>5975</v>
      </c>
      <c r="AB1028" s="111">
        <v>9690000</v>
      </c>
      <c r="AC1028" s="17">
        <v>42917</v>
      </c>
      <c r="AD1028" s="690" t="s">
        <v>5978</v>
      </c>
      <c r="AE1028" s="686">
        <v>42885</v>
      </c>
      <c r="AF1028" s="474"/>
      <c r="AG1028" s="692">
        <v>9690000</v>
      </c>
      <c r="AH1028" s="236">
        <f>IF(Таблица5[[#This Row],[30]]=0,"НД",Таблица5[[#This Row],[20]]-Таблица5[[#This Row],[30]])</f>
        <v>0</v>
      </c>
      <c r="AI1028" s="511">
        <f>IF(((1-Таблица5[[#This Row],[30]]/Таблица5[[#This Row],[20]])=1),"НД",(1-Таблица5[[#This Row],[30]]/Таблица5[[#This Row],[20]]))</f>
        <v>0</v>
      </c>
      <c r="AJ1028" s="111"/>
      <c r="AK1028" s="111"/>
      <c r="AL1028" s="512"/>
      <c r="AM1028" s="513" t="s">
        <v>113</v>
      </c>
      <c r="AN1028" s="801">
        <v>31705168470</v>
      </c>
      <c r="AO1028" s="468" t="str">
        <f>РПЗ!AD1028</f>
        <v>Нет</v>
      </c>
      <c r="AP1028" s="472">
        <f>РПЗ!V1028</f>
        <v>0</v>
      </c>
      <c r="AQ1028" s="470">
        <f>IF(Таблица5[[#This Row],[11]]=0,,MONTH(Таблица5[[#This Row],[11]]))</f>
        <v>5</v>
      </c>
    </row>
    <row r="1029" spans="1:43" ht="51" x14ac:dyDescent="0.25">
      <c r="A1029" s="233" t="str">
        <f t="shared" si="16"/>
        <v>1004-2017-01014</v>
      </c>
      <c r="B1029" s="233" t="str">
        <f>РПЗ!$D1029</f>
        <v>1004-2017-01014 Услуга по организации отдыха 50 детей в детском оздоровительном лагере "салют"</v>
      </c>
      <c r="C1029" s="233" t="str">
        <f>РПЗ!$AA1029</f>
        <v>АО "НИИ "Полюс" им. М.Ф. Стельмаха" тел. отдела закупок 8-495-333-05-02</v>
      </c>
      <c r="D1029" s="633" t="str">
        <f>РПЗ!$AB1029</f>
        <v>Заказчик</v>
      </c>
      <c r="E1029" s="96" t="s">
        <v>46</v>
      </c>
      <c r="F1029" s="233" t="str">
        <f>РПЗ!Q1029</f>
        <v>ЕП</v>
      </c>
      <c r="G1029" s="237"/>
      <c r="H1029" s="237" t="str">
        <f>РПЗ!R1029</f>
        <v>Нет</v>
      </c>
      <c r="I1029" s="15">
        <f>РПЗ!W1029</f>
        <v>0</v>
      </c>
      <c r="J1029" s="233">
        <f>РПЗ!X1029</f>
        <v>0</v>
      </c>
      <c r="K1029" s="283">
        <f>РПЗ!Z1029</f>
        <v>0</v>
      </c>
      <c r="L1029" s="17"/>
      <c r="M1029" s="18">
        <f>РПЗ!O1029</f>
        <v>42856.5</v>
      </c>
      <c r="N1029" s="238">
        <f>Таблица5[[#This Row],[10]]</f>
        <v>42856.5</v>
      </c>
      <c r="O1029" s="17"/>
      <c r="P1029" s="17"/>
      <c r="Q1029" s="17"/>
      <c r="R1029" s="17"/>
      <c r="S1029" s="17"/>
      <c r="T1029" s="686"/>
      <c r="U1029" s="18">
        <f>РПЗ!P1029</f>
        <v>43100.5</v>
      </c>
      <c r="V1029" s="686"/>
      <c r="W1029" s="236">
        <f>РПЗ!L1029</f>
        <v>1528200</v>
      </c>
      <c r="X1029" s="689"/>
      <c r="Y1029" s="689"/>
      <c r="Z1029" s="690"/>
      <c r="AA1029" s="691"/>
      <c r="AB1029" s="111"/>
      <c r="AC1029" s="17"/>
      <c r="AD1029" s="690"/>
      <c r="AE1029" s="686"/>
      <c r="AF1029" s="474"/>
      <c r="AG1029" s="692"/>
      <c r="AH1029" s="236" t="str">
        <f>IF(Таблица5[[#This Row],[30]]=0,"НД",Таблица5[[#This Row],[20]]-Таблица5[[#This Row],[30]])</f>
        <v>НД</v>
      </c>
      <c r="AI1029" s="511" t="str">
        <f>IF(((1-Таблица5[[#This Row],[30]]/Таблица5[[#This Row],[20]])=1),"НД",(1-Таблица5[[#This Row],[30]]/Таблица5[[#This Row],[20]]))</f>
        <v>НД</v>
      </c>
      <c r="AJ1029" s="111"/>
      <c r="AK1029" s="111"/>
      <c r="AL1029" s="512"/>
      <c r="AM1029" s="513"/>
      <c r="AN1029" s="465"/>
      <c r="AO1029" s="468" t="str">
        <f>РПЗ!AD1029</f>
        <v>Нет</v>
      </c>
      <c r="AP1029" s="472">
        <f>РПЗ!V1029</f>
        <v>0</v>
      </c>
      <c r="AQ1029" s="470">
        <f>IF(Таблица5[[#This Row],[11]]=0,,MONTH(Таблица5[[#This Row],[11]]))</f>
        <v>5</v>
      </c>
    </row>
    <row r="1030" spans="1:43" ht="51.75" thickBot="1" x14ac:dyDescent="0.3">
      <c r="A1030" s="233" t="str">
        <f t="shared" si="16"/>
        <v>1004-2017-01015</v>
      </c>
      <c r="B1030" s="233" t="str">
        <f>РПЗ!$D1030</f>
        <v>1004-2017-01015 на оказание услуг по проведению энергетического обследования и составлению энергетического паспорта</v>
      </c>
      <c r="C1030" s="233" t="str">
        <f>РПЗ!$AA1030</f>
        <v>АО "НИИ "Полюс" им. М.Ф. Стельмаха" тел. отдела закупок 8-495-333-05-02</v>
      </c>
      <c r="D1030" s="633" t="str">
        <f>РПЗ!$AB1030</f>
        <v>Заказчик</v>
      </c>
      <c r="E1030" s="510" t="s">
        <v>62</v>
      </c>
      <c r="F1030" s="233" t="str">
        <f>РПЗ!Q1030</f>
        <v>ОЗК</v>
      </c>
      <c r="G1030" s="237" t="str">
        <f>Таблица5[[#This Row],[6]]</f>
        <v>ОЗК</v>
      </c>
      <c r="H1030" s="237" t="str">
        <f>РПЗ!R1030</f>
        <v>Да</v>
      </c>
      <c r="I1030" s="15">
        <f>РПЗ!W1030</f>
        <v>0</v>
      </c>
      <c r="J1030" s="233">
        <f>РПЗ!X1030</f>
        <v>0</v>
      </c>
      <c r="K1030" s="283">
        <f>РПЗ!Z1030</f>
        <v>0</v>
      </c>
      <c r="L1030" s="17">
        <v>42916</v>
      </c>
      <c r="M1030" s="18">
        <f>РПЗ!O1030</f>
        <v>42887</v>
      </c>
      <c r="N1030" s="238">
        <f>Таблица5[[#This Row],[10]]</f>
        <v>42887</v>
      </c>
      <c r="O1030" s="17">
        <v>42922</v>
      </c>
      <c r="P1030" s="17">
        <v>42928</v>
      </c>
      <c r="Q1030" s="17">
        <v>42928</v>
      </c>
      <c r="R1030" s="17">
        <v>42927</v>
      </c>
      <c r="S1030" s="17">
        <v>42927</v>
      </c>
      <c r="T1030" s="686">
        <v>42940</v>
      </c>
      <c r="U1030" s="18">
        <f>РПЗ!P1030</f>
        <v>42979</v>
      </c>
      <c r="V1030" s="686">
        <v>43040</v>
      </c>
      <c r="W1030" s="236">
        <f>РПЗ!L1030</f>
        <v>1453750</v>
      </c>
      <c r="X1030" s="689">
        <v>4</v>
      </c>
      <c r="Y1030" s="689">
        <v>0</v>
      </c>
      <c r="Z1030" s="691">
        <v>5029124262</v>
      </c>
      <c r="AA1030" s="691" t="s">
        <v>6485</v>
      </c>
      <c r="AB1030" s="111">
        <v>480000</v>
      </c>
      <c r="AC1030" s="17">
        <v>43040</v>
      </c>
      <c r="AD1030" s="690" t="s">
        <v>6484</v>
      </c>
      <c r="AE1030" s="686">
        <v>42940</v>
      </c>
      <c r="AF1030" s="474"/>
      <c r="AG1030" s="692">
        <v>480000</v>
      </c>
      <c r="AH1030" s="236">
        <f>IF(Таблица5[[#This Row],[30]]=0,"НД",Таблица5[[#This Row],[20]]-Таблица5[[#This Row],[30]])</f>
        <v>973750</v>
      </c>
      <c r="AI1030" s="511">
        <f>IF(((1-Таблица5[[#This Row],[30]]/Таблица5[[#This Row],[20]])=1),"НД",(1-Таблица5[[#This Row],[30]]/Таблица5[[#This Row],[20]]))</f>
        <v>0.66981943250214959</v>
      </c>
      <c r="AJ1030" s="111">
        <v>480000</v>
      </c>
      <c r="AK1030" s="111"/>
      <c r="AL1030" s="512"/>
      <c r="AM1030" s="513" t="s">
        <v>113</v>
      </c>
      <c r="AN1030" s="801">
        <v>31705280446</v>
      </c>
      <c r="AO1030" s="468" t="str">
        <f>РПЗ!AD1030</f>
        <v>Нет</v>
      </c>
      <c r="AP1030" s="472">
        <f>РПЗ!V1030</f>
        <v>0</v>
      </c>
      <c r="AQ1030" s="470">
        <f>IF(Таблица5[[#This Row],[11]]=0,,MONTH(Таблица5[[#This Row],[11]]))</f>
        <v>6</v>
      </c>
    </row>
    <row r="1031" spans="1:43" ht="76.5" x14ac:dyDescent="0.25">
      <c r="A1031" s="233" t="str">
        <f t="shared" si="16"/>
        <v>1004-2017-01016</v>
      </c>
      <c r="B1031" s="233" t="str">
        <f>РПЗ!$D1031</f>
        <v>1004-2017-01016 Поставка Комплект деталей модуля ПОМ, комплеккт деталей модуля ПРОМ, корпус ПОМ с интегрированной СВЧ втулкой, корпус ПРОМ с интегрированной СВЧ влулкой</v>
      </c>
      <c r="C1031" s="233" t="str">
        <f>РПЗ!$AA1031</f>
        <v>АО "НИИ "Полюс" им. М.Ф. Стельмаха" тел. отдела закупок 8-495-333-05-02</v>
      </c>
      <c r="D1031" s="633" t="str">
        <f>РПЗ!$AB1031</f>
        <v>Заказчик</v>
      </c>
      <c r="E1031" s="96" t="s">
        <v>46</v>
      </c>
      <c r="F1031" s="233" t="str">
        <f>РПЗ!Q1031</f>
        <v>ЕП</v>
      </c>
      <c r="G1031" s="237"/>
      <c r="H1031" s="237" t="str">
        <f>РПЗ!R1031</f>
        <v>Нет</v>
      </c>
      <c r="I1031" s="15">
        <f>РПЗ!W1031</f>
        <v>0</v>
      </c>
      <c r="J1031" s="233">
        <f>РПЗ!X1031</f>
        <v>0</v>
      </c>
      <c r="K1031" s="283">
        <f>РПЗ!Z1031</f>
        <v>0</v>
      </c>
      <c r="L1031" s="17"/>
      <c r="M1031" s="18">
        <f>РПЗ!O1031</f>
        <v>42856.5</v>
      </c>
      <c r="N1031" s="238">
        <f>Таблица5[[#This Row],[10]]</f>
        <v>42856.5</v>
      </c>
      <c r="O1031" s="17"/>
      <c r="P1031" s="17"/>
      <c r="Q1031" s="17"/>
      <c r="R1031" s="17"/>
      <c r="S1031" s="17"/>
      <c r="T1031" s="686"/>
      <c r="U1031" s="18">
        <f>РПЗ!P1031</f>
        <v>42887</v>
      </c>
      <c r="V1031" s="686"/>
      <c r="W1031" s="236">
        <f>РПЗ!L1031</f>
        <v>528880</v>
      </c>
      <c r="X1031" s="689"/>
      <c r="Y1031" s="689"/>
      <c r="Z1031" s="690"/>
      <c r="AA1031" s="691"/>
      <c r="AB1031" s="111"/>
      <c r="AC1031" s="17"/>
      <c r="AD1031" s="690"/>
      <c r="AE1031" s="686"/>
      <c r="AF1031" s="474"/>
      <c r="AG1031" s="692"/>
      <c r="AH1031" s="236" t="str">
        <f>IF(Таблица5[[#This Row],[30]]=0,"НД",Таблица5[[#This Row],[20]]-Таблица5[[#This Row],[30]])</f>
        <v>НД</v>
      </c>
      <c r="AI1031" s="511" t="str">
        <f>IF(((1-Таблица5[[#This Row],[30]]/Таблица5[[#This Row],[20]])=1),"НД",(1-Таблица5[[#This Row],[30]]/Таблица5[[#This Row],[20]]))</f>
        <v>НД</v>
      </c>
      <c r="AJ1031" s="111"/>
      <c r="AK1031" s="111"/>
      <c r="AL1031" s="512"/>
      <c r="AM1031" s="513"/>
      <c r="AN1031" s="465"/>
      <c r="AO1031" s="468" t="str">
        <f>РПЗ!AD1031</f>
        <v>Нет</v>
      </c>
      <c r="AP1031" s="472">
        <f>РПЗ!V1031</f>
        <v>0</v>
      </c>
      <c r="AQ1031" s="470">
        <f>IF(Таблица5[[#This Row],[11]]=0,,MONTH(Таблица5[[#This Row],[11]]))</f>
        <v>5</v>
      </c>
    </row>
    <row r="1032" spans="1:43" ht="127.5" x14ac:dyDescent="0.25">
      <c r="A1032" s="233" t="str">
        <f t="shared" si="16"/>
        <v>1004-2017-01017</v>
      </c>
      <c r="B1032" s="233" t="str">
        <f>РПЗ!$D1032</f>
        <v>1004-2017-01017 выполнение строительно-монтажных работ  по реализации проектных решений в разделах архитектурные решения, конструктивные и планировочные решения; узлы усиления с целью создания производственного участка в Производственном корпусе в АО "НИИ "Полюс" им. М.Ф. Стельмаха"</v>
      </c>
      <c r="C1032" s="233" t="str">
        <f>РПЗ!$AA1032</f>
        <v>АО "НИИ "Полюс" им. М.Ф. Стельмаха" тел. отдела закупок 8-495-333-05-02</v>
      </c>
      <c r="D1032" s="633" t="str">
        <f>РПЗ!$AB1032</f>
        <v>Заказчик</v>
      </c>
      <c r="E1032" s="510" t="s">
        <v>62</v>
      </c>
      <c r="F1032" s="233" t="str">
        <f>РПЗ!Q1032</f>
        <v>ОК</v>
      </c>
      <c r="G1032" s="237" t="str">
        <f>Таблица5[[#This Row],[6]]</f>
        <v>ОК</v>
      </c>
      <c r="H1032" s="237" t="str">
        <f>РПЗ!R1032</f>
        <v>Да</v>
      </c>
      <c r="I1032" s="15">
        <f>РПЗ!W1032</f>
        <v>0</v>
      </c>
      <c r="J1032" s="233">
        <f>РПЗ!X1032</f>
        <v>0</v>
      </c>
      <c r="K1032" s="283">
        <f>РПЗ!Z1032</f>
        <v>0</v>
      </c>
      <c r="L1032" s="17">
        <v>42888</v>
      </c>
      <c r="M1032" s="18">
        <f>РПЗ!O1032</f>
        <v>42887</v>
      </c>
      <c r="N1032" s="238">
        <f>Таблица5[[#This Row],[10]]</f>
        <v>42887</v>
      </c>
      <c r="O1032" s="17">
        <v>42919</v>
      </c>
      <c r="P1032" s="17">
        <v>42926</v>
      </c>
      <c r="Q1032" s="17">
        <v>42926</v>
      </c>
      <c r="R1032" s="17">
        <v>42930</v>
      </c>
      <c r="S1032" s="17">
        <v>42930</v>
      </c>
      <c r="T1032" s="686"/>
      <c r="U1032" s="18">
        <f>РПЗ!P1032</f>
        <v>43100.5</v>
      </c>
      <c r="V1032" s="686"/>
      <c r="W1032" s="236">
        <f>РПЗ!L1032</f>
        <v>33000000</v>
      </c>
      <c r="X1032" s="689">
        <v>1</v>
      </c>
      <c r="Y1032" s="689">
        <v>0</v>
      </c>
      <c r="Z1032" s="691">
        <v>7743591349</v>
      </c>
      <c r="AA1032" s="691" t="s">
        <v>3319</v>
      </c>
      <c r="AB1032" s="111">
        <v>29361012.399999999</v>
      </c>
      <c r="AC1032" s="17"/>
      <c r="AD1032" s="690"/>
      <c r="AE1032" s="686"/>
      <c r="AF1032" s="474"/>
      <c r="AG1032" s="692"/>
      <c r="AH1032" s="236" t="str">
        <f>IF(Таблица5[[#This Row],[30]]=0,"НД",Таблица5[[#This Row],[20]]-Таблица5[[#This Row],[30]])</f>
        <v>НД</v>
      </c>
      <c r="AI1032" s="511" t="str">
        <f>IF(((1-Таблица5[[#This Row],[30]]/Таблица5[[#This Row],[20]])=1),"НД",(1-Таблица5[[#This Row],[30]]/Таблица5[[#This Row],[20]]))</f>
        <v>НД</v>
      </c>
      <c r="AJ1032" s="111"/>
      <c r="AK1032" s="111"/>
      <c r="AL1032" s="512"/>
      <c r="AM1032" s="513" t="s">
        <v>113</v>
      </c>
      <c r="AN1032" s="801" t="s">
        <v>7190</v>
      </c>
      <c r="AO1032" s="468" t="str">
        <f>РПЗ!AD1032</f>
        <v>Нет</v>
      </c>
      <c r="AP1032" s="472">
        <f>РПЗ!V1032</f>
        <v>0</v>
      </c>
      <c r="AQ1032" s="470">
        <f>IF(Таблица5[[#This Row],[11]]=0,,MONTH(Таблица5[[#This Row],[11]]))</f>
        <v>6</v>
      </c>
    </row>
    <row r="1033" spans="1:43" ht="242.25" x14ac:dyDescent="0.25">
      <c r="A1033" s="233" t="str">
        <f t="shared" si="16"/>
        <v>1004-2017-01018</v>
      </c>
      <c r="B1033" s="233" t="str">
        <f>РПЗ!$D1033</f>
        <v>1004-2017-01018 выполнение строительно-монтажных работ  по реализации проектных решений в разделах силовое электроснабжение, электроосвещение; система водоснабжения и водоотведения; отопление, вентиляция и кондиционирование, тепловые сети; автоматизация систем вентиляции и кондиционирования; технологические газы, технические и специальные; СКС; СКУД; автоматическая установка пожарной сигнализации; пусколадочные работы  с целью создания производственного участка в Производственном корпусе в АО "НИИ "Полюс" им. М.Ф. Стельмаха"</v>
      </c>
      <c r="C1033" s="233" t="str">
        <f>РПЗ!$AA1033</f>
        <v>АО "НИИ "Полюс" им. М.Ф. Стельмаха" тел. отдела закупок 8-495-333-05-02</v>
      </c>
      <c r="D1033" s="633" t="str">
        <f>РПЗ!$AB1033</f>
        <v>Заказчик</v>
      </c>
      <c r="E1033" s="510" t="s">
        <v>62</v>
      </c>
      <c r="F1033" s="233" t="str">
        <f>РПЗ!Q1033</f>
        <v>ОК</v>
      </c>
      <c r="G1033" s="237" t="str">
        <f>Таблица5[[#This Row],[6]]</f>
        <v>ОК</v>
      </c>
      <c r="H1033" s="237" t="str">
        <f>РПЗ!R1033</f>
        <v>Да</v>
      </c>
      <c r="I1033" s="15">
        <f>РПЗ!W1033</f>
        <v>0</v>
      </c>
      <c r="J1033" s="233">
        <f>РПЗ!X1033</f>
        <v>0</v>
      </c>
      <c r="K1033" s="283">
        <f>РПЗ!Z1033</f>
        <v>0</v>
      </c>
      <c r="L1033" s="17">
        <v>42888</v>
      </c>
      <c r="M1033" s="18">
        <f>РПЗ!O1033</f>
        <v>42887</v>
      </c>
      <c r="N1033" s="238">
        <f>Таблица5[[#This Row],[10]]</f>
        <v>42887</v>
      </c>
      <c r="O1033" s="17">
        <v>42919</v>
      </c>
      <c r="P1033" s="17">
        <v>42926</v>
      </c>
      <c r="Q1033" s="17">
        <v>42926</v>
      </c>
      <c r="R1033" s="17">
        <v>42930</v>
      </c>
      <c r="S1033" s="17">
        <v>42930</v>
      </c>
      <c r="T1033" s="686"/>
      <c r="U1033" s="18">
        <f>РПЗ!P1033</f>
        <v>43100.5</v>
      </c>
      <c r="V1033" s="686"/>
      <c r="W1033" s="236">
        <f>РПЗ!L1033</f>
        <v>40500000</v>
      </c>
      <c r="X1033" s="689">
        <v>1</v>
      </c>
      <c r="Y1033" s="689">
        <v>0</v>
      </c>
      <c r="Z1033" s="691">
        <v>7743591349</v>
      </c>
      <c r="AA1033" s="691" t="s">
        <v>3319</v>
      </c>
      <c r="AB1033" s="111">
        <v>35818095.280000001</v>
      </c>
      <c r="AC1033" s="17"/>
      <c r="AD1033" s="690"/>
      <c r="AE1033" s="686"/>
      <c r="AF1033" s="474"/>
      <c r="AG1033" s="692"/>
      <c r="AH1033" s="236" t="str">
        <f>IF(Таблица5[[#This Row],[30]]=0,"НД",Таблица5[[#This Row],[20]]-Таблица5[[#This Row],[30]])</f>
        <v>НД</v>
      </c>
      <c r="AI1033" s="511" t="str">
        <f>IF(((1-Таблица5[[#This Row],[30]]/Таблица5[[#This Row],[20]])=1),"НД",(1-Таблица5[[#This Row],[30]]/Таблица5[[#This Row],[20]]))</f>
        <v>НД</v>
      </c>
      <c r="AJ1033" s="111"/>
      <c r="AK1033" s="111"/>
      <c r="AL1033" s="512"/>
      <c r="AM1033" s="513" t="s">
        <v>113</v>
      </c>
      <c r="AN1033" s="801" t="s">
        <v>7191</v>
      </c>
      <c r="AO1033" s="468" t="str">
        <f>РПЗ!AD1033</f>
        <v>Нет</v>
      </c>
      <c r="AP1033" s="472">
        <f>РПЗ!V1033</f>
        <v>0</v>
      </c>
      <c r="AQ1033" s="470">
        <f>IF(Таблица5[[#This Row],[11]]=0,,MONTH(Таблица5[[#This Row],[11]]))</f>
        <v>6</v>
      </c>
    </row>
    <row r="1034" spans="1:43" ht="178.5" x14ac:dyDescent="0.25">
      <c r="A1034" s="233" t="str">
        <f t="shared" si="16"/>
        <v>1004-2017-01019</v>
      </c>
      <c r="B1034" s="233" t="str">
        <f>РПЗ!$D1034</f>
        <v>1004-2017-01019 выполнение строительно-монтажных работ по реализации проектных решений в разделах  силовое электроснабжение, электроосвещение; система водоснабжения и водоотведения; отопления, вентиляции и кондиционирования, тепловые сети; пусконаладочные работы с целью создания производственного участка в Лабораторно-производственном корпусе в АО "НИИ "Полюс" им. М.Ф. Стельмаха"</v>
      </c>
      <c r="C1034" s="233" t="str">
        <f>РПЗ!$AA1034</f>
        <v>АО "НИИ "Полюс" им. М.Ф. Стельмаха" тел. отдела закупок 8-495-333-05-02</v>
      </c>
      <c r="D1034" s="633" t="str">
        <f>РПЗ!$AB1034</f>
        <v>Заказчик</v>
      </c>
      <c r="E1034" s="510" t="s">
        <v>62</v>
      </c>
      <c r="F1034" s="233" t="str">
        <f>РПЗ!Q1034</f>
        <v>ОК</v>
      </c>
      <c r="G1034" s="237" t="str">
        <f>Таблица5[[#This Row],[6]]</f>
        <v>ОК</v>
      </c>
      <c r="H1034" s="237" t="str">
        <f>РПЗ!R1034</f>
        <v>Да</v>
      </c>
      <c r="I1034" s="15">
        <f>РПЗ!W1034</f>
        <v>0</v>
      </c>
      <c r="J1034" s="233">
        <f>РПЗ!X1034</f>
        <v>0</v>
      </c>
      <c r="K1034" s="283">
        <f>РПЗ!Z1034</f>
        <v>0</v>
      </c>
      <c r="L1034" s="17">
        <v>42888</v>
      </c>
      <c r="M1034" s="18">
        <f>РПЗ!O1034</f>
        <v>42887</v>
      </c>
      <c r="N1034" s="238">
        <f>Таблица5[[#This Row],[10]]</f>
        <v>42887</v>
      </c>
      <c r="O1034" s="17">
        <v>42919</v>
      </c>
      <c r="P1034" s="17">
        <v>42926</v>
      </c>
      <c r="Q1034" s="17">
        <v>42926</v>
      </c>
      <c r="R1034" s="17">
        <v>42919</v>
      </c>
      <c r="S1034" s="17">
        <v>42919</v>
      </c>
      <c r="T1034" s="686">
        <v>42933</v>
      </c>
      <c r="U1034" s="18">
        <f>РПЗ!P1034</f>
        <v>43100.5</v>
      </c>
      <c r="V1034" s="686">
        <v>43070</v>
      </c>
      <c r="W1034" s="236">
        <f>РПЗ!L1034</f>
        <v>46700000</v>
      </c>
      <c r="X1034" s="689">
        <v>2</v>
      </c>
      <c r="Y1034" s="689">
        <v>1</v>
      </c>
      <c r="Z1034" s="691">
        <v>7719746947</v>
      </c>
      <c r="AA1034" s="691" t="s">
        <v>6486</v>
      </c>
      <c r="AB1034" s="111">
        <v>33999698.619999997</v>
      </c>
      <c r="AC1034" s="17">
        <v>43070</v>
      </c>
      <c r="AD1034" s="690" t="s">
        <v>6487</v>
      </c>
      <c r="AE1034" s="686">
        <v>42933</v>
      </c>
      <c r="AF1034" s="474"/>
      <c r="AG1034" s="692">
        <v>33999698.619999997</v>
      </c>
      <c r="AH1034" s="236">
        <f>IF(Таблица5[[#This Row],[30]]=0,"НД",Таблица5[[#This Row],[20]]-Таблица5[[#This Row],[30]])</f>
        <v>12700301.380000003</v>
      </c>
      <c r="AI1034" s="511">
        <f>IF(((1-Таблица5[[#This Row],[30]]/Таблица5[[#This Row],[20]])=1),"НД",(1-Таблица5[[#This Row],[30]]/Таблица5[[#This Row],[20]]))</f>
        <v>0.27195506167023564</v>
      </c>
      <c r="AJ1034" s="111">
        <v>33999698.619999997</v>
      </c>
      <c r="AK1034" s="111"/>
      <c r="AL1034" s="512"/>
      <c r="AM1034" s="513" t="s">
        <v>113</v>
      </c>
      <c r="AN1034" s="801">
        <v>31705186972</v>
      </c>
      <c r="AO1034" s="468" t="str">
        <f>РПЗ!AD1034</f>
        <v>Нет</v>
      </c>
      <c r="AP1034" s="472">
        <f>РПЗ!V1034</f>
        <v>0</v>
      </c>
      <c r="AQ1034" s="470">
        <f>IF(Таблица5[[#This Row],[11]]=0,,MONTH(Таблица5[[#This Row],[11]]))</f>
        <v>6</v>
      </c>
    </row>
    <row r="1035" spans="1:43" ht="204" x14ac:dyDescent="0.25">
      <c r="A1035" s="233" t="str">
        <f t="shared" si="16"/>
        <v>1004-2017-01020</v>
      </c>
      <c r="B1035" s="233" t="str">
        <f>РПЗ!$D1035</f>
        <v>1004-2017-01020 выполнение строительно-монтажных работ по реализации проектных решений в разделах архитекрурные решения, конструктивно-планировочные решения; автоматизация систем вентиляции и кондиционирования; технологические газы; СКС; СКУД; автоматическая установка пожарной сигнализации, оповещения о пожаре, управления инженерными системами при пожаре с целью создания производственного участка в Лабораторно-производственном корпусе в АО "НИИ "Полюс" им. М.Ф. Стельмаха"</v>
      </c>
      <c r="C1035" s="233" t="str">
        <f>РПЗ!$AA1035</f>
        <v>АО "НИИ "Полюс" им. М.Ф. Стельмаха" тел. отдела закупок 8-495-333-05-02</v>
      </c>
      <c r="D1035" s="633" t="str">
        <f>РПЗ!$AB1035</f>
        <v>Заказчик</v>
      </c>
      <c r="E1035" s="510" t="s">
        <v>62</v>
      </c>
      <c r="F1035" s="233" t="str">
        <f>РПЗ!Q1035</f>
        <v>ОК</v>
      </c>
      <c r="G1035" s="237" t="str">
        <f>Таблица5[[#This Row],[6]]</f>
        <v>ОК</v>
      </c>
      <c r="H1035" s="237" t="str">
        <f>РПЗ!R1035</f>
        <v>Да</v>
      </c>
      <c r="I1035" s="15">
        <f>РПЗ!W1035</f>
        <v>0</v>
      </c>
      <c r="J1035" s="233">
        <f>РПЗ!X1035</f>
        <v>0</v>
      </c>
      <c r="K1035" s="283">
        <f>РПЗ!Z1035</f>
        <v>0</v>
      </c>
      <c r="L1035" s="17">
        <v>42888</v>
      </c>
      <c r="M1035" s="18">
        <f>РПЗ!O1035</f>
        <v>42887</v>
      </c>
      <c r="N1035" s="238">
        <f>Таблица5[[#This Row],[10]]</f>
        <v>42887</v>
      </c>
      <c r="O1035" s="17">
        <v>42919</v>
      </c>
      <c r="P1035" s="17">
        <v>42926</v>
      </c>
      <c r="Q1035" s="17">
        <v>42926</v>
      </c>
      <c r="R1035" s="17">
        <v>42919</v>
      </c>
      <c r="S1035" s="17">
        <v>42919</v>
      </c>
      <c r="T1035" s="686">
        <v>42933</v>
      </c>
      <c r="U1035" s="18">
        <f>РПЗ!P1035</f>
        <v>43100.5</v>
      </c>
      <c r="V1035" s="686">
        <v>43070</v>
      </c>
      <c r="W1035" s="236">
        <f>РПЗ!L1035</f>
        <v>47500000</v>
      </c>
      <c r="X1035" s="689">
        <v>1</v>
      </c>
      <c r="Y1035" s="689">
        <v>0</v>
      </c>
      <c r="Z1035" s="691">
        <v>7719746947</v>
      </c>
      <c r="AA1035" s="691" t="s">
        <v>6486</v>
      </c>
      <c r="AB1035" s="111">
        <v>34993854.68</v>
      </c>
      <c r="AC1035" s="17">
        <v>43070</v>
      </c>
      <c r="AD1035" s="690" t="s">
        <v>6488</v>
      </c>
      <c r="AE1035" s="686">
        <v>42933</v>
      </c>
      <c r="AF1035" s="474"/>
      <c r="AG1035" s="692">
        <v>34993854.68</v>
      </c>
      <c r="AH1035" s="236">
        <f>IF(Таблица5[[#This Row],[30]]=0,"НД",Таблица5[[#This Row],[20]]-Таблица5[[#This Row],[30]])</f>
        <v>12506145.32</v>
      </c>
      <c r="AI1035" s="511">
        <f>IF(((1-Таблица5[[#This Row],[30]]/Таблица5[[#This Row],[20]])=1),"НД",(1-Таблица5[[#This Row],[30]]/Таблица5[[#This Row],[20]]))</f>
        <v>0.26328726989473683</v>
      </c>
      <c r="AJ1035" s="111">
        <v>34993854.68</v>
      </c>
      <c r="AK1035" s="111"/>
      <c r="AL1035" s="512"/>
      <c r="AM1035" s="513" t="s">
        <v>113</v>
      </c>
      <c r="AN1035" s="801">
        <v>31705185041</v>
      </c>
      <c r="AO1035" s="468" t="str">
        <f>РПЗ!AD1035</f>
        <v>Нет</v>
      </c>
      <c r="AP1035" s="472">
        <f>РПЗ!V1035</f>
        <v>0</v>
      </c>
      <c r="AQ1035" s="470">
        <f>IF(Таблица5[[#This Row],[11]]=0,,MONTH(Таблица5[[#This Row],[11]]))</f>
        <v>6</v>
      </c>
    </row>
    <row r="1036" spans="1:43" ht="165.75" x14ac:dyDescent="0.25">
      <c r="A1036" s="233" t="str">
        <f t="shared" si="16"/>
        <v>1004-2017-01021</v>
      </c>
      <c r="B1036" s="233" t="str">
        <f>РПЗ!$D1036</f>
        <v>1004-2017--01021 выполнение строительно-монтажных работ по реализации проектных решений в разделах архитектурные решения, конструктивно-планировочные решения (по разделам: демонтажные работы, полы, стены, потолок)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v>
      </c>
      <c r="C1036" s="233" t="str">
        <f>РПЗ!$AA1036</f>
        <v>АО "НИИ "Полюс" им. М.Ф. Стельмаха" тел. отдела закупок 8-495-333-05-02</v>
      </c>
      <c r="D1036" s="633" t="str">
        <f>РПЗ!$AB1036</f>
        <v>Заказчик</v>
      </c>
      <c r="E1036" s="510" t="s">
        <v>62</v>
      </c>
      <c r="F1036" s="233" t="str">
        <f>РПЗ!Q1036</f>
        <v>ОК</v>
      </c>
      <c r="G1036" s="237" t="str">
        <f>Таблица5[[#This Row],[6]]</f>
        <v>ОК</v>
      </c>
      <c r="H1036" s="237" t="str">
        <f>РПЗ!R1036</f>
        <v>Да</v>
      </c>
      <c r="I1036" s="15">
        <f>РПЗ!W1036</f>
        <v>0</v>
      </c>
      <c r="J1036" s="233">
        <f>РПЗ!X1036</f>
        <v>0</v>
      </c>
      <c r="K1036" s="283">
        <f>РПЗ!Z1036</f>
        <v>0</v>
      </c>
      <c r="L1036" s="17">
        <v>42888</v>
      </c>
      <c r="M1036" s="18">
        <f>РПЗ!O1036</f>
        <v>42887</v>
      </c>
      <c r="N1036" s="238">
        <f>Таблица5[[#This Row],[10]]</f>
        <v>42887</v>
      </c>
      <c r="O1036" s="917">
        <v>42919</v>
      </c>
      <c r="P1036" s="17">
        <v>42926</v>
      </c>
      <c r="Q1036" s="17">
        <v>42926</v>
      </c>
      <c r="R1036" s="17">
        <v>42919</v>
      </c>
      <c r="S1036" s="17">
        <v>42919</v>
      </c>
      <c r="T1036" s="686">
        <v>42937</v>
      </c>
      <c r="U1036" s="18">
        <f>РПЗ!P1036</f>
        <v>43100.5</v>
      </c>
      <c r="V1036" s="686">
        <v>43070</v>
      </c>
      <c r="W1036" s="236">
        <f>РПЗ!L1036</f>
        <v>37800000</v>
      </c>
      <c r="X1036" s="689">
        <v>1</v>
      </c>
      <c r="Y1036" s="689">
        <v>0</v>
      </c>
      <c r="Z1036" s="691">
        <v>7715784959</v>
      </c>
      <c r="AA1036" s="691" t="s">
        <v>6112</v>
      </c>
      <c r="AB1036" s="111">
        <v>32886000</v>
      </c>
      <c r="AC1036" s="17">
        <v>43070</v>
      </c>
      <c r="AD1036" s="690" t="s">
        <v>6489</v>
      </c>
      <c r="AE1036" s="686">
        <v>42937</v>
      </c>
      <c r="AF1036" s="474"/>
      <c r="AG1036" s="692">
        <v>32886000</v>
      </c>
      <c r="AH1036" s="236">
        <f>IF(Таблица5[[#This Row],[30]]=0,"НД",Таблица5[[#This Row],[20]]-Таблица5[[#This Row],[30]])</f>
        <v>4914000</v>
      </c>
      <c r="AI1036" s="511">
        <f>IF(((1-Таблица5[[#This Row],[30]]/Таблица5[[#This Row],[20]])=1),"НД",(1-Таблица5[[#This Row],[30]]/Таблица5[[#This Row],[20]]))</f>
        <v>0.13</v>
      </c>
      <c r="AJ1036" s="111">
        <v>32886000</v>
      </c>
      <c r="AK1036" s="111"/>
      <c r="AL1036" s="512"/>
      <c r="AM1036" s="513" t="s">
        <v>113</v>
      </c>
      <c r="AN1036" s="801">
        <v>31705184158</v>
      </c>
      <c r="AO1036" s="468" t="str">
        <f>РПЗ!AD1036</f>
        <v>Нет</v>
      </c>
      <c r="AP1036" s="472">
        <f>РПЗ!V1036</f>
        <v>0</v>
      </c>
      <c r="AQ1036" s="470">
        <f>IF(Таблица5[[#This Row],[11]]=0,,MONTH(Таблица5[[#This Row],[11]]))</f>
        <v>6</v>
      </c>
    </row>
    <row r="1037" spans="1:43" ht="165.75" x14ac:dyDescent="0.25">
      <c r="A1037" s="233" t="str">
        <f t="shared" si="16"/>
        <v>1004-2017-01022</v>
      </c>
      <c r="B1037" s="233" t="str">
        <f>РПЗ!$D1037</f>
        <v>1004-2017-01022 выполнение строительно-монтажных работ по реализации проектных решений в разделах архитектурные решения, конструктивно-планировочные решения (по разделам: проемы, окна, окна пом. 326, прочие работы кровля)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v>
      </c>
      <c r="C1037" s="233" t="str">
        <f>РПЗ!$AA1037</f>
        <v>АО "НИИ "Полюс" им. М.Ф. Стельмаха" тел. отдела закупок 8-495-333-05-02</v>
      </c>
      <c r="D1037" s="633" t="str">
        <f>РПЗ!$AB1037</f>
        <v>Заказчик</v>
      </c>
      <c r="E1037" s="510" t="s">
        <v>62</v>
      </c>
      <c r="F1037" s="233" t="str">
        <f>РПЗ!Q1037</f>
        <v>ОК</v>
      </c>
      <c r="G1037" s="237" t="str">
        <f>Таблица5[[#This Row],[6]]</f>
        <v>ОК</v>
      </c>
      <c r="H1037" s="237" t="str">
        <f>РПЗ!R1037</f>
        <v>Да</v>
      </c>
      <c r="I1037" s="15">
        <f>РПЗ!W1037</f>
        <v>0</v>
      </c>
      <c r="J1037" s="233">
        <f>РПЗ!X1037</f>
        <v>0</v>
      </c>
      <c r="K1037" s="283">
        <f>РПЗ!Z1037</f>
        <v>0</v>
      </c>
      <c r="L1037" s="17">
        <v>42891</v>
      </c>
      <c r="M1037" s="18">
        <f>РПЗ!O1037</f>
        <v>42887</v>
      </c>
      <c r="N1037" s="238">
        <f>Таблица5[[#This Row],[10]]</f>
        <v>42887</v>
      </c>
      <c r="O1037" s="17">
        <v>42919</v>
      </c>
      <c r="P1037" s="17">
        <v>42926</v>
      </c>
      <c r="Q1037" s="17">
        <v>42926</v>
      </c>
      <c r="R1037" s="17">
        <v>42930</v>
      </c>
      <c r="S1037" s="17">
        <v>42930</v>
      </c>
      <c r="T1037" s="686">
        <v>42937</v>
      </c>
      <c r="U1037" s="18">
        <f>РПЗ!P1037</f>
        <v>43100.5</v>
      </c>
      <c r="V1037" s="686">
        <v>43070</v>
      </c>
      <c r="W1037" s="236">
        <f>РПЗ!L1037</f>
        <v>37200000</v>
      </c>
      <c r="X1037" s="689">
        <v>1</v>
      </c>
      <c r="Y1037" s="689">
        <v>0</v>
      </c>
      <c r="Z1037" s="691">
        <v>7715784959</v>
      </c>
      <c r="AA1037" s="691" t="s">
        <v>6112</v>
      </c>
      <c r="AB1037" s="111">
        <v>32364000</v>
      </c>
      <c r="AC1037" s="17">
        <v>43070</v>
      </c>
      <c r="AD1037" s="690" t="s">
        <v>6612</v>
      </c>
      <c r="AE1037" s="686">
        <v>42937</v>
      </c>
      <c r="AF1037" s="474"/>
      <c r="AG1037" s="692">
        <v>32364000</v>
      </c>
      <c r="AH1037" s="236">
        <f>IF(Таблица5[[#This Row],[30]]=0,"НД",Таблица5[[#This Row],[20]]-Таблица5[[#This Row],[30]])</f>
        <v>4836000</v>
      </c>
      <c r="AI1037" s="511">
        <f>IF(((1-Таблица5[[#This Row],[30]]/Таблица5[[#This Row],[20]])=1),"НД",(1-Таблица5[[#This Row],[30]]/Таблица5[[#This Row],[20]]))</f>
        <v>0.13</v>
      </c>
      <c r="AJ1037" s="111">
        <v>32364000</v>
      </c>
      <c r="AK1037" s="111"/>
      <c r="AL1037" s="512"/>
      <c r="AM1037" s="513" t="s">
        <v>113</v>
      </c>
      <c r="AN1037" s="801">
        <v>31705189286</v>
      </c>
      <c r="AO1037" s="468" t="str">
        <f>РПЗ!AD1037</f>
        <v>Нет</v>
      </c>
      <c r="AP1037" s="472">
        <f>РПЗ!V1037</f>
        <v>0</v>
      </c>
      <c r="AQ1037" s="470">
        <f>IF(Таблица5[[#This Row],[11]]=0,,MONTH(Таблица5[[#This Row],[11]]))</f>
        <v>6</v>
      </c>
    </row>
    <row r="1038" spans="1:43" ht="204" x14ac:dyDescent="0.25">
      <c r="A1038" s="233" t="str">
        <f t="shared" si="16"/>
        <v>1004-2017-01023</v>
      </c>
      <c r="B1038" s="233" t="str">
        <f>РПЗ!$D1038</f>
        <v>1004-2017-01023 выполнение строительно-монтажных работ по реализации проектных решений в разделах система водоснабжения и водоотведения; отопления, вентиляции и кондиционирования, тепловые сети; автоматизация систем вентиляции и кондиционирования; пусконаладочные работы в части реконструкции и технического перевооружения в  Лабораторном корпусе для создания участков производства лазерных датчиков  в АО "НИИ "Полюс" им. М.Ф. Стельмаха"</v>
      </c>
      <c r="C1038" s="233" t="str">
        <f>РПЗ!$AA1038</f>
        <v>АО "НИИ "Полюс" им. М.Ф. Стельмаха" тел. отдела закупок 8-495-333-05-02</v>
      </c>
      <c r="D1038" s="633" t="str">
        <f>РПЗ!$AB1038</f>
        <v>Заказчик</v>
      </c>
      <c r="E1038" s="510" t="s">
        <v>62</v>
      </c>
      <c r="F1038" s="233" t="str">
        <f>РПЗ!Q1038</f>
        <v>ОК</v>
      </c>
      <c r="G1038" s="237" t="str">
        <f>Таблица5[[#This Row],[6]]</f>
        <v>ОК</v>
      </c>
      <c r="H1038" s="237" t="str">
        <f>РПЗ!R1038</f>
        <v>Да</v>
      </c>
      <c r="I1038" s="15">
        <f>РПЗ!W1038</f>
        <v>0</v>
      </c>
      <c r="J1038" s="233">
        <f>РПЗ!X1038</f>
        <v>0</v>
      </c>
      <c r="K1038" s="283">
        <f>РПЗ!Z1038</f>
        <v>0</v>
      </c>
      <c r="L1038" s="17">
        <v>42891</v>
      </c>
      <c r="M1038" s="18">
        <f>РПЗ!O1038</f>
        <v>42887</v>
      </c>
      <c r="N1038" s="238">
        <f>Таблица5[[#This Row],[10]]</f>
        <v>42887</v>
      </c>
      <c r="O1038" s="17">
        <v>42919</v>
      </c>
      <c r="P1038" s="17">
        <v>42926</v>
      </c>
      <c r="Q1038" s="17">
        <v>42926</v>
      </c>
      <c r="R1038" s="17">
        <v>42930</v>
      </c>
      <c r="S1038" s="17">
        <v>42930</v>
      </c>
      <c r="T1038" s="686">
        <v>42937</v>
      </c>
      <c r="U1038" s="18">
        <f>РПЗ!P1038</f>
        <v>43100.5</v>
      </c>
      <c r="V1038" s="686">
        <v>43070</v>
      </c>
      <c r="W1038" s="236">
        <f>РПЗ!L1038</f>
        <v>49500000</v>
      </c>
      <c r="X1038" s="689">
        <v>1</v>
      </c>
      <c r="Y1038" s="689">
        <v>0</v>
      </c>
      <c r="Z1038" s="691">
        <v>7715784959</v>
      </c>
      <c r="AA1038" s="691" t="s">
        <v>6112</v>
      </c>
      <c r="AB1038" s="111">
        <v>43065000</v>
      </c>
      <c r="AC1038" s="17">
        <v>43070</v>
      </c>
      <c r="AD1038" s="690" t="s">
        <v>6613</v>
      </c>
      <c r="AE1038" s="686">
        <v>42937</v>
      </c>
      <c r="AF1038" s="474"/>
      <c r="AG1038" s="692">
        <v>43065000</v>
      </c>
      <c r="AH1038" s="236">
        <f>IF(Таблица5[[#This Row],[30]]=0,"НД",Таблица5[[#This Row],[20]]-Таблица5[[#This Row],[30]])</f>
        <v>6435000</v>
      </c>
      <c r="AI1038" s="511">
        <f>IF(((1-Таблица5[[#This Row],[30]]/Таблица5[[#This Row],[20]])=1),"НД",(1-Таблица5[[#This Row],[30]]/Таблица5[[#This Row],[20]]))</f>
        <v>0.13</v>
      </c>
      <c r="AJ1038" s="111">
        <v>43065000</v>
      </c>
      <c r="AK1038" s="111"/>
      <c r="AL1038" s="512"/>
      <c r="AM1038" s="513" t="s">
        <v>113</v>
      </c>
      <c r="AN1038" s="801">
        <v>31705189372</v>
      </c>
      <c r="AO1038" s="468" t="str">
        <f>РПЗ!AD1038</f>
        <v>Нет</v>
      </c>
      <c r="AP1038" s="472">
        <f>РПЗ!V1038</f>
        <v>0</v>
      </c>
      <c r="AQ1038" s="470">
        <f>IF(Таблица5[[#This Row],[11]]=0,,MONTH(Таблица5[[#This Row],[11]]))</f>
        <v>6</v>
      </c>
    </row>
    <row r="1039" spans="1:43" ht="216.75" x14ac:dyDescent="0.25">
      <c r="A1039" s="233" t="str">
        <f t="shared" si="16"/>
        <v>1004-2017-01024</v>
      </c>
      <c r="B1039" s="233" t="str">
        <f>РПЗ!$D1039</f>
        <v>1004-2017-01024 выполнение строительно-монтажных работ по реализации проектных решений в разделах силовое электроснабжения, электроосвещения; технологические газы; помещение №141; СКС; СКУД; автоматическая установка пожарной сигнализации, оповещения о пожаре, управления инженерными системами при пожаре в части реконструкции и технического перевооружения в  Лабораторном корпусе,  для создания участков производства лазерных датчиков  в АО "НИИ "Полюс" им. М.Ф. Стельмаха"</v>
      </c>
      <c r="C1039" s="233" t="str">
        <f>РПЗ!$AA1039</f>
        <v>АО "НИИ "Полюс" им. М.Ф. Стельмаха" тел. отдела закупок 8-495-333-05-02</v>
      </c>
      <c r="D1039" s="633" t="str">
        <f>РПЗ!$AB1039</f>
        <v>Заказчик</v>
      </c>
      <c r="E1039" s="510" t="s">
        <v>62</v>
      </c>
      <c r="F1039" s="233" t="str">
        <f>РПЗ!Q1039</f>
        <v>ОК</v>
      </c>
      <c r="G1039" s="237" t="str">
        <f>Таблица5[[#This Row],[6]]</f>
        <v>ОК</v>
      </c>
      <c r="H1039" s="237" t="str">
        <f>РПЗ!R1039</f>
        <v>Да</v>
      </c>
      <c r="I1039" s="15">
        <f>РПЗ!W1039</f>
        <v>0</v>
      </c>
      <c r="J1039" s="233">
        <f>РПЗ!X1039</f>
        <v>0</v>
      </c>
      <c r="K1039" s="283">
        <f>РПЗ!Z1039</f>
        <v>0</v>
      </c>
      <c r="L1039" s="17">
        <v>42888</v>
      </c>
      <c r="M1039" s="18">
        <f>РПЗ!O1039</f>
        <v>42887</v>
      </c>
      <c r="N1039" s="238">
        <f>Таблица5[[#This Row],[10]]</f>
        <v>42887</v>
      </c>
      <c r="O1039" s="17">
        <v>42919</v>
      </c>
      <c r="P1039" s="17">
        <v>42926</v>
      </c>
      <c r="Q1039" s="17">
        <v>42926</v>
      </c>
      <c r="R1039" s="17">
        <v>42930</v>
      </c>
      <c r="S1039" s="17">
        <v>42930</v>
      </c>
      <c r="T1039" s="686">
        <v>42937</v>
      </c>
      <c r="U1039" s="18">
        <f>РПЗ!P1039</f>
        <v>43100.5</v>
      </c>
      <c r="V1039" s="686">
        <v>43070</v>
      </c>
      <c r="W1039" s="236">
        <f>РПЗ!L1039</f>
        <v>49000000</v>
      </c>
      <c r="X1039" s="689">
        <v>1</v>
      </c>
      <c r="Y1039" s="689">
        <v>0</v>
      </c>
      <c r="Z1039" s="691">
        <v>7715784959</v>
      </c>
      <c r="AA1039" s="691" t="s">
        <v>6112</v>
      </c>
      <c r="AB1039" s="111">
        <v>42630000.100000001</v>
      </c>
      <c r="AC1039" s="17">
        <v>43070</v>
      </c>
      <c r="AD1039" s="690" t="s">
        <v>6614</v>
      </c>
      <c r="AE1039" s="686">
        <v>42937</v>
      </c>
      <c r="AF1039" s="474"/>
      <c r="AG1039" s="692">
        <v>42630000.100000001</v>
      </c>
      <c r="AH1039" s="236">
        <f>IF(Таблица5[[#This Row],[30]]=0,"НД",Таблица5[[#This Row],[20]]-Таблица5[[#This Row],[30]])</f>
        <v>6369999.8999999985</v>
      </c>
      <c r="AI1039" s="511">
        <f>IF(((1-Таблица5[[#This Row],[30]]/Таблица5[[#This Row],[20]])=1),"НД",(1-Таблица5[[#This Row],[30]]/Таблица5[[#This Row],[20]]))</f>
        <v>0.1299999979591836</v>
      </c>
      <c r="AJ1039" s="111">
        <v>42630000.100000001</v>
      </c>
      <c r="AK1039" s="111"/>
      <c r="AL1039" s="512"/>
      <c r="AM1039" s="513" t="s">
        <v>113</v>
      </c>
      <c r="AN1039" s="801">
        <v>31705183457</v>
      </c>
      <c r="AO1039" s="468" t="str">
        <f>РПЗ!AD1039</f>
        <v>Нет</v>
      </c>
      <c r="AP1039" s="472">
        <f>РПЗ!V1039</f>
        <v>0</v>
      </c>
      <c r="AQ1039" s="470">
        <f>IF(Таблица5[[#This Row],[11]]=0,,MONTH(Таблица5[[#This Row],[11]]))</f>
        <v>6</v>
      </c>
    </row>
    <row r="1040" spans="1:43" ht="153.75" thickBot="1" x14ac:dyDescent="0.3">
      <c r="A1040" s="233" t="str">
        <f t="shared" si="16"/>
        <v>1004-2017-01025</v>
      </c>
      <c r="B1040" s="233" t="str">
        <f>РПЗ!$D1040</f>
        <v>1004-2017-01025 Оказание услуг по проведению периодической аттестации   испытательного оборудования :1)  двухосевой динамический стенд AC 2267-TCМ (заводской № 21240);2)  двухосевой динамический стенд AC 2247-TCM (заводской № 21283); 3)  двухосевой динамический стенд AC 2267-TCM (заводской № 21330);4)трехосевой динамический стенд AC 3367(заводской № 21331).</v>
      </c>
      <c r="C1040" s="233" t="str">
        <f>РПЗ!$AA1040</f>
        <v>АО "НИИ "Полюс" им. М.Ф. Стельмаха" тел. отдела закупок 8-495-333-05-02</v>
      </c>
      <c r="D1040" s="633" t="str">
        <f>РПЗ!$AB1040</f>
        <v>Заказчик</v>
      </c>
      <c r="E1040" s="510" t="s">
        <v>62</v>
      </c>
      <c r="F1040" s="233" t="str">
        <f>РПЗ!Q1040</f>
        <v>ОЗК</v>
      </c>
      <c r="G1040" s="237" t="str">
        <f>Таблица5[[#This Row],[6]]</f>
        <v>ОЗК</v>
      </c>
      <c r="H1040" s="237" t="str">
        <f>РПЗ!R1040</f>
        <v>Да</v>
      </c>
      <c r="I1040" s="15">
        <f>РПЗ!W1040</f>
        <v>0</v>
      </c>
      <c r="J1040" s="233">
        <f>РПЗ!X1040</f>
        <v>0</v>
      </c>
      <c r="K1040" s="283">
        <f>РПЗ!Z1040</f>
        <v>0</v>
      </c>
      <c r="L1040" s="17">
        <v>42905</v>
      </c>
      <c r="M1040" s="18">
        <f>РПЗ!O1040</f>
        <v>42887</v>
      </c>
      <c r="N1040" s="238">
        <f>Таблица5[[#This Row],[10]]</f>
        <v>42887</v>
      </c>
      <c r="O1040" s="17">
        <v>42913</v>
      </c>
      <c r="P1040" s="17">
        <v>42916</v>
      </c>
      <c r="Q1040" s="17">
        <v>42916</v>
      </c>
      <c r="R1040" s="17">
        <v>42916</v>
      </c>
      <c r="S1040" s="17">
        <v>42916</v>
      </c>
      <c r="T1040" s="686">
        <v>42929</v>
      </c>
      <c r="U1040" s="18">
        <f>РПЗ!P1040</f>
        <v>42887</v>
      </c>
      <c r="V1040" s="686">
        <v>42948</v>
      </c>
      <c r="W1040" s="236">
        <f>РПЗ!L1040</f>
        <v>1340000</v>
      </c>
      <c r="X1040" s="689">
        <v>2</v>
      </c>
      <c r="Y1040" s="689">
        <v>0</v>
      </c>
      <c r="Z1040" s="691">
        <v>7714582188</v>
      </c>
      <c r="AA1040" s="691" t="s">
        <v>6615</v>
      </c>
      <c r="AB1040" s="111">
        <v>1340000</v>
      </c>
      <c r="AC1040" s="17">
        <v>42948</v>
      </c>
      <c r="AD1040" s="690" t="s">
        <v>6616</v>
      </c>
      <c r="AE1040" s="686">
        <v>42929</v>
      </c>
      <c r="AF1040" s="474"/>
      <c r="AG1040" s="692">
        <v>1340000</v>
      </c>
      <c r="AH1040" s="236">
        <f>IF(Таблица5[[#This Row],[30]]=0,"НД",Таблица5[[#This Row],[20]]-Таблица5[[#This Row],[30]])</f>
        <v>0</v>
      </c>
      <c r="AI1040" s="511">
        <f>IF(((1-Таблица5[[#This Row],[30]]/Таблица5[[#This Row],[20]])=1),"НД",(1-Таблица5[[#This Row],[30]]/Таблица5[[#This Row],[20]]))</f>
        <v>0</v>
      </c>
      <c r="AJ1040" s="111">
        <v>1340000</v>
      </c>
      <c r="AK1040" s="111"/>
      <c r="AL1040" s="512"/>
      <c r="AM1040" s="513" t="s">
        <v>113</v>
      </c>
      <c r="AN1040" s="801">
        <v>31705232608</v>
      </c>
      <c r="AO1040" s="468" t="str">
        <f>РПЗ!AD1040</f>
        <v>Нет</v>
      </c>
      <c r="AP1040" s="472">
        <f>РПЗ!V1040</f>
        <v>0</v>
      </c>
      <c r="AQ1040" s="470">
        <f>IF(Таблица5[[#This Row],[11]]=0,,MONTH(Таблица5[[#This Row],[11]]))</f>
        <v>6</v>
      </c>
    </row>
    <row r="1041" spans="1:43" ht="51" x14ac:dyDescent="0.25">
      <c r="A1041" s="233" t="str">
        <f t="shared" si="16"/>
        <v>1004-2017-01026</v>
      </c>
      <c r="B1041" s="233" t="str">
        <f>РПЗ!$D1041</f>
        <v>1004-2017-01026 Поставка холоднокатаная лента из прецизионного магнитно-мягкого сплава 80НМ (Лента-0,5х250-80НМ).</v>
      </c>
      <c r="C1041" s="233" t="str">
        <f>РПЗ!$AA1041</f>
        <v>АО "НИИ "Полюс" им. М.Ф. Стельмаха" тел. отдела закупок 8-495-333-05-02</v>
      </c>
      <c r="D1041" s="633" t="str">
        <f>РПЗ!$AB1041</f>
        <v>Заказчик</v>
      </c>
      <c r="E1041" s="96" t="s">
        <v>46</v>
      </c>
      <c r="F1041" s="233" t="str">
        <f>РПЗ!Q1041</f>
        <v>ЕП</v>
      </c>
      <c r="G1041" s="237"/>
      <c r="H1041" s="237" t="str">
        <f>РПЗ!R1041</f>
        <v>Нет</v>
      </c>
      <c r="I1041" s="15">
        <f>РПЗ!W1041</f>
        <v>0</v>
      </c>
      <c r="J1041" s="233">
        <f>РПЗ!X1041</f>
        <v>0</v>
      </c>
      <c r="K1041" s="283">
        <f>РПЗ!Z1041</f>
        <v>0</v>
      </c>
      <c r="L1041" s="17"/>
      <c r="M1041" s="18">
        <f>РПЗ!O1041</f>
        <v>42887</v>
      </c>
      <c r="N1041" s="238">
        <f>Таблица5[[#This Row],[10]]</f>
        <v>42887</v>
      </c>
      <c r="O1041" s="17"/>
      <c r="P1041" s="17"/>
      <c r="Q1041" s="17"/>
      <c r="R1041" s="17"/>
      <c r="S1041" s="17"/>
      <c r="T1041" s="686"/>
      <c r="U1041" s="18">
        <f>РПЗ!P1041</f>
        <v>42887</v>
      </c>
      <c r="V1041" s="686"/>
      <c r="W1041" s="236">
        <f>РПЗ!L1041</f>
        <v>5212654.72</v>
      </c>
      <c r="X1041" s="689"/>
      <c r="Y1041" s="689"/>
      <c r="Z1041" s="690"/>
      <c r="AA1041" s="691"/>
      <c r="AB1041" s="111"/>
      <c r="AC1041" s="17"/>
      <c r="AD1041" s="690"/>
      <c r="AE1041" s="686"/>
      <c r="AF1041" s="474"/>
      <c r="AG1041" s="692"/>
      <c r="AH1041" s="236" t="str">
        <f>IF(Таблица5[[#This Row],[30]]=0,"НД",Таблица5[[#This Row],[20]]-Таблица5[[#This Row],[30]])</f>
        <v>НД</v>
      </c>
      <c r="AI1041" s="511" t="str">
        <f>IF(((1-Таблица5[[#This Row],[30]]/Таблица5[[#This Row],[20]])=1),"НД",(1-Таблица5[[#This Row],[30]]/Таблица5[[#This Row],[20]]))</f>
        <v>НД</v>
      </c>
      <c r="AJ1041" s="111"/>
      <c r="AK1041" s="111"/>
      <c r="AL1041" s="512"/>
      <c r="AM1041" s="513"/>
      <c r="AN1041" s="465"/>
      <c r="AO1041" s="468" t="str">
        <f>РПЗ!AD1041</f>
        <v>Нет</v>
      </c>
      <c r="AP1041" s="472">
        <f>РПЗ!V1041</f>
        <v>0</v>
      </c>
      <c r="AQ1041" s="470">
        <f>IF(Таблица5[[#This Row],[11]]=0,,MONTH(Таблица5[[#This Row],[11]]))</f>
        <v>6</v>
      </c>
    </row>
    <row r="1042" spans="1:43" ht="38.25" x14ac:dyDescent="0.25">
      <c r="A1042" s="233" t="str">
        <f t="shared" si="16"/>
        <v>1004-2017-01027</v>
      </c>
      <c r="B1042" s="233" t="str">
        <f>РПЗ!$D1042</f>
        <v>1004-2017--01027 Поставка Система лазерной маркировки «Турбо-Маркер» В50</v>
      </c>
      <c r="C1042" s="233" t="str">
        <f>РПЗ!$AA1042</f>
        <v>АО "НИИ "Полюс" им. М.Ф. Стельмаха" тел. отдела закупок 8-495-333-05-02</v>
      </c>
      <c r="D1042" s="633" t="str">
        <f>РПЗ!$AB1042</f>
        <v>Заказчик</v>
      </c>
      <c r="E1042" s="510" t="s">
        <v>62</v>
      </c>
      <c r="F1042" s="233" t="str">
        <f>РПЗ!Q1042</f>
        <v>ОЗК</v>
      </c>
      <c r="G1042" s="237" t="str">
        <f>Таблица5[[#This Row],[6]]</f>
        <v>ОЗК</v>
      </c>
      <c r="H1042" s="237" t="str">
        <f>РПЗ!R1042</f>
        <v>Да</v>
      </c>
      <c r="I1042" s="15">
        <f>РПЗ!W1042</f>
        <v>0</v>
      </c>
      <c r="J1042" s="233">
        <f>РПЗ!X1042</f>
        <v>0</v>
      </c>
      <c r="K1042" s="283">
        <f>РПЗ!Z1042</f>
        <v>0</v>
      </c>
      <c r="L1042" s="17">
        <v>42892</v>
      </c>
      <c r="M1042" s="18">
        <f>РПЗ!O1042</f>
        <v>42887</v>
      </c>
      <c r="N1042" s="238">
        <f>Таблица5[[#This Row],[10]]</f>
        <v>42887</v>
      </c>
      <c r="O1042" s="17">
        <v>42900</v>
      </c>
      <c r="P1042" s="17">
        <v>42906</v>
      </c>
      <c r="Q1042" s="17">
        <v>42906</v>
      </c>
      <c r="R1042" s="17">
        <v>42900</v>
      </c>
      <c r="S1042" s="17">
        <v>42900</v>
      </c>
      <c r="T1042" s="686">
        <v>42916</v>
      </c>
      <c r="U1042" s="18">
        <f>РПЗ!P1042</f>
        <v>43100.5</v>
      </c>
      <c r="V1042" s="686">
        <v>42917</v>
      </c>
      <c r="W1042" s="236">
        <f>РПЗ!L1042</f>
        <v>2502000</v>
      </c>
      <c r="X1042" s="689">
        <v>3</v>
      </c>
      <c r="Y1042" s="689">
        <v>0</v>
      </c>
      <c r="Z1042" s="691">
        <v>7806210863</v>
      </c>
      <c r="AA1042" s="691" t="s">
        <v>5945</v>
      </c>
      <c r="AB1042" s="111">
        <v>1872000</v>
      </c>
      <c r="AC1042" s="17">
        <v>42917</v>
      </c>
      <c r="AD1042" s="690" t="s">
        <v>6128</v>
      </c>
      <c r="AE1042" s="686">
        <v>42916</v>
      </c>
      <c r="AF1042" s="474"/>
      <c r="AG1042" s="692">
        <v>1872000</v>
      </c>
      <c r="AH1042" s="236">
        <f>IF(Таблица5[[#This Row],[30]]=0,"НД",Таблица5[[#This Row],[20]]-Таблица5[[#This Row],[30]])</f>
        <v>630000</v>
      </c>
      <c r="AI1042" s="511">
        <f>IF(((1-Таблица5[[#This Row],[30]]/Таблица5[[#This Row],[20]])=1),"НД",(1-Таблица5[[#This Row],[30]]/Таблица5[[#This Row],[20]]))</f>
        <v>0.25179856115107913</v>
      </c>
      <c r="AJ1042" s="111">
        <v>1872000</v>
      </c>
      <c r="AK1042" s="111"/>
      <c r="AL1042" s="512"/>
      <c r="AM1042" s="513" t="s">
        <v>113</v>
      </c>
      <c r="AN1042" s="465">
        <v>31705194637</v>
      </c>
      <c r="AO1042" s="468" t="str">
        <f>РПЗ!AD1042</f>
        <v>Нет</v>
      </c>
      <c r="AP1042" s="472">
        <f>РПЗ!V1042</f>
        <v>0</v>
      </c>
      <c r="AQ1042" s="470">
        <f>IF(Таблица5[[#This Row],[11]]=0,,MONTH(Таблица5[[#This Row],[11]]))</f>
        <v>6</v>
      </c>
    </row>
    <row r="1043" spans="1:43" ht="51.75" thickBot="1" x14ac:dyDescent="0.3">
      <c r="A1043" s="233" t="str">
        <f t="shared" si="16"/>
        <v>1004-2017-01028</v>
      </c>
      <c r="B1043" s="233" t="str">
        <f>РПЗ!$D1043</f>
        <v>1004-2017-01028 Поставка Кристалл ЖГДК.432245.006</v>
      </c>
      <c r="C1043" s="233" t="str">
        <f>РПЗ!$AA1043</f>
        <v>АО "НИИ "Полюс" им. М.Ф. Стельмаха" тел. отдела закупок 8-495-333-05-02</v>
      </c>
      <c r="D1043" s="633" t="str">
        <f>РПЗ!$AB1043</f>
        <v>Заказчик</v>
      </c>
      <c r="E1043" s="510" t="s">
        <v>62</v>
      </c>
      <c r="F1043" s="233" t="str">
        <f>РПЗ!Q1043</f>
        <v>ЕП</v>
      </c>
      <c r="G1043" s="237" t="str">
        <f>Таблица5[[#This Row],[6]]</f>
        <v>ЕП</v>
      </c>
      <c r="H1043" s="237" t="str">
        <f>РПЗ!R1043</f>
        <v>Нет</v>
      </c>
      <c r="I1043" s="15" t="str">
        <f>РПЗ!W1043</f>
        <v>6.6.2(11)</v>
      </c>
      <c r="J1043" s="233" t="str">
        <f>РПЗ!X1043</f>
        <v>4026000108</v>
      </c>
      <c r="K1043" s="283">
        <f>РПЗ!Z1043</f>
        <v>667644</v>
      </c>
      <c r="L1043" s="17">
        <v>43032</v>
      </c>
      <c r="M1043" s="18">
        <f>РПЗ!O1043</f>
        <v>42887</v>
      </c>
      <c r="N1043" s="238">
        <f>Таблица5[[#This Row],[10]]</f>
        <v>42887</v>
      </c>
      <c r="O1043" s="17"/>
      <c r="P1043" s="17"/>
      <c r="Q1043" s="17"/>
      <c r="R1043" s="17"/>
      <c r="S1043" s="17"/>
      <c r="T1043" s="686">
        <v>43060</v>
      </c>
      <c r="U1043" s="18">
        <f>РПЗ!P1043</f>
        <v>43100.5</v>
      </c>
      <c r="V1043" s="686">
        <v>43100</v>
      </c>
      <c r="W1043" s="236">
        <f>РПЗ!L1043</f>
        <v>667644</v>
      </c>
      <c r="X1043" s="689">
        <v>1</v>
      </c>
      <c r="Y1043" s="689">
        <v>0</v>
      </c>
      <c r="Z1043" s="691">
        <v>4026000108</v>
      </c>
      <c r="AA1043" s="691" t="s">
        <v>5084</v>
      </c>
      <c r="AB1043" s="111">
        <v>667644</v>
      </c>
      <c r="AC1043" s="17">
        <v>43100</v>
      </c>
      <c r="AD1043" s="690" t="s">
        <v>7690</v>
      </c>
      <c r="AE1043" s="686">
        <v>43060</v>
      </c>
      <c r="AF1043" s="474"/>
      <c r="AG1043" s="692">
        <v>667644</v>
      </c>
      <c r="AH1043" s="236">
        <f>IF(Таблица5[[#This Row],[30]]=0,"НД",Таблица5[[#This Row],[20]]-Таблица5[[#This Row],[30]])</f>
        <v>0</v>
      </c>
      <c r="AI1043" s="511">
        <f>IF(((1-Таблица5[[#This Row],[30]]/Таблица5[[#This Row],[20]])=1),"НД",(1-Таблица5[[#This Row],[30]]/Таблица5[[#This Row],[20]]))</f>
        <v>0</v>
      </c>
      <c r="AJ1043" s="111"/>
      <c r="AK1043" s="111"/>
      <c r="AL1043" s="512"/>
      <c r="AM1043" s="513" t="s">
        <v>113</v>
      </c>
      <c r="AN1043" s="801">
        <v>31705668829</v>
      </c>
      <c r="AO1043" s="468" t="str">
        <f>РПЗ!AD1043</f>
        <v>Нет</v>
      </c>
      <c r="AP1043" s="472">
        <f>РПЗ!V1043</f>
        <v>0</v>
      </c>
      <c r="AQ1043" s="470">
        <f>IF(Таблица5[[#This Row],[11]]=0,,MONTH(Таблица5[[#This Row],[11]]))</f>
        <v>6</v>
      </c>
    </row>
    <row r="1044" spans="1:43" ht="51" x14ac:dyDescent="0.25">
      <c r="A1044" s="233" t="str">
        <f t="shared" si="16"/>
        <v>1004-2017-01029</v>
      </c>
      <c r="B1044" s="233" t="str">
        <f>РПЗ!$D1044</f>
        <v>1004-2017-01029 Поставка Изготовление и поставка комплектов механических деталей для изд. МТД (с излучателем)</v>
      </c>
      <c r="C1044" s="233" t="str">
        <f>РПЗ!$AA1044</f>
        <v>АО "НИИ "Полюс" им. М.Ф. Стельмаха" тел. отдела закупок 8-495-333-05-02</v>
      </c>
      <c r="D1044" s="633" t="str">
        <f>РПЗ!$AB1044</f>
        <v>Заказчик</v>
      </c>
      <c r="E1044" s="96" t="s">
        <v>46</v>
      </c>
      <c r="F1044" s="233" t="str">
        <f>РПЗ!Q1044</f>
        <v>ЕП</v>
      </c>
      <c r="G1044" s="237"/>
      <c r="H1044" s="237" t="str">
        <f>РПЗ!R1044</f>
        <v>Нет</v>
      </c>
      <c r="I1044" s="15">
        <f>РПЗ!W1044</f>
        <v>0</v>
      </c>
      <c r="J1044" s="233">
        <f>РПЗ!X1044</f>
        <v>0</v>
      </c>
      <c r="K1044" s="283">
        <f>РПЗ!Z1044</f>
        <v>0</v>
      </c>
      <c r="L1044" s="17"/>
      <c r="M1044" s="18">
        <f>РПЗ!O1044</f>
        <v>42887</v>
      </c>
      <c r="N1044" s="238">
        <f>Таблица5[[#This Row],[10]]</f>
        <v>42887</v>
      </c>
      <c r="O1044" s="17"/>
      <c r="P1044" s="17"/>
      <c r="Q1044" s="17"/>
      <c r="R1044" s="17"/>
      <c r="S1044" s="17"/>
      <c r="T1044" s="686"/>
      <c r="U1044" s="18">
        <f>РПЗ!P1044</f>
        <v>43009</v>
      </c>
      <c r="V1044" s="686"/>
      <c r="W1044" s="236">
        <f>РПЗ!L1044</f>
        <v>14110000</v>
      </c>
      <c r="X1044" s="689"/>
      <c r="Y1044" s="689"/>
      <c r="Z1044" s="690"/>
      <c r="AA1044" s="691"/>
      <c r="AB1044" s="111"/>
      <c r="AC1044" s="17"/>
      <c r="AD1044" s="690"/>
      <c r="AE1044" s="686"/>
      <c r="AF1044" s="474"/>
      <c r="AG1044" s="692"/>
      <c r="AH1044" s="236" t="str">
        <f>IF(Таблица5[[#This Row],[30]]=0,"НД",Таблица5[[#This Row],[20]]-Таблица5[[#This Row],[30]])</f>
        <v>НД</v>
      </c>
      <c r="AI1044" s="511" t="str">
        <f>IF(((1-Таблица5[[#This Row],[30]]/Таблица5[[#This Row],[20]])=1),"НД",(1-Таблица5[[#This Row],[30]]/Таблица5[[#This Row],[20]]))</f>
        <v>НД</v>
      </c>
      <c r="AJ1044" s="111"/>
      <c r="AK1044" s="111"/>
      <c r="AL1044" s="512"/>
      <c r="AM1044" s="513"/>
      <c r="AN1044" s="465"/>
      <c r="AO1044" s="468" t="str">
        <f>РПЗ!AD1044</f>
        <v>Нет</v>
      </c>
      <c r="AP1044" s="472">
        <f>РПЗ!V1044</f>
        <v>0</v>
      </c>
      <c r="AQ1044" s="470">
        <f>IF(Таблица5[[#This Row],[11]]=0,,MONTH(Таблица5[[#This Row],[11]]))</f>
        <v>6</v>
      </c>
    </row>
    <row r="1045" spans="1:43" ht="64.5" thickBot="1" x14ac:dyDescent="0.3">
      <c r="A1045" s="233" t="str">
        <f t="shared" si="16"/>
        <v>1004-2017-01030</v>
      </c>
      <c r="B1045" s="233" t="str">
        <f>РПЗ!$D1045</f>
        <v xml:space="preserve">1004-2017-01030 Поставка Изготовление и поставка комплектов механических деталей для изд. МТД </v>
      </c>
      <c r="C1045" s="233" t="str">
        <f>РПЗ!$AA1045</f>
        <v>АО "НИИ "Полюс" им. М.Ф. Стельмаха" тел. отдела закупок 8-495-333-05-02</v>
      </c>
      <c r="D1045" s="633" t="str">
        <f>РПЗ!$AB1045</f>
        <v>Заказчик</v>
      </c>
      <c r="E1045" s="510" t="s">
        <v>62</v>
      </c>
      <c r="F1045" s="233" t="str">
        <f>РПЗ!Q1045</f>
        <v>ЕП</v>
      </c>
      <c r="G1045" s="237" t="str">
        <f>Таблица5[[#This Row],[6]]</f>
        <v>ЕП</v>
      </c>
      <c r="H1045" s="237" t="str">
        <f>РПЗ!R1045</f>
        <v>Нет</v>
      </c>
      <c r="I1045" s="15" t="str">
        <f>РПЗ!W1045</f>
        <v>6.6.2(11)</v>
      </c>
      <c r="J1045" s="233" t="str">
        <f>РПЗ!X1045</f>
        <v>190437885</v>
      </c>
      <c r="K1045" s="283">
        <f>РПЗ!Z1045</f>
        <v>4500000</v>
      </c>
      <c r="L1045" s="17">
        <v>42873</v>
      </c>
      <c r="M1045" s="18">
        <f>РПЗ!O1045</f>
        <v>42887</v>
      </c>
      <c r="N1045" s="238">
        <f>Таблица5[[#This Row],[10]]</f>
        <v>42887</v>
      </c>
      <c r="O1045" s="17"/>
      <c r="P1045" s="17"/>
      <c r="Q1045" s="17"/>
      <c r="R1045" s="17"/>
      <c r="S1045" s="17"/>
      <c r="T1045" s="686">
        <v>42894</v>
      </c>
      <c r="U1045" s="18">
        <f>РПЗ!P1045</f>
        <v>43009</v>
      </c>
      <c r="V1045" s="686">
        <v>43009</v>
      </c>
      <c r="W1045" s="236">
        <f>РПЗ!L1045</f>
        <v>4500000</v>
      </c>
      <c r="X1045" s="689">
        <v>1</v>
      </c>
      <c r="Y1045" s="689">
        <v>0</v>
      </c>
      <c r="Z1045" s="691">
        <v>190437885</v>
      </c>
      <c r="AA1045" s="691" t="s">
        <v>2335</v>
      </c>
      <c r="AB1045" s="111">
        <v>4500000</v>
      </c>
      <c r="AC1045" s="17">
        <v>43009</v>
      </c>
      <c r="AD1045" s="690"/>
      <c r="AE1045" s="686"/>
      <c r="AF1045" s="474" t="s">
        <v>5938</v>
      </c>
      <c r="AG1045" s="692">
        <v>4500000</v>
      </c>
      <c r="AH1045" s="236">
        <f>IF(Таблица5[[#This Row],[30]]=0,"НД",Таблица5[[#This Row],[20]]-Таблица5[[#This Row],[30]])</f>
        <v>0</v>
      </c>
      <c r="AI1045" s="511">
        <f>IF(((1-Таблица5[[#This Row],[30]]/Таблица5[[#This Row],[20]])=1),"НД",(1-Таблица5[[#This Row],[30]]/Таблица5[[#This Row],[20]]))</f>
        <v>0</v>
      </c>
      <c r="AJ1045" s="111"/>
      <c r="AK1045" s="111"/>
      <c r="AL1045" s="512"/>
      <c r="AM1045" s="513" t="s">
        <v>113</v>
      </c>
      <c r="AN1045" s="801">
        <v>31705193740</v>
      </c>
      <c r="AO1045" s="468" t="str">
        <f>РПЗ!AD1045</f>
        <v>Нет</v>
      </c>
      <c r="AP1045" s="472">
        <f>РПЗ!V1045</f>
        <v>0</v>
      </c>
      <c r="AQ1045" s="470">
        <f>IF(Таблица5[[#This Row],[11]]=0,,MONTH(Таблица5[[#This Row],[11]]))</f>
        <v>6</v>
      </c>
    </row>
    <row r="1046" spans="1:43" ht="38.25" x14ac:dyDescent="0.25">
      <c r="A1046" s="233" t="str">
        <f t="shared" si="16"/>
        <v>1004-2017-01031</v>
      </c>
      <c r="B1046" s="233" t="str">
        <f>РПЗ!$D1046</f>
        <v>1004-2017-01031 Поставка Катушка ЖГДК.671128.034СБ</v>
      </c>
      <c r="C1046" s="233" t="str">
        <f>РПЗ!$AA1046</f>
        <v>АО "НИИ "Полюс" им. М.Ф. Стельмаха" тел. отдела закупок 8-495-333-05-02</v>
      </c>
      <c r="D1046" s="633" t="str">
        <f>РПЗ!$AB1046</f>
        <v>Заказчик</v>
      </c>
      <c r="E1046" s="96" t="s">
        <v>46</v>
      </c>
      <c r="F1046" s="233" t="str">
        <f>РПЗ!Q1046</f>
        <v>ЕП</v>
      </c>
      <c r="G1046" s="237"/>
      <c r="H1046" s="237" t="str">
        <f>РПЗ!R1134</f>
        <v>Да</v>
      </c>
      <c r="I1046" s="15">
        <f>РПЗ!W1134</f>
        <v>0</v>
      </c>
      <c r="J1046" s="233">
        <f>РПЗ!X1134</f>
        <v>0</v>
      </c>
      <c r="K1046" s="283">
        <f>РПЗ!Z1134</f>
        <v>0</v>
      </c>
      <c r="L1046" s="17"/>
      <c r="M1046" s="18">
        <f>РПЗ!O1046</f>
        <v>42887</v>
      </c>
      <c r="N1046" s="238">
        <f>Таблица5[[#This Row],[10]]</f>
        <v>42887</v>
      </c>
      <c r="O1046" s="17"/>
      <c r="P1046" s="17"/>
      <c r="Q1046" s="17"/>
      <c r="R1046" s="17"/>
      <c r="S1046" s="17"/>
      <c r="T1046" s="686"/>
      <c r="U1046" s="18">
        <f>РПЗ!P1046</f>
        <v>43070</v>
      </c>
      <c r="V1046" s="686"/>
      <c r="W1046" s="236">
        <f>РПЗ!L1046</f>
        <v>450760</v>
      </c>
      <c r="X1046" s="689"/>
      <c r="Y1046" s="689"/>
      <c r="Z1046" s="690"/>
      <c r="AA1046" s="691"/>
      <c r="AB1046" s="111"/>
      <c r="AC1046" s="17"/>
      <c r="AD1046" s="690"/>
      <c r="AE1046" s="686"/>
      <c r="AF1046" s="474"/>
      <c r="AG1046" s="692"/>
      <c r="AH1046" s="236" t="str">
        <f>IF(Таблица5[[#This Row],[30]]=0,"НД",Таблица5[[#This Row],[20]]-Таблица5[[#This Row],[30]])</f>
        <v>НД</v>
      </c>
      <c r="AI1046" s="511" t="str">
        <f>IF(((1-Таблица5[[#This Row],[30]]/Таблица5[[#This Row],[20]])=1),"НД",(1-Таблица5[[#This Row],[30]]/Таблица5[[#This Row],[20]]))</f>
        <v>НД</v>
      </c>
      <c r="AJ1046" s="111"/>
      <c r="AK1046" s="111"/>
      <c r="AL1046" s="512"/>
      <c r="AM1046" s="513"/>
      <c r="AN1046" s="465"/>
      <c r="AO1046" s="468" t="str">
        <f>РПЗ!AD1046</f>
        <v>Нет</v>
      </c>
      <c r="AP1046" s="472">
        <f>РПЗ!V1046</f>
        <v>0</v>
      </c>
      <c r="AQ1046" s="470">
        <f>IF(Таблица5[[#This Row],[11]]=0,,MONTH(Таблица5[[#This Row],[11]]))</f>
        <v>6</v>
      </c>
    </row>
    <row r="1047" spans="1:43" ht="56.25" customHeight="1" x14ac:dyDescent="0.25">
      <c r="A1047" s="233" t="str">
        <f t="shared" si="16"/>
        <v>1004-2017-01032</v>
      </c>
      <c r="B1047" s="233" t="str">
        <f>РПЗ!$D1047</f>
        <v>1004-2017-01032 Поставка Печатные платы для изд. МТ-401</v>
      </c>
      <c r="C1047" s="233" t="str">
        <f>РПЗ!$AA1047</f>
        <v>АО "НИИ "Полюс" им. М.Ф. Стельмаха" тел. отдела закупок 8-495-333-05-02</v>
      </c>
      <c r="D1047" s="633" t="str">
        <f>РПЗ!$AB1047</f>
        <v>Заказчик</v>
      </c>
      <c r="E1047" s="510" t="s">
        <v>62</v>
      </c>
      <c r="F1047" s="233" t="str">
        <f>РПЗ!Q1047</f>
        <v>ЕП</v>
      </c>
      <c r="G1047" s="237" t="str">
        <f>Таблица5[[#This Row],[6]]</f>
        <v>ЕП</v>
      </c>
      <c r="H1047" s="237" t="str">
        <f>РПЗ!R1047</f>
        <v>Нет</v>
      </c>
      <c r="I1047" s="15" t="str">
        <f>РПЗ!W1047</f>
        <v>6.6.2(11)</v>
      </c>
      <c r="J1047" s="233" t="str">
        <f>РПЗ!X1047</f>
        <v>7735127006</v>
      </c>
      <c r="K1047" s="283">
        <f>РПЗ!Z1047</f>
        <v>496929.88</v>
      </c>
      <c r="L1047" s="17">
        <v>42891</v>
      </c>
      <c r="M1047" s="18">
        <f>РПЗ!O1047</f>
        <v>42887</v>
      </c>
      <c r="N1047" s="238">
        <f>Таблица5[[#This Row],[10]]</f>
        <v>42887</v>
      </c>
      <c r="O1047" s="17"/>
      <c r="P1047" s="17"/>
      <c r="Q1047" s="17"/>
      <c r="R1047" s="17"/>
      <c r="S1047" s="17"/>
      <c r="T1047" s="686">
        <v>42901</v>
      </c>
      <c r="U1047" s="18">
        <f>РПЗ!P1047</f>
        <v>43070</v>
      </c>
      <c r="V1047" s="686">
        <v>43070</v>
      </c>
      <c r="W1047" s="236">
        <f>РПЗ!L1047</f>
        <v>496929.88</v>
      </c>
      <c r="X1047" s="689">
        <v>1</v>
      </c>
      <c r="Y1047" s="689">
        <v>0</v>
      </c>
      <c r="Z1047" s="691">
        <v>7735127006</v>
      </c>
      <c r="AA1047" s="691" t="s">
        <v>5767</v>
      </c>
      <c r="AB1047" s="111">
        <v>496929.88</v>
      </c>
      <c r="AC1047" s="17">
        <v>43070</v>
      </c>
      <c r="AD1047" s="690" t="s">
        <v>5768</v>
      </c>
      <c r="AE1047" s="686">
        <v>42901</v>
      </c>
      <c r="AF1047" s="474"/>
      <c r="AG1047" s="692">
        <v>496929.88</v>
      </c>
      <c r="AH1047" s="236">
        <f>IF(Таблица5[[#This Row],[30]]=0,"НД",Таблица5[[#This Row],[20]]-Таблица5[[#This Row],[30]])</f>
        <v>0</v>
      </c>
      <c r="AI1047" s="511">
        <f>IF(((1-Таблица5[[#This Row],[30]]/Таблица5[[#This Row],[20]])=1),"НД",(1-Таблица5[[#This Row],[30]]/Таблица5[[#This Row],[20]]))</f>
        <v>0</v>
      </c>
      <c r="AJ1047" s="111"/>
      <c r="AK1047" s="111"/>
      <c r="AL1047" s="512"/>
      <c r="AM1047" s="513" t="s">
        <v>113</v>
      </c>
      <c r="AN1047" s="801">
        <v>31705195424</v>
      </c>
      <c r="AO1047" s="468" t="str">
        <f>РПЗ!AD1047</f>
        <v>Нет</v>
      </c>
      <c r="AP1047" s="472" t="str">
        <f>РПЗ!V1047</f>
        <v>ГОЗ</v>
      </c>
      <c r="AQ1047" s="470">
        <f>IF(Таблица5[[#This Row],[11]]=0,,MONTH(Таблица5[[#This Row],[11]]))</f>
        <v>6</v>
      </c>
    </row>
    <row r="1048" spans="1:43" ht="38.25" x14ac:dyDescent="0.25">
      <c r="A1048" s="233" t="str">
        <f t="shared" si="16"/>
        <v>1004-2017-01033</v>
      </c>
      <c r="B1048" s="233" t="str">
        <f>РПЗ!$D1048</f>
        <v>1004-2017-01033Поставка  Металлические сплавы</v>
      </c>
      <c r="C1048" s="233" t="str">
        <f>РПЗ!$AA1048</f>
        <v>АО "НИИ "Полюс" им. М.Ф. Стельмаха" тел. отдела закупок 8-495-333-05-02</v>
      </c>
      <c r="D1048" s="633" t="str">
        <f>РПЗ!$AB1048</f>
        <v>Заказчик</v>
      </c>
      <c r="E1048" s="510" t="s">
        <v>59</v>
      </c>
      <c r="F1048" s="233" t="str">
        <f>РПЗ!Q1048</f>
        <v>ОЗК</v>
      </c>
      <c r="G1048" s="237" t="str">
        <f>Таблица5[[#This Row],[6]]</f>
        <v>ОЗК</v>
      </c>
      <c r="H1048" s="237" t="str">
        <f>РПЗ!R1048</f>
        <v>Да</v>
      </c>
      <c r="I1048" s="15">
        <f>РПЗ!W1048</f>
        <v>0</v>
      </c>
      <c r="J1048" s="233">
        <f>РПЗ!X1048</f>
        <v>0</v>
      </c>
      <c r="K1048" s="283">
        <f>РПЗ!Z1048</f>
        <v>0</v>
      </c>
      <c r="L1048" s="17">
        <v>42900</v>
      </c>
      <c r="M1048" s="18">
        <f>РПЗ!O1048</f>
        <v>42887</v>
      </c>
      <c r="N1048" s="238">
        <f>Таблица5[[#This Row],[10]]</f>
        <v>42887</v>
      </c>
      <c r="O1048" s="17">
        <v>42906</v>
      </c>
      <c r="P1048" s="17">
        <v>42909</v>
      </c>
      <c r="Q1048" s="17">
        <v>42909</v>
      </c>
      <c r="R1048" s="17">
        <v>42909</v>
      </c>
      <c r="S1048" s="17">
        <v>42909</v>
      </c>
      <c r="T1048" s="686"/>
      <c r="U1048" s="18">
        <f>РПЗ!P1048</f>
        <v>42917</v>
      </c>
      <c r="V1048" s="686"/>
      <c r="W1048" s="236">
        <f>РПЗ!L1048</f>
        <v>36670.370000000003</v>
      </c>
      <c r="X1048" s="689">
        <v>0</v>
      </c>
      <c r="Y1048" s="689">
        <v>0</v>
      </c>
      <c r="Z1048" s="690"/>
      <c r="AA1048" s="691"/>
      <c r="AB1048" s="111"/>
      <c r="AC1048" s="17"/>
      <c r="AD1048" s="690"/>
      <c r="AE1048" s="686"/>
      <c r="AF1048" s="474"/>
      <c r="AG1048" s="692"/>
      <c r="AH1048" s="236" t="str">
        <f>IF(Таблица5[[#This Row],[30]]=0,"НД",Таблица5[[#This Row],[20]]-Таблица5[[#This Row],[30]])</f>
        <v>НД</v>
      </c>
      <c r="AI1048" s="511" t="str">
        <f>IF(((1-Таблица5[[#This Row],[30]]/Таблица5[[#This Row],[20]])=1),"НД",(1-Таблица5[[#This Row],[30]]/Таблица5[[#This Row],[20]]))</f>
        <v>НД</v>
      </c>
      <c r="AJ1048" s="111"/>
      <c r="AK1048" s="111"/>
      <c r="AL1048" s="512"/>
      <c r="AM1048" s="513" t="s">
        <v>113</v>
      </c>
      <c r="AN1048" s="801">
        <v>31705220859</v>
      </c>
      <c r="AO1048" s="468" t="str">
        <f>РПЗ!AD1048</f>
        <v>Нет</v>
      </c>
      <c r="AP1048" s="472">
        <f>РПЗ!V1048</f>
        <v>0</v>
      </c>
      <c r="AQ1048" s="470">
        <f>IF(Таблица5[[#This Row],[11]]=0,,MONTH(Таблица5[[#This Row],[11]]))</f>
        <v>6</v>
      </c>
    </row>
    <row r="1049" spans="1:43" ht="39" thickBot="1" x14ac:dyDescent="0.3">
      <c r="A1049" s="233" t="str">
        <f t="shared" si="16"/>
        <v>1004-2017-01034</v>
      </c>
      <c r="B1049" s="233" t="str">
        <f>РПЗ!$D1049</f>
        <v>1004-2017-01034 Поставка диодная сборка с прижимом</v>
      </c>
      <c r="C1049" s="233" t="str">
        <f>РПЗ!$AA1049</f>
        <v>АО "НИИ "Полюс" им. М.Ф. Стельмаха" тел. отдела закупок 8-495-333-05-02</v>
      </c>
      <c r="D1049" s="633" t="str">
        <f>РПЗ!$AB1049</f>
        <v>Заказчик</v>
      </c>
      <c r="E1049" s="510" t="s">
        <v>62</v>
      </c>
      <c r="F1049" s="233" t="str">
        <f>РПЗ!Q1049</f>
        <v>ЕП</v>
      </c>
      <c r="G1049" s="237" t="str">
        <f>Таблица5[[#This Row],[6]]</f>
        <v>ЕП</v>
      </c>
      <c r="H1049" s="237" t="str">
        <f>РПЗ!R1049</f>
        <v>Нет</v>
      </c>
      <c r="I1049" s="15" t="str">
        <f>РПЗ!W1049</f>
        <v>6.6.2(10)</v>
      </c>
      <c r="J1049" s="233" t="str">
        <f>РПЗ!X1049</f>
        <v>5050113873</v>
      </c>
      <c r="K1049" s="283">
        <f>РПЗ!Z1049</f>
        <v>453061</v>
      </c>
      <c r="L1049" s="17">
        <v>42909</v>
      </c>
      <c r="M1049" s="18">
        <f>РПЗ!O1049</f>
        <v>42887</v>
      </c>
      <c r="N1049" s="238">
        <f>Таблица5[[#This Row],[10]]</f>
        <v>42887</v>
      </c>
      <c r="O1049" s="17"/>
      <c r="P1049" s="17"/>
      <c r="Q1049" s="17"/>
      <c r="R1049" s="17"/>
      <c r="S1049" s="17"/>
      <c r="T1049" s="686">
        <v>42986</v>
      </c>
      <c r="U1049" s="18">
        <f>РПЗ!P1049</f>
        <v>42917</v>
      </c>
      <c r="V1049" s="686">
        <v>43070</v>
      </c>
      <c r="W1049" s="236">
        <f>РПЗ!L1049</f>
        <v>453061</v>
      </c>
      <c r="X1049" s="689">
        <v>1</v>
      </c>
      <c r="Y1049" s="689">
        <v>0</v>
      </c>
      <c r="Z1049" s="691">
        <v>5050113873</v>
      </c>
      <c r="AA1049" s="691" t="s">
        <v>6831</v>
      </c>
      <c r="AB1049" s="111">
        <v>453061</v>
      </c>
      <c r="AC1049" s="17">
        <v>43070</v>
      </c>
      <c r="AD1049" s="690" t="s">
        <v>6832</v>
      </c>
      <c r="AE1049" s="686">
        <v>42986</v>
      </c>
      <c r="AF1049" s="474"/>
      <c r="AG1049" s="692">
        <v>453061</v>
      </c>
      <c r="AH1049" s="236">
        <f>IF(Таблица5[[#This Row],[30]]=0,"НД",Таблица5[[#This Row],[20]]-Таблица5[[#This Row],[30]])</f>
        <v>0</v>
      </c>
      <c r="AI1049" s="511">
        <f>IF(((1-Таблица5[[#This Row],[30]]/Таблица5[[#This Row],[20]])=1),"НД",(1-Таблица5[[#This Row],[30]]/Таблица5[[#This Row],[20]]))</f>
        <v>0</v>
      </c>
      <c r="AJ1049" s="111"/>
      <c r="AK1049" s="111"/>
      <c r="AL1049" s="512"/>
      <c r="AM1049" s="513" t="s">
        <v>113</v>
      </c>
      <c r="AN1049" s="801">
        <v>31705260848</v>
      </c>
      <c r="AO1049" s="468" t="str">
        <f>РПЗ!AD1049</f>
        <v>Нет</v>
      </c>
      <c r="AP1049" s="472" t="str">
        <f>РПЗ!V1049</f>
        <v>ГОЗ</v>
      </c>
      <c r="AQ1049" s="470">
        <f>IF(Таблица5[[#This Row],[11]]=0,,MONTH(Таблица5[[#This Row],[11]]))</f>
        <v>6</v>
      </c>
    </row>
    <row r="1050" spans="1:43" ht="39" thickBot="1" x14ac:dyDescent="0.3">
      <c r="A1050" s="233" t="str">
        <f t="shared" si="16"/>
        <v>1004-2017-01035</v>
      </c>
      <c r="B1050" s="233" t="str">
        <f>РПЗ!$D1050</f>
        <v>1004-2017-01035 Поставка микросхема</v>
      </c>
      <c r="C1050" s="233" t="str">
        <f>РПЗ!$AA1050</f>
        <v>АО "НИИ "Полюс" им. М.Ф. Стельмаха" тел. отдела закупок 8-495-333-05-02</v>
      </c>
      <c r="D1050" s="633" t="str">
        <f>РПЗ!$AB1050</f>
        <v>Заказчик</v>
      </c>
      <c r="E1050" s="96" t="s">
        <v>46</v>
      </c>
      <c r="F1050" s="233" t="str">
        <f>РПЗ!Q1050</f>
        <v>ЕП</v>
      </c>
      <c r="G1050" s="237"/>
      <c r="H1050" s="237" t="str">
        <f>РПЗ!R1050</f>
        <v>Нет</v>
      </c>
      <c r="I1050" s="15">
        <f>РПЗ!W1050</f>
        <v>0</v>
      </c>
      <c r="J1050" s="233">
        <f>РПЗ!X1050</f>
        <v>0</v>
      </c>
      <c r="K1050" s="283">
        <f>РПЗ!Z1050</f>
        <v>0</v>
      </c>
      <c r="L1050" s="17"/>
      <c r="M1050" s="18">
        <f>РПЗ!O1050</f>
        <v>42887</v>
      </c>
      <c r="N1050" s="238">
        <f>Таблица5[[#This Row],[10]]</f>
        <v>42887</v>
      </c>
      <c r="O1050" s="17"/>
      <c r="P1050" s="17"/>
      <c r="Q1050" s="17"/>
      <c r="R1050" s="17"/>
      <c r="S1050" s="17"/>
      <c r="T1050" s="686"/>
      <c r="U1050" s="18">
        <f>РПЗ!P1050</f>
        <v>42917</v>
      </c>
      <c r="V1050" s="686"/>
      <c r="W1050" s="236">
        <f>РПЗ!L1050</f>
        <v>116997</v>
      </c>
      <c r="X1050" s="689"/>
      <c r="Y1050" s="689"/>
      <c r="Z1050" s="690"/>
      <c r="AA1050" s="691"/>
      <c r="AB1050" s="111"/>
      <c r="AC1050" s="17"/>
      <c r="AD1050" s="690"/>
      <c r="AE1050" s="686"/>
      <c r="AF1050" s="474"/>
      <c r="AG1050" s="692"/>
      <c r="AH1050" s="236" t="str">
        <f>IF(Таблица5[[#This Row],[30]]=0,"НД",Таблица5[[#This Row],[20]]-Таблица5[[#This Row],[30]])</f>
        <v>НД</v>
      </c>
      <c r="AI1050" s="511" t="str">
        <f>IF(((1-Таблица5[[#This Row],[30]]/Таблица5[[#This Row],[20]])=1),"НД",(1-Таблица5[[#This Row],[30]]/Таблица5[[#This Row],[20]]))</f>
        <v>НД</v>
      </c>
      <c r="AJ1050" s="111"/>
      <c r="AK1050" s="111"/>
      <c r="AL1050" s="512"/>
      <c r="AM1050" s="513"/>
      <c r="AN1050" s="465"/>
      <c r="AO1050" s="468" t="str">
        <f>РПЗ!AD1050</f>
        <v>Нет</v>
      </c>
      <c r="AP1050" s="472">
        <f>РПЗ!V1050</f>
        <v>0</v>
      </c>
      <c r="AQ1050" s="470">
        <f>IF(Таблица5[[#This Row],[11]]=0,,MONTH(Таблица5[[#This Row],[11]]))</f>
        <v>6</v>
      </c>
    </row>
    <row r="1051" spans="1:43" ht="38.25" x14ac:dyDescent="0.25">
      <c r="A1051" s="233" t="str">
        <f t="shared" si="16"/>
        <v>1004-2017-01036</v>
      </c>
      <c r="B1051" s="233" t="str">
        <f>РПЗ!$D1051</f>
        <v>1004-2017-01036 Поставка диоды, транзисторы</v>
      </c>
      <c r="C1051" s="233" t="str">
        <f>РПЗ!$AA1051</f>
        <v>АО "НИИ "Полюс" им. М.Ф. Стельмаха" тел. отдела закупок 8-495-333-05-02</v>
      </c>
      <c r="D1051" s="633" t="str">
        <f>РПЗ!$AB1051</f>
        <v>Заказчик</v>
      </c>
      <c r="E1051" s="96" t="s">
        <v>46</v>
      </c>
      <c r="F1051" s="233" t="str">
        <f>РПЗ!Q1051</f>
        <v>ЕП</v>
      </c>
      <c r="G1051" s="237"/>
      <c r="H1051" s="237" t="str">
        <f>РПЗ!R1051</f>
        <v>Нет</v>
      </c>
      <c r="I1051" s="15">
        <f>РПЗ!W1051</f>
        <v>0</v>
      </c>
      <c r="J1051" s="233">
        <f>РПЗ!X1051</f>
        <v>0</v>
      </c>
      <c r="K1051" s="283">
        <f>РПЗ!Z1051</f>
        <v>0</v>
      </c>
      <c r="L1051" s="17"/>
      <c r="M1051" s="18">
        <f>РПЗ!O1051</f>
        <v>42887</v>
      </c>
      <c r="N1051" s="238">
        <f>Таблица5[[#This Row],[10]]</f>
        <v>42887</v>
      </c>
      <c r="O1051" s="17"/>
      <c r="P1051" s="17"/>
      <c r="Q1051" s="17"/>
      <c r="R1051" s="17"/>
      <c r="S1051" s="17"/>
      <c r="T1051" s="686"/>
      <c r="U1051" s="18">
        <f>РПЗ!P1051</f>
        <v>42917</v>
      </c>
      <c r="V1051" s="686"/>
      <c r="W1051" s="236">
        <f>РПЗ!L1051</f>
        <v>197314.17</v>
      </c>
      <c r="X1051" s="689"/>
      <c r="Y1051" s="689"/>
      <c r="Z1051" s="690"/>
      <c r="AA1051" s="691"/>
      <c r="AB1051" s="111"/>
      <c r="AC1051" s="17"/>
      <c r="AD1051" s="690"/>
      <c r="AE1051" s="686"/>
      <c r="AF1051" s="474"/>
      <c r="AG1051" s="692"/>
      <c r="AH1051" s="236" t="str">
        <f>IF(Таблица5[[#This Row],[30]]=0,"НД",Таблица5[[#This Row],[20]]-Таблица5[[#This Row],[30]])</f>
        <v>НД</v>
      </c>
      <c r="AI1051" s="511" t="str">
        <f>IF(((1-Таблица5[[#This Row],[30]]/Таблица5[[#This Row],[20]])=1),"НД",(1-Таблица5[[#This Row],[30]]/Таблица5[[#This Row],[20]]))</f>
        <v>НД</v>
      </c>
      <c r="AJ1051" s="111"/>
      <c r="AK1051" s="111"/>
      <c r="AL1051" s="512"/>
      <c r="AM1051" s="513"/>
      <c r="AN1051" s="465"/>
      <c r="AO1051" s="468" t="str">
        <f>РПЗ!AD1051</f>
        <v>Нет</v>
      </c>
      <c r="AP1051" s="472">
        <f>РПЗ!V1051</f>
        <v>0</v>
      </c>
      <c r="AQ1051" s="470">
        <f>IF(Таблица5[[#This Row],[11]]=0,,MONTH(Таблица5[[#This Row],[11]]))</f>
        <v>6</v>
      </c>
    </row>
    <row r="1052" spans="1:43" ht="38.25" x14ac:dyDescent="0.25">
      <c r="A1052" s="233" t="str">
        <f t="shared" si="16"/>
        <v>1004-2017-01037</v>
      </c>
      <c r="B1052" s="233" t="str">
        <f>РПЗ!$D1052</f>
        <v>1004-2017--01037Поставка  диоды, микросхемы</v>
      </c>
      <c r="C1052" s="233" t="str">
        <f>РПЗ!$AA1052</f>
        <v>АО "НИИ "Полюс" им. М.Ф. Стельмаха" тел. отдела закупок 8-495-333-05-02</v>
      </c>
      <c r="D1052" s="633" t="str">
        <f>РПЗ!$AB1052</f>
        <v>Заказчик</v>
      </c>
      <c r="E1052" s="510" t="s">
        <v>62</v>
      </c>
      <c r="F1052" s="233" t="str">
        <f>РПЗ!Q1052</f>
        <v>ЕП</v>
      </c>
      <c r="G1052" s="237" t="str">
        <f>Таблица5[[#This Row],[6]]</f>
        <v>ЕП</v>
      </c>
      <c r="H1052" s="237" t="str">
        <f>РПЗ!R1052</f>
        <v>Нет</v>
      </c>
      <c r="I1052" s="15" t="str">
        <f>РПЗ!W1052</f>
        <v>6.6.2(10)</v>
      </c>
      <c r="J1052" s="233" t="str">
        <f>РПЗ!X1052</f>
        <v>5402546039</v>
      </c>
      <c r="K1052" s="283">
        <f>РПЗ!Z1052</f>
        <v>266818.19</v>
      </c>
      <c r="L1052" s="17">
        <v>42895</v>
      </c>
      <c r="M1052" s="18">
        <f>РПЗ!O1052</f>
        <v>42887</v>
      </c>
      <c r="N1052" s="238">
        <f>Таблица5[[#This Row],[10]]</f>
        <v>42887</v>
      </c>
      <c r="O1052" s="17"/>
      <c r="P1052" s="17"/>
      <c r="Q1052" s="17"/>
      <c r="R1052" s="17"/>
      <c r="S1052" s="17"/>
      <c r="T1052" s="686">
        <v>42915</v>
      </c>
      <c r="U1052" s="18">
        <f>РПЗ!P1052</f>
        <v>42917</v>
      </c>
      <c r="V1052" s="686">
        <v>43070</v>
      </c>
      <c r="W1052" s="236">
        <f>РПЗ!L1052</f>
        <v>266818.19</v>
      </c>
      <c r="X1052" s="689">
        <v>1</v>
      </c>
      <c r="Y1052" s="689">
        <v>0</v>
      </c>
      <c r="Z1052" s="691">
        <v>5402546039</v>
      </c>
      <c r="AA1052" s="691" t="s">
        <v>6020</v>
      </c>
      <c r="AB1052" s="111">
        <v>266818.19</v>
      </c>
      <c r="AC1052" s="17">
        <v>43070</v>
      </c>
      <c r="AD1052" s="690" t="s">
        <v>121</v>
      </c>
      <c r="AE1052" s="686">
        <v>42915</v>
      </c>
      <c r="AF1052" s="474"/>
      <c r="AG1052" s="692">
        <v>266818.19</v>
      </c>
      <c r="AH1052" s="236">
        <f>IF(Таблица5[[#This Row],[30]]=0,"НД",Таблица5[[#This Row],[20]]-Таблица5[[#This Row],[30]])</f>
        <v>0</v>
      </c>
      <c r="AI1052" s="511">
        <f>IF(((1-Таблица5[[#This Row],[30]]/Таблица5[[#This Row],[20]])=1),"НД",(1-Таблица5[[#This Row],[30]]/Таблица5[[#This Row],[20]]))</f>
        <v>0</v>
      </c>
      <c r="AJ1052" s="111"/>
      <c r="AK1052" s="111"/>
      <c r="AL1052" s="512"/>
      <c r="AM1052" s="513" t="s">
        <v>113</v>
      </c>
      <c r="AN1052" s="801">
        <v>31705224141</v>
      </c>
      <c r="AO1052" s="468" t="str">
        <f>РПЗ!AD1052</f>
        <v>Нет</v>
      </c>
      <c r="AP1052" s="472" t="str">
        <f>РПЗ!V1052</f>
        <v>ГОЗ</v>
      </c>
      <c r="AQ1052" s="470">
        <f>IF(Таблица5[[#This Row],[11]]=0,,MONTH(Таблица5[[#This Row],[11]]))</f>
        <v>6</v>
      </c>
    </row>
    <row r="1053" spans="1:43" ht="39" thickBot="1" x14ac:dyDescent="0.3">
      <c r="A1053" s="233" t="str">
        <f t="shared" si="16"/>
        <v>1004-2017-01038</v>
      </c>
      <c r="B1053" s="233" t="str">
        <f>РПЗ!$D1053</f>
        <v>1004-2017-01038Поставка  диоды, транзисторы, микросхемы</v>
      </c>
      <c r="C1053" s="233" t="str">
        <f>РПЗ!$AA1053</f>
        <v>АО "НИИ "Полюс" им. М.Ф. Стельмаха" тел. отдела закупок 8-495-333-05-02</v>
      </c>
      <c r="D1053" s="633" t="str">
        <f>РПЗ!$AB1053</f>
        <v>Заказчик</v>
      </c>
      <c r="E1053" s="510" t="s">
        <v>62</v>
      </c>
      <c r="F1053" s="233" t="str">
        <f>РПЗ!Q1053</f>
        <v>ЕП</v>
      </c>
      <c r="G1053" s="237" t="str">
        <f>Таблица5[[#This Row],[6]]</f>
        <v>ЕП</v>
      </c>
      <c r="H1053" s="237" t="str">
        <f>РПЗ!R1053</f>
        <v>Нет</v>
      </c>
      <c r="I1053" s="15" t="str">
        <f>РПЗ!W1053</f>
        <v>6.6.2(10)</v>
      </c>
      <c r="J1053" s="233" t="str">
        <f>РПЗ!X1053</f>
        <v>3234043140</v>
      </c>
      <c r="K1053" s="283">
        <f>РПЗ!Z1053</f>
        <v>791089</v>
      </c>
      <c r="L1053" s="17">
        <v>42892</v>
      </c>
      <c r="M1053" s="18">
        <f>РПЗ!O1053</f>
        <v>42887</v>
      </c>
      <c r="N1053" s="238">
        <f>Таблица5[[#This Row],[10]]</f>
        <v>42887</v>
      </c>
      <c r="O1053" s="17"/>
      <c r="P1053" s="17"/>
      <c r="Q1053" s="17"/>
      <c r="R1053" s="17"/>
      <c r="S1053" s="17"/>
      <c r="T1053" s="686">
        <v>42914</v>
      </c>
      <c r="U1053" s="18">
        <f>РПЗ!P1053</f>
        <v>42917</v>
      </c>
      <c r="V1053" s="686">
        <v>42979</v>
      </c>
      <c r="W1053" s="236">
        <f>РПЗ!L1053</f>
        <v>791089</v>
      </c>
      <c r="X1053" s="689">
        <v>1</v>
      </c>
      <c r="Y1053" s="689">
        <v>0</v>
      </c>
      <c r="Z1053" s="691">
        <v>3234043140</v>
      </c>
      <c r="AA1053" s="691" t="s">
        <v>6017</v>
      </c>
      <c r="AB1053" s="111">
        <v>791089</v>
      </c>
      <c r="AC1053" s="17">
        <v>42979</v>
      </c>
      <c r="AD1053" s="690" t="s">
        <v>6018</v>
      </c>
      <c r="AE1053" s="686">
        <v>42914</v>
      </c>
      <c r="AF1053" s="474"/>
      <c r="AG1053" s="692">
        <v>791089</v>
      </c>
      <c r="AH1053" s="236">
        <f>IF(Таблица5[[#This Row],[30]]=0,"НД",Таблица5[[#This Row],[20]]-Таблица5[[#This Row],[30]])</f>
        <v>0</v>
      </c>
      <c r="AI1053" s="511">
        <f>IF(((1-Таблица5[[#This Row],[30]]/Таблица5[[#This Row],[20]])=1),"НД",(1-Таблица5[[#This Row],[30]]/Таблица5[[#This Row],[20]]))</f>
        <v>0</v>
      </c>
      <c r="AJ1053" s="111"/>
      <c r="AK1053" s="111"/>
      <c r="AL1053" s="512"/>
      <c r="AM1053" s="513" t="s">
        <v>113</v>
      </c>
      <c r="AN1053" s="801">
        <v>31705200719</v>
      </c>
      <c r="AO1053" s="468" t="str">
        <f>РПЗ!AD1053</f>
        <v>Нет</v>
      </c>
      <c r="AP1053" s="472" t="str">
        <f>РПЗ!V1053</f>
        <v>ГОЗ</v>
      </c>
      <c r="AQ1053" s="470">
        <f>IF(Таблица5[[#This Row],[11]]=0,,MONTH(Таблица5[[#This Row],[11]]))</f>
        <v>6</v>
      </c>
    </row>
    <row r="1054" spans="1:43" ht="38.25" x14ac:dyDescent="0.25">
      <c r="A1054" s="233" t="str">
        <f t="shared" si="16"/>
        <v>1004-2017-01039</v>
      </c>
      <c r="B1054" s="233" t="str">
        <f>РПЗ!$D1054</f>
        <v>1004-2017-01039 Поставка транзисторы, микросхемы</v>
      </c>
      <c r="C1054" s="233" t="str">
        <f>РПЗ!$AA1054</f>
        <v>АО "НИИ "Полюс" им. М.Ф. Стельмаха" тел. отдела закупок 8-495-333-05-02</v>
      </c>
      <c r="D1054" s="633" t="str">
        <f>РПЗ!$AB1054</f>
        <v>Заказчик</v>
      </c>
      <c r="E1054" s="96" t="s">
        <v>46</v>
      </c>
      <c r="F1054" s="233" t="str">
        <f>РПЗ!Q1054</f>
        <v>ЕП</v>
      </c>
      <c r="G1054" s="237"/>
      <c r="H1054" s="237" t="str">
        <f>РПЗ!R1054</f>
        <v>Нет</v>
      </c>
      <c r="I1054" s="15">
        <f>РПЗ!W1054</f>
        <v>0</v>
      </c>
      <c r="J1054" s="233">
        <f>РПЗ!X1054</f>
        <v>0</v>
      </c>
      <c r="K1054" s="283">
        <f>РПЗ!Z1054</f>
        <v>0</v>
      </c>
      <c r="L1054" s="17"/>
      <c r="M1054" s="18">
        <f>РПЗ!O1054</f>
        <v>42887</v>
      </c>
      <c r="N1054" s="238">
        <f>Таблица5[[#This Row],[10]]</f>
        <v>42887</v>
      </c>
      <c r="O1054" s="17"/>
      <c r="P1054" s="17"/>
      <c r="Q1054" s="17"/>
      <c r="R1054" s="17"/>
      <c r="S1054" s="17"/>
      <c r="T1054" s="686"/>
      <c r="U1054" s="18">
        <f>РПЗ!P1054</f>
        <v>42917</v>
      </c>
      <c r="V1054" s="686"/>
      <c r="W1054" s="236">
        <f>РПЗ!L1054</f>
        <v>1044006.16</v>
      </c>
      <c r="X1054" s="689"/>
      <c r="Y1054" s="689"/>
      <c r="Z1054" s="690"/>
      <c r="AA1054" s="691"/>
      <c r="AB1054" s="111"/>
      <c r="AC1054" s="17"/>
      <c r="AD1054" s="690"/>
      <c r="AE1054" s="686"/>
      <c r="AF1054" s="474"/>
      <c r="AG1054" s="692"/>
      <c r="AH1054" s="236" t="str">
        <f>IF(Таблица5[[#This Row],[30]]=0,"НД",Таблица5[[#This Row],[20]]-Таблица5[[#This Row],[30]])</f>
        <v>НД</v>
      </c>
      <c r="AI1054" s="511" t="str">
        <f>IF(((1-Таблица5[[#This Row],[30]]/Таблица5[[#This Row],[20]])=1),"НД",(1-Таблица5[[#This Row],[30]]/Таблица5[[#This Row],[20]]))</f>
        <v>НД</v>
      </c>
      <c r="AJ1054" s="111"/>
      <c r="AK1054" s="111"/>
      <c r="AL1054" s="512"/>
      <c r="AM1054" s="513"/>
      <c r="AN1054" s="465"/>
      <c r="AO1054" s="468" t="str">
        <f>РПЗ!AD1054</f>
        <v>Нет</v>
      </c>
      <c r="AP1054" s="472">
        <f>РПЗ!V1054</f>
        <v>0</v>
      </c>
      <c r="AQ1054" s="470">
        <f>IF(Таблица5[[#This Row],[11]]=0,,MONTH(Таблица5[[#This Row],[11]]))</f>
        <v>6</v>
      </c>
    </row>
    <row r="1055" spans="1:43" ht="38.25" x14ac:dyDescent="0.25">
      <c r="A1055" s="233" t="str">
        <f t="shared" si="16"/>
        <v>1004-2017-01040</v>
      </c>
      <c r="B1055" s="233" t="str">
        <f>РПЗ!$D1055</f>
        <v>1004-2017-01040 Поставка микросхема</v>
      </c>
      <c r="C1055" s="233" t="str">
        <f>РПЗ!$AA1055</f>
        <v>АО "НИИ "Полюс" им. М.Ф. Стельмаха" тел. отдела закупок 8-495-333-05-02</v>
      </c>
      <c r="D1055" s="633" t="str">
        <f>РПЗ!$AB1055</f>
        <v>Заказчик</v>
      </c>
      <c r="E1055" s="510" t="s">
        <v>62</v>
      </c>
      <c r="F1055" s="233" t="str">
        <f>РПЗ!Q1055</f>
        <v>ЕП</v>
      </c>
      <c r="G1055" s="237" t="str">
        <f>Таблица5[[#This Row],[6]]</f>
        <v>ЕП</v>
      </c>
      <c r="H1055" s="237" t="str">
        <f>РПЗ!R1055</f>
        <v>Нет</v>
      </c>
      <c r="I1055" s="15" t="str">
        <f>РПЗ!W1055</f>
        <v>6.6.2(10)</v>
      </c>
      <c r="J1055" s="233" t="str">
        <f>РПЗ!X1055</f>
        <v>3661057900</v>
      </c>
      <c r="K1055" s="283">
        <f>РПЗ!Z1055</f>
        <v>302174.40000000002</v>
      </c>
      <c r="L1055" s="17">
        <v>42909</v>
      </c>
      <c r="M1055" s="18">
        <f>РПЗ!O1055</f>
        <v>42887</v>
      </c>
      <c r="N1055" s="238">
        <f>Таблица5[[#This Row],[10]]</f>
        <v>42887</v>
      </c>
      <c r="O1055" s="17"/>
      <c r="P1055" s="17"/>
      <c r="Q1055" s="17"/>
      <c r="R1055" s="17"/>
      <c r="S1055" s="17"/>
      <c r="T1055" s="686">
        <v>42942</v>
      </c>
      <c r="U1055" s="18">
        <f>РПЗ!P1055</f>
        <v>42917</v>
      </c>
      <c r="V1055" s="686">
        <v>43070</v>
      </c>
      <c r="W1055" s="236">
        <f>РПЗ!L1055</f>
        <v>302174.40000000002</v>
      </c>
      <c r="X1055" s="689">
        <v>1</v>
      </c>
      <c r="Y1055" s="689">
        <v>0</v>
      </c>
      <c r="Z1055" s="691">
        <v>3661057900</v>
      </c>
      <c r="AA1055" s="691" t="s">
        <v>6438</v>
      </c>
      <c r="AB1055" s="111">
        <v>302174.40000000002</v>
      </c>
      <c r="AC1055" s="17">
        <v>43070</v>
      </c>
      <c r="AD1055" s="690" t="s">
        <v>6439</v>
      </c>
      <c r="AE1055" s="686">
        <v>42942</v>
      </c>
      <c r="AF1055" s="474"/>
      <c r="AG1055" s="692">
        <v>302174.40000000002</v>
      </c>
      <c r="AH1055" s="236">
        <f>IF(Таблица5[[#This Row],[30]]=0,"НД",Таблица5[[#This Row],[20]]-Таблица5[[#This Row],[30]])</f>
        <v>0</v>
      </c>
      <c r="AI1055" s="511">
        <f>IF(((1-Таблица5[[#This Row],[30]]/Таблица5[[#This Row],[20]])=1),"НД",(1-Таблица5[[#This Row],[30]]/Таблица5[[#This Row],[20]]))</f>
        <v>0</v>
      </c>
      <c r="AJ1055" s="111"/>
      <c r="AK1055" s="111"/>
      <c r="AL1055" s="512"/>
      <c r="AM1055" s="513" t="s">
        <v>113</v>
      </c>
      <c r="AN1055" s="801">
        <v>31705259843</v>
      </c>
      <c r="AO1055" s="468" t="str">
        <f>РПЗ!AD1055</f>
        <v>Нет</v>
      </c>
      <c r="AP1055" s="472" t="str">
        <f>РПЗ!V1055</f>
        <v>ГОЗ</v>
      </c>
      <c r="AQ1055" s="470">
        <f>IF(Таблица5[[#This Row],[11]]=0,,MONTH(Таблица5[[#This Row],[11]]))</f>
        <v>6</v>
      </c>
    </row>
    <row r="1056" spans="1:43" ht="39" thickBot="1" x14ac:dyDescent="0.3">
      <c r="A1056" s="233" t="str">
        <f t="shared" si="16"/>
        <v>1004-2017-01041</v>
      </c>
      <c r="B1056" s="233" t="str">
        <f>РПЗ!$D1056</f>
        <v>1004-2017-01041 Поставка конденсаторы</v>
      </c>
      <c r="C1056" s="233" t="str">
        <f>РПЗ!$AA1056</f>
        <v>АО "НИИ "Полюс" им. М.Ф. Стельмаха" тел. отдела закупок 8-495-333-05-02</v>
      </c>
      <c r="D1056" s="633" t="str">
        <f>РПЗ!$AB1056</f>
        <v>Заказчик</v>
      </c>
      <c r="E1056" s="510" t="s">
        <v>62</v>
      </c>
      <c r="F1056" s="233" t="str">
        <f>РПЗ!Q1056</f>
        <v>ЕП</v>
      </c>
      <c r="G1056" s="237" t="str">
        <f>Таблица5[[#This Row],[6]]</f>
        <v>ЕП</v>
      </c>
      <c r="H1056" s="237" t="str">
        <f>РПЗ!R1056</f>
        <v>Нет</v>
      </c>
      <c r="I1056" s="15" t="str">
        <f>РПЗ!W1056</f>
        <v>6.6.2(11)</v>
      </c>
      <c r="J1056" s="233" t="str">
        <f>РПЗ!X1056</f>
        <v>7802015389</v>
      </c>
      <c r="K1056" s="283">
        <f>РПЗ!Z1056</f>
        <v>193520</v>
      </c>
      <c r="L1056" s="17">
        <v>42879</v>
      </c>
      <c r="M1056" s="18">
        <f>РПЗ!O1056</f>
        <v>42887</v>
      </c>
      <c r="N1056" s="238">
        <f>Таблица5[[#This Row],[10]]</f>
        <v>42887</v>
      </c>
      <c r="O1056" s="17"/>
      <c r="P1056" s="17"/>
      <c r="Q1056" s="17"/>
      <c r="R1056" s="17"/>
      <c r="S1056" s="17"/>
      <c r="T1056" s="686">
        <v>42970</v>
      </c>
      <c r="U1056" s="18">
        <f>РПЗ!P1056</f>
        <v>42917</v>
      </c>
      <c r="V1056" s="686">
        <v>43009</v>
      </c>
      <c r="W1056" s="236">
        <f>РПЗ!L1056</f>
        <v>193520</v>
      </c>
      <c r="X1056" s="689">
        <v>1</v>
      </c>
      <c r="Y1056" s="689">
        <v>0</v>
      </c>
      <c r="Z1056" s="691">
        <v>7802015389</v>
      </c>
      <c r="AA1056" s="691" t="s">
        <v>6452</v>
      </c>
      <c r="AB1056" s="111">
        <v>193520</v>
      </c>
      <c r="AC1056" s="17">
        <v>43009</v>
      </c>
      <c r="AD1056" s="690" t="s">
        <v>485</v>
      </c>
      <c r="AE1056" s="686">
        <v>42970</v>
      </c>
      <c r="AF1056" s="474"/>
      <c r="AG1056" s="692">
        <v>193520</v>
      </c>
      <c r="AH1056" s="236">
        <f>IF(Таблица5[[#This Row],[30]]=0,"НД",Таблица5[[#This Row],[20]]-Таблица5[[#This Row],[30]])</f>
        <v>0</v>
      </c>
      <c r="AI1056" s="511">
        <f>IF(((1-Таблица5[[#This Row],[30]]/Таблица5[[#This Row],[20]])=1),"НД",(1-Таблица5[[#This Row],[30]]/Таблица5[[#This Row],[20]]))</f>
        <v>0</v>
      </c>
      <c r="AJ1056" s="111"/>
      <c r="AK1056" s="111"/>
      <c r="AL1056" s="512"/>
      <c r="AM1056" s="513" t="s">
        <v>113</v>
      </c>
      <c r="AN1056" s="801">
        <v>31705253314</v>
      </c>
      <c r="AO1056" s="468" t="str">
        <f>РПЗ!AD1056</f>
        <v>Нет</v>
      </c>
      <c r="AP1056" s="472" t="str">
        <f>РПЗ!V1056</f>
        <v>ГОЗ</v>
      </c>
      <c r="AQ1056" s="470">
        <f>IF(Таблица5[[#This Row],[11]]=0,,MONTH(Таблица5[[#This Row],[11]]))</f>
        <v>6</v>
      </c>
    </row>
    <row r="1057" spans="1:43" ht="39" thickBot="1" x14ac:dyDescent="0.3">
      <c r="A1057" s="233" t="str">
        <f t="shared" si="16"/>
        <v>1004-2017-01042</v>
      </c>
      <c r="B1057" s="233" t="str">
        <f>РПЗ!$D1057</f>
        <v>1004-2017-01042 Поставка модули питания  МДМ8-2Е0512В</v>
      </c>
      <c r="C1057" s="233" t="str">
        <f>РПЗ!$AA1057</f>
        <v>АО "НИИ "Полюс" им. М.Ф. Стельмаха" тел. отдела закупок 8-495-333-05-02</v>
      </c>
      <c r="D1057" s="633" t="str">
        <f>РПЗ!$AB1057</f>
        <v>Заказчик</v>
      </c>
      <c r="E1057" s="96" t="s">
        <v>46</v>
      </c>
      <c r="F1057" s="233" t="str">
        <f>РПЗ!Q1057</f>
        <v>ЕП</v>
      </c>
      <c r="G1057" s="237"/>
      <c r="H1057" s="237" t="str">
        <f>РПЗ!R1057</f>
        <v>Нет</v>
      </c>
      <c r="I1057" s="15">
        <f>РПЗ!W1057</f>
        <v>0</v>
      </c>
      <c r="J1057" s="233">
        <f>РПЗ!X1057</f>
        <v>0</v>
      </c>
      <c r="K1057" s="283">
        <f>РПЗ!Z1057</f>
        <v>0</v>
      </c>
      <c r="L1057" s="17"/>
      <c r="M1057" s="18">
        <f>РПЗ!O1057</f>
        <v>42795</v>
      </c>
      <c r="N1057" s="238">
        <f>Таблица5[[#This Row],[10]]</f>
        <v>42795</v>
      </c>
      <c r="O1057" s="17"/>
      <c r="P1057" s="17"/>
      <c r="Q1057" s="17"/>
      <c r="R1057" s="17"/>
      <c r="S1057" s="17"/>
      <c r="T1057" s="686"/>
      <c r="U1057" s="18">
        <f>РПЗ!P1057</f>
        <v>42826</v>
      </c>
      <c r="V1057" s="686"/>
      <c r="W1057" s="236">
        <f>РПЗ!L1057</f>
        <v>278000</v>
      </c>
      <c r="X1057" s="689"/>
      <c r="Y1057" s="689"/>
      <c r="Z1057" s="690"/>
      <c r="AA1057" s="691"/>
      <c r="AB1057" s="111"/>
      <c r="AC1057" s="17"/>
      <c r="AD1057" s="690"/>
      <c r="AE1057" s="686"/>
      <c r="AF1057" s="474"/>
      <c r="AG1057" s="692"/>
      <c r="AH1057" s="236" t="str">
        <f>IF(Таблица5[[#This Row],[30]]=0,"НД",Таблица5[[#This Row],[20]]-Таблица5[[#This Row],[30]])</f>
        <v>НД</v>
      </c>
      <c r="AI1057" s="511" t="str">
        <f>IF(((1-Таблица5[[#This Row],[30]]/Таблица5[[#This Row],[20]])=1),"НД",(1-Таблица5[[#This Row],[30]]/Таблица5[[#This Row],[20]]))</f>
        <v>НД</v>
      </c>
      <c r="AJ1057" s="111"/>
      <c r="AK1057" s="111"/>
      <c r="AL1057" s="512"/>
      <c r="AM1057" s="513"/>
      <c r="AN1057" s="465"/>
      <c r="AO1057" s="468" t="str">
        <f>РПЗ!AD1057</f>
        <v>Нет</v>
      </c>
      <c r="AP1057" s="472">
        <f>РПЗ!V1057</f>
        <v>0</v>
      </c>
      <c r="AQ1057" s="470">
        <f>IF(Таблица5[[#This Row],[11]]=0,,MONTH(Таблица5[[#This Row],[11]]))</f>
        <v>3</v>
      </c>
    </row>
    <row r="1058" spans="1:43" ht="38.25" x14ac:dyDescent="0.25">
      <c r="A1058" s="233" t="str">
        <f t="shared" si="16"/>
        <v>1004-2017-01043</v>
      </c>
      <c r="B1058" s="233" t="str">
        <f>РПЗ!$D1058</f>
        <v>1004-2017-01043Поставка  микросхема</v>
      </c>
      <c r="C1058" s="233" t="str">
        <f>РПЗ!$AA1058</f>
        <v>АО "НИИ "Полюс" им. М.Ф. Стельмаха" тел. отдела закупок 8-495-333-05-02</v>
      </c>
      <c r="D1058" s="633" t="str">
        <f>РПЗ!$AB1058</f>
        <v>Заказчик</v>
      </c>
      <c r="E1058" s="96" t="s">
        <v>46</v>
      </c>
      <c r="F1058" s="233" t="str">
        <f>РПЗ!Q1058</f>
        <v>ЕП</v>
      </c>
      <c r="G1058" s="237"/>
      <c r="H1058" s="237" t="str">
        <f>РПЗ!R1058</f>
        <v>Нет</v>
      </c>
      <c r="I1058" s="15">
        <f>РПЗ!W1058</f>
        <v>0</v>
      </c>
      <c r="J1058" s="233">
        <f>РПЗ!X1058</f>
        <v>0</v>
      </c>
      <c r="K1058" s="283">
        <f>РПЗ!Z1058</f>
        <v>0</v>
      </c>
      <c r="L1058" s="17"/>
      <c r="M1058" s="18">
        <f>РПЗ!O1058</f>
        <v>42887</v>
      </c>
      <c r="N1058" s="238">
        <f>Таблица5[[#This Row],[10]]</f>
        <v>42887</v>
      </c>
      <c r="O1058" s="17"/>
      <c r="P1058" s="17"/>
      <c r="Q1058" s="17"/>
      <c r="R1058" s="17"/>
      <c r="S1058" s="17"/>
      <c r="T1058" s="686"/>
      <c r="U1058" s="18">
        <f>РПЗ!P1058</f>
        <v>42979</v>
      </c>
      <c r="V1058" s="686"/>
      <c r="W1058" s="236">
        <f>РПЗ!L1058</f>
        <v>216265</v>
      </c>
      <c r="X1058" s="689"/>
      <c r="Y1058" s="689"/>
      <c r="Z1058" s="690"/>
      <c r="AA1058" s="691"/>
      <c r="AB1058" s="111"/>
      <c r="AC1058" s="17"/>
      <c r="AD1058" s="690"/>
      <c r="AE1058" s="686"/>
      <c r="AF1058" s="474"/>
      <c r="AG1058" s="692"/>
      <c r="AH1058" s="236" t="str">
        <f>IF(Таблица5[[#This Row],[30]]=0,"НД",Таблица5[[#This Row],[20]]-Таблица5[[#This Row],[30]])</f>
        <v>НД</v>
      </c>
      <c r="AI1058" s="511" t="str">
        <f>IF(((1-Таблица5[[#This Row],[30]]/Таблица5[[#This Row],[20]])=1),"НД",(1-Таблица5[[#This Row],[30]]/Таблица5[[#This Row],[20]]))</f>
        <v>НД</v>
      </c>
      <c r="AJ1058" s="111"/>
      <c r="AK1058" s="111"/>
      <c r="AL1058" s="512"/>
      <c r="AM1058" s="513"/>
      <c r="AN1058" s="465"/>
      <c r="AO1058" s="468" t="str">
        <f>РПЗ!AD1058</f>
        <v>Нет</v>
      </c>
      <c r="AP1058" s="472">
        <f>РПЗ!V1058</f>
        <v>0</v>
      </c>
      <c r="AQ1058" s="470">
        <f>IF(Таблица5[[#This Row],[11]]=0,,MONTH(Таблица5[[#This Row],[11]]))</f>
        <v>6</v>
      </c>
    </row>
    <row r="1059" spans="1:43" ht="38.25" x14ac:dyDescent="0.25">
      <c r="A1059" s="233" t="str">
        <f t="shared" si="16"/>
        <v>1004-2017-01044</v>
      </c>
      <c r="B1059" s="233" t="str">
        <f>РПЗ!$D1059</f>
        <v>1004-2017-01044 Поставка изотопов гелия и неона</v>
      </c>
      <c r="C1059" s="233" t="str">
        <f>РПЗ!$AA1059</f>
        <v>АО "НИИ "Полюс" им. М.Ф. Стельмаха" тел. отдела закупок 8-495-333-05-02</v>
      </c>
      <c r="D1059" s="633" t="str">
        <f>РПЗ!$AB1059</f>
        <v>Заказчик</v>
      </c>
      <c r="E1059" s="510" t="s">
        <v>59</v>
      </c>
      <c r="F1059" s="233" t="str">
        <f>РПЗ!Q1059</f>
        <v>ОЗК</v>
      </c>
      <c r="G1059" s="237" t="str">
        <f>Таблица5[[#This Row],[6]]</f>
        <v>ОЗК</v>
      </c>
      <c r="H1059" s="237" t="str">
        <f>РПЗ!R1059</f>
        <v>Да</v>
      </c>
      <c r="I1059" s="15">
        <f>РПЗ!W1059</f>
        <v>0</v>
      </c>
      <c r="J1059" s="233">
        <f>РПЗ!X1059</f>
        <v>0</v>
      </c>
      <c r="K1059" s="283">
        <f>РПЗ!Z1059</f>
        <v>0</v>
      </c>
      <c r="L1059" s="17">
        <v>42916</v>
      </c>
      <c r="M1059" s="18">
        <f>РПЗ!O1059</f>
        <v>42887</v>
      </c>
      <c r="N1059" s="238">
        <f>Таблица5[[#This Row],[10]]</f>
        <v>42887</v>
      </c>
      <c r="O1059" s="17">
        <v>42923</v>
      </c>
      <c r="P1059" s="17">
        <v>42929</v>
      </c>
      <c r="Q1059" s="17">
        <v>42929</v>
      </c>
      <c r="R1059" s="17"/>
      <c r="S1059" s="17"/>
      <c r="T1059" s="686"/>
      <c r="U1059" s="18">
        <f>РПЗ!P1059</f>
        <v>42949</v>
      </c>
      <c r="V1059" s="686"/>
      <c r="W1059" s="236">
        <f>РПЗ!L1059</f>
        <v>280000</v>
      </c>
      <c r="X1059" s="689">
        <v>0</v>
      </c>
      <c r="Y1059" s="689">
        <v>0</v>
      </c>
      <c r="Z1059" s="690"/>
      <c r="AA1059" s="691"/>
      <c r="AB1059" s="111"/>
      <c r="AC1059" s="17"/>
      <c r="AD1059" s="690"/>
      <c r="AE1059" s="686"/>
      <c r="AF1059" s="474"/>
      <c r="AG1059" s="692"/>
      <c r="AH1059" s="236" t="str">
        <f>IF(Таблица5[[#This Row],[30]]=0,"НД",Таблица5[[#This Row],[20]]-Таблица5[[#This Row],[30]])</f>
        <v>НД</v>
      </c>
      <c r="AI1059" s="511" t="str">
        <f>IF(((1-Таблица5[[#This Row],[30]]/Таблица5[[#This Row],[20]])=1),"НД",(1-Таблица5[[#This Row],[30]]/Таблица5[[#This Row],[20]]))</f>
        <v>НД</v>
      </c>
      <c r="AJ1059" s="111"/>
      <c r="AK1059" s="111"/>
      <c r="AL1059" s="512"/>
      <c r="AM1059" s="513" t="s">
        <v>113</v>
      </c>
      <c r="AN1059" s="801">
        <v>31705279313</v>
      </c>
      <c r="AO1059" s="468" t="str">
        <f>РПЗ!AD1059</f>
        <v>Нет</v>
      </c>
      <c r="AP1059" s="472">
        <f>РПЗ!V1059</f>
        <v>0</v>
      </c>
      <c r="AQ1059" s="470">
        <f>IF(Таблица5[[#This Row],[11]]=0,,MONTH(Таблица5[[#This Row],[11]]))</f>
        <v>6</v>
      </c>
    </row>
    <row r="1060" spans="1:43" ht="39" thickBot="1" x14ac:dyDescent="0.3">
      <c r="A1060" s="233" t="str">
        <f t="shared" si="16"/>
        <v>1004-2017-01045</v>
      </c>
      <c r="B1060" s="233" t="str">
        <f>РПЗ!$D1060</f>
        <v>1004-2017-01045 Поставка электроизоляционных материалов</v>
      </c>
      <c r="C1060" s="233" t="str">
        <f>РПЗ!$AA1060</f>
        <v>АО "НИИ "Полюс" им. М.Ф. Стельмаха" тел. отдела закупок 8-495-333-05-02</v>
      </c>
      <c r="D1060" s="633" t="str">
        <f>РПЗ!$AB1060</f>
        <v>Заказчик</v>
      </c>
      <c r="E1060" s="510" t="s">
        <v>62</v>
      </c>
      <c r="F1060" s="233" t="str">
        <f>РПЗ!Q1060</f>
        <v>ОЗК</v>
      </c>
      <c r="G1060" s="237" t="str">
        <f>Таблица5[[#This Row],[6]]</f>
        <v>ОЗК</v>
      </c>
      <c r="H1060" s="237" t="str">
        <f>РПЗ!R1060</f>
        <v>Да</v>
      </c>
      <c r="I1060" s="15">
        <f>РПЗ!W1060</f>
        <v>0</v>
      </c>
      <c r="J1060" s="233">
        <f>РПЗ!X1060</f>
        <v>0</v>
      </c>
      <c r="K1060" s="283">
        <f>РПЗ!Z1060</f>
        <v>0</v>
      </c>
      <c r="L1060" s="17">
        <v>42915</v>
      </c>
      <c r="M1060" s="18">
        <f>РПЗ!O1060</f>
        <v>42888</v>
      </c>
      <c r="N1060" s="238">
        <f>Таблица5[[#This Row],[10]]</f>
        <v>42888</v>
      </c>
      <c r="O1060" s="17">
        <v>42921</v>
      </c>
      <c r="P1060" s="17">
        <v>42927</v>
      </c>
      <c r="Q1060" s="17">
        <v>42927</v>
      </c>
      <c r="R1060" s="17">
        <v>42921</v>
      </c>
      <c r="S1060" s="17">
        <v>42921</v>
      </c>
      <c r="T1060" s="686">
        <v>42944</v>
      </c>
      <c r="U1060" s="18">
        <f>РПЗ!P1060</f>
        <v>42950</v>
      </c>
      <c r="V1060" s="686">
        <v>43070</v>
      </c>
      <c r="W1060" s="236">
        <f>РПЗ!L1060</f>
        <v>127815.86</v>
      </c>
      <c r="X1060" s="689">
        <v>1</v>
      </c>
      <c r="Y1060" s="689">
        <v>0</v>
      </c>
      <c r="Z1060" s="691">
        <v>5903079402</v>
      </c>
      <c r="AA1060" s="691" t="s">
        <v>6618</v>
      </c>
      <c r="AB1060" s="111">
        <v>116598.22</v>
      </c>
      <c r="AC1060" s="17">
        <v>43070</v>
      </c>
      <c r="AD1060" s="690" t="s">
        <v>6619</v>
      </c>
      <c r="AE1060" s="686">
        <v>42944</v>
      </c>
      <c r="AF1060" s="474"/>
      <c r="AG1060" s="692">
        <v>116598.22</v>
      </c>
      <c r="AH1060" s="236">
        <f>IF(Таблица5[[#This Row],[30]]=0,"НД",Таблица5[[#This Row],[20]]-Таблица5[[#This Row],[30]])</f>
        <v>11217.64</v>
      </c>
      <c r="AI1060" s="511">
        <f>IF(((1-Таблица5[[#This Row],[30]]/Таблица5[[#This Row],[20]])=1),"НД",(1-Таблица5[[#This Row],[30]]/Таблица5[[#This Row],[20]]))</f>
        <v>8.7764069341629392E-2</v>
      </c>
      <c r="AJ1060" s="111">
        <v>116598.22</v>
      </c>
      <c r="AK1060" s="111"/>
      <c r="AL1060" s="512"/>
      <c r="AM1060" s="513" t="s">
        <v>113</v>
      </c>
      <c r="AN1060" s="801">
        <v>31705271885</v>
      </c>
      <c r="AO1060" s="468" t="str">
        <f>РПЗ!AD1060</f>
        <v>Нет</v>
      </c>
      <c r="AP1060" s="472">
        <f>РПЗ!V1060</f>
        <v>0</v>
      </c>
      <c r="AQ1060" s="470">
        <f>IF(Таблица5[[#This Row],[11]]=0,,MONTH(Таблица5[[#This Row],[11]]))</f>
        <v>6</v>
      </c>
    </row>
    <row r="1061" spans="1:43" ht="38.25" x14ac:dyDescent="0.25">
      <c r="A1061" s="233" t="str">
        <f t="shared" si="16"/>
        <v>1004-2017-01046</v>
      </c>
      <c r="B1061" s="233" t="str">
        <f>РПЗ!$D1061</f>
        <v>1004-2017-01046 Поставка хладонов</v>
      </c>
      <c r="C1061" s="233" t="str">
        <f>РПЗ!$AA1061</f>
        <v>АО "НИИ "Полюс" им. М.Ф. Стельмаха" тел. отдела закупок 8-495-333-05-02</v>
      </c>
      <c r="D1061" s="633" t="str">
        <f>РПЗ!$AB1061</f>
        <v>Заказчик</v>
      </c>
      <c r="E1061" s="96" t="s">
        <v>46</v>
      </c>
      <c r="F1061" s="233" t="str">
        <f>РПЗ!Q1061</f>
        <v>ОЗК</v>
      </c>
      <c r="G1061" s="237"/>
      <c r="H1061" s="237" t="str">
        <f>РПЗ!R1061</f>
        <v>Да</v>
      </c>
      <c r="I1061" s="15">
        <f>РПЗ!W1061</f>
        <v>0</v>
      </c>
      <c r="J1061" s="233">
        <f>РПЗ!X1061</f>
        <v>0</v>
      </c>
      <c r="K1061" s="283">
        <f>РПЗ!Z1061</f>
        <v>0</v>
      </c>
      <c r="L1061" s="17"/>
      <c r="M1061" s="18">
        <f>РПЗ!O1061</f>
        <v>42889</v>
      </c>
      <c r="N1061" s="238">
        <f>Таблица5[[#This Row],[10]]</f>
        <v>42889</v>
      </c>
      <c r="O1061" s="17"/>
      <c r="P1061" s="17"/>
      <c r="Q1061" s="17"/>
      <c r="R1061" s="17"/>
      <c r="S1061" s="17"/>
      <c r="T1061" s="686"/>
      <c r="U1061" s="18">
        <f>РПЗ!P1061</f>
        <v>43285</v>
      </c>
      <c r="V1061" s="686"/>
      <c r="W1061" s="236">
        <f>РПЗ!L1061</f>
        <v>780000</v>
      </c>
      <c r="X1061" s="689"/>
      <c r="Y1061" s="689"/>
      <c r="Z1061" s="690"/>
      <c r="AA1061" s="691"/>
      <c r="AB1061" s="111"/>
      <c r="AC1061" s="17"/>
      <c r="AD1061" s="690"/>
      <c r="AE1061" s="686"/>
      <c r="AF1061" s="474"/>
      <c r="AG1061" s="692"/>
      <c r="AH1061" s="236" t="str">
        <f>IF(Таблица5[[#This Row],[30]]=0,"НД",Таблица5[[#This Row],[20]]-Таблица5[[#This Row],[30]])</f>
        <v>НД</v>
      </c>
      <c r="AI1061" s="511" t="str">
        <f>IF(((1-Таблица5[[#This Row],[30]]/Таблица5[[#This Row],[20]])=1),"НД",(1-Таблица5[[#This Row],[30]]/Таблица5[[#This Row],[20]]))</f>
        <v>НД</v>
      </c>
      <c r="AJ1061" s="111"/>
      <c r="AK1061" s="111"/>
      <c r="AL1061" s="512"/>
      <c r="AM1061" s="513"/>
      <c r="AN1061" s="465"/>
      <c r="AO1061" s="468" t="str">
        <f>РПЗ!AD1061</f>
        <v>Нет</v>
      </c>
      <c r="AP1061" s="472">
        <f>РПЗ!V1061</f>
        <v>0</v>
      </c>
      <c r="AQ1061" s="470">
        <f>IF(Таблица5[[#This Row],[11]]=0,,MONTH(Таблица5[[#This Row],[11]]))</f>
        <v>6</v>
      </c>
    </row>
    <row r="1062" spans="1:43" ht="38.25" x14ac:dyDescent="0.25">
      <c r="A1062" s="233" t="str">
        <f t="shared" si="16"/>
        <v>1004-2017-01047</v>
      </c>
      <c r="B1062" s="233" t="str">
        <f>РПЗ!$D1062</f>
        <v>1004-2017-01047 Поставка хладоносителя</v>
      </c>
      <c r="C1062" s="233" t="str">
        <f>РПЗ!$AA1062</f>
        <v>АО "НИИ "Полюс" им. М.Ф. Стельмаха" тел. отдела закупок 8-495-333-05-02</v>
      </c>
      <c r="D1062" s="633" t="str">
        <f>РПЗ!$AB1062</f>
        <v>Заказчик</v>
      </c>
      <c r="E1062" s="510" t="s">
        <v>62</v>
      </c>
      <c r="F1062" s="233" t="str">
        <f>РПЗ!Q1062</f>
        <v>ОЗК</v>
      </c>
      <c r="G1062" s="237" t="str">
        <f>Таблица5[[#This Row],[6]]</f>
        <v>ОЗК</v>
      </c>
      <c r="H1062" s="237" t="str">
        <f>РПЗ!R1062</f>
        <v>Да</v>
      </c>
      <c r="I1062" s="15">
        <f>РПЗ!W1062</f>
        <v>0</v>
      </c>
      <c r="J1062" s="233">
        <f>РПЗ!X1062</f>
        <v>0</v>
      </c>
      <c r="K1062" s="283">
        <f>РПЗ!Z1062</f>
        <v>0</v>
      </c>
      <c r="L1062" s="17">
        <v>42930</v>
      </c>
      <c r="M1062" s="18">
        <f>РПЗ!O1062</f>
        <v>42919</v>
      </c>
      <c r="N1062" s="238">
        <f>Таблица5[[#This Row],[10]]</f>
        <v>42919</v>
      </c>
      <c r="O1062" s="17">
        <v>42935</v>
      </c>
      <c r="P1062" s="17">
        <v>42940</v>
      </c>
      <c r="Q1062" s="17">
        <v>42940</v>
      </c>
      <c r="R1062" s="17">
        <v>42940</v>
      </c>
      <c r="S1062" s="17">
        <v>42940</v>
      </c>
      <c r="T1062" s="686">
        <v>42958</v>
      </c>
      <c r="U1062" s="18">
        <f>РПЗ!P1062</f>
        <v>42952</v>
      </c>
      <c r="V1062" s="686">
        <v>42979</v>
      </c>
      <c r="W1062" s="236">
        <f>РПЗ!L1062</f>
        <v>260000</v>
      </c>
      <c r="X1062" s="689">
        <v>1</v>
      </c>
      <c r="Y1062" s="689">
        <v>0</v>
      </c>
      <c r="Z1062" s="691">
        <v>5259127596</v>
      </c>
      <c r="AA1062" s="691" t="s">
        <v>6812</v>
      </c>
      <c r="AB1062" s="111">
        <v>248987</v>
      </c>
      <c r="AC1062" s="17">
        <v>42979</v>
      </c>
      <c r="AD1062" s="690" t="s">
        <v>6811</v>
      </c>
      <c r="AE1062" s="686">
        <v>42958</v>
      </c>
      <c r="AF1062" s="474"/>
      <c r="AG1062" s="692">
        <v>248987</v>
      </c>
      <c r="AH1062" s="236">
        <f>IF(Таблица5[[#This Row],[30]]=0,"НД",Таблица5[[#This Row],[20]]-Таблица5[[#This Row],[30]])</f>
        <v>11013</v>
      </c>
      <c r="AI1062" s="511">
        <f>IF(((1-Таблица5[[#This Row],[30]]/Таблица5[[#This Row],[20]])=1),"НД",(1-Таблица5[[#This Row],[30]]/Таблица5[[#This Row],[20]]))</f>
        <v>4.2357692307692263E-2</v>
      </c>
      <c r="AJ1062" s="111">
        <v>248987</v>
      </c>
      <c r="AK1062" s="111"/>
      <c r="AL1062" s="512"/>
      <c r="AM1062" s="513" t="s">
        <v>113</v>
      </c>
      <c r="AN1062" s="801">
        <v>31705323632</v>
      </c>
      <c r="AO1062" s="468" t="str">
        <f>РПЗ!AD1062</f>
        <v>Нет</v>
      </c>
      <c r="AP1062" s="472">
        <f>РПЗ!V1062</f>
        <v>0</v>
      </c>
      <c r="AQ1062" s="470">
        <f>IF(Таблица5[[#This Row],[11]]=0,,MONTH(Таблица5[[#This Row],[11]]))</f>
        <v>7</v>
      </c>
    </row>
    <row r="1063" spans="1:43" ht="39" thickBot="1" x14ac:dyDescent="0.3">
      <c r="A1063" s="233" t="str">
        <f t="shared" si="16"/>
        <v>1004-2017-01048</v>
      </c>
      <c r="B1063" s="233" t="str">
        <f>РПЗ!$D1063</f>
        <v>1004-2017-01048 Поставка крепежных изделий</v>
      </c>
      <c r="C1063" s="233" t="str">
        <f>РПЗ!$AA1063</f>
        <v>АО "НИИ "Полюс" им. М.Ф. Стельмаха" тел. отдела закупок 8-495-333-05-02</v>
      </c>
      <c r="D1063" s="633" t="str">
        <f>РПЗ!$AB1063</f>
        <v>Заказчик</v>
      </c>
      <c r="E1063" s="510" t="s">
        <v>62</v>
      </c>
      <c r="F1063" s="233" t="str">
        <f>РПЗ!Q1063</f>
        <v>ОЗК</v>
      </c>
      <c r="G1063" s="237" t="str">
        <f>Таблица5[[#This Row],[6]]</f>
        <v>ОЗК</v>
      </c>
      <c r="H1063" s="237" t="str">
        <f>РПЗ!R1063</f>
        <v>Да</v>
      </c>
      <c r="I1063" s="15">
        <f>РПЗ!W1063</f>
        <v>0</v>
      </c>
      <c r="J1063" s="233">
        <f>РПЗ!X1063</f>
        <v>0</v>
      </c>
      <c r="K1063" s="283">
        <f>РПЗ!Z1063</f>
        <v>0</v>
      </c>
      <c r="L1063" s="17">
        <v>42920</v>
      </c>
      <c r="M1063" s="18">
        <f>РПЗ!O1063</f>
        <v>42920</v>
      </c>
      <c r="N1063" s="238">
        <f>Таблица5[[#This Row],[10]]</f>
        <v>42920</v>
      </c>
      <c r="O1063" s="17">
        <v>42927</v>
      </c>
      <c r="P1063" s="17">
        <v>42930</v>
      </c>
      <c r="Q1063" s="17">
        <v>42930</v>
      </c>
      <c r="R1063" s="17">
        <v>42927</v>
      </c>
      <c r="S1063" s="17">
        <v>42927</v>
      </c>
      <c r="T1063" s="686">
        <v>42940</v>
      </c>
      <c r="U1063" s="18">
        <f>РПЗ!P1063</f>
        <v>42953</v>
      </c>
      <c r="V1063" s="686">
        <v>43070</v>
      </c>
      <c r="W1063" s="236">
        <f>РПЗ!L1063</f>
        <v>38069.14</v>
      </c>
      <c r="X1063" s="689">
        <v>3</v>
      </c>
      <c r="Y1063" s="689">
        <v>0</v>
      </c>
      <c r="Z1063" s="691">
        <v>7705579703</v>
      </c>
      <c r="AA1063" s="691" t="s">
        <v>3287</v>
      </c>
      <c r="AB1063" s="111">
        <v>29574</v>
      </c>
      <c r="AC1063" s="17">
        <v>43070</v>
      </c>
      <c r="AD1063" s="690" t="s">
        <v>6819</v>
      </c>
      <c r="AE1063" s="686">
        <v>42940</v>
      </c>
      <c r="AF1063" s="474"/>
      <c r="AG1063" s="692">
        <v>29574</v>
      </c>
      <c r="AH1063" s="236">
        <f>IF(Таблица5[[#This Row],[30]]=0,"НД",Таблица5[[#This Row],[20]]-Таблица5[[#This Row],[30]])</f>
        <v>8495.14</v>
      </c>
      <c r="AI1063" s="511">
        <f>IF(((1-Таблица5[[#This Row],[30]]/Таблица5[[#This Row],[20]])=1),"НД",(1-Таблица5[[#This Row],[30]]/Таблица5[[#This Row],[20]]))</f>
        <v>0.22315029969156119</v>
      </c>
      <c r="AJ1063" s="111">
        <v>29574</v>
      </c>
      <c r="AK1063" s="111"/>
      <c r="AL1063" s="512"/>
      <c r="AM1063" s="513" t="s">
        <v>113</v>
      </c>
      <c r="AN1063" s="801">
        <v>31705288929</v>
      </c>
      <c r="AO1063" s="468" t="str">
        <f>РПЗ!AD1063</f>
        <v>Нет</v>
      </c>
      <c r="AP1063" s="472">
        <f>РПЗ!V1063</f>
        <v>0</v>
      </c>
      <c r="AQ1063" s="470">
        <f>IF(Таблица5[[#This Row],[11]]=0,,MONTH(Таблица5[[#This Row],[11]]))</f>
        <v>7</v>
      </c>
    </row>
    <row r="1064" spans="1:43" ht="39" thickBot="1" x14ac:dyDescent="0.3">
      <c r="A1064" s="233" t="str">
        <f t="shared" si="16"/>
        <v>1004-2017-01049</v>
      </c>
      <c r="B1064" s="233" t="str">
        <f>РПЗ!$D1064</f>
        <v>1004-2017-01049 Поставка Металлические сплавы</v>
      </c>
      <c r="C1064" s="233" t="str">
        <f>РПЗ!$AA1064</f>
        <v>АО "НИИ "Полюс" им. М.Ф. Стельмаха" тел. отдела закупок 8-495-333-05-02</v>
      </c>
      <c r="D1064" s="633" t="str">
        <f>РПЗ!$AB1064</f>
        <v>Заказчик</v>
      </c>
      <c r="E1064" s="96" t="s">
        <v>46</v>
      </c>
      <c r="F1064" s="233" t="str">
        <f>РПЗ!Q1064</f>
        <v>ЕП</v>
      </c>
      <c r="G1064" s="237"/>
      <c r="H1064" s="237" t="str">
        <f>РПЗ!R1064</f>
        <v>Нет</v>
      </c>
      <c r="I1064" s="15">
        <f>РПЗ!W1064</f>
        <v>0</v>
      </c>
      <c r="J1064" s="233">
        <f>РПЗ!X1064</f>
        <v>0</v>
      </c>
      <c r="K1064" s="283">
        <f>РПЗ!Z1064</f>
        <v>0</v>
      </c>
      <c r="L1064" s="17"/>
      <c r="M1064" s="18">
        <f>РПЗ!O1064</f>
        <v>42890</v>
      </c>
      <c r="N1064" s="238">
        <f>Таблица5[[#This Row],[10]]</f>
        <v>42890</v>
      </c>
      <c r="O1064" s="17"/>
      <c r="P1064" s="17"/>
      <c r="Q1064" s="17"/>
      <c r="R1064" s="17"/>
      <c r="S1064" s="17"/>
      <c r="T1064" s="686"/>
      <c r="U1064" s="18">
        <f>РПЗ!P1064</f>
        <v>42917</v>
      </c>
      <c r="V1064" s="686"/>
      <c r="W1064" s="236">
        <f>РПЗ!L1064</f>
        <v>129652.58</v>
      </c>
      <c r="X1064" s="689"/>
      <c r="Y1064" s="689"/>
      <c r="Z1064" s="690"/>
      <c r="AA1064" s="691"/>
      <c r="AB1064" s="111"/>
      <c r="AC1064" s="17"/>
      <c r="AD1064" s="690"/>
      <c r="AE1064" s="686"/>
      <c r="AF1064" s="474"/>
      <c r="AG1064" s="692"/>
      <c r="AH1064" s="236" t="str">
        <f>IF(Таблица5[[#This Row],[30]]=0,"НД",Таблица5[[#This Row],[20]]-Таблица5[[#This Row],[30]])</f>
        <v>НД</v>
      </c>
      <c r="AI1064" s="511" t="str">
        <f>IF(((1-Таблица5[[#This Row],[30]]/Таблица5[[#This Row],[20]])=1),"НД",(1-Таблица5[[#This Row],[30]]/Таблица5[[#This Row],[20]]))</f>
        <v>НД</v>
      </c>
      <c r="AJ1064" s="111"/>
      <c r="AK1064" s="111"/>
      <c r="AL1064" s="512"/>
      <c r="AM1064" s="513"/>
      <c r="AN1064" s="465"/>
      <c r="AO1064" s="468" t="str">
        <f>РПЗ!AD1064</f>
        <v>Нет</v>
      </c>
      <c r="AP1064" s="472">
        <f>РПЗ!V1064</f>
        <v>0</v>
      </c>
      <c r="AQ1064" s="470">
        <f>IF(Таблица5[[#This Row],[11]]=0,,MONTH(Таблица5[[#This Row],[11]]))</f>
        <v>6</v>
      </c>
    </row>
    <row r="1065" spans="1:43" ht="38.25" x14ac:dyDescent="0.25">
      <c r="A1065" s="233" t="str">
        <f t="shared" si="16"/>
        <v>1004-2017-01050</v>
      </c>
      <c r="B1065" s="233" t="str">
        <f>РПЗ!$D1065</f>
        <v>1004-2017-01050 Поставка Металлические сплавы</v>
      </c>
      <c r="C1065" s="233" t="str">
        <f>РПЗ!$AA1065</f>
        <v>АО "НИИ "Полюс" им. М.Ф. Стельмаха" тел. отдела закупок 8-495-333-05-02</v>
      </c>
      <c r="D1065" s="633" t="str">
        <f>РПЗ!$AB1065</f>
        <v>Заказчик</v>
      </c>
      <c r="E1065" s="96" t="s">
        <v>46</v>
      </c>
      <c r="F1065" s="233" t="str">
        <f>РПЗ!Q1065</f>
        <v>ЕП</v>
      </c>
      <c r="G1065" s="237"/>
      <c r="H1065" s="237" t="str">
        <f>РПЗ!R1065</f>
        <v>Нет</v>
      </c>
      <c r="I1065" s="15">
        <f>РПЗ!W1065</f>
        <v>0</v>
      </c>
      <c r="J1065" s="233">
        <f>РПЗ!X1065</f>
        <v>0</v>
      </c>
      <c r="K1065" s="283">
        <f>РПЗ!Z1065</f>
        <v>0</v>
      </c>
      <c r="L1065" s="17"/>
      <c r="M1065" s="18">
        <f>РПЗ!O1065</f>
        <v>42890</v>
      </c>
      <c r="N1065" s="238">
        <f>Таблица5[[#This Row],[10]]</f>
        <v>42890</v>
      </c>
      <c r="O1065" s="17"/>
      <c r="P1065" s="17"/>
      <c r="Q1065" s="17"/>
      <c r="R1065" s="17"/>
      <c r="S1065" s="17"/>
      <c r="T1065" s="686"/>
      <c r="U1065" s="18">
        <f>РПЗ!P1065</f>
        <v>42917</v>
      </c>
      <c r="V1065" s="686"/>
      <c r="W1065" s="236">
        <f>РПЗ!L1065</f>
        <v>138395.37</v>
      </c>
      <c r="X1065" s="689"/>
      <c r="Y1065" s="689"/>
      <c r="Z1065" s="690"/>
      <c r="AA1065" s="691"/>
      <c r="AB1065" s="111"/>
      <c r="AC1065" s="17"/>
      <c r="AD1065" s="690"/>
      <c r="AE1065" s="686"/>
      <c r="AF1065" s="474"/>
      <c r="AG1065" s="692"/>
      <c r="AH1065" s="236" t="str">
        <f>IF(Таблица5[[#This Row],[30]]=0,"НД",Таблица5[[#This Row],[20]]-Таблица5[[#This Row],[30]])</f>
        <v>НД</v>
      </c>
      <c r="AI1065" s="511" t="str">
        <f>IF(((1-Таблица5[[#This Row],[30]]/Таблица5[[#This Row],[20]])=1),"НД",(1-Таблица5[[#This Row],[30]]/Таблица5[[#This Row],[20]]))</f>
        <v>НД</v>
      </c>
      <c r="AJ1065" s="111"/>
      <c r="AK1065" s="111"/>
      <c r="AL1065" s="512"/>
      <c r="AM1065" s="513"/>
      <c r="AN1065" s="465"/>
      <c r="AO1065" s="468" t="str">
        <f>РПЗ!AD1065</f>
        <v>Нет</v>
      </c>
      <c r="AP1065" s="472">
        <f>РПЗ!V1065</f>
        <v>0</v>
      </c>
      <c r="AQ1065" s="470">
        <f>IF(Таблица5[[#This Row],[11]]=0,,MONTH(Таблица5[[#This Row],[11]]))</f>
        <v>6</v>
      </c>
    </row>
    <row r="1066" spans="1:43" ht="38.25" x14ac:dyDescent="0.25">
      <c r="A1066" s="233" t="str">
        <f t="shared" si="16"/>
        <v>1004-2017-01051</v>
      </c>
      <c r="B1066" s="233" t="str">
        <f>РПЗ!$D1066</f>
        <v>1004-2017-01051Поставка  Стальные трубы</v>
      </c>
      <c r="C1066" s="233" t="str">
        <f>РПЗ!$AA1066</f>
        <v>АО "НИИ "Полюс" им. М.Ф. Стельмаха" тел. отдела закупок 8-495-333-05-02</v>
      </c>
      <c r="D1066" s="633" t="str">
        <f>РПЗ!$AB1066</f>
        <v>Заказчик</v>
      </c>
      <c r="E1066" s="510" t="s">
        <v>62</v>
      </c>
      <c r="F1066" s="233" t="str">
        <f>РПЗ!Q1066</f>
        <v>ОЗК</v>
      </c>
      <c r="G1066" s="237" t="str">
        <f>Таблица5[[#This Row],[6]]</f>
        <v>ОЗК</v>
      </c>
      <c r="H1066" s="237" t="str">
        <f>РПЗ!R1066</f>
        <v>Да</v>
      </c>
      <c r="I1066" s="15">
        <f>РПЗ!W1066</f>
        <v>0</v>
      </c>
      <c r="J1066" s="233">
        <f>РПЗ!X1066</f>
        <v>0</v>
      </c>
      <c r="K1066" s="283">
        <f>РПЗ!Z1066</f>
        <v>0</v>
      </c>
      <c r="L1066" s="17">
        <v>42901</v>
      </c>
      <c r="M1066" s="18">
        <f>РПЗ!O1066</f>
        <v>42890</v>
      </c>
      <c r="N1066" s="238">
        <f>Таблица5[[#This Row],[10]]</f>
        <v>42890</v>
      </c>
      <c r="O1066" s="17">
        <v>42908</v>
      </c>
      <c r="P1066" s="17">
        <v>42914</v>
      </c>
      <c r="Q1066" s="17">
        <v>42914</v>
      </c>
      <c r="R1066" s="17">
        <v>42909</v>
      </c>
      <c r="S1066" s="17">
        <v>42909</v>
      </c>
      <c r="T1066" s="686">
        <v>42922</v>
      </c>
      <c r="U1066" s="18">
        <f>РПЗ!P1066</f>
        <v>43070</v>
      </c>
      <c r="V1066" s="686">
        <v>42948</v>
      </c>
      <c r="W1066" s="236">
        <f>РПЗ!L1066</f>
        <v>455181.82</v>
      </c>
      <c r="X1066" s="689">
        <v>1</v>
      </c>
      <c r="Y1066" s="689">
        <v>0</v>
      </c>
      <c r="Z1066" s="691">
        <v>4029050072</v>
      </c>
      <c r="AA1066" s="691" t="s">
        <v>6620</v>
      </c>
      <c r="AB1066" s="111">
        <v>449120</v>
      </c>
      <c r="AC1066" s="17">
        <v>42948</v>
      </c>
      <c r="AD1066" s="690" t="s">
        <v>6621</v>
      </c>
      <c r="AE1066" s="686">
        <v>42922</v>
      </c>
      <c r="AF1066" s="474"/>
      <c r="AG1066" s="692">
        <v>449120</v>
      </c>
      <c r="AH1066" s="236">
        <f>IF(Таблица5[[#This Row],[30]]=0,"НД",Таблица5[[#This Row],[20]]-Таблица5[[#This Row],[30]])</f>
        <v>6061.820000000007</v>
      </c>
      <c r="AI1066" s="511">
        <f>IF(((1-Таблица5[[#This Row],[30]]/Таблица5[[#This Row],[20]])=1),"НД",(1-Таблица5[[#This Row],[30]]/Таблица5[[#This Row],[20]]))</f>
        <v>1.3317359643230109E-2</v>
      </c>
      <c r="AJ1066" s="111">
        <v>449120</v>
      </c>
      <c r="AK1066" s="111"/>
      <c r="AL1066" s="512"/>
      <c r="AM1066" s="513" t="s">
        <v>113</v>
      </c>
      <c r="AN1066" s="801">
        <v>31705221852</v>
      </c>
      <c r="AO1066" s="468" t="str">
        <f>РПЗ!AD1066</f>
        <v>Нет</v>
      </c>
      <c r="AP1066" s="472">
        <f>РПЗ!V1066</f>
        <v>0</v>
      </c>
      <c r="AQ1066" s="470">
        <f>IF(Таблица5[[#This Row],[11]]=0,,MONTH(Таблица5[[#This Row],[11]]))</f>
        <v>6</v>
      </c>
    </row>
    <row r="1067" spans="1:43" ht="102" x14ac:dyDescent="0.25">
      <c r="A1067" s="233" t="str">
        <f t="shared" si="16"/>
        <v>1004-2017-01052</v>
      </c>
      <c r="B1067" s="233" t="str">
        <f>РПЗ!$D1067</f>
        <v>1004-2017-01052 Поставка абсорбционного газоочистителя (скруббера) CLEANSORB PRIMELINE CS200PS, в комплекте: абсорбционная колонна CC200SA, абсорбционная колонна CC025SA, стойка с системой управления и питания</v>
      </c>
      <c r="C1067" s="233" t="str">
        <f>РПЗ!$AA1067</f>
        <v>АО "НИИ "Полюс" им. М.Ф. Стельмаха" тел. отдела закупок 8-495-333-05-02</v>
      </c>
      <c r="D1067" s="633" t="str">
        <f>РПЗ!$AB1067</f>
        <v>Заказчик</v>
      </c>
      <c r="E1067" s="510" t="s">
        <v>62</v>
      </c>
      <c r="F1067" s="233" t="str">
        <f>РПЗ!Q1067</f>
        <v>ОК</v>
      </c>
      <c r="G1067" s="237" t="str">
        <f>Таблица5[[#This Row],[6]]</f>
        <v>ОК</v>
      </c>
      <c r="H1067" s="237" t="str">
        <f>РПЗ!R1067</f>
        <v>Да</v>
      </c>
      <c r="I1067" s="15">
        <f>РПЗ!W1067</f>
        <v>0</v>
      </c>
      <c r="J1067" s="233">
        <f>РПЗ!X1067</f>
        <v>0</v>
      </c>
      <c r="K1067" s="283">
        <f>РПЗ!Z1067</f>
        <v>0</v>
      </c>
      <c r="L1067" s="17">
        <v>42902</v>
      </c>
      <c r="M1067" s="18">
        <f>РПЗ!O1067</f>
        <v>42890</v>
      </c>
      <c r="N1067" s="238">
        <f>Таблица5[[#This Row],[10]]</f>
        <v>42890</v>
      </c>
      <c r="O1067" s="17">
        <v>42927</v>
      </c>
      <c r="P1067" s="17">
        <v>42930</v>
      </c>
      <c r="Q1067" s="17">
        <v>42930</v>
      </c>
      <c r="R1067" s="17">
        <v>42935</v>
      </c>
      <c r="S1067" s="17">
        <v>42935</v>
      </c>
      <c r="T1067" s="686">
        <v>42940</v>
      </c>
      <c r="U1067" s="18">
        <f>РПЗ!P1067</f>
        <v>43070</v>
      </c>
      <c r="V1067" s="686">
        <v>43040</v>
      </c>
      <c r="W1067" s="236">
        <f>РПЗ!L1067</f>
        <v>15500000</v>
      </c>
      <c r="X1067" s="689">
        <v>1</v>
      </c>
      <c r="Y1067" s="689">
        <v>0</v>
      </c>
      <c r="Z1067" s="691">
        <v>7721166661</v>
      </c>
      <c r="AA1067" s="691" t="s">
        <v>3346</v>
      </c>
      <c r="AB1067" s="111">
        <v>15500000</v>
      </c>
      <c r="AC1067" s="17">
        <v>43040</v>
      </c>
      <c r="AD1067" s="690" t="s">
        <v>6622</v>
      </c>
      <c r="AE1067" s="686">
        <v>42940</v>
      </c>
      <c r="AF1067" s="474"/>
      <c r="AG1067" s="692">
        <v>15500000</v>
      </c>
      <c r="AH1067" s="236">
        <f>IF(Таблица5[[#This Row],[30]]=0,"НД",Таблица5[[#This Row],[20]]-Таблица5[[#This Row],[30]])</f>
        <v>0</v>
      </c>
      <c r="AI1067" s="511">
        <f>IF(((1-Таблица5[[#This Row],[30]]/Таблица5[[#This Row],[20]])=1),"НД",(1-Таблица5[[#This Row],[30]]/Таблица5[[#This Row],[20]]))</f>
        <v>0</v>
      </c>
      <c r="AJ1067" s="111">
        <v>15500000</v>
      </c>
      <c r="AK1067" s="111"/>
      <c r="AL1067" s="512"/>
      <c r="AM1067" s="513" t="s">
        <v>113</v>
      </c>
      <c r="AN1067" s="801">
        <v>31705228409</v>
      </c>
      <c r="AO1067" s="468" t="str">
        <f>РПЗ!AD1067</f>
        <v>Нет</v>
      </c>
      <c r="AP1067" s="472">
        <f>РПЗ!V1067</f>
        <v>0</v>
      </c>
      <c r="AQ1067" s="470">
        <f>IF(Таблица5[[#This Row],[11]]=0,,MONTH(Таблица5[[#This Row],[11]]))</f>
        <v>6</v>
      </c>
    </row>
    <row r="1068" spans="1:43" ht="38.25" x14ac:dyDescent="0.25">
      <c r="A1068" s="233" t="str">
        <f t="shared" si="16"/>
        <v>1004-2017-01053</v>
      </c>
      <c r="B1068" s="233" t="str">
        <f>РПЗ!$D1068</f>
        <v>1004-2017-01053 Поставка источника импульсного питания APEL-M-5PDC-1000-2</v>
      </c>
      <c r="C1068" s="233" t="str">
        <f>РПЗ!$AA1068</f>
        <v>АО "НИИ "Полюс" им. М.Ф. Стельмаха" тел. отдела закупок 8-495-333-05-02</v>
      </c>
      <c r="D1068" s="633" t="str">
        <f>РПЗ!$AB1068</f>
        <v>Заказчик</v>
      </c>
      <c r="E1068" s="510" t="s">
        <v>62</v>
      </c>
      <c r="F1068" s="233" t="str">
        <f>РПЗ!Q1068</f>
        <v>ОЗК</v>
      </c>
      <c r="G1068" s="237" t="str">
        <f>Таблица5[[#This Row],[6]]</f>
        <v>ОЗК</v>
      </c>
      <c r="H1068" s="237" t="str">
        <f>РПЗ!R1156</f>
        <v>Нет</v>
      </c>
      <c r="I1068" s="15">
        <f>РПЗ!W1068</f>
        <v>0</v>
      </c>
      <c r="J1068" s="233">
        <f>РПЗ!X1068</f>
        <v>0</v>
      </c>
      <c r="K1068" s="283">
        <f>РПЗ!Z1156</f>
        <v>132000</v>
      </c>
      <c r="L1068" s="17">
        <v>42901</v>
      </c>
      <c r="M1068" s="18">
        <f>РПЗ!O1068</f>
        <v>42890</v>
      </c>
      <c r="N1068" s="238">
        <f>Таблица5[[#This Row],[10]]</f>
        <v>42890</v>
      </c>
      <c r="O1068" s="17">
        <v>42908</v>
      </c>
      <c r="P1068" s="17">
        <v>42914</v>
      </c>
      <c r="Q1068" s="17">
        <v>42914</v>
      </c>
      <c r="R1068" s="17">
        <v>42909</v>
      </c>
      <c r="S1068" s="17">
        <v>42909</v>
      </c>
      <c r="T1068" s="686">
        <v>42916</v>
      </c>
      <c r="U1068" s="18">
        <f>РПЗ!P1068</f>
        <v>43070</v>
      </c>
      <c r="V1068" s="686">
        <v>43009</v>
      </c>
      <c r="W1068" s="236">
        <f>РПЗ!L1068</f>
        <v>190000</v>
      </c>
      <c r="X1068" s="689">
        <v>1</v>
      </c>
      <c r="Y1068" s="689">
        <v>0</v>
      </c>
      <c r="Z1068" s="691">
        <v>7017094578</v>
      </c>
      <c r="AA1068" s="691" t="s">
        <v>6623</v>
      </c>
      <c r="AB1068" s="111">
        <v>190000</v>
      </c>
      <c r="AC1068" s="17">
        <v>43009</v>
      </c>
      <c r="AD1068" s="690" t="s">
        <v>6624</v>
      </c>
      <c r="AE1068" s="686">
        <v>42916</v>
      </c>
      <c r="AF1068" s="474"/>
      <c r="AG1068" s="692">
        <v>190000</v>
      </c>
      <c r="AH1068" s="236">
        <f>IF(Таблица5[[#This Row],[30]]=0,"НД",Таблица5[[#This Row],[20]]-Таблица5[[#This Row],[30]])</f>
        <v>0</v>
      </c>
      <c r="AI1068" s="511">
        <f>IF(((1-Таблица5[[#This Row],[30]]/Таблица5[[#This Row],[20]])=1),"НД",(1-Таблица5[[#This Row],[30]]/Таблица5[[#This Row],[20]]))</f>
        <v>0</v>
      </c>
      <c r="AJ1068" s="111">
        <v>190000</v>
      </c>
      <c r="AK1068" s="111"/>
      <c r="AL1068" s="512"/>
      <c r="AM1068" s="513" t="s">
        <v>113</v>
      </c>
      <c r="AN1068" s="801">
        <v>31705221864</v>
      </c>
      <c r="AO1068" s="468" t="str">
        <f>РПЗ!AD1068</f>
        <v>Нет</v>
      </c>
      <c r="AP1068" s="472">
        <f>РПЗ!V1068</f>
        <v>0</v>
      </c>
      <c r="AQ1068" s="470">
        <f>IF(Таблица5[[#This Row],[11]]=0,,MONTH(Таблица5[[#This Row],[11]]))</f>
        <v>6</v>
      </c>
    </row>
    <row r="1069" spans="1:43" ht="89.25" x14ac:dyDescent="0.25">
      <c r="A1069" s="233" t="str">
        <f t="shared" si="16"/>
        <v>1004-2017-01054</v>
      </c>
      <c r="B1069" s="233" t="str">
        <f>РПЗ!$D1069</f>
        <v>1004-2017-01054 Поставка Узел корректировки рН "УКК-1600-8,8" ТУ4859.012.27572664.16, Ресивер согласующий "РС-1000-500-М" ТУ4859.013.27572664.16, Ресивер расходный "РР-500-400-М" ТУ4859.014.27572664.16</v>
      </c>
      <c r="C1069" s="233" t="str">
        <f>РПЗ!$AA1069</f>
        <v>АО "НИИ "Полюс" им. М.Ф. Стельмаха" тел. отдела закупок 8-495-333-05-02</v>
      </c>
      <c r="D1069" s="633" t="str">
        <f>РПЗ!$AB1069</f>
        <v>Заказчик</v>
      </c>
      <c r="E1069" s="510" t="s">
        <v>62</v>
      </c>
      <c r="F1069" s="233" t="str">
        <f>РПЗ!Q1069</f>
        <v>ЕП</v>
      </c>
      <c r="G1069" s="237" t="str">
        <f>Таблица5[[#This Row],[6]]</f>
        <v>ЕП</v>
      </c>
      <c r="H1069" s="237" t="str">
        <f>РПЗ!R1069</f>
        <v>Нет</v>
      </c>
      <c r="I1069" s="15" t="str">
        <f>РПЗ!W1069</f>
        <v>6.6.2(11)</v>
      </c>
      <c r="J1069" s="233">
        <f>РПЗ!X1069</f>
        <v>7704855904</v>
      </c>
      <c r="K1069" s="283">
        <f>РПЗ!Z1069</f>
        <v>2289200</v>
      </c>
      <c r="L1069" s="17">
        <v>42867</v>
      </c>
      <c r="M1069" s="18">
        <f>РПЗ!O1069</f>
        <v>42890</v>
      </c>
      <c r="N1069" s="238">
        <f>Таблица5[[#This Row],[10]]</f>
        <v>42890</v>
      </c>
      <c r="O1069" s="17"/>
      <c r="P1069" s="17"/>
      <c r="Q1069" s="17"/>
      <c r="R1069" s="17"/>
      <c r="S1069" s="17"/>
      <c r="T1069" s="686">
        <v>42905</v>
      </c>
      <c r="U1069" s="18">
        <f>РПЗ!P1069</f>
        <v>42953</v>
      </c>
      <c r="V1069" s="686">
        <v>43009</v>
      </c>
      <c r="W1069" s="236">
        <f>РПЗ!L1069</f>
        <v>2289200</v>
      </c>
      <c r="X1069" s="689">
        <v>1</v>
      </c>
      <c r="Y1069" s="689">
        <v>0</v>
      </c>
      <c r="Z1069" s="691">
        <v>7704855904</v>
      </c>
      <c r="AA1069" s="691" t="s">
        <v>3044</v>
      </c>
      <c r="AB1069" s="111">
        <v>2289200</v>
      </c>
      <c r="AC1069" s="17">
        <v>43009</v>
      </c>
      <c r="AD1069" s="690" t="s">
        <v>5772</v>
      </c>
      <c r="AE1069" s="686">
        <v>42905</v>
      </c>
      <c r="AF1069" s="474"/>
      <c r="AG1069" s="692">
        <v>2289200</v>
      </c>
      <c r="AH1069" s="236">
        <f>IF(Таблица5[[#This Row],[30]]=0,"НД",Таблица5[[#This Row],[20]]-Таблица5[[#This Row],[30]])</f>
        <v>0</v>
      </c>
      <c r="AI1069" s="511">
        <f>IF(((1-Таблица5[[#This Row],[30]]/Таблица5[[#This Row],[20]])=1),"НД",(1-Таблица5[[#This Row],[30]]/Таблица5[[#This Row],[20]]))</f>
        <v>0</v>
      </c>
      <c r="AJ1069" s="111">
        <v>2289200</v>
      </c>
      <c r="AK1069" s="111"/>
      <c r="AL1069" s="512"/>
      <c r="AM1069" s="513" t="s">
        <v>113</v>
      </c>
      <c r="AN1069" s="801">
        <v>31705225909</v>
      </c>
      <c r="AO1069" s="468" t="str">
        <f>РПЗ!AD1069</f>
        <v>Нет</v>
      </c>
      <c r="AP1069" s="472">
        <f>РПЗ!V1069</f>
        <v>0</v>
      </c>
      <c r="AQ1069" s="470">
        <f>IF(Таблица5[[#This Row],[11]]=0,,MONTH(Таблица5[[#This Row],[11]]))</f>
        <v>6</v>
      </c>
    </row>
    <row r="1070" spans="1:43" ht="38.25" x14ac:dyDescent="0.25">
      <c r="A1070" s="233" t="str">
        <f t="shared" si="16"/>
        <v>1004-2017-01055</v>
      </c>
      <c r="B1070" s="233" t="str">
        <f>РПЗ!$D1070</f>
        <v>1004-2017-01055 Поставка Узел ультрафиолетовой стерилизации УФС-160-15</v>
      </c>
      <c r="C1070" s="233" t="str">
        <f>РПЗ!$AA1070</f>
        <v>АО "НИИ "Полюс" им. М.Ф. Стельмаха" тел. отдела закупок 8-495-333-05-02</v>
      </c>
      <c r="D1070" s="633" t="str">
        <f>РПЗ!$AB1070</f>
        <v>Заказчик</v>
      </c>
      <c r="E1070" s="510" t="s">
        <v>62</v>
      </c>
      <c r="F1070" s="233" t="str">
        <f>РПЗ!Q1070</f>
        <v>ЕП</v>
      </c>
      <c r="G1070" s="237" t="str">
        <f>Таблица5[[#This Row],[6]]</f>
        <v>ЕП</v>
      </c>
      <c r="H1070" s="237" t="str">
        <f>РПЗ!R1070</f>
        <v>Нет</v>
      </c>
      <c r="I1070" s="15" t="str">
        <f>РПЗ!W1070</f>
        <v>6.6.2(11)</v>
      </c>
      <c r="J1070" s="233" t="str">
        <f>РПЗ!X1070</f>
        <v>7704855904</v>
      </c>
      <c r="K1070" s="283">
        <f>РПЗ!Z1070</f>
        <v>240720</v>
      </c>
      <c r="L1070" s="17">
        <v>42874</v>
      </c>
      <c r="M1070" s="18">
        <f>РПЗ!O1070</f>
        <v>42890</v>
      </c>
      <c r="N1070" s="238">
        <f>Таблица5[[#This Row],[10]]</f>
        <v>42890</v>
      </c>
      <c r="O1070" s="17"/>
      <c r="P1070" s="17"/>
      <c r="Q1070" s="17"/>
      <c r="R1070" s="17"/>
      <c r="S1070" s="17"/>
      <c r="T1070" s="686">
        <v>42905</v>
      </c>
      <c r="U1070" s="18">
        <f>РПЗ!P1070</f>
        <v>42953</v>
      </c>
      <c r="V1070" s="686">
        <v>43009</v>
      </c>
      <c r="W1070" s="236">
        <f>РПЗ!L1070</f>
        <v>240720</v>
      </c>
      <c r="X1070" s="689">
        <v>1</v>
      </c>
      <c r="Y1070" s="689">
        <v>0</v>
      </c>
      <c r="Z1070" s="691">
        <v>7704855904</v>
      </c>
      <c r="AA1070" s="691" t="s">
        <v>3044</v>
      </c>
      <c r="AB1070" s="111">
        <v>240720</v>
      </c>
      <c r="AC1070" s="17">
        <v>43009</v>
      </c>
      <c r="AD1070" s="690" t="s">
        <v>5771</v>
      </c>
      <c r="AE1070" s="686">
        <v>42905</v>
      </c>
      <c r="AF1070" s="474"/>
      <c r="AG1070" s="692">
        <v>240720</v>
      </c>
      <c r="AH1070" s="236">
        <f>IF(Таблица5[[#This Row],[30]]=0,"НД",Таблица5[[#This Row],[20]]-Таблица5[[#This Row],[30]])</f>
        <v>0</v>
      </c>
      <c r="AI1070" s="511">
        <f>IF(((1-Таблица5[[#This Row],[30]]/Таблица5[[#This Row],[20]])=1),"НД",(1-Таблица5[[#This Row],[30]]/Таблица5[[#This Row],[20]]))</f>
        <v>0</v>
      </c>
      <c r="AJ1070" s="111">
        <v>240720</v>
      </c>
      <c r="AK1070" s="111"/>
      <c r="AL1070" s="512"/>
      <c r="AM1070" s="513" t="s">
        <v>113</v>
      </c>
      <c r="AN1070" s="465">
        <v>31705225921</v>
      </c>
      <c r="AO1070" s="468" t="str">
        <f>РПЗ!AD1070</f>
        <v>Нет</v>
      </c>
      <c r="AP1070" s="472">
        <f>РПЗ!V1070</f>
        <v>0</v>
      </c>
      <c r="AQ1070" s="470">
        <f>IF(Таблица5[[#This Row],[11]]=0,,MONTH(Таблица5[[#This Row],[11]]))</f>
        <v>6</v>
      </c>
    </row>
    <row r="1071" spans="1:43" ht="128.25" thickBot="1" x14ac:dyDescent="0.3">
      <c r="A1071" s="233" t="str">
        <f t="shared" si="16"/>
        <v>1004-2017-01056</v>
      </c>
      <c r="B1071" s="233" t="str">
        <f>РПЗ!$D1071</f>
        <v>1004-2017--01056 Проведение испытнаний гетеролазеров на длину волны 0,64 мкм с мощностью излучения до 100м Вт на стойкость к воздействию специальных факторов</v>
      </c>
      <c r="C1071" s="233" t="str">
        <f>РПЗ!$AA1071</f>
        <v>АО "НИИ "Полюс" им. М.Ф. Стельмаха" тел. отдела закупок 8-495-333-05-02</v>
      </c>
      <c r="D1071" s="633" t="str">
        <f>РПЗ!$AB1071</f>
        <v>Заказчик</v>
      </c>
      <c r="E1071" s="510" t="s">
        <v>62</v>
      </c>
      <c r="F1071" s="233" t="str">
        <f>РПЗ!Q1071</f>
        <v>ЕП</v>
      </c>
      <c r="G1071" s="237" t="str">
        <f>Таблица5[[#This Row],[6]]</f>
        <v>ЕП</v>
      </c>
      <c r="H1071" s="237" t="str">
        <f>РПЗ!R1071</f>
        <v>Нет</v>
      </c>
      <c r="I1071" s="15" t="str">
        <f>РПЗ!W1071</f>
        <v>6.6.2(7)</v>
      </c>
      <c r="J1071" s="233" t="str">
        <f>РПЗ!X1071</f>
        <v>7724179933</v>
      </c>
      <c r="K1071" s="283">
        <f>РПЗ!Z1071</f>
        <v>3000000</v>
      </c>
      <c r="L1071" s="17">
        <v>42894</v>
      </c>
      <c r="M1071" s="18">
        <f>РПЗ!O1071</f>
        <v>42890</v>
      </c>
      <c r="N1071" s="238">
        <f>Таблица5[[#This Row],[10]]</f>
        <v>42890</v>
      </c>
      <c r="O1071" s="17"/>
      <c r="P1071" s="17"/>
      <c r="Q1071" s="17"/>
      <c r="R1071" s="17"/>
      <c r="S1071" s="17"/>
      <c r="T1071" s="686">
        <v>42929</v>
      </c>
      <c r="U1071" s="18">
        <f>РПЗ!P1071</f>
        <v>43070</v>
      </c>
      <c r="V1071" s="686">
        <v>42948</v>
      </c>
      <c r="W1071" s="236">
        <f>РПЗ!L1071</f>
        <v>3000000</v>
      </c>
      <c r="X1071" s="689">
        <v>1</v>
      </c>
      <c r="Y1071" s="689">
        <v>0</v>
      </c>
      <c r="Z1071" s="691">
        <v>7724179933</v>
      </c>
      <c r="AA1071" s="691" t="s">
        <v>2350</v>
      </c>
      <c r="AB1071" s="111">
        <v>3000000</v>
      </c>
      <c r="AC1071" s="17">
        <v>42948</v>
      </c>
      <c r="AD1071" s="690" t="s">
        <v>6444</v>
      </c>
      <c r="AE1071" s="686">
        <v>42929</v>
      </c>
      <c r="AF1071" s="474"/>
      <c r="AG1071" s="692">
        <v>3000000</v>
      </c>
      <c r="AH1071" s="236">
        <f>IF(Таблица5[[#This Row],[30]]=0,"НД",Таблица5[[#This Row],[20]]-Таблица5[[#This Row],[30]])</f>
        <v>0</v>
      </c>
      <c r="AI1071" s="511">
        <f>IF(((1-Таблица5[[#This Row],[30]]/Таблица5[[#This Row],[20]])=1),"НД",(1-Таблица5[[#This Row],[30]]/Таблица5[[#This Row],[20]]))</f>
        <v>0</v>
      </c>
      <c r="AJ1071" s="111"/>
      <c r="AK1071" s="111"/>
      <c r="AL1071" s="512"/>
      <c r="AM1071" s="513" t="s">
        <v>113</v>
      </c>
      <c r="AN1071" s="801">
        <v>31705243009</v>
      </c>
      <c r="AO1071" s="468" t="str">
        <f>РПЗ!AD1071</f>
        <v>Нет</v>
      </c>
      <c r="AP1071" s="472" t="str">
        <f>РПЗ!V1071</f>
        <v>ГОЗ</v>
      </c>
      <c r="AQ1071" s="470">
        <f>IF(Таблица5[[#This Row],[11]]=0,,MONTH(Таблица5[[#This Row],[11]]))</f>
        <v>6</v>
      </c>
    </row>
    <row r="1072" spans="1:43" ht="39" thickBot="1" x14ac:dyDescent="0.3">
      <c r="A1072" s="233" t="str">
        <f t="shared" si="16"/>
        <v>1004-2017-01057</v>
      </c>
      <c r="B1072" s="233" t="str">
        <f>РПЗ!$D1072</f>
        <v>1004-2017-01057 Поставка Сантехнические материалы</v>
      </c>
      <c r="C1072" s="233" t="str">
        <f>РПЗ!$AA1072</f>
        <v>АО "НИИ "Полюс" им. М.Ф. Стельмаха" тел. отдела закупок 8-495-333-05-02</v>
      </c>
      <c r="D1072" s="633" t="str">
        <f>РПЗ!$AB1072</f>
        <v>Заказчик</v>
      </c>
      <c r="E1072" s="96" t="s">
        <v>46</v>
      </c>
      <c r="F1072" s="233" t="str">
        <f>РПЗ!Q1072</f>
        <v>ОЗК</v>
      </c>
      <c r="G1072" s="237"/>
      <c r="H1072" s="237" t="str">
        <f>РПЗ!R1072</f>
        <v>Да</v>
      </c>
      <c r="I1072" s="15">
        <f>РПЗ!W1072</f>
        <v>0</v>
      </c>
      <c r="J1072" s="233">
        <f>РПЗ!X1072</f>
        <v>0</v>
      </c>
      <c r="K1072" s="283">
        <f>РПЗ!Z1072</f>
        <v>0</v>
      </c>
      <c r="L1072" s="17"/>
      <c r="M1072" s="18">
        <f>РПЗ!O1072</f>
        <v>42890</v>
      </c>
      <c r="N1072" s="238">
        <f>Таблица5[[#This Row],[10]]</f>
        <v>42890</v>
      </c>
      <c r="O1072" s="17"/>
      <c r="P1072" s="17"/>
      <c r="Q1072" s="17"/>
      <c r="R1072" s="17"/>
      <c r="S1072" s="17"/>
      <c r="T1072" s="686"/>
      <c r="U1072" s="18">
        <f>РПЗ!P1072</f>
        <v>43070</v>
      </c>
      <c r="V1072" s="686"/>
      <c r="W1072" s="236">
        <f>РПЗ!L1072</f>
        <v>2968567.93</v>
      </c>
      <c r="X1072" s="689"/>
      <c r="Y1072" s="689"/>
      <c r="Z1072" s="690"/>
      <c r="AA1072" s="691"/>
      <c r="AB1072" s="111"/>
      <c r="AC1072" s="17"/>
      <c r="AD1072" s="690"/>
      <c r="AE1072" s="686"/>
      <c r="AF1072" s="474"/>
      <c r="AG1072" s="692"/>
      <c r="AH1072" s="236" t="str">
        <f>IF(Таблица5[[#This Row],[30]]=0,"НД",Таблица5[[#This Row],[20]]-Таблица5[[#This Row],[30]])</f>
        <v>НД</v>
      </c>
      <c r="AI1072" s="511" t="str">
        <f>IF(((1-Таблица5[[#This Row],[30]]/Таблица5[[#This Row],[20]])=1),"НД",(1-Таблица5[[#This Row],[30]]/Таблица5[[#This Row],[20]]))</f>
        <v>НД</v>
      </c>
      <c r="AJ1072" s="111"/>
      <c r="AK1072" s="111"/>
      <c r="AL1072" s="512"/>
      <c r="AM1072" s="513"/>
      <c r="AN1072" s="465"/>
      <c r="AO1072" s="468" t="str">
        <f>РПЗ!AD1072</f>
        <v>Нет</v>
      </c>
      <c r="AP1072" s="472">
        <f>РПЗ!V1072</f>
        <v>0</v>
      </c>
      <c r="AQ1072" s="470">
        <f>IF(Таблица5[[#This Row],[11]]=0,,MONTH(Таблица5[[#This Row],[11]]))</f>
        <v>6</v>
      </c>
    </row>
    <row r="1073" spans="1:43" ht="38.25" x14ac:dyDescent="0.25">
      <c r="A1073" s="233" t="str">
        <f t="shared" si="16"/>
        <v>1004-2017-01058</v>
      </c>
      <c r="B1073" s="233" t="str">
        <f>РПЗ!$D1073</f>
        <v>1004-2017--01058 Поставка хладонов</v>
      </c>
      <c r="C1073" s="233" t="str">
        <f>РПЗ!$AA1073</f>
        <v>АО "НИИ "Полюс" им. М.Ф. Стельмаха" тел. отдела закупок 8-495-333-05-02</v>
      </c>
      <c r="D1073" s="633" t="str">
        <f>РПЗ!$AB1073</f>
        <v>Заказчик</v>
      </c>
      <c r="E1073" s="96" t="s">
        <v>46</v>
      </c>
      <c r="F1073" s="233" t="str">
        <f>РПЗ!Q1073</f>
        <v>ОЗК</v>
      </c>
      <c r="G1073" s="237"/>
      <c r="H1073" s="237" t="str">
        <f>РПЗ!R1073</f>
        <v>Да</v>
      </c>
      <c r="I1073" s="15">
        <f>РПЗ!W1073</f>
        <v>0</v>
      </c>
      <c r="J1073" s="233">
        <f>РПЗ!X1073</f>
        <v>0</v>
      </c>
      <c r="K1073" s="283">
        <f>РПЗ!Z1073</f>
        <v>0</v>
      </c>
      <c r="L1073" s="17"/>
      <c r="M1073" s="18">
        <f>РПЗ!O1073</f>
        <v>42890</v>
      </c>
      <c r="N1073" s="238">
        <f>Таблица5[[#This Row],[10]]</f>
        <v>42890</v>
      </c>
      <c r="O1073" s="17"/>
      <c r="P1073" s="17"/>
      <c r="Q1073" s="17"/>
      <c r="R1073" s="17"/>
      <c r="S1073" s="17"/>
      <c r="T1073" s="686"/>
      <c r="U1073" s="18">
        <f>РПЗ!P1073</f>
        <v>43285</v>
      </c>
      <c r="V1073" s="686"/>
      <c r="W1073" s="236">
        <f>РПЗ!L1073</f>
        <v>886925.73</v>
      </c>
      <c r="X1073" s="689"/>
      <c r="Y1073" s="689"/>
      <c r="Z1073" s="690"/>
      <c r="AA1073" s="691"/>
      <c r="AB1073" s="111"/>
      <c r="AC1073" s="17"/>
      <c r="AD1073" s="690"/>
      <c r="AE1073" s="686"/>
      <c r="AF1073" s="474"/>
      <c r="AG1073" s="692"/>
      <c r="AH1073" s="236" t="str">
        <f>IF(Таблица5[[#This Row],[30]]=0,"НД",Таблица5[[#This Row],[20]]-Таблица5[[#This Row],[30]])</f>
        <v>НД</v>
      </c>
      <c r="AI1073" s="511" t="str">
        <f>IF(((1-Таблица5[[#This Row],[30]]/Таблица5[[#This Row],[20]])=1),"НД",(1-Таблица5[[#This Row],[30]]/Таблица5[[#This Row],[20]]))</f>
        <v>НД</v>
      </c>
      <c r="AJ1073" s="111"/>
      <c r="AK1073" s="111"/>
      <c r="AL1073" s="512"/>
      <c r="AM1073" s="513"/>
      <c r="AN1073" s="465"/>
      <c r="AO1073" s="468" t="str">
        <f>РПЗ!AD1073</f>
        <v>Нет</v>
      </c>
      <c r="AP1073" s="472">
        <f>РПЗ!V1073</f>
        <v>0</v>
      </c>
      <c r="AQ1073" s="470">
        <f>IF(Таблица5[[#This Row],[11]]=0,,MONTH(Таблица5[[#This Row],[11]]))</f>
        <v>6</v>
      </c>
    </row>
    <row r="1074" spans="1:43" ht="89.25" x14ac:dyDescent="0.25">
      <c r="A1074" s="233" t="str">
        <f t="shared" si="16"/>
        <v>1004-2017-01059</v>
      </c>
      <c r="B1074" s="233" t="str">
        <f>РПЗ!$D1074</f>
        <v>1004-2017-01059 Подготовка и оформление документов для получения санитарно-эпидемиологического заключения на работы с ИИИ. Получение санитарно-эпидемиологического заключения на работы с ИИИ.</v>
      </c>
      <c r="C1074" s="233" t="str">
        <f>РПЗ!$AA1074</f>
        <v>АО "НИИ "Полюс" им. М.Ф. Стельмаха" тел. отдела закупок 8-495-333-05-02</v>
      </c>
      <c r="D1074" s="633" t="str">
        <f>РПЗ!$AB1074</f>
        <v>Заказчик</v>
      </c>
      <c r="E1074" s="510" t="s">
        <v>59</v>
      </c>
      <c r="F1074" s="233" t="str">
        <f>РПЗ!Q1074</f>
        <v>ОЗК</v>
      </c>
      <c r="G1074" s="237" t="str">
        <f>Таблица5[[#This Row],[6]]</f>
        <v>ОЗК</v>
      </c>
      <c r="H1074" s="237" t="str">
        <f>РПЗ!R1074</f>
        <v>Да</v>
      </c>
      <c r="I1074" s="15">
        <f>РПЗ!W1074</f>
        <v>0</v>
      </c>
      <c r="J1074" s="233">
        <f>РПЗ!X1074</f>
        <v>0</v>
      </c>
      <c r="K1074" s="283">
        <f>РПЗ!Z1074</f>
        <v>0</v>
      </c>
      <c r="L1074" s="17">
        <v>42949</v>
      </c>
      <c r="M1074" s="18">
        <f>РПЗ!O1074</f>
        <v>42948</v>
      </c>
      <c r="N1074" s="238">
        <f>Таблица5[[#This Row],[10]]</f>
        <v>42948</v>
      </c>
      <c r="O1074" s="17">
        <v>42956</v>
      </c>
      <c r="P1074" s="17">
        <v>42961</v>
      </c>
      <c r="Q1074" s="17">
        <v>42961</v>
      </c>
      <c r="R1074" s="17">
        <v>42961</v>
      </c>
      <c r="S1074" s="17">
        <v>42961</v>
      </c>
      <c r="T1074" s="686"/>
      <c r="U1074" s="18">
        <f>РПЗ!P1074</f>
        <v>42979</v>
      </c>
      <c r="V1074" s="686"/>
      <c r="W1074" s="236">
        <f>РПЗ!L1074</f>
        <v>212000</v>
      </c>
      <c r="X1074" s="689">
        <v>0</v>
      </c>
      <c r="Y1074" s="689">
        <v>0</v>
      </c>
      <c r="Z1074" s="690"/>
      <c r="AA1074" s="691"/>
      <c r="AB1074" s="111"/>
      <c r="AC1074" s="17"/>
      <c r="AD1074" s="690"/>
      <c r="AE1074" s="686"/>
      <c r="AF1074" s="474"/>
      <c r="AG1074" s="692"/>
      <c r="AH1074" s="236" t="str">
        <f>IF(Таблица5[[#This Row],[30]]=0,"НД",Таблица5[[#This Row],[20]]-Таблица5[[#This Row],[30]])</f>
        <v>НД</v>
      </c>
      <c r="AI1074" s="511" t="str">
        <f>IF(((1-Таблица5[[#This Row],[30]]/Таблица5[[#This Row],[20]])=1),"НД",(1-Таблица5[[#This Row],[30]]/Таблица5[[#This Row],[20]]))</f>
        <v>НД</v>
      </c>
      <c r="AJ1074" s="111"/>
      <c r="AK1074" s="111"/>
      <c r="AL1074" s="512"/>
      <c r="AM1074" s="513" t="s">
        <v>113</v>
      </c>
      <c r="AN1074" s="801">
        <v>31705387266</v>
      </c>
      <c r="AO1074" s="468" t="str">
        <f>РПЗ!AD1074</f>
        <v>Нет</v>
      </c>
      <c r="AP1074" s="472">
        <f>РПЗ!V1074</f>
        <v>0</v>
      </c>
      <c r="AQ1074" s="470">
        <f>IF(Таблица5[[#This Row],[11]]=0,,MONTH(Таблица5[[#This Row],[11]]))</f>
        <v>8</v>
      </c>
    </row>
    <row r="1075" spans="1:43" ht="38.25" x14ac:dyDescent="0.25">
      <c r="A1075" s="233" t="str">
        <f t="shared" si="16"/>
        <v>1004-2017-01060</v>
      </c>
      <c r="B1075" s="233" t="str">
        <f>РПЗ!$D1075</f>
        <v>1004-2017-01060 Поставка химической продукции</v>
      </c>
      <c r="C1075" s="233" t="str">
        <f>РПЗ!$AA1075</f>
        <v>АО "НИИ "Полюс" им. М.Ф. Стельмаха" тел. отдела закупок 8-495-333-05-02</v>
      </c>
      <c r="D1075" s="633" t="str">
        <f>РПЗ!$AB1075</f>
        <v>Заказчик</v>
      </c>
      <c r="E1075" s="510" t="s">
        <v>62</v>
      </c>
      <c r="F1075" s="233" t="str">
        <f>РПЗ!Q1075</f>
        <v>ОЗК</v>
      </c>
      <c r="G1075" s="237" t="str">
        <f>Таблица5[[#This Row],[6]]</f>
        <v>ОЗК</v>
      </c>
      <c r="H1075" s="237" t="str">
        <f>РПЗ!R1075</f>
        <v>Да</v>
      </c>
      <c r="I1075" s="15">
        <f>РПЗ!W1075</f>
        <v>0</v>
      </c>
      <c r="J1075" s="233">
        <f>РПЗ!X1075</f>
        <v>0</v>
      </c>
      <c r="K1075" s="283">
        <f>РПЗ!Z1075</f>
        <v>0</v>
      </c>
      <c r="L1075" s="17">
        <v>42915</v>
      </c>
      <c r="M1075" s="18">
        <f>РПЗ!O1075</f>
        <v>42890</v>
      </c>
      <c r="N1075" s="238">
        <f>Таблица5[[#This Row],[10]]</f>
        <v>42890</v>
      </c>
      <c r="O1075" s="17">
        <v>42921</v>
      </c>
      <c r="P1075" s="17">
        <v>42927</v>
      </c>
      <c r="Q1075" s="17">
        <v>42927</v>
      </c>
      <c r="R1075" s="17">
        <v>42922</v>
      </c>
      <c r="S1075" s="17">
        <v>42922</v>
      </c>
      <c r="T1075" s="686">
        <v>42940</v>
      </c>
      <c r="U1075" s="18">
        <f>РПЗ!P1075</f>
        <v>43284</v>
      </c>
      <c r="V1075" s="686">
        <v>43070</v>
      </c>
      <c r="W1075" s="236">
        <f>РПЗ!L1075</f>
        <v>501088.92</v>
      </c>
      <c r="X1075" s="689">
        <v>2</v>
      </c>
      <c r="Y1075" s="689">
        <v>0</v>
      </c>
      <c r="Z1075" s="691">
        <v>7729328949</v>
      </c>
      <c r="AA1075" s="691" t="s">
        <v>6625</v>
      </c>
      <c r="AB1075" s="111">
        <v>457174.36</v>
      </c>
      <c r="AC1075" s="17">
        <v>43070</v>
      </c>
      <c r="AD1075" s="690" t="s">
        <v>6626</v>
      </c>
      <c r="AE1075" s="686">
        <v>42940</v>
      </c>
      <c r="AF1075" s="474"/>
      <c r="AG1075" s="692">
        <v>457174.36</v>
      </c>
      <c r="AH1075" s="236">
        <f>IF(Таблица5[[#This Row],[30]]=0,"НД",Таблица5[[#This Row],[20]]-Таблица5[[#This Row],[30]])</f>
        <v>43914.559999999998</v>
      </c>
      <c r="AI1075" s="511">
        <f>IF(((1-Таблица5[[#This Row],[30]]/Таблица5[[#This Row],[20]])=1),"НД",(1-Таблица5[[#This Row],[30]]/Таблица5[[#This Row],[20]]))</f>
        <v>8.7638257896422878E-2</v>
      </c>
      <c r="AJ1075" s="111"/>
      <c r="AK1075" s="111"/>
      <c r="AL1075" s="512"/>
      <c r="AM1075" s="513" t="s">
        <v>113</v>
      </c>
      <c r="AN1075" s="465">
        <v>31705271884</v>
      </c>
      <c r="AO1075" s="468" t="str">
        <f>РПЗ!AD1075</f>
        <v>Нет</v>
      </c>
      <c r="AP1075" s="472">
        <f>РПЗ!V1075</f>
        <v>0</v>
      </c>
      <c r="AQ1075" s="470">
        <f>IF(Таблица5[[#This Row],[11]]=0,,MONTH(Таблица5[[#This Row],[11]]))</f>
        <v>6</v>
      </c>
    </row>
    <row r="1076" spans="1:43" ht="51" x14ac:dyDescent="0.25">
      <c r="A1076" s="233" t="str">
        <f t="shared" ref="A1076:A1139" si="17">INDEX(Диапазон1,ROW(), COLUMN())</f>
        <v>1004-2017-01061</v>
      </c>
      <c r="B1076" s="233" t="str">
        <f>РПЗ!$D1076</f>
        <v>1004-2017-01061Поставка цветных металлов</v>
      </c>
      <c r="C1076" s="233" t="str">
        <f>РПЗ!$AA1076</f>
        <v>АО "НИИ "Полюс" им. М.Ф. Стельмаха" тел. отдела закупок 8-495-333-05-02</v>
      </c>
      <c r="D1076" s="633" t="str">
        <f>РПЗ!$AB1076</f>
        <v>Заказчик</v>
      </c>
      <c r="E1076" s="510" t="s">
        <v>62</v>
      </c>
      <c r="F1076" s="233" t="str">
        <f>РПЗ!Q1076</f>
        <v>ОЗК</v>
      </c>
      <c r="G1076" s="237" t="str">
        <f>Таблица5[[#This Row],[6]]</f>
        <v>ОЗК</v>
      </c>
      <c r="H1076" s="237" t="str">
        <f>РПЗ!R1076</f>
        <v>Да</v>
      </c>
      <c r="I1076" s="15">
        <f>РПЗ!W1076</f>
        <v>0</v>
      </c>
      <c r="J1076" s="233">
        <f>РПЗ!X1076</f>
        <v>0</v>
      </c>
      <c r="K1076" s="283">
        <f>РПЗ!Z1076</f>
        <v>0</v>
      </c>
      <c r="L1076" s="17">
        <v>42915</v>
      </c>
      <c r="M1076" s="18">
        <f>РПЗ!O1076</f>
        <v>42890</v>
      </c>
      <c r="N1076" s="238">
        <f>Таблица5[[#This Row],[10]]</f>
        <v>42890</v>
      </c>
      <c r="O1076" s="17">
        <v>42921</v>
      </c>
      <c r="P1076" s="17">
        <v>42927</v>
      </c>
      <c r="Q1076" s="17">
        <v>42927</v>
      </c>
      <c r="R1076" s="17">
        <v>42922</v>
      </c>
      <c r="S1076" s="17">
        <v>42922</v>
      </c>
      <c r="T1076" s="686">
        <v>42934</v>
      </c>
      <c r="U1076" s="18">
        <f>РПЗ!P1076</f>
        <v>43284</v>
      </c>
      <c r="V1076" s="686">
        <v>43070</v>
      </c>
      <c r="W1076" s="236">
        <f>РПЗ!L1076</f>
        <v>283767.65000000002</v>
      </c>
      <c r="X1076" s="689">
        <v>10</v>
      </c>
      <c r="Y1076" s="689">
        <v>0</v>
      </c>
      <c r="Z1076" s="691">
        <v>7709574625</v>
      </c>
      <c r="AA1076" s="691" t="s">
        <v>5951</v>
      </c>
      <c r="AB1076" s="111">
        <v>242841.05</v>
      </c>
      <c r="AC1076" s="17">
        <v>43070</v>
      </c>
      <c r="AD1076" s="690" t="s">
        <v>6627</v>
      </c>
      <c r="AE1076" s="686">
        <v>42934</v>
      </c>
      <c r="AF1076" s="474"/>
      <c r="AG1076" s="692">
        <v>242841.05</v>
      </c>
      <c r="AH1076" s="236">
        <f>IF(Таблица5[[#This Row],[30]]=0,"НД",Таблица5[[#This Row],[20]]-Таблица5[[#This Row],[30]])</f>
        <v>40926.600000000035</v>
      </c>
      <c r="AI1076" s="511">
        <f>IF(((1-Таблица5[[#This Row],[30]]/Таблица5[[#This Row],[20]])=1),"НД",(1-Таблица5[[#This Row],[30]]/Таблица5[[#This Row],[20]]))</f>
        <v>0.144225742433995</v>
      </c>
      <c r="AJ1076" s="111">
        <v>242841.05</v>
      </c>
      <c r="AK1076" s="111"/>
      <c r="AL1076" s="512"/>
      <c r="AM1076" s="513" t="s">
        <v>113</v>
      </c>
      <c r="AN1076" s="801">
        <v>31705277150</v>
      </c>
      <c r="AO1076" s="468" t="str">
        <f>РПЗ!AD1076</f>
        <v>Нет</v>
      </c>
      <c r="AP1076" s="472">
        <f>РПЗ!V1076</f>
        <v>0</v>
      </c>
      <c r="AQ1076" s="470">
        <f>IF(Таблица5[[#This Row],[11]]=0,,MONTH(Таблица5[[#This Row],[11]]))</f>
        <v>6</v>
      </c>
    </row>
    <row r="1077" spans="1:43" ht="51" x14ac:dyDescent="0.25">
      <c r="A1077" s="233" t="str">
        <f t="shared" si="17"/>
        <v>1004-2017-01062</v>
      </c>
      <c r="B1077" s="233" t="str">
        <f>РПЗ!$D1077</f>
        <v>1004-201701062 -Поставка Картриджи механической очистки, картриджи угольные, корпуса контейнера</v>
      </c>
      <c r="C1077" s="233" t="str">
        <f>РПЗ!$AA1077</f>
        <v>АО "НИИ "Полюс" им. М.Ф. Стельмаха" тел. отдела закупок 8-495-333-05-02</v>
      </c>
      <c r="D1077" s="633" t="str">
        <f>РПЗ!$AB1077</f>
        <v>Заказчик</v>
      </c>
      <c r="E1077" s="510" t="s">
        <v>59</v>
      </c>
      <c r="F1077" s="233" t="str">
        <f>РПЗ!Q1077</f>
        <v>ОЗК</v>
      </c>
      <c r="G1077" s="237" t="str">
        <f>Таблица5[[#This Row],[6]]</f>
        <v>ОЗК</v>
      </c>
      <c r="H1077" s="237" t="str">
        <f>РПЗ!R1077</f>
        <v>Да</v>
      </c>
      <c r="I1077" s="15">
        <f>РПЗ!W1077</f>
        <v>0</v>
      </c>
      <c r="J1077" s="233">
        <f>РПЗ!X1077</f>
        <v>0</v>
      </c>
      <c r="K1077" s="283">
        <f>РПЗ!Z1077</f>
        <v>0</v>
      </c>
      <c r="L1077" s="17">
        <v>42936</v>
      </c>
      <c r="M1077" s="18">
        <f>РПЗ!O1077</f>
        <v>42890</v>
      </c>
      <c r="N1077" s="238">
        <f>Таблица5[[#This Row],[10]]</f>
        <v>42890</v>
      </c>
      <c r="O1077" s="17">
        <v>42942</v>
      </c>
      <c r="P1077" s="17">
        <v>42947</v>
      </c>
      <c r="Q1077" s="17">
        <v>42947</v>
      </c>
      <c r="R1077" s="17">
        <v>42947</v>
      </c>
      <c r="S1077" s="17">
        <v>42947</v>
      </c>
      <c r="T1077" s="686"/>
      <c r="U1077" s="18">
        <f>РПЗ!P1077</f>
        <v>42917</v>
      </c>
      <c r="V1077" s="686"/>
      <c r="W1077" s="236">
        <f>РПЗ!L1077</f>
        <v>36000</v>
      </c>
      <c r="X1077" s="689">
        <v>0</v>
      </c>
      <c r="Y1077" s="689">
        <v>0</v>
      </c>
      <c r="Z1077" s="690"/>
      <c r="AA1077" s="691"/>
      <c r="AB1077" s="111"/>
      <c r="AC1077" s="17"/>
      <c r="AD1077" s="690"/>
      <c r="AE1077" s="686"/>
      <c r="AF1077" s="474"/>
      <c r="AG1077" s="692"/>
      <c r="AH1077" s="236" t="str">
        <f>IF(Таблица5[[#This Row],[30]]=0,"НД",Таблица5[[#This Row],[20]]-Таблица5[[#This Row],[30]])</f>
        <v>НД</v>
      </c>
      <c r="AI1077" s="511" t="str">
        <f>IF(((1-Таблица5[[#This Row],[30]]/Таблица5[[#This Row],[20]])=1),"НД",(1-Таблица5[[#This Row],[30]]/Таблица5[[#This Row],[20]]))</f>
        <v>НД</v>
      </c>
      <c r="AJ1077" s="111"/>
      <c r="AK1077" s="111"/>
      <c r="AL1077" s="512"/>
      <c r="AM1077" s="513" t="s">
        <v>113</v>
      </c>
      <c r="AN1077" s="801">
        <v>31705343620</v>
      </c>
      <c r="AO1077" s="468" t="str">
        <f>РПЗ!AD1077</f>
        <v>Нет</v>
      </c>
      <c r="AP1077" s="472">
        <f>РПЗ!V1077</f>
        <v>0</v>
      </c>
      <c r="AQ1077" s="470">
        <f>IF(Таблица5[[#This Row],[11]]=0,,MONTH(Таблица5[[#This Row],[11]]))</f>
        <v>6</v>
      </c>
    </row>
    <row r="1078" spans="1:43" ht="38.25" x14ac:dyDescent="0.25">
      <c r="A1078" s="233" t="str">
        <f t="shared" si="17"/>
        <v>1004-2017-01063</v>
      </c>
      <c r="B1078" s="233" t="str">
        <f>РПЗ!$D1078</f>
        <v>1004-2017-01063 Поставка Диэлектрические изделия(перчатки, ковры,галоши)</v>
      </c>
      <c r="C1078" s="233" t="str">
        <f>РПЗ!$AA1078</f>
        <v>АО "НИИ "Полюс" им. М.Ф. Стельмаха" тел. отдела закупок 8-495-333-05-02</v>
      </c>
      <c r="D1078" s="633" t="str">
        <f>РПЗ!$AB1078</f>
        <v>Заказчик</v>
      </c>
      <c r="E1078" s="510" t="s">
        <v>59</v>
      </c>
      <c r="F1078" s="233" t="str">
        <f>РПЗ!Q1078</f>
        <v>ОЗК</v>
      </c>
      <c r="G1078" s="237" t="str">
        <f>Таблица5[[#This Row],[6]]</f>
        <v>ОЗК</v>
      </c>
      <c r="H1078" s="237" t="str">
        <f>РПЗ!R1078</f>
        <v>Да</v>
      </c>
      <c r="I1078" s="15">
        <f>РПЗ!W1078</f>
        <v>0</v>
      </c>
      <c r="J1078" s="233">
        <f>РПЗ!X1078</f>
        <v>0</v>
      </c>
      <c r="K1078" s="283">
        <f>РПЗ!Z1078</f>
        <v>0</v>
      </c>
      <c r="L1078" s="17">
        <v>42920</v>
      </c>
      <c r="M1078" s="18">
        <f>РПЗ!O1078</f>
        <v>42917</v>
      </c>
      <c r="N1078" s="238">
        <f>Таблица5[[#This Row],[10]]</f>
        <v>42917</v>
      </c>
      <c r="O1078" s="17">
        <v>42927</v>
      </c>
      <c r="P1078" s="17">
        <v>42930</v>
      </c>
      <c r="Q1078" s="17">
        <v>42930</v>
      </c>
      <c r="R1078" s="17">
        <v>42930</v>
      </c>
      <c r="S1078" s="17">
        <v>42930</v>
      </c>
      <c r="T1078" s="686"/>
      <c r="U1078" s="18">
        <f>РПЗ!P1078</f>
        <v>42917</v>
      </c>
      <c r="V1078" s="686"/>
      <c r="W1078" s="236">
        <f>РПЗ!L1078</f>
        <v>8299.33</v>
      </c>
      <c r="X1078" s="689">
        <v>0</v>
      </c>
      <c r="Y1078" s="689">
        <v>0</v>
      </c>
      <c r="Z1078" s="690"/>
      <c r="AA1078" s="691"/>
      <c r="AB1078" s="111"/>
      <c r="AC1078" s="17"/>
      <c r="AD1078" s="690"/>
      <c r="AE1078" s="686"/>
      <c r="AF1078" s="474"/>
      <c r="AG1078" s="692"/>
      <c r="AH1078" s="236" t="str">
        <f>IF(Таблица5[[#This Row],[30]]=0,"НД",Таблица5[[#This Row],[20]]-Таблица5[[#This Row],[30]])</f>
        <v>НД</v>
      </c>
      <c r="AI1078" s="511" t="str">
        <f>IF(((1-Таблица5[[#This Row],[30]]/Таблица5[[#This Row],[20]])=1),"НД",(1-Таблица5[[#This Row],[30]]/Таблица5[[#This Row],[20]]))</f>
        <v>НД</v>
      </c>
      <c r="AJ1078" s="111"/>
      <c r="AK1078" s="111"/>
      <c r="AL1078" s="512"/>
      <c r="AM1078" s="513" t="s">
        <v>113</v>
      </c>
      <c r="AN1078" s="801">
        <v>31705288931</v>
      </c>
      <c r="AO1078" s="468" t="str">
        <f>РПЗ!AD1078</f>
        <v>Нет</v>
      </c>
      <c r="AP1078" s="472">
        <f>РПЗ!V1078</f>
        <v>0</v>
      </c>
      <c r="AQ1078" s="470">
        <f>IF(Таблица5[[#This Row],[11]]=0,,MONTH(Таблица5[[#This Row],[11]]))</f>
        <v>7</v>
      </c>
    </row>
    <row r="1079" spans="1:43" s="1" customFormat="1" ht="39" thickBot="1" x14ac:dyDescent="0.3">
      <c r="A1079" s="233" t="str">
        <f t="shared" si="17"/>
        <v>1004-2017-01064</v>
      </c>
      <c r="B1079" s="233" t="str">
        <f>РПЗ!$D1079</f>
        <v>1004-2017-01064 Поставка металлические сплавы</v>
      </c>
      <c r="C1079" s="233" t="str">
        <f>РПЗ!$AA1079</f>
        <v>АО "НИИ "Полюс" им. М.Ф. Стельмаха" тел. отдела закупок 8-495-333-05-02</v>
      </c>
      <c r="D1079" s="870" t="str">
        <f>РПЗ!$AB1079</f>
        <v>Заказчик</v>
      </c>
      <c r="E1079" s="510" t="s">
        <v>62</v>
      </c>
      <c r="F1079" s="233" t="str">
        <f>РПЗ!Q1079</f>
        <v>ЕП</v>
      </c>
      <c r="G1079" s="237" t="str">
        <f>Таблица5[[#This Row],[6]]</f>
        <v>ЕП</v>
      </c>
      <c r="H1079" s="237" t="str">
        <f>РПЗ!R1079</f>
        <v>Нет</v>
      </c>
      <c r="I1079" s="15" t="str">
        <f>РПЗ!W1079</f>
        <v>6.6.2(9)</v>
      </c>
      <c r="J1079" s="233" t="str">
        <f>РПЗ!X1079</f>
        <v>5056004905</v>
      </c>
      <c r="K1079" s="283">
        <f>РПЗ!Z1079</f>
        <v>383677</v>
      </c>
      <c r="L1079" s="17">
        <v>42895</v>
      </c>
      <c r="M1079" s="18">
        <f>РПЗ!O1079</f>
        <v>42890</v>
      </c>
      <c r="N1079" s="238">
        <f>Таблица5[[#This Row],[10]]</f>
        <v>42890</v>
      </c>
      <c r="O1079" s="17"/>
      <c r="P1079" s="17"/>
      <c r="Q1079" s="17"/>
      <c r="R1079" s="17"/>
      <c r="S1079" s="17"/>
      <c r="T1079" s="686">
        <v>42907</v>
      </c>
      <c r="U1079" s="18">
        <f>РПЗ!P1079</f>
        <v>43100</v>
      </c>
      <c r="V1079" s="686">
        <v>42917</v>
      </c>
      <c r="W1079" s="236">
        <f>РПЗ!L1079</f>
        <v>383677</v>
      </c>
      <c r="X1079" s="689">
        <v>1</v>
      </c>
      <c r="Y1079" s="689">
        <v>0</v>
      </c>
      <c r="Z1079" s="691">
        <v>5056004905</v>
      </c>
      <c r="AA1079" s="691" t="s">
        <v>5968</v>
      </c>
      <c r="AB1079" s="111">
        <v>383677</v>
      </c>
      <c r="AC1079" s="17">
        <v>42917</v>
      </c>
      <c r="AD1079" s="690" t="s">
        <v>5969</v>
      </c>
      <c r="AE1079" s="686">
        <v>42907</v>
      </c>
      <c r="AF1079" s="474"/>
      <c r="AG1079" s="692">
        <v>383677</v>
      </c>
      <c r="AH1079" s="236">
        <f>IF(Таблица5[[#This Row],[30]]=0,"НД",Таблица5[[#This Row],[20]]-Таблица5[[#This Row],[30]])</f>
        <v>0</v>
      </c>
      <c r="AI1079" s="511">
        <f>IF(((1-Таблица5[[#This Row],[30]]/Таблица5[[#This Row],[20]])=1),"НД",(1-Таблица5[[#This Row],[30]]/Таблица5[[#This Row],[20]]))</f>
        <v>0</v>
      </c>
      <c r="AJ1079" s="111"/>
      <c r="AK1079" s="111"/>
      <c r="AL1079" s="111"/>
      <c r="AM1079" s="910" t="s">
        <v>113</v>
      </c>
      <c r="AN1079" s="801">
        <v>31705219152</v>
      </c>
      <c r="AO1079" s="468" t="str">
        <f>РПЗ!AD1079</f>
        <v>Нет</v>
      </c>
      <c r="AP1079" s="472" t="str">
        <f>РПЗ!V1079</f>
        <v>ГОЗ</v>
      </c>
      <c r="AQ1079" s="470">
        <f>IF(Таблица5[[#This Row],[11]]=0,,MONTH(Таблица5[[#This Row],[11]]))</f>
        <v>6</v>
      </c>
    </row>
    <row r="1080" spans="1:43" ht="39" thickBot="1" x14ac:dyDescent="0.3">
      <c r="A1080" s="233" t="str">
        <f t="shared" si="17"/>
        <v>1004-2017-01065</v>
      </c>
      <c r="B1080" s="233" t="str">
        <f>РПЗ!$D1080</f>
        <v xml:space="preserve">1004-2017-01065 Поставка Насос 2НВР-90Д </v>
      </c>
      <c r="C1080" s="233" t="str">
        <f>РПЗ!$AA1080</f>
        <v>АО "НИИ "Полюс" им. М.Ф. Стельмаха" тел. отдела закупок 8-495-333-05-02</v>
      </c>
      <c r="D1080" s="633" t="str">
        <f>РПЗ!$AB1080</f>
        <v>Заказчик</v>
      </c>
      <c r="E1080" s="96" t="s">
        <v>46</v>
      </c>
      <c r="F1080" s="233" t="str">
        <f>РПЗ!Q1080</f>
        <v>ЕП</v>
      </c>
      <c r="G1080" s="237"/>
      <c r="H1080" s="237" t="str">
        <f>РПЗ!R1080</f>
        <v>Нет</v>
      </c>
      <c r="I1080" s="15">
        <f>РПЗ!W1080</f>
        <v>0</v>
      </c>
      <c r="J1080" s="233">
        <f>РПЗ!X1080</f>
        <v>0</v>
      </c>
      <c r="K1080" s="283">
        <f>РПЗ!Z1080</f>
        <v>0</v>
      </c>
      <c r="L1080" s="17"/>
      <c r="M1080" s="18">
        <f>РПЗ!O1080</f>
        <v>42890</v>
      </c>
      <c r="N1080" s="238">
        <f>Таблица5[[#This Row],[10]]</f>
        <v>42890</v>
      </c>
      <c r="O1080" s="17"/>
      <c r="P1080" s="17"/>
      <c r="Q1080" s="17"/>
      <c r="R1080" s="17"/>
      <c r="S1080" s="17"/>
      <c r="T1080" s="686"/>
      <c r="U1080" s="18">
        <f>РПЗ!P1080</f>
        <v>42953</v>
      </c>
      <c r="V1080" s="686"/>
      <c r="W1080" s="236">
        <f>РПЗ!L1080</f>
        <v>150000</v>
      </c>
      <c r="X1080" s="689"/>
      <c r="Y1080" s="689"/>
      <c r="Z1080" s="690"/>
      <c r="AA1080" s="691"/>
      <c r="AB1080" s="111"/>
      <c r="AC1080" s="17"/>
      <c r="AD1080" s="690"/>
      <c r="AE1080" s="686"/>
      <c r="AF1080" s="474"/>
      <c r="AG1080" s="692"/>
      <c r="AH1080" s="236" t="str">
        <f>IF(Таблица5[[#This Row],[30]]=0,"НД",Таблица5[[#This Row],[20]]-Таблица5[[#This Row],[30]])</f>
        <v>НД</v>
      </c>
      <c r="AI1080" s="511" t="str">
        <f>IF(((1-Таблица5[[#This Row],[30]]/Таблица5[[#This Row],[20]])=1),"НД",(1-Таблица5[[#This Row],[30]]/Таблица5[[#This Row],[20]]))</f>
        <v>НД</v>
      </c>
      <c r="AJ1080" s="111"/>
      <c r="AK1080" s="111"/>
      <c r="AL1080" s="512"/>
      <c r="AM1080" s="513"/>
      <c r="AN1080" s="465"/>
      <c r="AO1080" s="468" t="str">
        <f>РПЗ!AD1080</f>
        <v>Нет</v>
      </c>
      <c r="AP1080" s="472">
        <f>РПЗ!V1080</f>
        <v>0</v>
      </c>
      <c r="AQ1080" s="470">
        <f>IF(Таблица5[[#This Row],[11]]=0,,MONTH(Таблица5[[#This Row],[11]]))</f>
        <v>6</v>
      </c>
    </row>
    <row r="1081" spans="1:43" ht="38.25" x14ac:dyDescent="0.25">
      <c r="A1081" s="233" t="str">
        <f t="shared" si="17"/>
        <v>1004-2017-01066</v>
      </c>
      <c r="B1081" s="233" t="str">
        <f>РПЗ!$D1081</f>
        <v>1004-2017-01066Поставка  Комплект мебели</v>
      </c>
      <c r="C1081" s="233" t="str">
        <f>РПЗ!$AA1081</f>
        <v>АО "НИИ "Полюс" им. М.Ф. Стельмаха" тел. отдела закупок 8-495-333-05-02</v>
      </c>
      <c r="D1081" s="633" t="str">
        <f>РПЗ!$AB1081</f>
        <v>Заказчик</v>
      </c>
      <c r="E1081" s="96" t="s">
        <v>46</v>
      </c>
      <c r="F1081" s="233" t="str">
        <f>РПЗ!Q1081</f>
        <v>ОЗК</v>
      </c>
      <c r="G1081" s="237"/>
      <c r="H1081" s="237" t="str">
        <f>РПЗ!R1081</f>
        <v>Да</v>
      </c>
      <c r="I1081" s="15">
        <f>РПЗ!W1081</f>
        <v>0</v>
      </c>
      <c r="J1081" s="233">
        <f>РПЗ!X1081</f>
        <v>0</v>
      </c>
      <c r="K1081" s="283">
        <f>РПЗ!Z1081</f>
        <v>0</v>
      </c>
      <c r="L1081" s="17"/>
      <c r="M1081" s="18">
        <f>РПЗ!O1081</f>
        <v>42890</v>
      </c>
      <c r="N1081" s="238">
        <f>Таблица5[[#This Row],[10]]</f>
        <v>42890</v>
      </c>
      <c r="O1081" s="17"/>
      <c r="P1081" s="17"/>
      <c r="Q1081" s="17"/>
      <c r="R1081" s="17"/>
      <c r="S1081" s="17"/>
      <c r="T1081" s="686"/>
      <c r="U1081" s="18">
        <f>РПЗ!P1081</f>
        <v>42948</v>
      </c>
      <c r="V1081" s="686"/>
      <c r="W1081" s="236">
        <f>РПЗ!L1081</f>
        <v>358544.33</v>
      </c>
      <c r="X1081" s="689"/>
      <c r="Y1081" s="689"/>
      <c r="Z1081" s="690"/>
      <c r="AA1081" s="691"/>
      <c r="AB1081" s="111"/>
      <c r="AC1081" s="17"/>
      <c r="AD1081" s="690"/>
      <c r="AE1081" s="686"/>
      <c r="AF1081" s="474"/>
      <c r="AG1081" s="692"/>
      <c r="AH1081" s="236" t="str">
        <f>IF(Таблица5[[#This Row],[30]]=0,"НД",Таблица5[[#This Row],[20]]-Таблица5[[#This Row],[30]])</f>
        <v>НД</v>
      </c>
      <c r="AI1081" s="511" t="str">
        <f>IF(((1-Таблица5[[#This Row],[30]]/Таблица5[[#This Row],[20]])=1),"НД",(1-Таблица5[[#This Row],[30]]/Таблица5[[#This Row],[20]]))</f>
        <v>НД</v>
      </c>
      <c r="AJ1081" s="111"/>
      <c r="AK1081" s="111"/>
      <c r="AL1081" s="512"/>
      <c r="AM1081" s="513"/>
      <c r="AN1081" s="465"/>
      <c r="AO1081" s="468" t="str">
        <f>РПЗ!AD1081</f>
        <v>Нет</v>
      </c>
      <c r="AP1081" s="472">
        <f>РПЗ!V1081</f>
        <v>0</v>
      </c>
      <c r="AQ1081" s="470">
        <f>IF(Таблица5[[#This Row],[11]]=0,,MONTH(Таблица5[[#This Row],[11]]))</f>
        <v>6</v>
      </c>
    </row>
    <row r="1082" spans="1:43" ht="39" thickBot="1" x14ac:dyDescent="0.3">
      <c r="A1082" s="233" t="str">
        <f t="shared" si="17"/>
        <v>1004-2017-01067</v>
      </c>
      <c r="B1082" s="233" t="str">
        <f>РПЗ!$D1082</f>
        <v xml:space="preserve">1004-2017-01067 Поставка Отрезные алмазные бескорпусные диски </v>
      </c>
      <c r="C1082" s="233" t="str">
        <f>РПЗ!$AA1082</f>
        <v>АО "НИИ "Полюс" им. М.Ф. Стельмаха" тел. отдела закупок 8-495-333-05-02</v>
      </c>
      <c r="D1082" s="633" t="str">
        <f>РПЗ!$AB1082</f>
        <v>Заказчик</v>
      </c>
      <c r="E1082" s="510" t="s">
        <v>59</v>
      </c>
      <c r="F1082" s="233" t="str">
        <f>РПЗ!Q1082</f>
        <v>ОЗК</v>
      </c>
      <c r="G1082" s="237" t="str">
        <f>Таблица5[[#This Row],[6]]</f>
        <v>ОЗК</v>
      </c>
      <c r="H1082" s="237" t="str">
        <f>РПЗ!R1082</f>
        <v>Да</v>
      </c>
      <c r="I1082" s="15">
        <f>РПЗ!W1082</f>
        <v>0</v>
      </c>
      <c r="J1082" s="233">
        <f>РПЗ!X1082</f>
        <v>0</v>
      </c>
      <c r="K1082" s="283">
        <f>РПЗ!Z1082</f>
        <v>0</v>
      </c>
      <c r="L1082" s="17">
        <v>42915</v>
      </c>
      <c r="M1082" s="18">
        <f>РПЗ!O1082</f>
        <v>42890</v>
      </c>
      <c r="N1082" s="238">
        <f>Таблица5[[#This Row],[10]]</f>
        <v>42890</v>
      </c>
      <c r="O1082" s="17">
        <v>42921</v>
      </c>
      <c r="P1082" s="17">
        <v>42927</v>
      </c>
      <c r="Q1082" s="17">
        <v>42927</v>
      </c>
      <c r="R1082" s="17">
        <v>42927</v>
      </c>
      <c r="S1082" s="17">
        <v>42927</v>
      </c>
      <c r="T1082" s="686"/>
      <c r="U1082" s="18">
        <f>РПЗ!P1082</f>
        <v>42949</v>
      </c>
      <c r="V1082" s="686"/>
      <c r="W1082" s="236">
        <f>РПЗ!L1082</f>
        <v>135803.4</v>
      </c>
      <c r="X1082" s="689">
        <v>0</v>
      </c>
      <c r="Y1082" s="689">
        <v>0</v>
      </c>
      <c r="Z1082" s="690"/>
      <c r="AA1082" s="691"/>
      <c r="AB1082" s="111"/>
      <c r="AC1082" s="17"/>
      <c r="AD1082" s="690"/>
      <c r="AE1082" s="686"/>
      <c r="AF1082" s="474"/>
      <c r="AG1082" s="692"/>
      <c r="AH1082" s="236" t="str">
        <f>IF(Таблица5[[#This Row],[30]]=0,"НД",Таблица5[[#This Row],[20]]-Таблица5[[#This Row],[30]])</f>
        <v>НД</v>
      </c>
      <c r="AI1082" s="511" t="str">
        <f>IF(((1-Таблица5[[#This Row],[30]]/Таблица5[[#This Row],[20]])=1),"НД",(1-Таблица5[[#This Row],[30]]/Таблица5[[#This Row],[20]]))</f>
        <v>НД</v>
      </c>
      <c r="AJ1082" s="111"/>
      <c r="AK1082" s="111"/>
      <c r="AL1082" s="512"/>
      <c r="AM1082" s="513" t="s">
        <v>113</v>
      </c>
      <c r="AN1082" s="801">
        <v>31705273625</v>
      </c>
      <c r="AO1082" s="468" t="str">
        <f>РПЗ!AD1082</f>
        <v>Нет</v>
      </c>
      <c r="AP1082" s="472">
        <f>РПЗ!V1082</f>
        <v>0</v>
      </c>
      <c r="AQ1082" s="470">
        <f>IF(Таблица5[[#This Row],[11]]=0,,MONTH(Таблица5[[#This Row],[11]]))</f>
        <v>6</v>
      </c>
    </row>
    <row r="1083" spans="1:43" ht="39" thickBot="1" x14ac:dyDescent="0.3">
      <c r="A1083" s="233" t="str">
        <f t="shared" si="17"/>
        <v>1004-2017-01068</v>
      </c>
      <c r="B1083" s="233" t="str">
        <f>РПЗ!$D1083</f>
        <v>1004-2017-01068Поставка  Комплект радиоизмерительных приборов</v>
      </c>
      <c r="C1083" s="233" t="str">
        <f>РПЗ!$AA1083</f>
        <v>АО "НИИ "Полюс" им. М.Ф. Стельмаха" тел. отдела закупок 8-495-333-05-02</v>
      </c>
      <c r="D1083" s="633" t="str">
        <f>РПЗ!$AB1083</f>
        <v>Заказчик</v>
      </c>
      <c r="E1083" s="96" t="s">
        <v>46</v>
      </c>
      <c r="F1083" s="233" t="str">
        <f>РПЗ!Q1083</f>
        <v>ОЗК</v>
      </c>
      <c r="G1083" s="237"/>
      <c r="H1083" s="237" t="str">
        <f>РПЗ!R1083</f>
        <v>Да</v>
      </c>
      <c r="I1083" s="15">
        <f>РПЗ!W1083</f>
        <v>0</v>
      </c>
      <c r="J1083" s="233">
        <f>РПЗ!X1083</f>
        <v>0</v>
      </c>
      <c r="K1083" s="283">
        <f>РПЗ!Z1083</f>
        <v>0</v>
      </c>
      <c r="L1083" s="17"/>
      <c r="M1083" s="18">
        <f>РПЗ!O1083</f>
        <v>42890</v>
      </c>
      <c r="N1083" s="238">
        <f>Таблица5[[#This Row],[10]]</f>
        <v>42890</v>
      </c>
      <c r="O1083" s="17"/>
      <c r="P1083" s="17"/>
      <c r="Q1083" s="17"/>
      <c r="R1083" s="17"/>
      <c r="S1083" s="17"/>
      <c r="T1083" s="686"/>
      <c r="U1083" s="18">
        <f>РПЗ!P1083</f>
        <v>42949</v>
      </c>
      <c r="V1083" s="686"/>
      <c r="W1083" s="236">
        <f>РПЗ!L1083</f>
        <v>750938.33</v>
      </c>
      <c r="X1083" s="689"/>
      <c r="Y1083" s="689"/>
      <c r="Z1083" s="690"/>
      <c r="AA1083" s="691"/>
      <c r="AB1083" s="111"/>
      <c r="AC1083" s="17"/>
      <c r="AD1083" s="690"/>
      <c r="AE1083" s="686"/>
      <c r="AF1083" s="474"/>
      <c r="AG1083" s="692"/>
      <c r="AH1083" s="236" t="str">
        <f>IF(Таблица5[[#This Row],[30]]=0,"НД",Таблица5[[#This Row],[20]]-Таблица5[[#This Row],[30]])</f>
        <v>НД</v>
      </c>
      <c r="AI1083" s="511" t="str">
        <f>IF(((1-Таблица5[[#This Row],[30]]/Таблица5[[#This Row],[20]])=1),"НД",(1-Таблица5[[#This Row],[30]]/Таблица5[[#This Row],[20]]))</f>
        <v>НД</v>
      </c>
      <c r="AJ1083" s="111"/>
      <c r="AK1083" s="111"/>
      <c r="AL1083" s="512"/>
      <c r="AM1083" s="513"/>
      <c r="AN1083" s="465"/>
      <c r="AO1083" s="468" t="str">
        <f>РПЗ!AD1083</f>
        <v>Нет</v>
      </c>
      <c r="AP1083" s="472">
        <f>РПЗ!V1083</f>
        <v>0</v>
      </c>
      <c r="AQ1083" s="470">
        <f>IF(Таблица5[[#This Row],[11]]=0,,MONTH(Таблица5[[#This Row],[11]]))</f>
        <v>6</v>
      </c>
    </row>
    <row r="1084" spans="1:43" ht="39" thickBot="1" x14ac:dyDescent="0.3">
      <c r="A1084" s="233" t="str">
        <f t="shared" si="17"/>
        <v>1004-2017-01069</v>
      </c>
      <c r="B1084" s="233" t="str">
        <f>РПЗ!$D1084</f>
        <v>1004-2017-01069 Поставка Комплект радиоизмерительных приборов и монтажного оборудования</v>
      </c>
      <c r="C1084" s="233" t="str">
        <f>РПЗ!$AA1084</f>
        <v>АО "НИИ "Полюс" им. М.Ф. Стельмаха" тел. отдела закупок 8-495-333-05-02</v>
      </c>
      <c r="D1084" s="633" t="str">
        <f>РПЗ!$AB1084</f>
        <v>Заказчик</v>
      </c>
      <c r="E1084" s="96" t="s">
        <v>46</v>
      </c>
      <c r="F1084" s="233" t="str">
        <f>РПЗ!Q1084</f>
        <v>ОЗК</v>
      </c>
      <c r="G1084" s="237"/>
      <c r="H1084" s="237" t="str">
        <f>РПЗ!R1084</f>
        <v>Да</v>
      </c>
      <c r="I1084" s="15">
        <f>РПЗ!W1084</f>
        <v>0</v>
      </c>
      <c r="J1084" s="233">
        <f>РПЗ!X1084</f>
        <v>0</v>
      </c>
      <c r="K1084" s="283">
        <f>РПЗ!Z1084</f>
        <v>0</v>
      </c>
      <c r="L1084" s="17"/>
      <c r="M1084" s="18">
        <f>РПЗ!O1084</f>
        <v>42890</v>
      </c>
      <c r="N1084" s="238">
        <f>Таблица5[[#This Row],[10]]</f>
        <v>42890</v>
      </c>
      <c r="O1084" s="17"/>
      <c r="P1084" s="17"/>
      <c r="Q1084" s="17"/>
      <c r="R1084" s="17"/>
      <c r="S1084" s="17"/>
      <c r="T1084" s="686"/>
      <c r="U1084" s="18">
        <f>РПЗ!P1084</f>
        <v>42949</v>
      </c>
      <c r="V1084" s="686"/>
      <c r="W1084" s="236">
        <f>РПЗ!L1084</f>
        <v>530700.34</v>
      </c>
      <c r="X1084" s="689"/>
      <c r="Y1084" s="689"/>
      <c r="Z1084" s="690"/>
      <c r="AA1084" s="691"/>
      <c r="AB1084" s="111"/>
      <c r="AC1084" s="17"/>
      <c r="AD1084" s="690"/>
      <c r="AE1084" s="686"/>
      <c r="AF1084" s="474"/>
      <c r="AG1084" s="692"/>
      <c r="AH1084" s="236" t="str">
        <f>IF(Таблица5[[#This Row],[30]]=0,"НД",Таблица5[[#This Row],[20]]-Таблица5[[#This Row],[30]])</f>
        <v>НД</v>
      </c>
      <c r="AI1084" s="511" t="str">
        <f>IF(((1-Таблица5[[#This Row],[30]]/Таблица5[[#This Row],[20]])=1),"НД",(1-Таблица5[[#This Row],[30]]/Таблица5[[#This Row],[20]]))</f>
        <v>НД</v>
      </c>
      <c r="AJ1084" s="111"/>
      <c r="AK1084" s="111"/>
      <c r="AL1084" s="512"/>
      <c r="AM1084" s="513"/>
      <c r="AN1084" s="465"/>
      <c r="AO1084" s="468" t="str">
        <f>РПЗ!AD1084</f>
        <v>Нет</v>
      </c>
      <c r="AP1084" s="472">
        <f>РПЗ!V1084</f>
        <v>0</v>
      </c>
      <c r="AQ1084" s="470">
        <f>IF(Таблица5[[#This Row],[11]]=0,,MONTH(Таблица5[[#This Row],[11]]))</f>
        <v>6</v>
      </c>
    </row>
    <row r="1085" spans="1:43" ht="39" thickBot="1" x14ac:dyDescent="0.3">
      <c r="A1085" s="233" t="str">
        <f t="shared" si="17"/>
        <v>1004-2017-01070</v>
      </c>
      <c r="B1085" s="233" t="str">
        <f>РПЗ!$D1085</f>
        <v>1004-2017-01070 Поставка Расходные материалы для монтажа сплит-систем</v>
      </c>
      <c r="C1085" s="233" t="str">
        <f>РПЗ!$AA1085</f>
        <v>АО "НИИ "Полюс" им. М.Ф. Стельмаха" тел. отдела закупок 8-495-333-05-02</v>
      </c>
      <c r="D1085" s="633" t="str">
        <f>РПЗ!$AB1085</f>
        <v>Заказчик</v>
      </c>
      <c r="E1085" s="96" t="s">
        <v>46</v>
      </c>
      <c r="F1085" s="233" t="str">
        <f>РПЗ!Q1085</f>
        <v>ОЗК</v>
      </c>
      <c r="G1085" s="237"/>
      <c r="H1085" s="237" t="str">
        <f>РПЗ!R1085</f>
        <v>Да</v>
      </c>
      <c r="I1085" s="15">
        <f>РПЗ!W1085</f>
        <v>0</v>
      </c>
      <c r="J1085" s="233">
        <f>РПЗ!X1085</f>
        <v>0</v>
      </c>
      <c r="K1085" s="283">
        <f>РПЗ!Z1085</f>
        <v>0</v>
      </c>
      <c r="L1085" s="17"/>
      <c r="M1085" s="18">
        <f>РПЗ!O1085</f>
        <v>42890</v>
      </c>
      <c r="N1085" s="238">
        <f>Таблица5[[#This Row],[10]]</f>
        <v>42890</v>
      </c>
      <c r="O1085" s="17"/>
      <c r="P1085" s="17"/>
      <c r="Q1085" s="17"/>
      <c r="R1085" s="17"/>
      <c r="S1085" s="17"/>
      <c r="T1085" s="686"/>
      <c r="U1085" s="18">
        <f>РПЗ!P1085</f>
        <v>42949</v>
      </c>
      <c r="V1085" s="686"/>
      <c r="W1085" s="236">
        <f>РПЗ!L1085</f>
        <v>450000</v>
      </c>
      <c r="X1085" s="689"/>
      <c r="Y1085" s="689"/>
      <c r="Z1085" s="690"/>
      <c r="AA1085" s="691"/>
      <c r="AB1085" s="111"/>
      <c r="AC1085" s="17"/>
      <c r="AD1085" s="690"/>
      <c r="AE1085" s="686"/>
      <c r="AF1085" s="474"/>
      <c r="AG1085" s="692"/>
      <c r="AH1085" s="236" t="str">
        <f>IF(Таблица5[[#This Row],[30]]=0,"НД",Таблица5[[#This Row],[20]]-Таблица5[[#This Row],[30]])</f>
        <v>НД</v>
      </c>
      <c r="AI1085" s="511" t="str">
        <f>IF(((1-Таблица5[[#This Row],[30]]/Таблица5[[#This Row],[20]])=1),"НД",(1-Таблица5[[#This Row],[30]]/Таблица5[[#This Row],[20]]))</f>
        <v>НД</v>
      </c>
      <c r="AJ1085" s="111"/>
      <c r="AK1085" s="111"/>
      <c r="AL1085" s="512"/>
      <c r="AM1085" s="513"/>
      <c r="AN1085" s="465"/>
      <c r="AO1085" s="468" t="str">
        <f>РПЗ!AD1085</f>
        <v>Нет</v>
      </c>
      <c r="AP1085" s="472">
        <f>РПЗ!V1085</f>
        <v>0</v>
      </c>
      <c r="AQ1085" s="470">
        <f>IF(Таблица5[[#This Row],[11]]=0,,MONTH(Таблица5[[#This Row],[11]]))</f>
        <v>6</v>
      </c>
    </row>
    <row r="1086" spans="1:43" ht="38.25" x14ac:dyDescent="0.25">
      <c r="A1086" s="233" t="str">
        <f t="shared" si="17"/>
        <v>1004-2017-01071</v>
      </c>
      <c r="B1086" s="233" t="str">
        <f>РПЗ!$D1086</f>
        <v>1004-2017-01071Поставка  Лампы ИНП-2/30М1</v>
      </c>
      <c r="C1086" s="233" t="str">
        <f>РПЗ!$AA1086</f>
        <v>АО "НИИ "Полюс" им. М.Ф. Стельмаха" тел. отдела закупок 8-495-333-05-02</v>
      </c>
      <c r="D1086" s="633" t="str">
        <f>РПЗ!$AB1086</f>
        <v>Заказчик</v>
      </c>
      <c r="E1086" s="96" t="s">
        <v>46</v>
      </c>
      <c r="F1086" s="233" t="str">
        <f>РПЗ!Q1086</f>
        <v>ЕП</v>
      </c>
      <c r="G1086" s="237"/>
      <c r="H1086" s="237" t="str">
        <f>РПЗ!R1086</f>
        <v>Нет</v>
      </c>
      <c r="I1086" s="15">
        <f>РПЗ!W1086</f>
        <v>0</v>
      </c>
      <c r="J1086" s="233">
        <f>РПЗ!X1086</f>
        <v>0</v>
      </c>
      <c r="K1086" s="283">
        <f>РПЗ!Z1086</f>
        <v>0</v>
      </c>
      <c r="L1086" s="17"/>
      <c r="M1086" s="18">
        <f>РПЗ!O1086</f>
        <v>42890</v>
      </c>
      <c r="N1086" s="238">
        <f>Таблица5[[#This Row],[10]]</f>
        <v>42890</v>
      </c>
      <c r="O1086" s="17"/>
      <c r="P1086" s="17"/>
      <c r="Q1086" s="17"/>
      <c r="R1086" s="17"/>
      <c r="S1086" s="17"/>
      <c r="T1086" s="686"/>
      <c r="U1086" s="18">
        <f>РПЗ!P1086</f>
        <v>42949</v>
      </c>
      <c r="V1086" s="686"/>
      <c r="W1086" s="236">
        <f>РПЗ!L1086</f>
        <v>191400</v>
      </c>
      <c r="X1086" s="689"/>
      <c r="Y1086" s="689"/>
      <c r="Z1086" s="690"/>
      <c r="AA1086" s="691"/>
      <c r="AB1086" s="111"/>
      <c r="AC1086" s="17"/>
      <c r="AD1086" s="690"/>
      <c r="AE1086" s="686"/>
      <c r="AF1086" s="474"/>
      <c r="AG1086" s="692"/>
      <c r="AH1086" s="236" t="str">
        <f>IF(Таблица5[[#This Row],[30]]=0,"НД",Таблица5[[#This Row],[20]]-Таблица5[[#This Row],[30]])</f>
        <v>НД</v>
      </c>
      <c r="AI1086" s="511" t="str">
        <f>IF(((1-Таблица5[[#This Row],[30]]/Таблица5[[#This Row],[20]])=1),"НД",(1-Таблица5[[#This Row],[30]]/Таблица5[[#This Row],[20]]))</f>
        <v>НД</v>
      </c>
      <c r="AJ1086" s="111"/>
      <c r="AK1086" s="111"/>
      <c r="AL1086" s="512"/>
      <c r="AM1086" s="513"/>
      <c r="AN1086" s="465"/>
      <c r="AO1086" s="468" t="str">
        <f>РПЗ!AD1086</f>
        <v>Нет</v>
      </c>
      <c r="AP1086" s="472">
        <f>РПЗ!V1086</f>
        <v>0</v>
      </c>
      <c r="AQ1086" s="470">
        <f>IF(Таблица5[[#This Row],[11]]=0,,MONTH(Таблица5[[#This Row],[11]]))</f>
        <v>6</v>
      </c>
    </row>
    <row r="1087" spans="1:43" ht="38.25" x14ac:dyDescent="0.25">
      <c r="A1087" s="233" t="str">
        <f t="shared" si="17"/>
        <v>1004-2017-01072</v>
      </c>
      <c r="B1087" s="233" t="str">
        <f>РПЗ!$D1087</f>
        <v>1004-2017-01072 Поставка арсина и фосфина</v>
      </c>
      <c r="C1087" s="233" t="str">
        <f>РПЗ!$AA1087</f>
        <v>АО "НИИ "Полюс" им. М.Ф. Стельмаха" тел. отдела закупок 8-495-333-05-02</v>
      </c>
      <c r="D1087" s="633" t="str">
        <f>РПЗ!$AB1087</f>
        <v>Заказчик</v>
      </c>
      <c r="E1087" s="510" t="s">
        <v>62</v>
      </c>
      <c r="F1087" s="233" t="str">
        <f>РПЗ!Q1087</f>
        <v>ЕП</v>
      </c>
      <c r="G1087" s="237" t="str">
        <f>Таблица5[[#This Row],[6]]</f>
        <v>ЕП</v>
      </c>
      <c r="H1087" s="237" t="str">
        <f>РПЗ!R1087</f>
        <v>Нет</v>
      </c>
      <c r="I1087" s="15" t="str">
        <f>РПЗ!W1087</f>
        <v>6.6.2(9)</v>
      </c>
      <c r="J1087" s="233" t="str">
        <f>РПЗ!X1087</f>
        <v>5261079332</v>
      </c>
      <c r="K1087" s="283">
        <f>РПЗ!Z1087</f>
        <v>1492700</v>
      </c>
      <c r="L1087" s="17">
        <v>42908</v>
      </c>
      <c r="M1087" s="18">
        <f>РПЗ!O1087</f>
        <v>42890</v>
      </c>
      <c r="N1087" s="238">
        <f>Таблица5[[#This Row],[10]]</f>
        <v>42890</v>
      </c>
      <c r="O1087" s="17"/>
      <c r="P1087" s="17"/>
      <c r="Q1087" s="17"/>
      <c r="R1087" s="17"/>
      <c r="S1087" s="17"/>
      <c r="T1087" s="686">
        <v>42915</v>
      </c>
      <c r="U1087" s="18">
        <f>РПЗ!P1087</f>
        <v>42887</v>
      </c>
      <c r="V1087" s="686">
        <v>42917</v>
      </c>
      <c r="W1087" s="236">
        <f>РПЗ!L1087</f>
        <v>1492700</v>
      </c>
      <c r="X1087" s="689">
        <v>1</v>
      </c>
      <c r="Y1087" s="689">
        <v>0</v>
      </c>
      <c r="Z1087" s="691">
        <v>5261079332</v>
      </c>
      <c r="AA1087" s="691" t="s">
        <v>3365</v>
      </c>
      <c r="AB1087" s="111">
        <v>1492700</v>
      </c>
      <c r="AC1087" s="17">
        <v>42917</v>
      </c>
      <c r="AD1087" s="690" t="s">
        <v>6072</v>
      </c>
      <c r="AE1087" s="686">
        <v>42915</v>
      </c>
      <c r="AF1087" s="474"/>
      <c r="AG1087" s="692">
        <v>1492700</v>
      </c>
      <c r="AH1087" s="236">
        <f>IF(Таблица5[[#This Row],[30]]=0,"НД",Таблица5[[#This Row],[20]]-Таблица5[[#This Row],[30]])</f>
        <v>0</v>
      </c>
      <c r="AI1087" s="511">
        <f>IF(((1-Таблица5[[#This Row],[30]]/Таблица5[[#This Row],[20]])=1),"НД",(1-Таблица5[[#This Row],[30]]/Таблица5[[#This Row],[20]]))</f>
        <v>0</v>
      </c>
      <c r="AJ1087" s="111"/>
      <c r="AK1087" s="111"/>
      <c r="AL1087" s="512"/>
      <c r="AM1087" s="513" t="s">
        <v>113</v>
      </c>
      <c r="AN1087" s="801">
        <v>31705262803</v>
      </c>
      <c r="AO1087" s="468" t="str">
        <f>РПЗ!AD1087</f>
        <v>Нет</v>
      </c>
      <c r="AP1087" s="472" t="str">
        <f>РПЗ!V1087</f>
        <v>ГОЗ</v>
      </c>
      <c r="AQ1087" s="470">
        <f>IF(Таблица5[[#This Row],[11]]=0,,MONTH(Таблица5[[#This Row],[11]]))</f>
        <v>6</v>
      </c>
    </row>
    <row r="1088" spans="1:43" ht="38.25" x14ac:dyDescent="0.25">
      <c r="A1088" s="233" t="str">
        <f t="shared" si="17"/>
        <v>1004-2017-01073</v>
      </c>
      <c r="B1088" s="233" t="str">
        <f>РПЗ!$D1088</f>
        <v>1004-2017-01073 Поставка арсина и фосфина</v>
      </c>
      <c r="C1088" s="233" t="str">
        <f>РПЗ!$AA1088</f>
        <v>АО "НИИ "Полюс" им. М.Ф. Стельмаха" тел. отдела закупок 8-495-333-05-02</v>
      </c>
      <c r="D1088" s="633" t="str">
        <f>РПЗ!$AB1088</f>
        <v>Заказчик</v>
      </c>
      <c r="E1088" s="510" t="s">
        <v>62</v>
      </c>
      <c r="F1088" s="233" t="str">
        <f>РПЗ!Q1088</f>
        <v>ЕП</v>
      </c>
      <c r="G1088" s="237" t="str">
        <f>Таблица5[[#This Row],[6]]</f>
        <v>ЕП</v>
      </c>
      <c r="H1088" s="237" t="str">
        <f>РПЗ!R1088</f>
        <v>Нет</v>
      </c>
      <c r="I1088" s="15" t="str">
        <f>РПЗ!W1088</f>
        <v>6.6.2(9)</v>
      </c>
      <c r="J1088" s="233" t="str">
        <f>РПЗ!X1088</f>
        <v>5261079332</v>
      </c>
      <c r="K1088" s="283">
        <f>РПЗ!Z1088</f>
        <v>1289150</v>
      </c>
      <c r="L1088" s="17">
        <v>42908</v>
      </c>
      <c r="M1088" s="18">
        <f>РПЗ!O1088</f>
        <v>42890</v>
      </c>
      <c r="N1088" s="238">
        <f>Таблица5[[#This Row],[10]]</f>
        <v>42890</v>
      </c>
      <c r="O1088" s="17"/>
      <c r="P1088" s="17"/>
      <c r="Q1088" s="17"/>
      <c r="R1088" s="17"/>
      <c r="S1088" s="17"/>
      <c r="T1088" s="686">
        <v>42915</v>
      </c>
      <c r="U1088" s="18">
        <f>РПЗ!P1088</f>
        <v>42890</v>
      </c>
      <c r="V1088" s="686">
        <v>42917</v>
      </c>
      <c r="W1088" s="236">
        <f>РПЗ!L1088</f>
        <v>1289150</v>
      </c>
      <c r="X1088" s="689">
        <v>1</v>
      </c>
      <c r="Y1088" s="689">
        <v>0</v>
      </c>
      <c r="Z1088" s="691">
        <v>5261079332</v>
      </c>
      <c r="AA1088" s="691" t="s">
        <v>3365</v>
      </c>
      <c r="AB1088" s="111">
        <v>1289150</v>
      </c>
      <c r="AC1088" s="17">
        <v>42917</v>
      </c>
      <c r="AD1088" s="690" t="s">
        <v>6074</v>
      </c>
      <c r="AE1088" s="686">
        <v>42915</v>
      </c>
      <c r="AF1088" s="474"/>
      <c r="AG1088" s="692">
        <v>1289150</v>
      </c>
      <c r="AH1088" s="236">
        <f>IF(Таблица5[[#This Row],[30]]=0,"НД",Таблица5[[#This Row],[20]]-Таблица5[[#This Row],[30]])</f>
        <v>0</v>
      </c>
      <c r="AI1088" s="511">
        <f>IF(((1-Таблица5[[#This Row],[30]]/Таблица5[[#This Row],[20]])=1),"НД",(1-Таблица5[[#This Row],[30]]/Таблица5[[#This Row],[20]]))</f>
        <v>0</v>
      </c>
      <c r="AJ1088" s="111"/>
      <c r="AK1088" s="111"/>
      <c r="AL1088" s="512"/>
      <c r="AM1088" s="513" t="s">
        <v>113</v>
      </c>
      <c r="AN1088" s="801">
        <v>31705265831</v>
      </c>
      <c r="AO1088" s="468" t="str">
        <f>РПЗ!AD1088</f>
        <v>Нет</v>
      </c>
      <c r="AP1088" s="472" t="str">
        <f>РПЗ!V1088</f>
        <v>ГОЗ</v>
      </c>
      <c r="AQ1088" s="470">
        <f>IF(Таблица5[[#This Row],[11]]=0,,MONTH(Таблица5[[#This Row],[11]]))</f>
        <v>6</v>
      </c>
    </row>
    <row r="1089" spans="1:43" ht="38.25" x14ac:dyDescent="0.25">
      <c r="A1089" s="233" t="str">
        <f t="shared" si="17"/>
        <v>1004-2017-01074</v>
      </c>
      <c r="B1089" s="233" t="str">
        <f>РПЗ!$D1089</f>
        <v>1004-2017-01074 Поставка арсина и фосфина</v>
      </c>
      <c r="C1089" s="233" t="str">
        <f>РПЗ!$AA1089</f>
        <v>АО "НИИ "Полюс" им. М.Ф. Стельмаха" тел. отдела закупок 8-495-333-05-02</v>
      </c>
      <c r="D1089" s="633" t="str">
        <f>РПЗ!$AB1089</f>
        <v>Заказчик</v>
      </c>
      <c r="E1089" s="510" t="s">
        <v>62</v>
      </c>
      <c r="F1089" s="233" t="str">
        <f>РПЗ!Q1089</f>
        <v>ЕП</v>
      </c>
      <c r="G1089" s="237" t="str">
        <f>Таблица5[[#This Row],[6]]</f>
        <v>ЕП</v>
      </c>
      <c r="H1089" s="237" t="str">
        <f>РПЗ!R1089</f>
        <v>Нет</v>
      </c>
      <c r="I1089" s="15" t="str">
        <f>РПЗ!W1089</f>
        <v>6.6.2(9)</v>
      </c>
      <c r="J1089" s="233" t="str">
        <f>РПЗ!X1089</f>
        <v>5261079332</v>
      </c>
      <c r="K1089" s="283">
        <f>РПЗ!Z1089</f>
        <v>1764100</v>
      </c>
      <c r="L1089" s="17">
        <v>42914</v>
      </c>
      <c r="M1089" s="18">
        <f>РПЗ!O1089</f>
        <v>42890</v>
      </c>
      <c r="N1089" s="238">
        <f>Таблица5[[#This Row],[10]]</f>
        <v>42890</v>
      </c>
      <c r="O1089" s="17"/>
      <c r="P1089" s="17"/>
      <c r="Q1089" s="17"/>
      <c r="R1089" s="17"/>
      <c r="S1089" s="17"/>
      <c r="T1089" s="686">
        <v>42919</v>
      </c>
      <c r="U1089" s="18">
        <f>РПЗ!P1089</f>
        <v>42890</v>
      </c>
      <c r="V1089" s="686">
        <v>42917</v>
      </c>
      <c r="W1089" s="236">
        <f>РПЗ!L1089</f>
        <v>1764100</v>
      </c>
      <c r="X1089" s="689">
        <v>1</v>
      </c>
      <c r="Y1089" s="689">
        <v>0</v>
      </c>
      <c r="Z1089" s="691">
        <v>5261079332</v>
      </c>
      <c r="AA1089" s="691" t="s">
        <v>3365</v>
      </c>
      <c r="AB1089" s="111">
        <v>1764100</v>
      </c>
      <c r="AC1089" s="17">
        <v>42917</v>
      </c>
      <c r="AD1089" s="690" t="s">
        <v>6136</v>
      </c>
      <c r="AE1089" s="686">
        <v>42919</v>
      </c>
      <c r="AF1089" s="474"/>
      <c r="AG1089" s="692">
        <v>1764100</v>
      </c>
      <c r="AH1089" s="236">
        <f>IF(Таблица5[[#This Row],[30]]=0,"НД",Таблица5[[#This Row],[20]]-Таблица5[[#This Row],[30]])</f>
        <v>0</v>
      </c>
      <c r="AI1089" s="511">
        <f>IF(((1-Таблица5[[#This Row],[30]]/Таблица5[[#This Row],[20]])=1),"НД",(1-Таблица5[[#This Row],[30]]/Таблица5[[#This Row],[20]]))</f>
        <v>0</v>
      </c>
      <c r="AJ1089" s="111"/>
      <c r="AK1089" s="111"/>
      <c r="AL1089" s="512"/>
      <c r="AM1089" s="513" t="s">
        <v>113</v>
      </c>
      <c r="AN1089" s="801">
        <v>31705280261</v>
      </c>
      <c r="AO1089" s="468" t="str">
        <f>РПЗ!AD1089</f>
        <v>Нет</v>
      </c>
      <c r="AP1089" s="472">
        <f>РПЗ!V1089</f>
        <v>0</v>
      </c>
      <c r="AQ1089" s="470">
        <f>IF(Таблица5[[#This Row],[11]]=0,,MONTH(Таблица5[[#This Row],[11]]))</f>
        <v>6</v>
      </c>
    </row>
    <row r="1090" spans="1:43" ht="63.75" x14ac:dyDescent="0.25">
      <c r="A1090" s="233" t="str">
        <f t="shared" si="17"/>
        <v>1004-2017-01075</v>
      </c>
      <c r="B1090" s="233" t="str">
        <f>РПЗ!$D1090</f>
        <v>1004-2017-01075 Поставка триметилгаллия, триэтилгаллия, триметилиндия, триметилалюминия, диэтилцинка, ди(циклопентадиенил)магния</v>
      </c>
      <c r="C1090" s="233" t="str">
        <f>РПЗ!$AA1090</f>
        <v>АО "НИИ "Полюс" им. М.Ф. Стельмаха" тел. отдела закупок 8-495-333-05-02</v>
      </c>
      <c r="D1090" s="633" t="str">
        <f>РПЗ!$AB1090</f>
        <v>Заказчик</v>
      </c>
      <c r="E1090" s="510" t="s">
        <v>62</v>
      </c>
      <c r="F1090" s="233" t="str">
        <f>РПЗ!Q1090</f>
        <v>ЕП</v>
      </c>
      <c r="G1090" s="237" t="str">
        <f>Таблица5[[#This Row],[6]]</f>
        <v>ЕП</v>
      </c>
      <c r="H1090" s="237" t="str">
        <f>РПЗ!R1090</f>
        <v>Нет</v>
      </c>
      <c r="I1090" s="15" t="str">
        <f>РПЗ!W1090</f>
        <v>6.6.2(9)</v>
      </c>
      <c r="J1090" s="233" t="str">
        <f>РПЗ!X1090</f>
        <v>7735148768</v>
      </c>
      <c r="K1090" s="283">
        <f>РПЗ!Z1090</f>
        <v>837500</v>
      </c>
      <c r="L1090" s="17">
        <v>42914</v>
      </c>
      <c r="M1090" s="18">
        <f>РПЗ!O1090</f>
        <v>42890</v>
      </c>
      <c r="N1090" s="238">
        <f>Таблица5[[#This Row],[10]]</f>
        <v>42890</v>
      </c>
      <c r="O1090" s="17"/>
      <c r="P1090" s="17"/>
      <c r="Q1090" s="17"/>
      <c r="R1090" s="17"/>
      <c r="S1090" s="17"/>
      <c r="T1090" s="686">
        <v>42919</v>
      </c>
      <c r="U1090" s="18">
        <f>РПЗ!P1090</f>
        <v>42890</v>
      </c>
      <c r="V1090" s="686">
        <v>42917</v>
      </c>
      <c r="W1090" s="236">
        <f>РПЗ!L1090</f>
        <v>837500</v>
      </c>
      <c r="X1090" s="689">
        <v>1</v>
      </c>
      <c r="Y1090" s="689">
        <v>0</v>
      </c>
      <c r="Z1090" s="691">
        <v>7735148768</v>
      </c>
      <c r="AA1090" s="691" t="s">
        <v>3360</v>
      </c>
      <c r="AB1090" s="111">
        <v>837500</v>
      </c>
      <c r="AC1090" s="17">
        <v>42917</v>
      </c>
      <c r="AD1090" s="690" t="s">
        <v>6135</v>
      </c>
      <c r="AE1090" s="686">
        <v>42919</v>
      </c>
      <c r="AF1090" s="474"/>
      <c r="AG1090" s="692">
        <v>837500</v>
      </c>
      <c r="AH1090" s="236">
        <f>IF(Таблица5[[#This Row],[30]]=0,"НД",Таблица5[[#This Row],[20]]-Таблица5[[#This Row],[30]])</f>
        <v>0</v>
      </c>
      <c r="AI1090" s="511">
        <f>IF(((1-Таблица5[[#This Row],[30]]/Таблица5[[#This Row],[20]])=1),"НД",(1-Таблица5[[#This Row],[30]]/Таблица5[[#This Row],[20]]))</f>
        <v>0</v>
      </c>
      <c r="AJ1090" s="111">
        <v>837500</v>
      </c>
      <c r="AK1090" s="111"/>
      <c r="AL1090" s="512"/>
      <c r="AM1090" s="513" t="s">
        <v>113</v>
      </c>
      <c r="AN1090" s="801">
        <v>31705280297</v>
      </c>
      <c r="AO1090" s="468" t="str">
        <f>РПЗ!AD1090</f>
        <v>Нет</v>
      </c>
      <c r="AP1090" s="472">
        <f>РПЗ!V1178</f>
        <v>0</v>
      </c>
      <c r="AQ1090" s="470">
        <f>IF(Таблица5[[#This Row],[11]]=0,,MONTH(Таблица5[[#This Row],[11]]))</f>
        <v>6</v>
      </c>
    </row>
    <row r="1091" spans="1:43" ht="63.75" x14ac:dyDescent="0.25">
      <c r="A1091" s="233" t="str">
        <f t="shared" si="17"/>
        <v>1004-2017-01076</v>
      </c>
      <c r="B1091" s="233" t="str">
        <f>РПЗ!$D1091</f>
        <v>1004-2017-01076 Поставка триметилгаллия, триэтилгаллия, триметилиндия, триметилалюминия, диэтилцинка, ди(циклопентадиенил)магния</v>
      </c>
      <c r="C1091" s="233" t="str">
        <f>РПЗ!$AA1091</f>
        <v>АО "НИИ "Полюс" им. М.Ф. Стельмаха" тел. отдела закупок 8-495-333-05-02</v>
      </c>
      <c r="D1091" s="633" t="str">
        <f>РПЗ!$AB1091</f>
        <v>Заказчик</v>
      </c>
      <c r="E1091" s="510" t="s">
        <v>62</v>
      </c>
      <c r="F1091" s="233" t="str">
        <f>РПЗ!Q1091</f>
        <v>ЕП</v>
      </c>
      <c r="G1091" s="237" t="str">
        <f>Таблица5[[#This Row],[6]]</f>
        <v>ЕП</v>
      </c>
      <c r="H1091" s="237" t="str">
        <f>РПЗ!R1091</f>
        <v>Нет</v>
      </c>
      <c r="I1091" s="15" t="str">
        <f>РПЗ!W1091</f>
        <v>6.6.2(9)</v>
      </c>
      <c r="J1091" s="233" t="str">
        <f>РПЗ!X1091</f>
        <v>7735148768</v>
      </c>
      <c r="K1091" s="283">
        <f>РПЗ!Z1091</f>
        <v>874000</v>
      </c>
      <c r="L1091" s="17">
        <v>42914</v>
      </c>
      <c r="M1091" s="18">
        <f>РПЗ!O1091</f>
        <v>42890</v>
      </c>
      <c r="N1091" s="238">
        <f>Таблица5[[#This Row],[10]]</f>
        <v>42890</v>
      </c>
      <c r="O1091" s="17"/>
      <c r="P1091" s="17"/>
      <c r="Q1091" s="17"/>
      <c r="R1091" s="17"/>
      <c r="S1091" s="17"/>
      <c r="T1091" s="686">
        <v>42919</v>
      </c>
      <c r="U1091" s="18">
        <f>РПЗ!P1091</f>
        <v>42890</v>
      </c>
      <c r="V1091" s="686">
        <v>42917</v>
      </c>
      <c r="W1091" s="236">
        <f>РПЗ!L1091</f>
        <v>874000</v>
      </c>
      <c r="X1091" s="689">
        <v>1</v>
      </c>
      <c r="Y1091" s="689">
        <v>0</v>
      </c>
      <c r="Z1091" s="691">
        <v>7735148768</v>
      </c>
      <c r="AA1091" s="691" t="s">
        <v>3360</v>
      </c>
      <c r="AB1091" s="111">
        <v>874000</v>
      </c>
      <c r="AC1091" s="17">
        <v>42917</v>
      </c>
      <c r="AD1091" s="690" t="s">
        <v>6134</v>
      </c>
      <c r="AE1091" s="686">
        <v>42919</v>
      </c>
      <c r="AF1091" s="474"/>
      <c r="AG1091" s="692">
        <v>874000</v>
      </c>
      <c r="AH1091" s="236">
        <f>IF(Таблица5[[#This Row],[30]]=0,"НД",Таблица5[[#This Row],[20]]-Таблица5[[#This Row],[30]])</f>
        <v>0</v>
      </c>
      <c r="AI1091" s="511">
        <f>IF(((1-Таблица5[[#This Row],[30]]/Таблица5[[#This Row],[20]])=1),"НД",(1-Таблица5[[#This Row],[30]]/Таблица5[[#This Row],[20]]))</f>
        <v>0</v>
      </c>
      <c r="AJ1091" s="111"/>
      <c r="AK1091" s="111"/>
      <c r="AL1091" s="512"/>
      <c r="AM1091" s="513" t="s">
        <v>113</v>
      </c>
      <c r="AN1091" s="801">
        <v>31705280778</v>
      </c>
      <c r="AO1091" s="468" t="str">
        <f>РПЗ!AD1091</f>
        <v>Нет</v>
      </c>
      <c r="AP1091" s="472" t="str">
        <f>РПЗ!V1091</f>
        <v>ГОЗ</v>
      </c>
      <c r="AQ1091" s="470">
        <f>IF(Таблица5[[#This Row],[11]]=0,,MONTH(Таблица5[[#This Row],[11]]))</f>
        <v>6</v>
      </c>
    </row>
    <row r="1092" spans="1:43" ht="39" thickBot="1" x14ac:dyDescent="0.3">
      <c r="A1092" s="233" t="str">
        <f t="shared" si="17"/>
        <v>1004-2017-01077</v>
      </c>
      <c r="B1092" s="233" t="str">
        <f>РПЗ!$D1092</f>
        <v>1004-2017-01077 Поставка триметилгаллия, триметилиндия, триметилалюминия, диэтилцинка</v>
      </c>
      <c r="C1092" s="233" t="str">
        <f>РПЗ!$AA1092</f>
        <v>АО "НИИ "Полюс" им. М.Ф. Стельмаха" тел. отдела закупок 8-495-333-05-02</v>
      </c>
      <c r="D1092" s="633" t="str">
        <f>РПЗ!$AB1092</f>
        <v>Заказчик</v>
      </c>
      <c r="E1092" s="510" t="s">
        <v>62</v>
      </c>
      <c r="F1092" s="233" t="str">
        <f>РПЗ!Q1092</f>
        <v>ЕП</v>
      </c>
      <c r="G1092" s="237" t="str">
        <f>Таблица5[[#This Row],[6]]</f>
        <v>ЕП</v>
      </c>
      <c r="H1092" s="237" t="str">
        <f>РПЗ!R1092</f>
        <v>Нет</v>
      </c>
      <c r="I1092" s="15" t="str">
        <f>РПЗ!W1092</f>
        <v>6.6.2(9)</v>
      </c>
      <c r="J1092" s="233" t="str">
        <f>РПЗ!X1092</f>
        <v>7735148768</v>
      </c>
      <c r="K1092" s="283">
        <f>РПЗ!Z1092</f>
        <v>1122000</v>
      </c>
      <c r="L1092" s="17">
        <v>42908</v>
      </c>
      <c r="M1092" s="18">
        <f>РПЗ!O1092</f>
        <v>42890</v>
      </c>
      <c r="N1092" s="238">
        <f>Таблица5[[#This Row],[10]]</f>
        <v>42890</v>
      </c>
      <c r="O1092" s="17"/>
      <c r="P1092" s="17"/>
      <c r="Q1092" s="17"/>
      <c r="R1092" s="17"/>
      <c r="S1092" s="17"/>
      <c r="T1092" s="686">
        <v>42914</v>
      </c>
      <c r="U1092" s="18">
        <f>РПЗ!P1092</f>
        <v>42890</v>
      </c>
      <c r="V1092" s="686">
        <v>42917</v>
      </c>
      <c r="W1092" s="236">
        <f>РПЗ!L1092</f>
        <v>1122000</v>
      </c>
      <c r="X1092" s="689">
        <v>1</v>
      </c>
      <c r="Y1092" s="689">
        <v>0</v>
      </c>
      <c r="Z1092" s="691">
        <v>7735148768</v>
      </c>
      <c r="AA1092" s="691" t="s">
        <v>3360</v>
      </c>
      <c r="AB1092" s="111">
        <v>1122000</v>
      </c>
      <c r="AC1092" s="17">
        <v>42917</v>
      </c>
      <c r="AD1092" s="690" t="s">
        <v>6009</v>
      </c>
      <c r="AE1092" s="686">
        <v>42914</v>
      </c>
      <c r="AF1092" s="474"/>
      <c r="AG1092" s="692">
        <v>1122000</v>
      </c>
      <c r="AH1092" s="236">
        <f>IF(Таблица5[[#This Row],[30]]=0,"НД",Таблица5[[#This Row],[20]]-Таблица5[[#This Row],[30]])</f>
        <v>0</v>
      </c>
      <c r="AI1092" s="511">
        <f>IF(((1-Таблица5[[#This Row],[30]]/Таблица5[[#This Row],[20]])=1),"НД",(1-Таблица5[[#This Row],[30]]/Таблица5[[#This Row],[20]]))</f>
        <v>0</v>
      </c>
      <c r="AJ1092" s="111"/>
      <c r="AK1092" s="111"/>
      <c r="AL1092" s="512"/>
      <c r="AM1092" s="513" t="s">
        <v>113</v>
      </c>
      <c r="AN1092" s="801">
        <v>31705265561</v>
      </c>
      <c r="AO1092" s="468" t="str">
        <f>РПЗ!AD1092</f>
        <v>Нет</v>
      </c>
      <c r="AP1092" s="472" t="str">
        <f>РПЗ!V1092</f>
        <v>ГОЗ</v>
      </c>
      <c r="AQ1092" s="470">
        <f>IF(Таблица5[[#This Row],[11]]=0,,MONTH(Таблица5[[#This Row],[11]]))</f>
        <v>6</v>
      </c>
    </row>
    <row r="1093" spans="1:43" ht="39" thickBot="1" x14ac:dyDescent="0.3">
      <c r="A1093" s="233" t="str">
        <f t="shared" si="17"/>
        <v>1004-2017-01078</v>
      </c>
      <c r="B1093" s="233" t="str">
        <f>РПЗ!$D1093</f>
        <v>1004-2017-01078 Поставка подложек арсенида галлия</v>
      </c>
      <c r="C1093" s="233" t="str">
        <f>РПЗ!$AA1093</f>
        <v>АО "НИИ "Полюс" им. М.Ф. Стельмаха" тел. отдела закупок 8-495-333-05-02</v>
      </c>
      <c r="D1093" s="633" t="str">
        <f>РПЗ!$AB1093</f>
        <v>Заказчик</v>
      </c>
      <c r="E1093" s="96" t="s">
        <v>46</v>
      </c>
      <c r="F1093" s="233" t="str">
        <f>РПЗ!Q1093</f>
        <v>ЕП</v>
      </c>
      <c r="G1093" s="237"/>
      <c r="H1093" s="237" t="str">
        <f>РПЗ!R1093</f>
        <v>Нет</v>
      </c>
      <c r="I1093" s="15">
        <f>РПЗ!W1093</f>
        <v>0</v>
      </c>
      <c r="J1093" s="233">
        <f>РПЗ!X1093</f>
        <v>0</v>
      </c>
      <c r="K1093" s="283">
        <f>РПЗ!Z1093</f>
        <v>0</v>
      </c>
      <c r="L1093" s="17"/>
      <c r="M1093" s="18">
        <f>РПЗ!O1093</f>
        <v>42890</v>
      </c>
      <c r="N1093" s="238">
        <f>Таблица5[[#This Row],[10]]</f>
        <v>42890</v>
      </c>
      <c r="O1093" s="17"/>
      <c r="P1093" s="17"/>
      <c r="Q1093" s="17"/>
      <c r="R1093" s="17"/>
      <c r="S1093" s="17"/>
      <c r="T1093" s="686"/>
      <c r="U1093" s="18">
        <f>РПЗ!P1093</f>
        <v>42890</v>
      </c>
      <c r="V1093" s="686"/>
      <c r="W1093" s="236">
        <f>РПЗ!L1093</f>
        <v>12300000</v>
      </c>
      <c r="X1093" s="689"/>
      <c r="Y1093" s="689"/>
      <c r="Z1093" s="690"/>
      <c r="AA1093" s="691"/>
      <c r="AB1093" s="111"/>
      <c r="AC1093" s="17"/>
      <c r="AD1093" s="690"/>
      <c r="AE1093" s="686"/>
      <c r="AF1093" s="474"/>
      <c r="AG1093" s="692"/>
      <c r="AH1093" s="236" t="str">
        <f>IF(Таблица5[[#This Row],[30]]=0,"НД",Таблица5[[#This Row],[20]]-Таблица5[[#This Row],[30]])</f>
        <v>НД</v>
      </c>
      <c r="AI1093" s="511" t="str">
        <f>IF(((1-Таблица5[[#This Row],[30]]/Таблица5[[#This Row],[20]])=1),"НД",(1-Таблица5[[#This Row],[30]]/Таблица5[[#This Row],[20]]))</f>
        <v>НД</v>
      </c>
      <c r="AJ1093" s="111"/>
      <c r="AK1093" s="111"/>
      <c r="AL1093" s="512"/>
      <c r="AM1093" s="513"/>
      <c r="AN1093" s="465"/>
      <c r="AO1093" s="468" t="str">
        <f>РПЗ!AD1093</f>
        <v>Нет</v>
      </c>
      <c r="AP1093" s="472">
        <f>РПЗ!V1093</f>
        <v>0</v>
      </c>
      <c r="AQ1093" s="470">
        <f>IF(Таблица5[[#This Row],[11]]=0,,MONTH(Таблица5[[#This Row],[11]]))</f>
        <v>6</v>
      </c>
    </row>
    <row r="1094" spans="1:43" ht="38.25" x14ac:dyDescent="0.25">
      <c r="A1094" s="233" t="str">
        <f t="shared" si="17"/>
        <v>1004-2017-01079</v>
      </c>
      <c r="B1094" s="233" t="str">
        <f>РПЗ!$D1094</f>
        <v>1004-2017-01079 Поставка подложек фосфида индия</v>
      </c>
      <c r="C1094" s="233" t="str">
        <f>РПЗ!$AA1094</f>
        <v>АО "НИИ "Полюс" им. М.Ф. Стельмаха" тел. отдела закупок 8-495-333-05-02</v>
      </c>
      <c r="D1094" s="633" t="str">
        <f>РПЗ!$AB1094</f>
        <v>Заказчик</v>
      </c>
      <c r="E1094" s="96" t="s">
        <v>46</v>
      </c>
      <c r="F1094" s="233" t="str">
        <f>РПЗ!Q1094</f>
        <v>ЕП</v>
      </c>
      <c r="G1094" s="237"/>
      <c r="H1094" s="237" t="str">
        <f>РПЗ!R1094</f>
        <v>Нет</v>
      </c>
      <c r="I1094" s="15">
        <f>РПЗ!W1094</f>
        <v>0</v>
      </c>
      <c r="J1094" s="233">
        <f>РПЗ!X1094</f>
        <v>0</v>
      </c>
      <c r="K1094" s="283">
        <f>РПЗ!Z1094</f>
        <v>0</v>
      </c>
      <c r="L1094" s="17"/>
      <c r="M1094" s="18">
        <f>РПЗ!O1094</f>
        <v>42890</v>
      </c>
      <c r="N1094" s="238">
        <f>Таблица5[[#This Row],[10]]</f>
        <v>42890</v>
      </c>
      <c r="O1094" s="17"/>
      <c r="P1094" s="17"/>
      <c r="Q1094" s="17"/>
      <c r="R1094" s="17"/>
      <c r="S1094" s="17"/>
      <c r="T1094" s="686"/>
      <c r="U1094" s="18">
        <f>РПЗ!P1094</f>
        <v>42890</v>
      </c>
      <c r="V1094" s="686"/>
      <c r="W1094" s="236">
        <f>РПЗ!L1094</f>
        <v>1263000</v>
      </c>
      <c r="X1094" s="689"/>
      <c r="Y1094" s="689"/>
      <c r="Z1094" s="690"/>
      <c r="AA1094" s="691"/>
      <c r="AB1094" s="111"/>
      <c r="AC1094" s="17"/>
      <c r="AD1094" s="690"/>
      <c r="AE1094" s="686"/>
      <c r="AF1094" s="474"/>
      <c r="AG1094" s="692"/>
      <c r="AH1094" s="236" t="str">
        <f>IF(Таблица5[[#This Row],[30]]=0,"НД",Таблица5[[#This Row],[20]]-Таблица5[[#This Row],[30]])</f>
        <v>НД</v>
      </c>
      <c r="AI1094" s="511" t="str">
        <f>IF(((1-Таблица5[[#This Row],[30]]/Таблица5[[#This Row],[20]])=1),"НД",(1-Таблица5[[#This Row],[30]]/Таблица5[[#This Row],[20]]))</f>
        <v>НД</v>
      </c>
      <c r="AJ1094" s="111"/>
      <c r="AK1094" s="111"/>
      <c r="AL1094" s="512"/>
      <c r="AM1094" s="513"/>
      <c r="AN1094" s="465"/>
      <c r="AO1094" s="468" t="str">
        <f>РПЗ!AD1094</f>
        <v>Нет</v>
      </c>
      <c r="AP1094" s="472">
        <f>РПЗ!V1094</f>
        <v>0</v>
      </c>
      <c r="AQ1094" s="470">
        <f>IF(Таблица5[[#This Row],[11]]=0,,MONTH(Таблица5[[#This Row],[11]]))</f>
        <v>6</v>
      </c>
    </row>
    <row r="1095" spans="1:43" ht="89.25" x14ac:dyDescent="0.25">
      <c r="A1095" s="233" t="str">
        <f t="shared" si="17"/>
        <v>1004-2017-01080</v>
      </c>
      <c r="B1095" s="233" t="str">
        <f>РПЗ!$D1095</f>
        <v>1004-2017-01080 Поставка подложек арсенида галлия</v>
      </c>
      <c r="C1095" s="233" t="str">
        <f>РПЗ!$AA1095</f>
        <v>АО "НИИ "Полюс" им. М.Ф. Стельмаха" тел. отдела закупок 8-495-333-05-02</v>
      </c>
      <c r="D1095" s="633" t="str">
        <f>РПЗ!$AB1095</f>
        <v>Заказчик</v>
      </c>
      <c r="E1095" s="510" t="s">
        <v>62</v>
      </c>
      <c r="F1095" s="233" t="str">
        <f>РПЗ!Q1095</f>
        <v>ЕП</v>
      </c>
      <c r="G1095" s="237" t="str">
        <f>Таблица5[[#This Row],[6]]</f>
        <v>ЕП</v>
      </c>
      <c r="H1095" s="237" t="str">
        <f>РПЗ!R1095</f>
        <v>Нет</v>
      </c>
      <c r="I1095" s="15" t="str">
        <f>РПЗ!W1095</f>
        <v>6.6.2(9)</v>
      </c>
      <c r="J1095" s="233" t="str">
        <f>РПЗ!X1095</f>
        <v>7728808974</v>
      </c>
      <c r="K1095" s="283">
        <f>РПЗ!Z1095</f>
        <v>1040004.8</v>
      </c>
      <c r="L1095" s="17">
        <v>42935</v>
      </c>
      <c r="M1095" s="18">
        <f>РПЗ!O1095</f>
        <v>42920</v>
      </c>
      <c r="N1095" s="238">
        <f>Таблица5[[#This Row],[10]]</f>
        <v>42920</v>
      </c>
      <c r="O1095" s="17"/>
      <c r="P1095" s="17"/>
      <c r="Q1095" s="17"/>
      <c r="R1095" s="17"/>
      <c r="S1095" s="17"/>
      <c r="T1095" s="686">
        <v>42942</v>
      </c>
      <c r="U1095" s="18">
        <f>РПЗ!P1095</f>
        <v>42890</v>
      </c>
      <c r="V1095" s="686">
        <v>42948</v>
      </c>
      <c r="W1095" s="236">
        <f>РПЗ!L1095</f>
        <v>1040004.8</v>
      </c>
      <c r="X1095" s="689">
        <v>1</v>
      </c>
      <c r="Y1095" s="689">
        <v>0</v>
      </c>
      <c r="Z1095" s="691">
        <v>7728808974</v>
      </c>
      <c r="AA1095" s="691" t="s">
        <v>3309</v>
      </c>
      <c r="AB1095" s="111">
        <v>1040004.8</v>
      </c>
      <c r="AC1095" s="17">
        <v>42948</v>
      </c>
      <c r="AD1095" s="690" t="s">
        <v>6433</v>
      </c>
      <c r="AE1095" s="686">
        <v>42942</v>
      </c>
      <c r="AF1095" s="474"/>
      <c r="AG1095" s="692">
        <v>1040004.8</v>
      </c>
      <c r="AH1095" s="236">
        <f>IF(Таблица5[[#This Row],[30]]=0,"НД",Таблица5[[#This Row],[20]]-Таблица5[[#This Row],[30]])</f>
        <v>0</v>
      </c>
      <c r="AI1095" s="511">
        <f>IF(((1-Таблица5[[#This Row],[30]]/Таблица5[[#This Row],[20]])=1),"НД",(1-Таблица5[[#This Row],[30]]/Таблица5[[#This Row],[20]]))</f>
        <v>0</v>
      </c>
      <c r="AJ1095" s="111">
        <v>1040004.8</v>
      </c>
      <c r="AK1095" s="111"/>
      <c r="AL1095" s="512"/>
      <c r="AM1095" s="513" t="s">
        <v>113</v>
      </c>
      <c r="AN1095" s="801">
        <v>31705354408</v>
      </c>
      <c r="AO1095" s="468" t="str">
        <f>РПЗ!AD1183</f>
        <v>Нет</v>
      </c>
      <c r="AP1095" s="472" t="str">
        <f>РПЗ!V1095</f>
        <v>ГОЗ</v>
      </c>
      <c r="AQ1095" s="470">
        <f>IF(Таблица5[[#This Row],[11]]=0,,MONTH(Таблица5[[#This Row],[11]]))</f>
        <v>7</v>
      </c>
    </row>
    <row r="1096" spans="1:43" ht="63.75" x14ac:dyDescent="0.25">
      <c r="A1096" s="233" t="str">
        <f t="shared" si="17"/>
        <v>1004-2017-01081</v>
      </c>
      <c r="B1096" s="233" t="str">
        <f>РПЗ!$D1096</f>
        <v>1004-2017-01081Поставка  Регуляторы расхода газа</v>
      </c>
      <c r="C1096" s="233" t="str">
        <f>РПЗ!$AA1096</f>
        <v>АО "НИИ "Полюс" им. М.Ф. Стельмаха" тел. отдела закупок 8-495-333-05-02</v>
      </c>
      <c r="D1096" s="633" t="str">
        <f>РПЗ!$AB1096</f>
        <v>Заказчик</v>
      </c>
      <c r="E1096" s="510" t="s">
        <v>62</v>
      </c>
      <c r="F1096" s="233" t="str">
        <f>РПЗ!Q1096</f>
        <v>ЕП</v>
      </c>
      <c r="G1096" s="237" t="str">
        <f>Таблица5[[#This Row],[6]]</f>
        <v>ЕП</v>
      </c>
      <c r="H1096" s="237" t="str">
        <f>РПЗ!R1096</f>
        <v>Нет</v>
      </c>
      <c r="I1096" s="15" t="str">
        <f>РПЗ!W1096</f>
        <v>6.6.2(9)</v>
      </c>
      <c r="J1096" s="233" t="str">
        <f>РПЗ!X1096</f>
        <v>7728636669</v>
      </c>
      <c r="K1096" s="283">
        <f>РПЗ!Z1096</f>
        <v>525005</v>
      </c>
      <c r="L1096" s="17">
        <v>42914</v>
      </c>
      <c r="M1096" s="18">
        <f>РПЗ!O1096</f>
        <v>42890</v>
      </c>
      <c r="N1096" s="238">
        <f>Таблица5[[#This Row],[10]]</f>
        <v>42890</v>
      </c>
      <c r="O1096" s="17"/>
      <c r="P1096" s="17"/>
      <c r="Q1096" s="17"/>
      <c r="R1096" s="17"/>
      <c r="S1096" s="17"/>
      <c r="T1096" s="686">
        <v>42919</v>
      </c>
      <c r="U1096" s="18">
        <f>РПЗ!P1096</f>
        <v>42890</v>
      </c>
      <c r="V1096" s="686">
        <v>42917</v>
      </c>
      <c r="W1096" s="236">
        <f>РПЗ!L1096</f>
        <v>525005</v>
      </c>
      <c r="X1096" s="689">
        <v>1</v>
      </c>
      <c r="Y1096" s="689">
        <v>0</v>
      </c>
      <c r="Z1096" s="691">
        <v>7728636669</v>
      </c>
      <c r="AA1096" s="691" t="s">
        <v>6132</v>
      </c>
      <c r="AB1096" s="111">
        <v>525005</v>
      </c>
      <c r="AC1096" s="17">
        <v>42917</v>
      </c>
      <c r="AD1096" s="690" t="s">
        <v>6133</v>
      </c>
      <c r="AE1096" s="686">
        <v>42919</v>
      </c>
      <c r="AF1096" s="474"/>
      <c r="AG1096" s="692">
        <v>525005</v>
      </c>
      <c r="AH1096" s="236">
        <f>IF(Таблица5[[#This Row],[30]]=0,"НД",Таблица5[[#This Row],[20]]-Таблица5[[#This Row],[30]])</f>
        <v>0</v>
      </c>
      <c r="AI1096" s="511">
        <f>IF(((1-Таблица5[[#This Row],[30]]/Таблица5[[#This Row],[20]])=1),"НД",(1-Таблица5[[#This Row],[30]]/Таблица5[[#This Row],[20]]))</f>
        <v>0</v>
      </c>
      <c r="AJ1096" s="111">
        <v>525005</v>
      </c>
      <c r="AK1096" s="111"/>
      <c r="AL1096" s="512"/>
      <c r="AM1096" s="513" t="s">
        <v>113</v>
      </c>
      <c r="AN1096" s="801">
        <v>31705280342</v>
      </c>
      <c r="AO1096" s="468" t="str">
        <f>РПЗ!AD1096</f>
        <v>Нет</v>
      </c>
      <c r="AP1096" s="472" t="str">
        <f>РПЗ!V1096</f>
        <v>ГОЗ</v>
      </c>
      <c r="AQ1096" s="470">
        <f>IF(Таблица5[[#This Row],[11]]=0,,MONTH(Таблица5[[#This Row],[11]]))</f>
        <v>6</v>
      </c>
    </row>
    <row r="1097" spans="1:43" ht="38.25" x14ac:dyDescent="0.25">
      <c r="A1097" s="233" t="str">
        <f t="shared" si="17"/>
        <v>1004-2017-01082</v>
      </c>
      <c r="B1097" s="233" t="str">
        <f>РПЗ!$D1097</f>
        <v xml:space="preserve">1004-2017-01082 Поставка арсина </v>
      </c>
      <c r="C1097" s="233" t="str">
        <f>РПЗ!$AA1097</f>
        <v>АО "НИИ "Полюс" им. М.Ф. Стельмаха" тел. отдела закупок 8-495-333-05-02</v>
      </c>
      <c r="D1097" s="633" t="str">
        <f>РПЗ!$AB1097</f>
        <v>Заказчик</v>
      </c>
      <c r="E1097" s="510" t="s">
        <v>62</v>
      </c>
      <c r="F1097" s="233" t="str">
        <f>РПЗ!Q1097</f>
        <v>ЕП</v>
      </c>
      <c r="G1097" s="237" t="str">
        <f>Таблица5[[#This Row],[6]]</f>
        <v>ЕП</v>
      </c>
      <c r="H1097" s="237" t="str">
        <f>РПЗ!R1097</f>
        <v>Нет</v>
      </c>
      <c r="I1097" s="15" t="str">
        <f>РПЗ!W1097</f>
        <v>6.6.2(9)</v>
      </c>
      <c r="J1097" s="233" t="str">
        <f>РПЗ!X1097</f>
        <v>5261079332</v>
      </c>
      <c r="K1097" s="283">
        <f>РПЗ!Z1097</f>
        <v>882050</v>
      </c>
      <c r="L1097" s="17">
        <v>42907</v>
      </c>
      <c r="M1097" s="18">
        <f>РПЗ!O1097</f>
        <v>42890</v>
      </c>
      <c r="N1097" s="238">
        <f>Таблица5[[#This Row],[10]]</f>
        <v>42890</v>
      </c>
      <c r="O1097" s="17"/>
      <c r="P1097" s="17"/>
      <c r="Q1097" s="17"/>
      <c r="R1097" s="17"/>
      <c r="S1097" s="17"/>
      <c r="T1097" s="686">
        <v>42915</v>
      </c>
      <c r="U1097" s="18">
        <f>РПЗ!P1097</f>
        <v>42890</v>
      </c>
      <c r="V1097" s="686">
        <v>42917</v>
      </c>
      <c r="W1097" s="236">
        <f>РПЗ!L1097</f>
        <v>882050</v>
      </c>
      <c r="X1097" s="689">
        <v>1</v>
      </c>
      <c r="Y1097" s="689">
        <v>0</v>
      </c>
      <c r="Z1097" s="691">
        <v>5261079332</v>
      </c>
      <c r="AA1097" s="691" t="s">
        <v>3365</v>
      </c>
      <c r="AB1097" s="111">
        <v>882050</v>
      </c>
      <c r="AC1097" s="17">
        <v>42917</v>
      </c>
      <c r="AD1097" s="690" t="s">
        <v>6073</v>
      </c>
      <c r="AE1097" s="686">
        <v>42915</v>
      </c>
      <c r="AF1097" s="474"/>
      <c r="AG1097" s="692">
        <v>882050</v>
      </c>
      <c r="AH1097" s="236">
        <f>IF(Таблица5[[#This Row],[30]]=0,"НД",Таблица5[[#This Row],[20]]-Таблица5[[#This Row],[30]])</f>
        <v>0</v>
      </c>
      <c r="AI1097" s="511">
        <f>IF(((1-Таблица5[[#This Row],[30]]/Таблица5[[#This Row],[20]])=1),"НД",(1-Таблица5[[#This Row],[30]]/Таблица5[[#This Row],[20]]))</f>
        <v>0</v>
      </c>
      <c r="AJ1097" s="111"/>
      <c r="AK1097" s="111"/>
      <c r="AL1097" s="512"/>
      <c r="AM1097" s="513" t="s">
        <v>113</v>
      </c>
      <c r="AN1097" s="801">
        <v>31705265669</v>
      </c>
      <c r="AO1097" s="468" t="str">
        <f>РПЗ!AD1097</f>
        <v>Нет</v>
      </c>
      <c r="AP1097" s="472">
        <f>РПЗ!V1097</f>
        <v>0</v>
      </c>
      <c r="AQ1097" s="470">
        <f>IF(Таблица5[[#This Row],[11]]=0,,MONTH(Таблица5[[#This Row],[11]]))</f>
        <v>6</v>
      </c>
    </row>
    <row r="1098" spans="1:43" ht="39" thickBot="1" x14ac:dyDescent="0.3">
      <c r="A1098" s="233" t="str">
        <f t="shared" si="17"/>
        <v>1004-2017-01083</v>
      </c>
      <c r="B1098" s="233" t="str">
        <f>РПЗ!$D1098</f>
        <v>1004-2017-01083 Поставка триметилгаллия, триметилиндия, триметилалюминия, диэтилцинка</v>
      </c>
      <c r="C1098" s="233" t="str">
        <f>РПЗ!$AA1098</f>
        <v>АО "НИИ "Полюс" им. М.Ф. Стельмаха" тел. отдела закупок 8-495-333-05-02</v>
      </c>
      <c r="D1098" s="633" t="str">
        <f>РПЗ!$AB1098</f>
        <v>Заказчик</v>
      </c>
      <c r="E1098" s="510" t="s">
        <v>62</v>
      </c>
      <c r="F1098" s="233" t="str">
        <f>РПЗ!Q1098</f>
        <v>ЕП</v>
      </c>
      <c r="G1098" s="237" t="str">
        <f>Таблица5[[#This Row],[6]]</f>
        <v>ЕП</v>
      </c>
      <c r="H1098" s="237" t="str">
        <f>РПЗ!R1098</f>
        <v>Нет</v>
      </c>
      <c r="I1098" s="15" t="str">
        <f>РПЗ!W1098</f>
        <v>6.6.2(9)</v>
      </c>
      <c r="J1098" s="233" t="str">
        <f>РПЗ!X1098</f>
        <v>7735148768</v>
      </c>
      <c r="K1098" s="283">
        <f>РПЗ!Z1098</f>
        <v>412700</v>
      </c>
      <c r="L1098" s="17">
        <v>42914</v>
      </c>
      <c r="M1098" s="18">
        <f>РПЗ!O1098</f>
        <v>42890</v>
      </c>
      <c r="N1098" s="238">
        <f>Таблица5[[#This Row],[10]]</f>
        <v>42890</v>
      </c>
      <c r="O1098" s="17"/>
      <c r="P1098" s="17"/>
      <c r="Q1098" s="17"/>
      <c r="R1098" s="17"/>
      <c r="S1098" s="17"/>
      <c r="T1098" s="686">
        <v>42919</v>
      </c>
      <c r="U1098" s="18">
        <f>РПЗ!P1098</f>
        <v>42890</v>
      </c>
      <c r="V1098" s="686">
        <v>42917</v>
      </c>
      <c r="W1098" s="236">
        <f>РПЗ!L1098</f>
        <v>412700</v>
      </c>
      <c r="X1098" s="689">
        <v>1</v>
      </c>
      <c r="Y1098" s="689">
        <v>0</v>
      </c>
      <c r="Z1098" s="691">
        <v>7735148768</v>
      </c>
      <c r="AA1098" s="691" t="s">
        <v>3360</v>
      </c>
      <c r="AB1098" s="111">
        <v>412700</v>
      </c>
      <c r="AC1098" s="17">
        <v>42917</v>
      </c>
      <c r="AD1098" s="690" t="s">
        <v>6137</v>
      </c>
      <c r="AE1098" s="686">
        <v>42919</v>
      </c>
      <c r="AF1098" s="474"/>
      <c r="AG1098" s="692">
        <v>412700</v>
      </c>
      <c r="AH1098" s="236">
        <f>IF(Таблица5[[#This Row],[30]]=0,"НД",Таблица5[[#This Row],[20]]-Таблица5[[#This Row],[30]])</f>
        <v>0</v>
      </c>
      <c r="AI1098" s="511">
        <f>IF(((1-Таблица5[[#This Row],[30]]/Таблица5[[#This Row],[20]])=1),"НД",(1-Таблица5[[#This Row],[30]]/Таблица5[[#This Row],[20]]))</f>
        <v>0</v>
      </c>
      <c r="AJ1098" s="111">
        <v>412700</v>
      </c>
      <c r="AK1098" s="111"/>
      <c r="AL1098" s="512"/>
      <c r="AM1098" s="513" t="s">
        <v>113</v>
      </c>
      <c r="AN1098" s="801">
        <v>31705280308</v>
      </c>
      <c r="AO1098" s="468" t="str">
        <f>РПЗ!AD1098</f>
        <v>Нет</v>
      </c>
      <c r="AP1098" s="472">
        <f>РПЗ!V1098</f>
        <v>0</v>
      </c>
      <c r="AQ1098" s="470">
        <f>IF(Таблица5[[#This Row],[11]]=0,,MONTH(Таблица5[[#This Row],[11]]))</f>
        <v>6</v>
      </c>
    </row>
    <row r="1099" spans="1:43" ht="39" thickBot="1" x14ac:dyDescent="0.3">
      <c r="A1099" s="233" t="str">
        <f t="shared" si="17"/>
        <v>1004-2017-01084</v>
      </c>
      <c r="B1099" s="233" t="str">
        <f>РПЗ!$D1099</f>
        <v xml:space="preserve">1004-2017-01084 Поставка арсина </v>
      </c>
      <c r="C1099" s="233" t="str">
        <f>РПЗ!$AA1099</f>
        <v>АО "НИИ "Полюс" им. М.Ф. Стельмаха" тел. отдела закупок 8-495-333-05-02</v>
      </c>
      <c r="D1099" s="633" t="str">
        <f>РПЗ!$AB1099</f>
        <v>Заказчик</v>
      </c>
      <c r="E1099" s="96" t="s">
        <v>46</v>
      </c>
      <c r="F1099" s="233" t="str">
        <f>РПЗ!Q1099</f>
        <v>ЕП</v>
      </c>
      <c r="G1099" s="237"/>
      <c r="H1099" s="237" t="str">
        <f>РПЗ!R1099</f>
        <v>Нет</v>
      </c>
      <c r="I1099" s="15">
        <f>РПЗ!W1099</f>
        <v>0</v>
      </c>
      <c r="J1099" s="233">
        <f>РПЗ!X1099</f>
        <v>0</v>
      </c>
      <c r="K1099" s="283">
        <f>РПЗ!Z1099</f>
        <v>0</v>
      </c>
      <c r="L1099" s="17"/>
      <c r="M1099" s="18">
        <f>РПЗ!O1099</f>
        <v>42890</v>
      </c>
      <c r="N1099" s="238">
        <f>Таблица5[[#This Row],[10]]</f>
        <v>42890</v>
      </c>
      <c r="O1099" s="17"/>
      <c r="P1099" s="17"/>
      <c r="Q1099" s="17"/>
      <c r="R1099" s="17"/>
      <c r="S1099" s="17"/>
      <c r="T1099" s="686"/>
      <c r="U1099" s="18">
        <f>РПЗ!P1099</f>
        <v>42890</v>
      </c>
      <c r="V1099" s="686"/>
      <c r="W1099" s="236">
        <f>РПЗ!L1099</f>
        <v>678500</v>
      </c>
      <c r="X1099" s="689"/>
      <c r="Y1099" s="689"/>
      <c r="Z1099" s="690"/>
      <c r="AA1099" s="691"/>
      <c r="AB1099" s="111"/>
      <c r="AC1099" s="17"/>
      <c r="AD1099" s="690"/>
      <c r="AE1099" s="686"/>
      <c r="AF1099" s="474"/>
      <c r="AG1099" s="692"/>
      <c r="AH1099" s="236" t="str">
        <f>IF(Таблица5[[#This Row],[30]]=0,"НД",Таблица5[[#This Row],[20]]-Таблица5[[#This Row],[30]])</f>
        <v>НД</v>
      </c>
      <c r="AI1099" s="511" t="str">
        <f>IF(((1-Таблица5[[#This Row],[30]]/Таблица5[[#This Row],[20]])=1),"НД",(1-Таблица5[[#This Row],[30]]/Таблица5[[#This Row],[20]]))</f>
        <v>НД</v>
      </c>
      <c r="AJ1099" s="111"/>
      <c r="AK1099" s="111"/>
      <c r="AL1099" s="512"/>
      <c r="AM1099" s="513"/>
      <c r="AN1099" s="465"/>
      <c r="AO1099" s="468" t="str">
        <f>РПЗ!AD1099</f>
        <v>Нет</v>
      </c>
      <c r="AP1099" s="472">
        <f>РПЗ!V1099</f>
        <v>0</v>
      </c>
      <c r="AQ1099" s="470">
        <f>IF(Таблица5[[#This Row],[11]]=0,,MONTH(Таблица5[[#This Row],[11]]))</f>
        <v>6</v>
      </c>
    </row>
    <row r="1100" spans="1:43" ht="39" thickBot="1" x14ac:dyDescent="0.3">
      <c r="A1100" s="233" t="str">
        <f t="shared" si="17"/>
        <v>1004-2017-01085</v>
      </c>
      <c r="B1100" s="233" t="str">
        <f>РПЗ!$D1100</f>
        <v>1004-2017-01085 Поставка триметилгаллия, триметилиндия, триметилалюминия, диэтилцинка</v>
      </c>
      <c r="C1100" s="233" t="str">
        <f>РПЗ!$AA1100</f>
        <v>АО "НИИ "Полюс" им. М.Ф. Стельмаха" тел. отдела закупок 8-495-333-05-02</v>
      </c>
      <c r="D1100" s="633" t="str">
        <f>РПЗ!$AB1100</f>
        <v>Заказчик</v>
      </c>
      <c r="E1100" s="96" t="s">
        <v>46</v>
      </c>
      <c r="F1100" s="233" t="str">
        <f>РПЗ!Q1100</f>
        <v>ЕП</v>
      </c>
      <c r="G1100" s="237"/>
      <c r="H1100" s="237" t="str">
        <f>РПЗ!R1100</f>
        <v>Нет</v>
      </c>
      <c r="I1100" s="15">
        <f>РПЗ!W1100</f>
        <v>0</v>
      </c>
      <c r="J1100" s="233">
        <f>РПЗ!X1100</f>
        <v>0</v>
      </c>
      <c r="K1100" s="283">
        <f>РПЗ!Z1100</f>
        <v>0</v>
      </c>
      <c r="L1100" s="17"/>
      <c r="M1100" s="18">
        <f>РПЗ!O1100</f>
        <v>42890</v>
      </c>
      <c r="N1100" s="238">
        <f>Таблица5[[#This Row],[10]]</f>
        <v>42890</v>
      </c>
      <c r="O1100" s="17"/>
      <c r="P1100" s="17"/>
      <c r="Q1100" s="17"/>
      <c r="R1100" s="17"/>
      <c r="S1100" s="17"/>
      <c r="T1100" s="686"/>
      <c r="U1100" s="18">
        <f>РПЗ!P1100</f>
        <v>42890</v>
      </c>
      <c r="V1100" s="686"/>
      <c r="W1100" s="236">
        <f>РПЗ!L1100</f>
        <v>301800</v>
      </c>
      <c r="X1100" s="689"/>
      <c r="Y1100" s="689"/>
      <c r="Z1100" s="690"/>
      <c r="AA1100" s="691"/>
      <c r="AB1100" s="111"/>
      <c r="AC1100" s="17"/>
      <c r="AD1100" s="690"/>
      <c r="AE1100" s="686"/>
      <c r="AF1100" s="474"/>
      <c r="AG1100" s="692"/>
      <c r="AH1100" s="236" t="str">
        <f>IF(Таблица5[[#This Row],[30]]=0,"НД",Таблица5[[#This Row],[20]]-Таблица5[[#This Row],[30]])</f>
        <v>НД</v>
      </c>
      <c r="AI1100" s="511" t="str">
        <f>IF(((1-Таблица5[[#This Row],[30]]/Таблица5[[#This Row],[20]])=1),"НД",(1-Таблица5[[#This Row],[30]]/Таблица5[[#This Row],[20]]))</f>
        <v>НД</v>
      </c>
      <c r="AJ1100" s="111"/>
      <c r="AK1100" s="111"/>
      <c r="AL1100" s="512"/>
      <c r="AM1100" s="513"/>
      <c r="AN1100" s="465"/>
      <c r="AO1100" s="468" t="str">
        <f>РПЗ!AD1100</f>
        <v>Нет</v>
      </c>
      <c r="AP1100" s="472">
        <f>РПЗ!V1100</f>
        <v>0</v>
      </c>
      <c r="AQ1100" s="470">
        <f>IF(Таблица5[[#This Row],[11]]=0,,MONTH(Таблица5[[#This Row],[11]]))</f>
        <v>6</v>
      </c>
    </row>
    <row r="1101" spans="1:43" ht="38.25" x14ac:dyDescent="0.25">
      <c r="A1101" s="233" t="str">
        <f t="shared" si="17"/>
        <v>1004-2017-01086</v>
      </c>
      <c r="B1101" s="233" t="str">
        <f>РПЗ!$D1101</f>
        <v>1004-2017-01086 Поставка очистителей гидридных газов</v>
      </c>
      <c r="C1101" s="233" t="str">
        <f>РПЗ!$AA1101</f>
        <v>АО "НИИ "Полюс" им. М.Ф. Стельмаха" тел. отдела закупок 8-495-333-05-02</v>
      </c>
      <c r="D1101" s="633" t="str">
        <f>РПЗ!$AB1101</f>
        <v>Заказчик</v>
      </c>
      <c r="E1101" s="96" t="s">
        <v>46</v>
      </c>
      <c r="F1101" s="233" t="str">
        <f>РПЗ!Q1101</f>
        <v>ЕП</v>
      </c>
      <c r="G1101" s="237"/>
      <c r="H1101" s="237" t="str">
        <f>РПЗ!R1101</f>
        <v>Нет</v>
      </c>
      <c r="I1101" s="15">
        <f>РПЗ!W1101</f>
        <v>0</v>
      </c>
      <c r="J1101" s="233">
        <f>РПЗ!X1101</f>
        <v>0</v>
      </c>
      <c r="K1101" s="283">
        <f>РПЗ!Z1101</f>
        <v>0</v>
      </c>
      <c r="L1101" s="17"/>
      <c r="M1101" s="18">
        <f>РПЗ!O1101</f>
        <v>42890</v>
      </c>
      <c r="N1101" s="238">
        <f>Таблица5[[#This Row],[10]]</f>
        <v>42890</v>
      </c>
      <c r="O1101" s="17"/>
      <c r="P1101" s="17"/>
      <c r="Q1101" s="17"/>
      <c r="R1101" s="17"/>
      <c r="S1101" s="17"/>
      <c r="T1101" s="686"/>
      <c r="U1101" s="18">
        <f>РПЗ!P1101</f>
        <v>42890</v>
      </c>
      <c r="V1101" s="686"/>
      <c r="W1101" s="236">
        <f>РПЗ!L1101</f>
        <v>1074995</v>
      </c>
      <c r="X1101" s="689"/>
      <c r="Y1101" s="689"/>
      <c r="Z1101" s="690"/>
      <c r="AA1101" s="691"/>
      <c r="AB1101" s="111"/>
      <c r="AC1101" s="17"/>
      <c r="AD1101" s="690"/>
      <c r="AE1101" s="686"/>
      <c r="AF1101" s="474"/>
      <c r="AG1101" s="692"/>
      <c r="AH1101" s="236" t="str">
        <f>IF(Таблица5[[#This Row],[30]]=0,"НД",Таблица5[[#This Row],[20]]-Таблица5[[#This Row],[30]])</f>
        <v>НД</v>
      </c>
      <c r="AI1101" s="511" t="str">
        <f>IF(((1-Таблица5[[#This Row],[30]]/Таблица5[[#This Row],[20]])=1),"НД",(1-Таблица5[[#This Row],[30]]/Таблица5[[#This Row],[20]]))</f>
        <v>НД</v>
      </c>
      <c r="AJ1101" s="111"/>
      <c r="AK1101" s="111"/>
      <c r="AL1101" s="512"/>
      <c r="AM1101" s="513"/>
      <c r="AN1101" s="465"/>
      <c r="AO1101" s="468" t="str">
        <f>РПЗ!AD1101</f>
        <v>Нет</v>
      </c>
      <c r="AP1101" s="472">
        <f>РПЗ!V1101</f>
        <v>0</v>
      </c>
      <c r="AQ1101" s="470">
        <f>IF(Таблица5[[#This Row],[11]]=0,,MONTH(Таблица5[[#This Row],[11]]))</f>
        <v>6</v>
      </c>
    </row>
    <row r="1102" spans="1:43" ht="38.25" x14ac:dyDescent="0.25">
      <c r="A1102" s="233" t="str">
        <f t="shared" si="17"/>
        <v>1004-2017-01087</v>
      </c>
      <c r="B1102" s="233" t="str">
        <f>РПЗ!$D1102</f>
        <v>1004-2017-01087 Поставка Металлические сплавы</v>
      </c>
      <c r="C1102" s="233" t="str">
        <f>РПЗ!$AA1102</f>
        <v>АО "НИИ "Полюс" им. М.Ф. Стельмаха" тел. отдела закупок 8-495-333-05-02</v>
      </c>
      <c r="D1102" s="633" t="str">
        <f>РПЗ!$AB1102</f>
        <v>Заказчик</v>
      </c>
      <c r="E1102" s="510" t="s">
        <v>62</v>
      </c>
      <c r="F1102" s="233" t="str">
        <f>РПЗ!Q1102</f>
        <v>ОЗК</v>
      </c>
      <c r="G1102" s="237" t="str">
        <f>Таблица5[[#This Row],[6]]</f>
        <v>ОЗК</v>
      </c>
      <c r="H1102" s="237" t="str">
        <f>РПЗ!R1102</f>
        <v>Да</v>
      </c>
      <c r="I1102" s="15">
        <f>РПЗ!W1102</f>
        <v>0</v>
      </c>
      <c r="J1102" s="233">
        <f>РПЗ!X1102</f>
        <v>0</v>
      </c>
      <c r="K1102" s="283">
        <f>РПЗ!Z1102</f>
        <v>0</v>
      </c>
      <c r="L1102" s="17">
        <v>42902</v>
      </c>
      <c r="M1102" s="18">
        <f>РПЗ!O1102</f>
        <v>42887</v>
      </c>
      <c r="N1102" s="238">
        <f>Таблица5[[#This Row],[10]]</f>
        <v>42887</v>
      </c>
      <c r="O1102" s="17">
        <v>42908</v>
      </c>
      <c r="P1102" s="17">
        <v>42913</v>
      </c>
      <c r="Q1102" s="17">
        <v>42913</v>
      </c>
      <c r="R1102" s="17">
        <v>42909</v>
      </c>
      <c r="S1102" s="17">
        <v>42909</v>
      </c>
      <c r="T1102" s="686">
        <v>42934</v>
      </c>
      <c r="U1102" s="18">
        <f>РПЗ!P1102</f>
        <v>42917</v>
      </c>
      <c r="V1102" s="686">
        <v>43070</v>
      </c>
      <c r="W1102" s="236">
        <f>РПЗ!L1102</f>
        <v>1845822.24</v>
      </c>
      <c r="X1102" s="689">
        <v>1</v>
      </c>
      <c r="Y1102" s="689">
        <v>0</v>
      </c>
      <c r="Z1102" s="691">
        <v>7718865300</v>
      </c>
      <c r="AA1102" s="691" t="s">
        <v>6628</v>
      </c>
      <c r="AB1102" s="111">
        <v>1748415.9</v>
      </c>
      <c r="AC1102" s="17">
        <v>43070</v>
      </c>
      <c r="AD1102" s="690" t="s">
        <v>6629</v>
      </c>
      <c r="AE1102" s="686">
        <v>42934</v>
      </c>
      <c r="AF1102" s="474"/>
      <c r="AG1102" s="692">
        <v>1748415.9</v>
      </c>
      <c r="AH1102" s="236">
        <f>IF(Таблица5[[#This Row],[30]]=0,"НД",Таблица5[[#This Row],[20]]-Таблица5[[#This Row],[30]])</f>
        <v>97406.340000000084</v>
      </c>
      <c r="AI1102" s="511">
        <f>IF(((1-Таблица5[[#This Row],[30]]/Таблица5[[#This Row],[20]])=1),"НД",(1-Таблица5[[#This Row],[30]]/Таблица5[[#This Row],[20]]))</f>
        <v>5.277124627125529E-2</v>
      </c>
      <c r="AJ1102" s="111">
        <v>1748415.9</v>
      </c>
      <c r="AK1102" s="111"/>
      <c r="AL1102" s="512"/>
      <c r="AM1102" s="513" t="s">
        <v>113</v>
      </c>
      <c r="AN1102" s="801">
        <v>31705228882</v>
      </c>
      <c r="AO1102" s="468" t="str">
        <f>РПЗ!AD1102</f>
        <v>Нет</v>
      </c>
      <c r="AP1102" s="472">
        <f>РПЗ!V1102</f>
        <v>0</v>
      </c>
      <c r="AQ1102" s="470">
        <f>IF(Таблица5[[#This Row],[11]]=0,,MONTH(Таблица5[[#This Row],[11]]))</f>
        <v>6</v>
      </c>
    </row>
    <row r="1103" spans="1:43" ht="38.25" x14ac:dyDescent="0.25">
      <c r="A1103" s="233" t="str">
        <f t="shared" si="17"/>
        <v>1004-2017-01088</v>
      </c>
      <c r="B1103" s="233" t="str">
        <f>РПЗ!$D1103</f>
        <v>1004-2017-01088 Поставка Металлические сплавы</v>
      </c>
      <c r="C1103" s="233" t="str">
        <f>РПЗ!$AA1103</f>
        <v>АО "НИИ "Полюс" им. М.Ф. Стельмаха" тел. отдела закупок 8-495-333-05-02</v>
      </c>
      <c r="D1103" s="633" t="str">
        <f>РПЗ!$AB1103</f>
        <v>Заказчик</v>
      </c>
      <c r="E1103" s="510" t="s">
        <v>62</v>
      </c>
      <c r="F1103" s="233" t="str">
        <f>РПЗ!Q1103</f>
        <v>ОЗК</v>
      </c>
      <c r="G1103" s="237" t="str">
        <f>Таблица5[[#This Row],[6]]</f>
        <v>ОЗК</v>
      </c>
      <c r="H1103" s="237" t="str">
        <f>РПЗ!R1103</f>
        <v>Да</v>
      </c>
      <c r="I1103" s="15">
        <f>РПЗ!W1103</f>
        <v>0</v>
      </c>
      <c r="J1103" s="233">
        <f>РПЗ!X1103</f>
        <v>0</v>
      </c>
      <c r="K1103" s="283">
        <f>РПЗ!Z1103</f>
        <v>0</v>
      </c>
      <c r="L1103" s="17">
        <v>42902</v>
      </c>
      <c r="M1103" s="18">
        <f>РПЗ!O1103</f>
        <v>42887</v>
      </c>
      <c r="N1103" s="238">
        <f>Таблица5[[#This Row],[10]]</f>
        <v>42887</v>
      </c>
      <c r="O1103" s="17">
        <v>42908</v>
      </c>
      <c r="P1103" s="17">
        <v>42913</v>
      </c>
      <c r="Q1103" s="17">
        <v>42913</v>
      </c>
      <c r="R1103" s="17">
        <v>42909</v>
      </c>
      <c r="S1103" s="17">
        <v>42909</v>
      </c>
      <c r="T1103" s="686">
        <v>42934</v>
      </c>
      <c r="U1103" s="18">
        <f>РПЗ!P1103</f>
        <v>42917</v>
      </c>
      <c r="V1103" s="686">
        <v>43070</v>
      </c>
      <c r="W1103" s="236">
        <f>РПЗ!L1103</f>
        <v>1004623.73</v>
      </c>
      <c r="X1103" s="689">
        <v>1</v>
      </c>
      <c r="Y1103" s="689">
        <v>0</v>
      </c>
      <c r="Z1103" s="691">
        <v>7718865300</v>
      </c>
      <c r="AA1103" s="691" t="s">
        <v>6628</v>
      </c>
      <c r="AB1103" s="111">
        <v>796571.47</v>
      </c>
      <c r="AC1103" s="17">
        <v>43070</v>
      </c>
      <c r="AD1103" s="690" t="s">
        <v>6630</v>
      </c>
      <c r="AE1103" s="686">
        <v>42934</v>
      </c>
      <c r="AF1103" s="474"/>
      <c r="AG1103" s="692">
        <v>796571.47</v>
      </c>
      <c r="AH1103" s="236">
        <f>IF(Таблица5[[#This Row],[30]]=0,"НД",Таблица5[[#This Row],[20]]-Таблица5[[#This Row],[30]])</f>
        <v>208052.26</v>
      </c>
      <c r="AI1103" s="511">
        <f>IF(((1-Таблица5[[#This Row],[30]]/Таблица5[[#This Row],[20]])=1),"НД",(1-Таблица5[[#This Row],[30]]/Таблица5[[#This Row],[20]]))</f>
        <v>0.2070947099766397</v>
      </c>
      <c r="AJ1103" s="111">
        <v>796571.47</v>
      </c>
      <c r="AK1103" s="111"/>
      <c r="AL1103" s="512"/>
      <c r="AM1103" s="513" t="s">
        <v>113</v>
      </c>
      <c r="AN1103" s="801">
        <v>31705228820</v>
      </c>
      <c r="AO1103" s="468" t="str">
        <f>РПЗ!AD1103</f>
        <v>Нет</v>
      </c>
      <c r="AP1103" s="472">
        <f>РПЗ!V1103</f>
        <v>0</v>
      </c>
      <c r="AQ1103" s="470">
        <f>IF(Таблица5[[#This Row],[11]]=0,,MONTH(Таблица5[[#This Row],[11]]))</f>
        <v>6</v>
      </c>
    </row>
    <row r="1104" spans="1:43" ht="38.25" x14ac:dyDescent="0.25">
      <c r="A1104" s="233" t="str">
        <f t="shared" si="17"/>
        <v>1004-2017-01089</v>
      </c>
      <c r="B1104" s="233" t="str">
        <f>РПЗ!$D1104</f>
        <v>1004-2017-01089 Поставка Материалы для монтажа кондиционеров – 1 комплект</v>
      </c>
      <c r="C1104" s="233" t="str">
        <f>РПЗ!$AA1104</f>
        <v>АО "НИИ "Полюс" им. М.Ф. Стельмаха" тел. отдела закупок 8-495-333-05-02</v>
      </c>
      <c r="D1104" s="633" t="str">
        <f>РПЗ!$AB1104</f>
        <v>Заказчик</v>
      </c>
      <c r="E1104" s="510" t="s">
        <v>62</v>
      </c>
      <c r="F1104" s="233" t="str">
        <f>РПЗ!Q1104</f>
        <v>ОЗК</v>
      </c>
      <c r="G1104" s="237" t="str">
        <f>Таблица5[[#This Row],[6]]</f>
        <v>ОЗК</v>
      </c>
      <c r="H1104" s="237" t="str">
        <f>РПЗ!R1104</f>
        <v>Да</v>
      </c>
      <c r="I1104" s="15">
        <f>РПЗ!W1104</f>
        <v>0</v>
      </c>
      <c r="J1104" s="233">
        <f>РПЗ!X1104</f>
        <v>0</v>
      </c>
      <c r="K1104" s="283">
        <f>РПЗ!Z1104</f>
        <v>0</v>
      </c>
      <c r="L1104" s="17">
        <v>42923</v>
      </c>
      <c r="M1104" s="18">
        <f>РПЗ!O1104</f>
        <v>42917</v>
      </c>
      <c r="N1104" s="238">
        <f>Таблица5[[#This Row],[10]]</f>
        <v>42917</v>
      </c>
      <c r="O1104" s="17">
        <v>42929</v>
      </c>
      <c r="P1104" s="17">
        <v>42934</v>
      </c>
      <c r="Q1104" s="17">
        <v>42934</v>
      </c>
      <c r="R1104" s="17">
        <v>42930</v>
      </c>
      <c r="S1104" s="17">
        <v>42930</v>
      </c>
      <c r="T1104" s="686">
        <v>42948</v>
      </c>
      <c r="U1104" s="18">
        <f>РПЗ!P1104</f>
        <v>42979</v>
      </c>
      <c r="V1104" s="686">
        <v>43070</v>
      </c>
      <c r="W1104" s="236">
        <f>РПЗ!L1104</f>
        <v>438622.54</v>
      </c>
      <c r="X1104" s="689">
        <v>1</v>
      </c>
      <c r="Y1104" s="689">
        <v>0</v>
      </c>
      <c r="Z1104" s="691">
        <v>7705579703</v>
      </c>
      <c r="AA1104" s="691" t="s">
        <v>3287</v>
      </c>
      <c r="AB1104" s="111">
        <v>438621.85</v>
      </c>
      <c r="AC1104" s="17">
        <v>43070</v>
      </c>
      <c r="AD1104" s="690" t="s">
        <v>6817</v>
      </c>
      <c r="AE1104" s="686">
        <v>42948</v>
      </c>
      <c r="AF1104" s="474"/>
      <c r="AG1104" s="692">
        <v>438621.85</v>
      </c>
      <c r="AH1104" s="236">
        <f>IF(Таблица5[[#This Row],[30]]=0,"НД",Таблица5[[#This Row],[20]]-Таблица5[[#This Row],[30]])</f>
        <v>0.69000000000232831</v>
      </c>
      <c r="AI1104" s="511">
        <f>IF(((1-Таблица5[[#This Row],[30]]/Таблица5[[#This Row],[20]])=1),"НД",(1-Таблица5[[#This Row],[30]]/Таблица5[[#This Row],[20]]))</f>
        <v>1.5731065713397996E-6</v>
      </c>
      <c r="AJ1104" s="111">
        <v>438621.85</v>
      </c>
      <c r="AK1104" s="111"/>
      <c r="AL1104" s="512"/>
      <c r="AM1104" s="513" t="s">
        <v>113</v>
      </c>
      <c r="AN1104" s="801">
        <v>31705303571</v>
      </c>
      <c r="AO1104" s="468" t="str">
        <f>РПЗ!AD1104</f>
        <v>Нет</v>
      </c>
      <c r="AP1104" s="472">
        <f>РПЗ!V1104</f>
        <v>0</v>
      </c>
      <c r="AQ1104" s="470">
        <f>IF(Таблица5[[#This Row],[11]]=0,,MONTH(Таблица5[[#This Row],[11]]))</f>
        <v>7</v>
      </c>
    </row>
    <row r="1105" spans="1:43" ht="39" thickBot="1" x14ac:dyDescent="0.3">
      <c r="A1105" s="233" t="str">
        <f t="shared" si="17"/>
        <v>1004-2017-01090</v>
      </c>
      <c r="B1105" s="959" t="str">
        <f>РПЗ!$D1105</f>
        <v>1004-2017-01090 Поставка Упаковка ЖГДК.305647.005</v>
      </c>
      <c r="C1105" s="233" t="str">
        <f>РПЗ!$AA1105</f>
        <v>АО "НИИ "Полюс" им. М.Ф. Стельмаха" тел. отдела закупок 8-495-333-05-02</v>
      </c>
      <c r="D1105" s="633" t="str">
        <f>РПЗ!$AB1193</f>
        <v>Заказчик</v>
      </c>
      <c r="E1105" s="510" t="s">
        <v>62</v>
      </c>
      <c r="F1105" s="233" t="str">
        <f>РПЗ!Q1105</f>
        <v>ЕП</v>
      </c>
      <c r="G1105" s="237" t="str">
        <f>Таблица5[[#This Row],[6]]</f>
        <v>ЕП</v>
      </c>
      <c r="H1105" s="237" t="str">
        <f>РПЗ!R1105</f>
        <v>Нет</v>
      </c>
      <c r="I1105" s="15" t="str">
        <f>РПЗ!W1105</f>
        <v>6.6.2(11)</v>
      </c>
      <c r="J1105" s="233" t="str">
        <f>РПЗ!X1105</f>
        <v>5074051432</v>
      </c>
      <c r="K1105" s="283">
        <f>РПЗ!Z1105</f>
        <v>135925.13</v>
      </c>
      <c r="L1105" s="17">
        <v>42914</v>
      </c>
      <c r="M1105" s="18">
        <f>РПЗ!O1105</f>
        <v>42887</v>
      </c>
      <c r="N1105" s="238">
        <f>Таблица5[[#This Row],[10]]</f>
        <v>42887</v>
      </c>
      <c r="O1105" s="17"/>
      <c r="P1105" s="17"/>
      <c r="Q1105" s="17"/>
      <c r="R1105" s="17"/>
      <c r="S1105" s="17"/>
      <c r="T1105" s="686">
        <v>42928</v>
      </c>
      <c r="U1105" s="18">
        <f>РПЗ!P1105</f>
        <v>43100</v>
      </c>
      <c r="V1105" s="686">
        <v>42948</v>
      </c>
      <c r="W1105" s="236">
        <f>РПЗ!L1105</f>
        <v>135925.13</v>
      </c>
      <c r="X1105" s="689">
        <v>1</v>
      </c>
      <c r="Y1105" s="689">
        <v>0</v>
      </c>
      <c r="Z1105" s="691">
        <v>5074051432</v>
      </c>
      <c r="AA1105" s="691" t="s">
        <v>5094</v>
      </c>
      <c r="AB1105" s="111">
        <v>135925.13</v>
      </c>
      <c r="AC1105" s="17">
        <v>42948</v>
      </c>
      <c r="AD1105" s="690" t="s">
        <v>6446</v>
      </c>
      <c r="AE1105" s="686">
        <v>42928</v>
      </c>
      <c r="AF1105" s="474"/>
      <c r="AG1105" s="692">
        <v>135925.13</v>
      </c>
      <c r="AH1105" s="236">
        <f>IF(Таблица5[[#This Row],[30]]=0,"НД",Таблица5[[#This Row],[20]]-Таблица5[[#This Row],[30]])</f>
        <v>0</v>
      </c>
      <c r="AI1105" s="511">
        <f>IF(((1-Таблица5[[#This Row],[30]]/Таблица5[[#This Row],[20]])=1),"НД",(1-Таблица5[[#This Row],[30]]/Таблица5[[#This Row],[20]]))</f>
        <v>0</v>
      </c>
      <c r="AJ1105" s="111"/>
      <c r="AK1105" s="111"/>
      <c r="AL1105" s="512"/>
      <c r="AM1105" s="513" t="s">
        <v>113</v>
      </c>
      <c r="AN1105" s="801">
        <v>31705274321</v>
      </c>
      <c r="AO1105" s="468" t="str">
        <f>РПЗ!AD1105</f>
        <v>Нет</v>
      </c>
      <c r="AP1105" s="472" t="str">
        <f>РПЗ!V1105</f>
        <v>ГОЗ</v>
      </c>
      <c r="AQ1105" s="470">
        <f>IF(Таблица5[[#This Row],[11]]=0,,MONTH(Таблица5[[#This Row],[11]]))</f>
        <v>6</v>
      </c>
    </row>
    <row r="1106" spans="1:43" ht="38.25" x14ac:dyDescent="0.25">
      <c r="A1106" s="233" t="str">
        <f t="shared" si="17"/>
        <v>1004-2017-01091</v>
      </c>
      <c r="B1106" s="959" t="str">
        <f>РПЗ!$D1106</f>
        <v>1004-2017-01091Поставка  Транзисторы 2Т3129А9, 2Т3130А9</v>
      </c>
      <c r="C1106" s="233" t="str">
        <f>РПЗ!$AA1194</f>
        <v>АО "НИИ "Полюс" им. М.Ф. Стельмаха" тел. отдела закупок 8-495-333-05-02</v>
      </c>
      <c r="D1106" s="633" t="str">
        <f>РПЗ!$AB1194</f>
        <v>Заказчик</v>
      </c>
      <c r="E1106" s="96" t="s">
        <v>46</v>
      </c>
      <c r="F1106" s="233" t="str">
        <f>РПЗ!Q1106</f>
        <v>ЕП</v>
      </c>
      <c r="G1106" s="237"/>
      <c r="H1106" s="237" t="str">
        <f>РПЗ!R1106</f>
        <v>Нет</v>
      </c>
      <c r="I1106" s="15">
        <f>РПЗ!W1106</f>
        <v>0</v>
      </c>
      <c r="J1106" s="233">
        <f>РПЗ!X1106</f>
        <v>0</v>
      </c>
      <c r="K1106" s="283">
        <f>РПЗ!Z1106</f>
        <v>0</v>
      </c>
      <c r="L1106" s="17"/>
      <c r="M1106" s="18">
        <f>РПЗ!O1194</f>
        <v>42948</v>
      </c>
      <c r="N1106" s="238">
        <f>Таблица5[[#This Row],[10]]</f>
        <v>42948</v>
      </c>
      <c r="O1106" s="17"/>
      <c r="P1106" s="17"/>
      <c r="Q1106" s="17"/>
      <c r="R1106" s="17"/>
      <c r="S1106" s="17"/>
      <c r="T1106" s="686"/>
      <c r="U1106" s="18">
        <f>РПЗ!P1194</f>
        <v>43160</v>
      </c>
      <c r="V1106" s="686"/>
      <c r="W1106" s="236">
        <f>РПЗ!L1194</f>
        <v>5101858</v>
      </c>
      <c r="X1106" s="689"/>
      <c r="Y1106" s="689"/>
      <c r="Z1106" s="690"/>
      <c r="AA1106" s="691"/>
      <c r="AB1106" s="111"/>
      <c r="AC1106" s="17"/>
      <c r="AD1106" s="690"/>
      <c r="AE1106" s="686"/>
      <c r="AF1106" s="474"/>
      <c r="AG1106" s="692"/>
      <c r="AH1106" s="236" t="str">
        <f>IF(Таблица5[[#This Row],[30]]=0,"НД",Таблица5[[#This Row],[20]]-Таблица5[[#This Row],[30]])</f>
        <v>НД</v>
      </c>
      <c r="AI1106" s="511" t="str">
        <f>IF(((1-Таблица5[[#This Row],[30]]/Таблица5[[#This Row],[20]])=1),"НД",(1-Таблица5[[#This Row],[30]]/Таблица5[[#This Row],[20]]))</f>
        <v>НД</v>
      </c>
      <c r="AJ1106" s="111"/>
      <c r="AK1106" s="111"/>
      <c r="AL1106" s="512"/>
      <c r="AM1106" s="513"/>
      <c r="AN1106" s="465"/>
      <c r="AO1106" s="468" t="str">
        <f>РПЗ!AD1194</f>
        <v>Нет</v>
      </c>
      <c r="AP1106" s="472">
        <f>РПЗ!V1194</f>
        <v>0</v>
      </c>
      <c r="AQ1106" s="470">
        <f>IF(Таблица5[[#This Row],[11]]=0,,MONTH(Таблица5[[#This Row],[11]]))</f>
        <v>8</v>
      </c>
    </row>
    <row r="1107" spans="1:43" ht="38.25" x14ac:dyDescent="0.25">
      <c r="A1107" s="233" t="str">
        <f t="shared" si="17"/>
        <v>1004-2017-01092</v>
      </c>
      <c r="B1107" s="959" t="str">
        <f>РПЗ!$D1107</f>
        <v>1004-2017-01092Поставка  Пластина чертеж ЖГДК.755471.042</v>
      </c>
      <c r="C1107" s="233" t="str">
        <f>РПЗ!$AA1195</f>
        <v>АО "НИИ "Полюс" им. М.Ф. Стельмаха" тел. отдела закупок 8-495-333-05-02</v>
      </c>
      <c r="D1107" s="633" t="str">
        <f>РПЗ!$AB1195</f>
        <v>Заказчик</v>
      </c>
      <c r="E1107" s="510" t="s">
        <v>62</v>
      </c>
      <c r="F1107" s="233" t="str">
        <f>РПЗ!Q1107</f>
        <v>ЕП</v>
      </c>
      <c r="G1107" s="237" t="str">
        <f>Таблица5[[#This Row],[6]]</f>
        <v>ЕП</v>
      </c>
      <c r="H1107" s="237" t="str">
        <f>РПЗ!R1107</f>
        <v>Нет</v>
      </c>
      <c r="I1107" s="15" t="str">
        <f>РПЗ!W1107</f>
        <v>6.6.2(11)</v>
      </c>
      <c r="J1107" s="233" t="str">
        <f>РПЗ!X1107</f>
        <v>7735010706</v>
      </c>
      <c r="K1107" s="283">
        <f>РПЗ!Z1107</f>
        <v>0</v>
      </c>
      <c r="L1107" s="17">
        <v>42926</v>
      </c>
      <c r="M1107" s="18">
        <f>РПЗ!O1107</f>
        <v>42949</v>
      </c>
      <c r="N1107" s="238">
        <f>Таблица5[[#This Row],[10]]</f>
        <v>42949</v>
      </c>
      <c r="O1107" s="17"/>
      <c r="P1107" s="17"/>
      <c r="Q1107" s="17"/>
      <c r="R1107" s="17"/>
      <c r="S1107" s="17"/>
      <c r="T1107" s="686">
        <v>42940</v>
      </c>
      <c r="U1107" s="18">
        <f>РПЗ!P1107</f>
        <v>43100</v>
      </c>
      <c r="V1107" s="686">
        <v>43070</v>
      </c>
      <c r="W1107" s="236">
        <f>РПЗ!L1107</f>
        <v>137145.5</v>
      </c>
      <c r="X1107" s="689">
        <v>1</v>
      </c>
      <c r="Y1107" s="689">
        <v>0</v>
      </c>
      <c r="Z1107" s="691">
        <v>7735010706</v>
      </c>
      <c r="AA1107" s="691" t="s">
        <v>6436</v>
      </c>
      <c r="AB1107" s="111">
        <v>137145.5</v>
      </c>
      <c r="AC1107" s="17">
        <v>43070</v>
      </c>
      <c r="AD1107" s="690" t="s">
        <v>120</v>
      </c>
      <c r="AE1107" s="686">
        <v>42940</v>
      </c>
      <c r="AF1107" s="474"/>
      <c r="AG1107" s="692">
        <v>137145.5</v>
      </c>
      <c r="AH1107" s="236">
        <f>IF(Таблица5[[#This Row],[30]]=0,"НД",Таблица5[[#This Row],[20]]-Таблица5[[#This Row],[30]])</f>
        <v>0</v>
      </c>
      <c r="AI1107" s="511">
        <f>IF(((1-Таблица5[[#This Row],[30]]/Таблица5[[#This Row],[20]])=1),"НД",(1-Таблица5[[#This Row],[30]]/Таблица5[[#This Row],[20]]))</f>
        <v>0</v>
      </c>
      <c r="AJ1107" s="111"/>
      <c r="AK1107" s="111"/>
      <c r="AL1107" s="512"/>
      <c r="AM1107" s="513" t="s">
        <v>113</v>
      </c>
      <c r="AN1107" s="801">
        <v>31705339993</v>
      </c>
      <c r="AO1107" s="468" t="str">
        <f>РПЗ!AD1195</f>
        <v>Нет</v>
      </c>
      <c r="AP1107" s="472" t="str">
        <f>РПЗ!V1195</f>
        <v>ГОЗ</v>
      </c>
      <c r="AQ1107" s="470">
        <f>IF(Таблица5[[#This Row],[11]]=0,,MONTH(Таблица5[[#This Row],[11]]))</f>
        <v>8</v>
      </c>
    </row>
    <row r="1108" spans="1:43" ht="38.25" x14ac:dyDescent="0.25">
      <c r="A1108" s="233" t="str">
        <f t="shared" si="17"/>
        <v>1004-2017-01093</v>
      </c>
      <c r="B1108" s="959" t="str">
        <f>РПЗ!$D1108</f>
        <v>1004-2017-01093 Поставка Микросхема Б1407УДЗ-1 бКО.347.377 ТУ</v>
      </c>
      <c r="C1108" s="233" t="str">
        <f>РПЗ!$AA1196</f>
        <v>АО "НИИ "Полюс" им. М.Ф. Стельмаха" тел. отдела закупок 8-495-333-05-02</v>
      </c>
      <c r="D1108" s="633" t="str">
        <f>РПЗ!$AB1196</f>
        <v>Заказчик</v>
      </c>
      <c r="E1108" s="510" t="s">
        <v>62</v>
      </c>
      <c r="F1108" s="233" t="str">
        <f>РПЗ!Q1108</f>
        <v>ЕП</v>
      </c>
      <c r="G1108" s="237" t="str">
        <f>Таблица5[[#This Row],[6]]</f>
        <v>ЕП</v>
      </c>
      <c r="H1108" s="237" t="str">
        <f>РПЗ!R1108</f>
        <v>Нет</v>
      </c>
      <c r="I1108" s="15" t="str">
        <f>РПЗ!W1108</f>
        <v>6.6.2(11)</v>
      </c>
      <c r="J1108" s="233" t="str">
        <f>РПЗ!X1108</f>
        <v>7719565965</v>
      </c>
      <c r="K1108" s="283">
        <f>РПЗ!Z1108</f>
        <v>832608</v>
      </c>
      <c r="L1108" s="17">
        <v>42913</v>
      </c>
      <c r="M1108" s="18">
        <f>РПЗ!O1108</f>
        <v>42949</v>
      </c>
      <c r="N1108" s="238">
        <f>Таблица5[[#This Row],[10]]</f>
        <v>42949</v>
      </c>
      <c r="O1108" s="17"/>
      <c r="P1108" s="17"/>
      <c r="Q1108" s="17"/>
      <c r="R1108" s="17"/>
      <c r="S1108" s="17"/>
      <c r="T1108" s="686">
        <v>42961</v>
      </c>
      <c r="U1108" s="18">
        <f>РПЗ!P1196</f>
        <v>42979</v>
      </c>
      <c r="V1108" s="686">
        <v>42979</v>
      </c>
      <c r="W1108" s="236">
        <f>РПЗ!L1108</f>
        <v>832608</v>
      </c>
      <c r="X1108" s="689">
        <v>1</v>
      </c>
      <c r="Y1108" s="689">
        <v>0</v>
      </c>
      <c r="Z1108" s="691">
        <v>7719565965</v>
      </c>
      <c r="AA1108" s="691" t="s">
        <v>6406</v>
      </c>
      <c r="AB1108" s="111">
        <v>832608</v>
      </c>
      <c r="AC1108" s="17">
        <v>42979</v>
      </c>
      <c r="AD1108" s="690" t="s">
        <v>119</v>
      </c>
      <c r="AE1108" s="686">
        <v>42961</v>
      </c>
      <c r="AF1108" s="474"/>
      <c r="AG1108" s="692">
        <v>832608</v>
      </c>
      <c r="AH1108" s="236">
        <f>IF(Таблица5[[#This Row],[30]]=0,"НД",Таблица5[[#This Row],[20]]-Таблица5[[#This Row],[30]])</f>
        <v>0</v>
      </c>
      <c r="AI1108" s="511">
        <f>IF(((1-Таблица5[[#This Row],[30]]/Таблица5[[#This Row],[20]])=1),"НД",(1-Таблица5[[#This Row],[30]]/Таблица5[[#This Row],[20]]))</f>
        <v>0</v>
      </c>
      <c r="AJ1108" s="111">
        <v>832608</v>
      </c>
      <c r="AK1108" s="111"/>
      <c r="AL1108" s="512"/>
      <c r="AM1108" s="513" t="s">
        <v>113</v>
      </c>
      <c r="AN1108" s="801">
        <v>31705407479</v>
      </c>
      <c r="AO1108" s="468" t="str">
        <f>РПЗ!AD1108</f>
        <v>Нет</v>
      </c>
      <c r="AP1108" s="472" t="str">
        <f>РПЗ!V1108</f>
        <v>ГОЗ</v>
      </c>
      <c r="AQ1108" s="470">
        <f>IF(Таблица5[[#This Row],[11]]=0,,MONTH(Таблица5[[#This Row],[11]]))</f>
        <v>8</v>
      </c>
    </row>
    <row r="1109" spans="1:43" ht="38.25" x14ac:dyDescent="0.25">
      <c r="A1109" s="233" t="str">
        <f t="shared" si="17"/>
        <v>1004-2017-01094</v>
      </c>
      <c r="B1109" s="959" t="str">
        <f>РПЗ!$D1109</f>
        <v>1004-2017-01094 Поставка Резисторов Р1-12</v>
      </c>
      <c r="C1109" s="233" t="str">
        <f>РПЗ!$AA1197</f>
        <v>АО "НИИ "Полюс" им. М.Ф. Стельмаха" тел. отдела закупок 8-495-333-05-02</v>
      </c>
      <c r="D1109" s="633" t="str">
        <f>РПЗ!$AB1197</f>
        <v>Заказчик</v>
      </c>
      <c r="E1109" s="510" t="s">
        <v>62</v>
      </c>
      <c r="F1109" s="233" t="str">
        <f>РПЗ!Q1109</f>
        <v>ЕП</v>
      </c>
      <c r="G1109" s="237" t="str">
        <f>Таблица5[[#This Row],[6]]</f>
        <v>ЕП</v>
      </c>
      <c r="H1109" s="237" t="str">
        <f>РПЗ!R1109</f>
        <v>Нет</v>
      </c>
      <c r="I1109" s="15" t="str">
        <f>РПЗ!W1109</f>
        <v>6.6.2(11)</v>
      </c>
      <c r="J1109" s="233" t="str">
        <f>РПЗ!X1109</f>
        <v>7112000210</v>
      </c>
      <c r="K1109" s="283">
        <f>РПЗ!Z1109</f>
        <v>235402.92</v>
      </c>
      <c r="L1109" s="17">
        <v>42982</v>
      </c>
      <c r="M1109" s="18">
        <f>РПЗ!O1109</f>
        <v>43009</v>
      </c>
      <c r="N1109" s="238">
        <f>Таблица5[[#This Row],[10]]</f>
        <v>43009</v>
      </c>
      <c r="O1109" s="17"/>
      <c r="P1109" s="17"/>
      <c r="Q1109" s="17"/>
      <c r="R1109" s="17"/>
      <c r="S1109" s="17"/>
      <c r="T1109" s="686">
        <v>43025</v>
      </c>
      <c r="U1109" s="18">
        <f>РПЗ!P1197</f>
        <v>42979</v>
      </c>
      <c r="V1109" s="686">
        <v>43039</v>
      </c>
      <c r="W1109" s="236">
        <f>РПЗ!L1109</f>
        <v>235402.92</v>
      </c>
      <c r="X1109" s="689">
        <v>1</v>
      </c>
      <c r="Y1109" s="689">
        <v>0</v>
      </c>
      <c r="Z1109" s="691">
        <v>7112000210</v>
      </c>
      <c r="AA1109" s="691" t="s">
        <v>2367</v>
      </c>
      <c r="AB1109" s="111">
        <v>235402.92</v>
      </c>
      <c r="AC1109" s="17">
        <v>43039</v>
      </c>
      <c r="AD1109" s="690" t="s">
        <v>7214</v>
      </c>
      <c r="AE1109" s="686">
        <v>43025</v>
      </c>
      <c r="AF1109" s="474"/>
      <c r="AG1109" s="692">
        <v>235402.92</v>
      </c>
      <c r="AH1109" s="236">
        <f>IF(Таблица5[[#This Row],[30]]=0,"НД",Таблица5[[#This Row],[20]]-Таблица5[[#This Row],[30]])</f>
        <v>0</v>
      </c>
      <c r="AI1109" s="511">
        <f>IF(((1-Таблица5[[#This Row],[30]]/Таблица5[[#This Row],[20]])=1),"НД",(1-Таблица5[[#This Row],[30]]/Таблица5[[#This Row],[20]]))</f>
        <v>0</v>
      </c>
      <c r="AJ1109" s="111"/>
      <c r="AK1109" s="111"/>
      <c r="AL1109" s="512"/>
      <c r="AM1109" s="513" t="s">
        <v>113</v>
      </c>
      <c r="AN1109" s="801">
        <v>31705491439</v>
      </c>
      <c r="AO1109" s="468" t="str">
        <f>РПЗ!AD1109</f>
        <v>Нет</v>
      </c>
      <c r="AP1109" s="472" t="str">
        <f>РПЗ!V1109</f>
        <v>ГОЗ</v>
      </c>
      <c r="AQ1109" s="470">
        <f>IF(Таблица5[[#This Row],[11]]=0,,MONTH(Таблица5[[#This Row],[11]]))</f>
        <v>10</v>
      </c>
    </row>
    <row r="1110" spans="1:43" ht="51.75" thickBot="1" x14ac:dyDescent="0.3">
      <c r="A1110" s="233" t="str">
        <f t="shared" si="17"/>
        <v>1004-2017-01095</v>
      </c>
      <c r="B1110" s="959" t="str">
        <f>РПЗ!$D1110</f>
        <v>1004-2017-01095 Поставка комплектующих для вычислительной техники, мониторов и оргтехники</v>
      </c>
      <c r="C1110" s="233" t="str">
        <f>РПЗ!$AA1198</f>
        <v>АО "НИИ "Полюс" им. М.Ф. Стельмаха" тел. отдела закупок 8-495-333-05-02</v>
      </c>
      <c r="D1110" s="633" t="str">
        <f>РПЗ!$AB1198</f>
        <v>Заказчик</v>
      </c>
      <c r="E1110" s="510" t="s">
        <v>62</v>
      </c>
      <c r="F1110" s="233" t="str">
        <f>РПЗ!Q1110</f>
        <v>ОЗК</v>
      </c>
      <c r="G1110" s="237" t="str">
        <f>Таблица5[[#This Row],[6]]</f>
        <v>ОЗК</v>
      </c>
      <c r="H1110" s="237" t="str">
        <f>РПЗ!R1110</f>
        <v>Да</v>
      </c>
      <c r="I1110" s="15">
        <f>РПЗ!W1110</f>
        <v>0</v>
      </c>
      <c r="J1110" s="233">
        <f>РПЗ!X1110</f>
        <v>0</v>
      </c>
      <c r="K1110" s="283">
        <f>РПЗ!Z1110</f>
        <v>0</v>
      </c>
      <c r="L1110" s="17">
        <v>42936</v>
      </c>
      <c r="M1110" s="18">
        <f>РПЗ!O1110</f>
        <v>42917</v>
      </c>
      <c r="N1110" s="238">
        <f>Таблица5[[#This Row],[10]]</f>
        <v>42917</v>
      </c>
      <c r="O1110" s="17">
        <v>42942</v>
      </c>
      <c r="P1110" s="17">
        <v>42947</v>
      </c>
      <c r="Q1110" s="17">
        <v>42947</v>
      </c>
      <c r="R1110" s="17">
        <v>42944</v>
      </c>
      <c r="S1110" s="17">
        <v>42944</v>
      </c>
      <c r="T1110" s="686">
        <v>42957</v>
      </c>
      <c r="U1110" s="18">
        <f>РПЗ!P1110</f>
        <v>42979</v>
      </c>
      <c r="V1110" s="686">
        <v>42979</v>
      </c>
      <c r="W1110" s="236">
        <f>РПЗ!L1110</f>
        <v>1135711.45</v>
      </c>
      <c r="X1110" s="689">
        <v>7</v>
      </c>
      <c r="Y1110" s="689">
        <v>0</v>
      </c>
      <c r="Z1110" s="691">
        <v>7722781081</v>
      </c>
      <c r="AA1110" s="691" t="s">
        <v>6791</v>
      </c>
      <c r="AB1110" s="111">
        <v>1045577.94</v>
      </c>
      <c r="AC1110" s="17">
        <v>42979</v>
      </c>
      <c r="AD1110" s="690" t="s">
        <v>6792</v>
      </c>
      <c r="AE1110" s="686">
        <v>42957</v>
      </c>
      <c r="AF1110" s="474"/>
      <c r="AG1110" s="692">
        <v>1045577.94</v>
      </c>
      <c r="AH1110" s="236">
        <f>IF(Таблица5[[#This Row],[30]]=0,"НД",Таблица5[[#This Row],[20]]-Таблица5[[#This Row],[30]])</f>
        <v>90133.510000000009</v>
      </c>
      <c r="AI1110" s="511">
        <f>IF(((1-Таблица5[[#This Row],[30]]/Таблица5[[#This Row],[20]])=1),"НД",(1-Таблица5[[#This Row],[30]]/Таблица5[[#This Row],[20]]))</f>
        <v>7.9363037151734317E-2</v>
      </c>
      <c r="AJ1110" s="111">
        <v>1045577.94</v>
      </c>
      <c r="AK1110" s="111"/>
      <c r="AL1110" s="512"/>
      <c r="AM1110" s="513" t="s">
        <v>113</v>
      </c>
      <c r="AN1110" s="801">
        <v>31705345636</v>
      </c>
      <c r="AO1110" s="468" t="str">
        <f>РПЗ!AD1198</f>
        <v>Нет</v>
      </c>
      <c r="AP1110" s="472" t="str">
        <f>РПЗ!V1198</f>
        <v>ГОЗ</v>
      </c>
      <c r="AQ1110" s="470">
        <f>IF(Таблица5[[#This Row],[11]]=0,,MONTH(Таблица5[[#This Row],[11]]))</f>
        <v>7</v>
      </c>
    </row>
    <row r="1111" spans="1:43" ht="39" thickBot="1" x14ac:dyDescent="0.3">
      <c r="A1111" s="233" t="str">
        <f t="shared" si="17"/>
        <v>1004-2017-01096</v>
      </c>
      <c r="B1111" s="959" t="str">
        <f>РПЗ!$D1111</f>
        <v>1004-2017-01096 Поставка Металлические сплавы</v>
      </c>
      <c r="C1111" s="233" t="str">
        <f>РПЗ!$AA1199</f>
        <v>АО "НИИ "Полюс" им. М.Ф. Стельмаха" тел. отдела закупок 8-495-333-05-02</v>
      </c>
      <c r="D1111" s="633" t="str">
        <f>РПЗ!$AB1199</f>
        <v>Заказчик</v>
      </c>
      <c r="E1111" s="96" t="s">
        <v>46</v>
      </c>
      <c r="F1111" s="233" t="str">
        <f>РПЗ!Q1111</f>
        <v>ОЗК</v>
      </c>
      <c r="G1111" s="237"/>
      <c r="H1111" s="237" t="str">
        <f>РПЗ!R1111</f>
        <v>Да</v>
      </c>
      <c r="I1111" s="15">
        <f>РПЗ!W1111</f>
        <v>0</v>
      </c>
      <c r="J1111" s="233">
        <f>РПЗ!X1111</f>
        <v>0</v>
      </c>
      <c r="K1111" s="283">
        <f>РПЗ!Z1111</f>
        <v>0</v>
      </c>
      <c r="L1111" s="17"/>
      <c r="M1111" s="18">
        <f>РПЗ!O1199</f>
        <v>42950</v>
      </c>
      <c r="N1111" s="238">
        <f>Таблица5[[#This Row],[10]]</f>
        <v>42950</v>
      </c>
      <c r="O1111" s="17"/>
      <c r="P1111" s="17"/>
      <c r="Q1111" s="17"/>
      <c r="R1111" s="17"/>
      <c r="S1111" s="17"/>
      <c r="T1111" s="686"/>
      <c r="U1111" s="18">
        <f>РПЗ!P1199</f>
        <v>42979</v>
      </c>
      <c r="V1111" s="686"/>
      <c r="W1111" s="236">
        <f>РПЗ!L1199</f>
        <v>222000</v>
      </c>
      <c r="X1111" s="689"/>
      <c r="Y1111" s="689"/>
      <c r="Z1111" s="690"/>
      <c r="AA1111" s="691"/>
      <c r="AB1111" s="111"/>
      <c r="AC1111" s="17"/>
      <c r="AD1111" s="690"/>
      <c r="AE1111" s="686"/>
      <c r="AF1111" s="474"/>
      <c r="AG1111" s="692"/>
      <c r="AH1111" s="236" t="str">
        <f>IF(Таблица5[[#This Row],[30]]=0,"НД",Таблица5[[#This Row],[20]]-Таблица5[[#This Row],[30]])</f>
        <v>НД</v>
      </c>
      <c r="AI1111" s="511" t="str">
        <f>IF(((1-Таблица5[[#This Row],[30]]/Таблица5[[#This Row],[20]])=1),"НД",(1-Таблица5[[#This Row],[30]]/Таблица5[[#This Row],[20]]))</f>
        <v>НД</v>
      </c>
      <c r="AJ1111" s="111"/>
      <c r="AK1111" s="111"/>
      <c r="AL1111" s="512"/>
      <c r="AM1111" s="513"/>
      <c r="AN1111" s="465"/>
      <c r="AO1111" s="468" t="str">
        <f>РПЗ!AD1199</f>
        <v>Нет</v>
      </c>
      <c r="AP1111" s="472">
        <f>РПЗ!V1199</f>
        <v>0</v>
      </c>
      <c r="AQ1111" s="470">
        <f>IF(Таблица5[[#This Row],[11]]=0,,MONTH(Таблица5[[#This Row],[11]]))</f>
        <v>8</v>
      </c>
    </row>
    <row r="1112" spans="1:43" ht="39" thickBot="1" x14ac:dyDescent="0.3">
      <c r="A1112" s="233" t="str">
        <f t="shared" si="17"/>
        <v>1004-2017-01097</v>
      </c>
      <c r="B1112" s="959" t="str">
        <f>РПЗ!$D1112</f>
        <v>1004-2017-01097Поставка  Металлические сплавы</v>
      </c>
      <c r="C1112" s="233" t="str">
        <f>РПЗ!$AA1200</f>
        <v>АО "НИИ "Полюс" им. М.Ф. Стельмаха" тел. отдела закупок 8-495-333-05-02</v>
      </c>
      <c r="D1112" s="633" t="str">
        <f>РПЗ!$AB1200</f>
        <v>Заказчик</v>
      </c>
      <c r="E1112" s="96" t="s">
        <v>46</v>
      </c>
      <c r="F1112" s="233" t="str">
        <f>РПЗ!Q1112</f>
        <v>ОЗК</v>
      </c>
      <c r="G1112" s="237"/>
      <c r="H1112" s="237" t="str">
        <f>РПЗ!R1112</f>
        <v>Да</v>
      </c>
      <c r="I1112" s="15">
        <f>РПЗ!W1112</f>
        <v>0</v>
      </c>
      <c r="J1112" s="233">
        <f>РПЗ!X1112</f>
        <v>0</v>
      </c>
      <c r="K1112" s="283">
        <f>РПЗ!Z1112</f>
        <v>0</v>
      </c>
      <c r="L1112" s="17"/>
      <c r="M1112" s="18">
        <f>РПЗ!O1200</f>
        <v>42951</v>
      </c>
      <c r="N1112" s="238">
        <f>Таблица5[[#This Row],[10]]</f>
        <v>42951</v>
      </c>
      <c r="O1112" s="17"/>
      <c r="P1112" s="17"/>
      <c r="Q1112" s="17"/>
      <c r="R1112" s="17"/>
      <c r="S1112" s="17"/>
      <c r="T1112" s="686"/>
      <c r="U1112" s="18">
        <f>РПЗ!P1200</f>
        <v>42980</v>
      </c>
      <c r="V1112" s="686"/>
      <c r="W1112" s="236">
        <f>РПЗ!L1200</f>
        <v>453061</v>
      </c>
      <c r="X1112" s="689"/>
      <c r="Y1112" s="689"/>
      <c r="Z1112" s="690"/>
      <c r="AA1112" s="691"/>
      <c r="AB1112" s="111"/>
      <c r="AC1112" s="17"/>
      <c r="AD1112" s="690"/>
      <c r="AE1112" s="686"/>
      <c r="AF1112" s="474"/>
      <c r="AG1112" s="692"/>
      <c r="AH1112" s="236" t="str">
        <f>IF(Таблица5[[#This Row],[30]]=0,"НД",Таблица5[[#This Row],[20]]-Таблица5[[#This Row],[30]])</f>
        <v>НД</v>
      </c>
      <c r="AI1112" s="511" t="str">
        <f>IF(((1-Таблица5[[#This Row],[30]]/Таблица5[[#This Row],[20]])=1),"НД",(1-Таблица5[[#This Row],[30]]/Таблица5[[#This Row],[20]]))</f>
        <v>НД</v>
      </c>
      <c r="AJ1112" s="111"/>
      <c r="AK1112" s="111"/>
      <c r="AL1112" s="512"/>
      <c r="AM1112" s="513"/>
      <c r="AN1112" s="465"/>
      <c r="AO1112" s="468" t="str">
        <f>РПЗ!AD1200</f>
        <v>Нет</v>
      </c>
      <c r="AP1112" s="472">
        <f>РПЗ!V1200</f>
        <v>0</v>
      </c>
      <c r="AQ1112" s="470">
        <f>IF(Таблица5[[#This Row],[11]]=0,,MONTH(Таблица5[[#This Row],[11]]))</f>
        <v>8</v>
      </c>
    </row>
    <row r="1113" spans="1:43" ht="39" thickBot="1" x14ac:dyDescent="0.3">
      <c r="A1113" s="233" t="str">
        <f t="shared" si="17"/>
        <v>1004-2017-01098</v>
      </c>
      <c r="B1113" s="959" t="str">
        <f>РПЗ!$D1113</f>
        <v>1004-2017-01098 Поставка Металлические сплавы</v>
      </c>
      <c r="C1113" s="233" t="str">
        <f>РПЗ!$AA1201</f>
        <v>АО "НИИ "Полюс" им. М.Ф. Стельмаха" тел. отдела закупок 8-495-333-05-02</v>
      </c>
      <c r="D1113" s="633" t="str">
        <f>РПЗ!$AB1201</f>
        <v>Заказчик</v>
      </c>
      <c r="E1113" s="96" t="s">
        <v>46</v>
      </c>
      <c r="F1113" s="233" t="str">
        <f>РПЗ!Q1113</f>
        <v>ОЗК</v>
      </c>
      <c r="G1113" s="237"/>
      <c r="H1113" s="237" t="str">
        <f>РПЗ!R1113</f>
        <v>Да</v>
      </c>
      <c r="I1113" s="15">
        <f>РПЗ!W1113</f>
        <v>0</v>
      </c>
      <c r="J1113" s="233">
        <f>РПЗ!X1113</f>
        <v>0</v>
      </c>
      <c r="K1113" s="283">
        <f>РПЗ!Z1113</f>
        <v>0</v>
      </c>
      <c r="L1113" s="17"/>
      <c r="M1113" s="18">
        <f>РПЗ!O1201</f>
        <v>42952</v>
      </c>
      <c r="N1113" s="238">
        <f>Таблица5[[#This Row],[10]]</f>
        <v>42952</v>
      </c>
      <c r="O1113" s="17"/>
      <c r="P1113" s="17"/>
      <c r="Q1113" s="17"/>
      <c r="R1113" s="17"/>
      <c r="S1113" s="17"/>
      <c r="T1113" s="686"/>
      <c r="U1113" s="18">
        <f>РПЗ!P1201</f>
        <v>42981</v>
      </c>
      <c r="V1113" s="686"/>
      <c r="W1113" s="236">
        <f>РПЗ!L1201</f>
        <v>911306.16</v>
      </c>
      <c r="X1113" s="689"/>
      <c r="Y1113" s="689"/>
      <c r="Z1113" s="690"/>
      <c r="AA1113" s="691"/>
      <c r="AB1113" s="111"/>
      <c r="AC1113" s="17"/>
      <c r="AD1113" s="690"/>
      <c r="AE1113" s="686"/>
      <c r="AF1113" s="474"/>
      <c r="AG1113" s="692"/>
      <c r="AH1113" s="236" t="str">
        <f>IF(Таблица5[[#This Row],[30]]=0,"НД",Таблица5[[#This Row],[20]]-Таблица5[[#This Row],[30]])</f>
        <v>НД</v>
      </c>
      <c r="AI1113" s="511" t="str">
        <f>IF(((1-Таблица5[[#This Row],[30]]/Таблица5[[#This Row],[20]])=1),"НД",(1-Таблица5[[#This Row],[30]]/Таблица5[[#This Row],[20]]))</f>
        <v>НД</v>
      </c>
      <c r="AJ1113" s="111"/>
      <c r="AK1113" s="111"/>
      <c r="AL1113" s="512"/>
      <c r="AM1113" s="513"/>
      <c r="AN1113" s="465"/>
      <c r="AO1113" s="468" t="str">
        <f>РПЗ!AD1201</f>
        <v>Нет</v>
      </c>
      <c r="AP1113" s="472">
        <f>РПЗ!V1201</f>
        <v>0</v>
      </c>
      <c r="AQ1113" s="470">
        <f>IF(Таблица5[[#This Row],[11]]=0,,MONTH(Таблица5[[#This Row],[11]]))</f>
        <v>8</v>
      </c>
    </row>
    <row r="1114" spans="1:43" ht="39" thickBot="1" x14ac:dyDescent="0.3">
      <c r="A1114" s="233" t="str">
        <f t="shared" si="17"/>
        <v>1004-2017-01099</v>
      </c>
      <c r="B1114" s="959" t="str">
        <f>РПЗ!$D1114</f>
        <v>1004-2017-01099 Поставка Расходные материалы для монтажа сплит-систем</v>
      </c>
      <c r="C1114" s="233" t="str">
        <f>РПЗ!$AA1202</f>
        <v>АО "НИИ "Полюс" им. М.Ф. Стельмаха" тел. отдела закупок 8-495-333-05-02</v>
      </c>
      <c r="D1114" s="633" t="str">
        <f>РПЗ!$AB1202</f>
        <v>Заказчик</v>
      </c>
      <c r="E1114" s="96" t="s">
        <v>46</v>
      </c>
      <c r="F1114" s="233" t="str">
        <f>РПЗ!Q1114</f>
        <v>ОЗК</v>
      </c>
      <c r="G1114" s="237"/>
      <c r="H1114" s="237" t="str">
        <f>РПЗ!R1114</f>
        <v>Да</v>
      </c>
      <c r="I1114" s="15">
        <f>РПЗ!W1114</f>
        <v>0</v>
      </c>
      <c r="J1114" s="233">
        <f>РПЗ!X1114</f>
        <v>0</v>
      </c>
      <c r="K1114" s="283">
        <f>РПЗ!Z1114</f>
        <v>0</v>
      </c>
      <c r="L1114" s="17"/>
      <c r="M1114" s="18">
        <f>РПЗ!O1202</f>
        <v>42952</v>
      </c>
      <c r="N1114" s="238">
        <f>Таблица5[[#This Row],[10]]</f>
        <v>42952</v>
      </c>
      <c r="O1114" s="17"/>
      <c r="P1114" s="17"/>
      <c r="Q1114" s="17"/>
      <c r="R1114" s="17"/>
      <c r="S1114" s="17"/>
      <c r="T1114" s="686"/>
      <c r="U1114" s="18">
        <f>РПЗ!P1202</f>
        <v>42981</v>
      </c>
      <c r="V1114" s="686"/>
      <c r="W1114" s="236">
        <f>РПЗ!L1202</f>
        <v>114838.49</v>
      </c>
      <c r="X1114" s="689"/>
      <c r="Y1114" s="689"/>
      <c r="Z1114" s="690"/>
      <c r="AA1114" s="691"/>
      <c r="AB1114" s="111"/>
      <c r="AC1114" s="17"/>
      <c r="AD1114" s="690"/>
      <c r="AE1114" s="686"/>
      <c r="AF1114" s="474"/>
      <c r="AG1114" s="692"/>
      <c r="AH1114" s="236" t="str">
        <f>IF(Таблица5[[#This Row],[30]]=0,"НД",Таблица5[[#This Row],[20]]-Таблица5[[#This Row],[30]])</f>
        <v>НД</v>
      </c>
      <c r="AI1114" s="511" t="str">
        <f>IF(((1-Таблица5[[#This Row],[30]]/Таблица5[[#This Row],[20]])=1),"НД",(1-Таблица5[[#This Row],[30]]/Таблица5[[#This Row],[20]]))</f>
        <v>НД</v>
      </c>
      <c r="AJ1114" s="111"/>
      <c r="AK1114" s="111"/>
      <c r="AL1114" s="512"/>
      <c r="AM1114" s="513"/>
      <c r="AN1114" s="465"/>
      <c r="AO1114" s="468" t="str">
        <f>РПЗ!AD1202</f>
        <v>Нет</v>
      </c>
      <c r="AP1114" s="472">
        <f>РПЗ!V1202</f>
        <v>0</v>
      </c>
      <c r="AQ1114" s="470">
        <f>IF(Таблица5[[#This Row],[11]]=0,,MONTH(Таблица5[[#This Row],[11]]))</f>
        <v>8</v>
      </c>
    </row>
    <row r="1115" spans="1:43" ht="38.25" x14ac:dyDescent="0.25">
      <c r="A1115" s="233" t="str">
        <f t="shared" si="17"/>
        <v>1004-2017-01100</v>
      </c>
      <c r="B1115" s="959" t="str">
        <f>РПЗ!$D1115</f>
        <v>1004-2017-01100 Поставка Металлические сплавы</v>
      </c>
      <c r="C1115" s="233" t="str">
        <f>РПЗ!$AA1203</f>
        <v>АО "НИИ "Полюс" им. М.Ф. Стельмаха" тел. отдела закупок 8-495-333-05-02</v>
      </c>
      <c r="D1115" s="633" t="str">
        <f>РПЗ!$AB1203</f>
        <v>Заказчик</v>
      </c>
      <c r="E1115" s="96" t="s">
        <v>46</v>
      </c>
      <c r="F1115" s="233" t="str">
        <f>РПЗ!Q1115</f>
        <v>ОЗК</v>
      </c>
      <c r="G1115" s="237"/>
      <c r="H1115" s="237" t="str">
        <f>РПЗ!R1115</f>
        <v>Да</v>
      </c>
      <c r="I1115" s="15">
        <f>РПЗ!W1115</f>
        <v>0</v>
      </c>
      <c r="J1115" s="233">
        <f>РПЗ!X1115</f>
        <v>0</v>
      </c>
      <c r="K1115" s="283">
        <f>РПЗ!Z1115</f>
        <v>0</v>
      </c>
      <c r="L1115" s="17"/>
      <c r="M1115" s="18">
        <f>РПЗ!O1203</f>
        <v>42952</v>
      </c>
      <c r="N1115" s="238">
        <f>Таблица5[[#This Row],[10]]</f>
        <v>42952</v>
      </c>
      <c r="O1115" s="17"/>
      <c r="P1115" s="17"/>
      <c r="Q1115" s="17"/>
      <c r="R1115" s="17"/>
      <c r="S1115" s="17"/>
      <c r="T1115" s="686"/>
      <c r="U1115" s="18">
        <f>РПЗ!P1203</f>
        <v>42981</v>
      </c>
      <c r="V1115" s="686"/>
      <c r="W1115" s="236">
        <f>РПЗ!L1203</f>
        <v>523652.03</v>
      </c>
      <c r="X1115" s="689"/>
      <c r="Y1115" s="689"/>
      <c r="Z1115" s="690"/>
      <c r="AA1115" s="691"/>
      <c r="AB1115" s="111"/>
      <c r="AC1115" s="17"/>
      <c r="AD1115" s="690"/>
      <c r="AE1115" s="686"/>
      <c r="AF1115" s="474"/>
      <c r="AG1115" s="692"/>
      <c r="AH1115" s="236" t="str">
        <f>IF(Таблица5[[#This Row],[30]]=0,"НД",Таблица5[[#This Row],[20]]-Таблица5[[#This Row],[30]])</f>
        <v>НД</v>
      </c>
      <c r="AI1115" s="511" t="str">
        <f>IF(((1-Таблица5[[#This Row],[30]]/Таблица5[[#This Row],[20]])=1),"НД",(1-Таблица5[[#This Row],[30]]/Таблица5[[#This Row],[20]]))</f>
        <v>НД</v>
      </c>
      <c r="AJ1115" s="111"/>
      <c r="AK1115" s="111"/>
      <c r="AL1115" s="512"/>
      <c r="AM1115" s="513"/>
      <c r="AN1115" s="465"/>
      <c r="AO1115" s="468" t="str">
        <f>РПЗ!AD1203</f>
        <v>Нет</v>
      </c>
      <c r="AP1115" s="472" t="str">
        <f>РПЗ!V1203</f>
        <v>ГОЗ</v>
      </c>
      <c r="AQ1115" s="470">
        <f>IF(Таблица5[[#This Row],[11]]=0,,MONTH(Таблица5[[#This Row],[11]]))</f>
        <v>8</v>
      </c>
    </row>
    <row r="1116" spans="1:43" ht="51" x14ac:dyDescent="0.25">
      <c r="A1116" s="233" t="str">
        <f t="shared" si="17"/>
        <v>1004-2017-01101</v>
      </c>
      <c r="B1116" s="959" t="str">
        <f>РПЗ!$D1116</f>
        <v>1004-2017-01101 Поставка Электротехнические изделия</v>
      </c>
      <c r="C1116" s="233" t="str">
        <f>РПЗ!$AA1204</f>
        <v>АО "НИИ "Полюс" им. М.Ф. Стельмаха" тел. отдела закупок 8-495-333-05-02</v>
      </c>
      <c r="D1116" s="633" t="str">
        <f>РПЗ!$AB1204</f>
        <v>Заказчик</v>
      </c>
      <c r="E1116" s="510" t="s">
        <v>62</v>
      </c>
      <c r="F1116" s="233" t="str">
        <f>РПЗ!Q1116</f>
        <v>ОЗК</v>
      </c>
      <c r="G1116" s="237" t="str">
        <f>Таблица5[[#This Row],[6]]</f>
        <v>ОЗК</v>
      </c>
      <c r="H1116" s="237" t="str">
        <f>РПЗ!R1116</f>
        <v>Да</v>
      </c>
      <c r="I1116" s="15">
        <f>РПЗ!W1116</f>
        <v>0</v>
      </c>
      <c r="J1116" s="233">
        <f>РПЗ!X1116</f>
        <v>0</v>
      </c>
      <c r="K1116" s="283">
        <f>РПЗ!Z1116</f>
        <v>0</v>
      </c>
      <c r="L1116" s="17">
        <v>42916</v>
      </c>
      <c r="M1116" s="18">
        <f>РПЗ!O1116</f>
        <v>42887</v>
      </c>
      <c r="N1116" s="238">
        <f>Таблица5[[#This Row],[10]]</f>
        <v>42887</v>
      </c>
      <c r="O1116" s="17">
        <v>42927</v>
      </c>
      <c r="P1116" s="17">
        <v>42930</v>
      </c>
      <c r="Q1116" s="17">
        <v>42930</v>
      </c>
      <c r="R1116" s="17">
        <v>42928</v>
      </c>
      <c r="S1116" s="17">
        <v>42928</v>
      </c>
      <c r="T1116" s="686">
        <v>42940</v>
      </c>
      <c r="U1116" s="18">
        <f>РПЗ!P1116</f>
        <v>42917</v>
      </c>
      <c r="V1116" s="686">
        <v>43070</v>
      </c>
      <c r="W1116" s="236">
        <f>РПЗ!L1116</f>
        <v>353594.43</v>
      </c>
      <c r="X1116" s="689">
        <v>2</v>
      </c>
      <c r="Y1116" s="689">
        <v>0</v>
      </c>
      <c r="Z1116" s="691">
        <v>7720248167</v>
      </c>
      <c r="AA1116" s="691" t="s">
        <v>6820</v>
      </c>
      <c r="AB1116" s="111">
        <v>344675.05</v>
      </c>
      <c r="AC1116" s="17">
        <v>43070</v>
      </c>
      <c r="AD1116" s="690" t="s">
        <v>6821</v>
      </c>
      <c r="AE1116" s="686">
        <v>42940</v>
      </c>
      <c r="AF1116" s="474"/>
      <c r="AG1116" s="692">
        <v>344675.05</v>
      </c>
      <c r="AH1116" s="236">
        <f>IF(Таблица5[[#This Row],[30]]=0,"НД",Таблица5[[#This Row],[20]]-Таблица5[[#This Row],[30]])</f>
        <v>8919.3800000000047</v>
      </c>
      <c r="AI1116" s="511">
        <f>IF(((1-Таблица5[[#This Row],[30]]/Таблица5[[#This Row],[20]])=1),"НД",(1-Таблица5[[#This Row],[30]]/Таблица5[[#This Row],[20]]))</f>
        <v>2.5224888299286818E-2</v>
      </c>
      <c r="AJ1116" s="111">
        <v>344675.05</v>
      </c>
      <c r="AK1116" s="111"/>
      <c r="AL1116" s="512"/>
      <c r="AM1116" s="513" t="s">
        <v>113</v>
      </c>
      <c r="AN1116" s="801">
        <v>31705291388</v>
      </c>
      <c r="AO1116" s="468" t="str">
        <f>РПЗ!AD1204</f>
        <v>Нет</v>
      </c>
      <c r="AP1116" s="472">
        <f>РПЗ!V1204</f>
        <v>0</v>
      </c>
      <c r="AQ1116" s="470">
        <f>IF(Таблица5[[#This Row],[11]]=0,,MONTH(Таблица5[[#This Row],[11]]))</f>
        <v>6</v>
      </c>
    </row>
    <row r="1117" spans="1:43" ht="39" thickBot="1" x14ac:dyDescent="0.3">
      <c r="A1117" s="233" t="str">
        <f t="shared" si="17"/>
        <v>1004-2017-01102</v>
      </c>
      <c r="B1117" s="959" t="str">
        <f>РПЗ!$D1117</f>
        <v>1004-2017-01102 Поставка Металлические сплавы</v>
      </c>
      <c r="C1117" s="233" t="str">
        <f>РПЗ!$AA1205</f>
        <v>АО "НИИ "Полюс" им. М.Ф. Стельмаха" тел. отдела закупок 8-495-333-05-02</v>
      </c>
      <c r="D1117" s="633" t="str">
        <f>РПЗ!$AB1205</f>
        <v>Заказчик</v>
      </c>
      <c r="E1117" s="510" t="s">
        <v>62</v>
      </c>
      <c r="F1117" s="233" t="str">
        <f>РПЗ!Q1117</f>
        <v>ОЗК</v>
      </c>
      <c r="G1117" s="237" t="str">
        <f>Таблица5[[#This Row],[6]]</f>
        <v>ОЗК</v>
      </c>
      <c r="H1117" s="237" t="str">
        <f>РПЗ!R1117</f>
        <v>Да</v>
      </c>
      <c r="I1117" s="15">
        <f>РПЗ!W1117</f>
        <v>0</v>
      </c>
      <c r="J1117" s="233">
        <f>РПЗ!X1117</f>
        <v>0</v>
      </c>
      <c r="K1117" s="283">
        <f>РПЗ!Z1117</f>
        <v>0</v>
      </c>
      <c r="L1117" s="17">
        <v>42930</v>
      </c>
      <c r="M1117" s="18">
        <f>РПЗ!O1117</f>
        <v>42917</v>
      </c>
      <c r="N1117" s="238">
        <f>Таблица5[[#This Row],[10]]</f>
        <v>42917</v>
      </c>
      <c r="O1117" s="17">
        <v>42935</v>
      </c>
      <c r="P1117" s="17">
        <v>42940</v>
      </c>
      <c r="Q1117" s="17">
        <v>42940</v>
      </c>
      <c r="R1117" s="17">
        <v>42941</v>
      </c>
      <c r="S1117" s="17">
        <v>42941</v>
      </c>
      <c r="T1117" s="686">
        <v>42954</v>
      </c>
      <c r="U1117" s="18">
        <f>РПЗ!P1117</f>
        <v>42948</v>
      </c>
      <c r="V1117" s="686">
        <v>43070</v>
      </c>
      <c r="W1117" s="236">
        <f>РПЗ!L1117</f>
        <v>243524.75</v>
      </c>
      <c r="X1117" s="689">
        <v>1</v>
      </c>
      <c r="Y1117" s="689">
        <v>0</v>
      </c>
      <c r="Z1117" s="691">
        <v>9718007640</v>
      </c>
      <c r="AA1117" s="691" t="s">
        <v>3338</v>
      </c>
      <c r="AB1117" s="111">
        <v>242682.01</v>
      </c>
      <c r="AC1117" s="17">
        <v>43070</v>
      </c>
      <c r="AD1117" s="690" t="s">
        <v>6803</v>
      </c>
      <c r="AE1117" s="686">
        <v>42954</v>
      </c>
      <c r="AF1117" s="474"/>
      <c r="AG1117" s="692">
        <v>242682.01</v>
      </c>
      <c r="AH1117" s="236">
        <f>IF(Таблица5[[#This Row],[30]]=0,"НД",Таблица5[[#This Row],[20]]-Таблица5[[#This Row],[30]])</f>
        <v>842.73999999999069</v>
      </c>
      <c r="AI1117" s="511">
        <f>IF(((1-Таблица5[[#This Row],[30]]/Таблица5[[#This Row],[20]])=1),"НД",(1-Таблица5[[#This Row],[30]]/Таблица5[[#This Row],[20]]))</f>
        <v>3.4605928144879616E-3</v>
      </c>
      <c r="AJ1117" s="111">
        <v>242682.01</v>
      </c>
      <c r="AK1117" s="111"/>
      <c r="AL1117" s="512"/>
      <c r="AM1117" s="513" t="s">
        <v>113</v>
      </c>
      <c r="AN1117" s="801">
        <v>31705323634</v>
      </c>
      <c r="AO1117" s="468" t="str">
        <f>РПЗ!AD1205</f>
        <v>Нет</v>
      </c>
      <c r="AP1117" s="472">
        <f>РПЗ!V1205</f>
        <v>0</v>
      </c>
      <c r="AQ1117" s="470">
        <f>IF(Таблица5[[#This Row],[11]]=0,,MONTH(Таблица5[[#This Row],[11]]))</f>
        <v>7</v>
      </c>
    </row>
    <row r="1118" spans="1:43" ht="38.25" x14ac:dyDescent="0.25">
      <c r="A1118" s="233" t="str">
        <f t="shared" si="17"/>
        <v>1004-2017-01103</v>
      </c>
      <c r="B1118" s="959" t="str">
        <f>РПЗ!$D1118</f>
        <v xml:space="preserve">1004-2017-01103Поставка  Конденсаторы </v>
      </c>
      <c r="C1118" s="233" t="str">
        <f>РПЗ!$AA1206</f>
        <v>АО "НИИ "Полюс" им. М.Ф. Стельмаха" тел. отдела закупок 8-495-333-05-02</v>
      </c>
      <c r="D1118" s="633" t="str">
        <f>РПЗ!$AB1206</f>
        <v>Заказчик</v>
      </c>
      <c r="E1118" s="96" t="s">
        <v>46</v>
      </c>
      <c r="F1118" s="233" t="str">
        <f>РПЗ!Q1118</f>
        <v>ОЗК</v>
      </c>
      <c r="G1118" s="237"/>
      <c r="H1118" s="237" t="str">
        <f>РПЗ!R1118</f>
        <v>Да</v>
      </c>
      <c r="I1118" s="15">
        <f>РПЗ!W1118</f>
        <v>0</v>
      </c>
      <c r="J1118" s="233">
        <f>РПЗ!X1118</f>
        <v>0</v>
      </c>
      <c r="K1118" s="283">
        <f>РПЗ!Z1118</f>
        <v>0</v>
      </c>
      <c r="L1118" s="17"/>
      <c r="M1118" s="18">
        <f>РПЗ!O1206</f>
        <v>42948</v>
      </c>
      <c r="N1118" s="238">
        <f>Таблица5[[#This Row],[10]]</f>
        <v>42948</v>
      </c>
      <c r="O1118" s="17"/>
      <c r="P1118" s="17"/>
      <c r="Q1118" s="17"/>
      <c r="R1118" s="17"/>
      <c r="S1118" s="17"/>
      <c r="T1118" s="686"/>
      <c r="U1118" s="18">
        <f>РПЗ!P1206</f>
        <v>43100.5</v>
      </c>
      <c r="V1118" s="686"/>
      <c r="W1118" s="236">
        <f>РПЗ!L1206</f>
        <v>11555030.470000001</v>
      </c>
      <c r="X1118" s="689"/>
      <c r="Y1118" s="689"/>
      <c r="Z1118" s="690"/>
      <c r="AA1118" s="691"/>
      <c r="AB1118" s="111"/>
      <c r="AC1118" s="17"/>
      <c r="AD1118" s="690"/>
      <c r="AE1118" s="686"/>
      <c r="AF1118" s="474"/>
      <c r="AG1118" s="692"/>
      <c r="AH1118" s="236" t="str">
        <f>IF(Таблица5[[#This Row],[30]]=0,"НД",Таблица5[[#This Row],[20]]-Таблица5[[#This Row],[30]])</f>
        <v>НД</v>
      </c>
      <c r="AI1118" s="511" t="str">
        <f>IF(((1-Таблица5[[#This Row],[30]]/Таблица5[[#This Row],[20]])=1),"НД",(1-Таблица5[[#This Row],[30]]/Таблица5[[#This Row],[20]]))</f>
        <v>НД</v>
      </c>
      <c r="AJ1118" s="111"/>
      <c r="AK1118" s="111"/>
      <c r="AL1118" s="512"/>
      <c r="AM1118" s="513"/>
      <c r="AN1118" s="465"/>
      <c r="AO1118" s="468" t="str">
        <f>РПЗ!AD1206</f>
        <v>Нет</v>
      </c>
      <c r="AP1118" s="472">
        <f>РПЗ!V1206</f>
        <v>0</v>
      </c>
      <c r="AQ1118" s="470">
        <f>IF(Таблица5[[#This Row],[11]]=0,,MONTH(Таблица5[[#This Row],[11]]))</f>
        <v>8</v>
      </c>
    </row>
    <row r="1119" spans="1:43" ht="77.25" thickBot="1" x14ac:dyDescent="0.3">
      <c r="A1119" s="233" t="str">
        <f t="shared" si="17"/>
        <v>1004-2017-01104</v>
      </c>
      <c r="B1119" s="959" t="str">
        <f>РПЗ!$D1119</f>
        <v>1004-2017-01104 Поставка огнетушители порошковые ОП-5 ABCE -175 шт.,   огнетушители углекислотные ОУ-5 BCE – 100 шт. и огнетушители углекислотные ОУ-80 (ОУ-55) ВСЕ (передвижной) – 15 шт.</v>
      </c>
      <c r="C1119" s="233" t="str">
        <f>РПЗ!$AA1207</f>
        <v>АО "НИИ "Полюс" им. М.Ф. Стельмаха" тел. отдела закупок 8-495-333-05-02</v>
      </c>
      <c r="D1119" s="633" t="str">
        <f>РПЗ!$AB1207</f>
        <v>Заказчик</v>
      </c>
      <c r="E1119" s="510" t="s">
        <v>59</v>
      </c>
      <c r="F1119" s="233" t="str">
        <f>РПЗ!Q1119</f>
        <v>ОЗК</v>
      </c>
      <c r="G1119" s="237" t="str">
        <f>Таблица5[[#This Row],[6]]</f>
        <v>ОЗК</v>
      </c>
      <c r="H1119" s="237" t="str">
        <f>РПЗ!R1119</f>
        <v>Да</v>
      </c>
      <c r="I1119" s="15">
        <f>РПЗ!W1119</f>
        <v>0</v>
      </c>
      <c r="J1119" s="233">
        <f>РПЗ!X1119</f>
        <v>0</v>
      </c>
      <c r="K1119" s="283">
        <f>РПЗ!Z1119</f>
        <v>0</v>
      </c>
      <c r="L1119" s="17">
        <v>42946</v>
      </c>
      <c r="M1119" s="18">
        <f>РПЗ!O1119</f>
        <v>42917</v>
      </c>
      <c r="N1119" s="238">
        <f>Таблица5[[#This Row],[10]]</f>
        <v>42917</v>
      </c>
      <c r="O1119" s="17">
        <v>42955</v>
      </c>
      <c r="P1119" s="17">
        <v>42961</v>
      </c>
      <c r="Q1119" s="17">
        <v>42961</v>
      </c>
      <c r="R1119" s="17">
        <v>42961</v>
      </c>
      <c r="S1119" s="17">
        <v>42961</v>
      </c>
      <c r="T1119" s="686"/>
      <c r="U1119" s="18">
        <f>РПЗ!P1119</f>
        <v>42979</v>
      </c>
      <c r="V1119" s="686"/>
      <c r="W1119" s="236">
        <f>РПЗ!L1119</f>
        <v>384301.25</v>
      </c>
      <c r="X1119" s="689">
        <v>0</v>
      </c>
      <c r="Y1119" s="689">
        <v>0</v>
      </c>
      <c r="Z1119" s="690"/>
      <c r="AA1119" s="691"/>
      <c r="AB1119" s="111"/>
      <c r="AC1119" s="17"/>
      <c r="AD1119" s="690"/>
      <c r="AE1119" s="686"/>
      <c r="AF1119" s="474"/>
      <c r="AG1119" s="692"/>
      <c r="AH1119" s="236" t="str">
        <f>IF(Таблица5[[#This Row],[30]]=0,"НД",Таблица5[[#This Row],[20]]-Таблица5[[#This Row],[30]])</f>
        <v>НД</v>
      </c>
      <c r="AI1119" s="511" t="str">
        <f>IF(((1-Таблица5[[#This Row],[30]]/Таблица5[[#This Row],[20]])=1),"НД",(1-Таблица5[[#This Row],[30]]/Таблица5[[#This Row],[20]]))</f>
        <v>НД</v>
      </c>
      <c r="AJ1119" s="111"/>
      <c r="AK1119" s="111"/>
      <c r="AL1119" s="512"/>
      <c r="AM1119" s="513" t="s">
        <v>113</v>
      </c>
      <c r="AN1119" s="801">
        <v>31705380316</v>
      </c>
      <c r="AO1119" s="468" t="str">
        <f>РПЗ!AD1207</f>
        <v>Нет</v>
      </c>
      <c r="AP1119" s="472">
        <f>РПЗ!V1207</f>
        <v>0</v>
      </c>
      <c r="AQ1119" s="470">
        <f>IF(Таблица5[[#This Row],[11]]=0,,MONTH(Таблица5[[#This Row],[11]]))</f>
        <v>7</v>
      </c>
    </row>
    <row r="1120" spans="1:43" ht="51" x14ac:dyDescent="0.25">
      <c r="A1120" s="233" t="str">
        <f t="shared" si="17"/>
        <v>1004-2017-01105</v>
      </c>
      <c r="B1120" s="959" t="str">
        <f>РПЗ!$D1120</f>
        <v>1004-2017-01105 Поставка комплект оборудования для модернизации азотной станции по производству газообразного азота чистотой 99,9%</v>
      </c>
      <c r="C1120" s="233" t="str">
        <f>РПЗ!$AA1208</f>
        <v>АО "НИИ "Полюс" им. М.Ф. Стельмаха" тел. отдела закупок 8-495-333-05-02</v>
      </c>
      <c r="D1120" s="633" t="str">
        <f>РПЗ!$AB1208</f>
        <v>Заказчик</v>
      </c>
      <c r="E1120" s="96" t="s">
        <v>46</v>
      </c>
      <c r="F1120" s="233" t="str">
        <f>РПЗ!Q1120</f>
        <v>ОК</v>
      </c>
      <c r="G1120" s="237"/>
      <c r="H1120" s="237" t="str">
        <f>РПЗ!R1120</f>
        <v>Да</v>
      </c>
      <c r="I1120" s="15">
        <f>РПЗ!W1120</f>
        <v>0</v>
      </c>
      <c r="J1120" s="233">
        <f>РПЗ!X1120</f>
        <v>0</v>
      </c>
      <c r="K1120" s="283">
        <f>РПЗ!Z1120</f>
        <v>0</v>
      </c>
      <c r="L1120" s="17"/>
      <c r="M1120" s="18">
        <f>РПЗ!O1208</f>
        <v>42948</v>
      </c>
      <c r="N1120" s="238">
        <f>Таблица5[[#This Row],[10]]</f>
        <v>42948</v>
      </c>
      <c r="O1120" s="17"/>
      <c r="P1120" s="17"/>
      <c r="Q1120" s="17"/>
      <c r="R1120" s="17"/>
      <c r="S1120" s="17"/>
      <c r="T1120" s="686"/>
      <c r="U1120" s="18">
        <f>РПЗ!P1208</f>
        <v>43070</v>
      </c>
      <c r="V1120" s="686"/>
      <c r="W1120" s="236">
        <f>РПЗ!L1208</f>
        <v>245000</v>
      </c>
      <c r="X1120" s="689"/>
      <c r="Y1120" s="689"/>
      <c r="Z1120" s="690"/>
      <c r="AA1120" s="691"/>
      <c r="AB1120" s="111"/>
      <c r="AC1120" s="17"/>
      <c r="AD1120" s="690"/>
      <c r="AE1120" s="686"/>
      <c r="AF1120" s="474"/>
      <c r="AG1120" s="692"/>
      <c r="AH1120" s="236" t="str">
        <f>IF(Таблица5[[#This Row],[30]]=0,"НД",Таблица5[[#This Row],[20]]-Таблица5[[#This Row],[30]])</f>
        <v>НД</v>
      </c>
      <c r="AI1120" s="511" t="str">
        <f>IF(((1-Таблица5[[#This Row],[30]]/Таблица5[[#This Row],[20]])=1),"НД",(1-Таблица5[[#This Row],[30]]/Таблица5[[#This Row],[20]]))</f>
        <v>НД</v>
      </c>
      <c r="AJ1120" s="111"/>
      <c r="AK1120" s="111"/>
      <c r="AL1120" s="512"/>
      <c r="AM1120" s="513"/>
      <c r="AN1120" s="465"/>
      <c r="AO1120" s="468" t="str">
        <f>РПЗ!AD1208</f>
        <v>Нет</v>
      </c>
      <c r="AP1120" s="472">
        <f>РПЗ!V1208</f>
        <v>0</v>
      </c>
      <c r="AQ1120" s="470">
        <f>IF(Таблица5[[#This Row],[11]]=0,,MONTH(Таблица5[[#This Row],[11]]))</f>
        <v>8</v>
      </c>
    </row>
    <row r="1121" spans="1:43" ht="39" thickBot="1" x14ac:dyDescent="0.3">
      <c r="A1121" s="233" t="str">
        <f t="shared" si="17"/>
        <v>1004-2017-01106</v>
      </c>
      <c r="B1121" s="959" t="str">
        <f>РПЗ!$D1121</f>
        <v>1004-2017-01106 Поставка консольно-моноблочный насос КМ 100-80-160 с электродвигателем</v>
      </c>
      <c r="C1121" s="233" t="str">
        <f>РПЗ!$AA1209</f>
        <v>АО "НИИ "Полюс" им. М.Ф. Стельмаха" тел. отдела закупок 8-495-333-05-02</v>
      </c>
      <c r="D1121" s="633" t="str">
        <f>РПЗ!$AB1209</f>
        <v>Заказчик</v>
      </c>
      <c r="E1121" s="510" t="s">
        <v>59</v>
      </c>
      <c r="F1121" s="233" t="str">
        <f>РПЗ!Q1121</f>
        <v>ОЗК</v>
      </c>
      <c r="G1121" s="237" t="str">
        <f>Таблица5[[#This Row],[6]]</f>
        <v>ОЗК</v>
      </c>
      <c r="H1121" s="237" t="str">
        <f>РПЗ!R1121</f>
        <v>Да</v>
      </c>
      <c r="I1121" s="15">
        <f>РПЗ!W1121</f>
        <v>0</v>
      </c>
      <c r="J1121" s="233">
        <f>РПЗ!X1121</f>
        <v>0</v>
      </c>
      <c r="K1121" s="283">
        <f>РПЗ!Z1121</f>
        <v>0</v>
      </c>
      <c r="L1121" s="17">
        <v>42927</v>
      </c>
      <c r="M1121" s="18">
        <f>РПЗ!O1121</f>
        <v>42917</v>
      </c>
      <c r="N1121" s="238">
        <f>Таблица5[[#This Row],[10]]</f>
        <v>42917</v>
      </c>
      <c r="O1121" s="17">
        <v>42933</v>
      </c>
      <c r="P1121" s="17">
        <v>42936</v>
      </c>
      <c r="Q1121" s="17">
        <v>42936</v>
      </c>
      <c r="R1121" s="17">
        <v>42936</v>
      </c>
      <c r="S1121" s="17">
        <v>42936</v>
      </c>
      <c r="T1121" s="686"/>
      <c r="U1121" s="18">
        <f>РПЗ!P1121</f>
        <v>42979</v>
      </c>
      <c r="V1121" s="686"/>
      <c r="W1121" s="236">
        <f>РПЗ!L1121</f>
        <v>37775</v>
      </c>
      <c r="X1121" s="689">
        <v>0</v>
      </c>
      <c r="Y1121" s="689">
        <v>0</v>
      </c>
      <c r="Z1121" s="690"/>
      <c r="AA1121" s="691"/>
      <c r="AB1121" s="111"/>
      <c r="AC1121" s="17"/>
      <c r="AD1121" s="690"/>
      <c r="AE1121" s="686"/>
      <c r="AF1121" s="474"/>
      <c r="AG1121" s="692"/>
      <c r="AH1121" s="236" t="str">
        <f>IF(Таблица5[[#This Row],[30]]=0,"НД",Таблица5[[#This Row],[20]]-Таблица5[[#This Row],[30]])</f>
        <v>НД</v>
      </c>
      <c r="AI1121" s="511" t="str">
        <f>IF(((1-Таблица5[[#This Row],[30]]/Таблица5[[#This Row],[20]])=1),"НД",(1-Таблица5[[#This Row],[30]]/Таблица5[[#This Row],[20]]))</f>
        <v>НД</v>
      </c>
      <c r="AJ1121" s="111"/>
      <c r="AK1121" s="111"/>
      <c r="AL1121" s="512"/>
      <c r="AM1121" s="513" t="s">
        <v>113</v>
      </c>
      <c r="AN1121" s="801">
        <v>31705310606</v>
      </c>
      <c r="AO1121" s="468" t="str">
        <f>РПЗ!AD1209</f>
        <v>Нет</v>
      </c>
      <c r="AP1121" s="472">
        <f>РПЗ!V1209</f>
        <v>0</v>
      </c>
      <c r="AQ1121" s="470">
        <f>IF(Таблица5[[#This Row],[11]]=0,,MONTH(Таблица5[[#This Row],[11]]))</f>
        <v>7</v>
      </c>
    </row>
    <row r="1122" spans="1:43" ht="51.75" thickBot="1" x14ac:dyDescent="0.3">
      <c r="A1122" s="233" t="str">
        <f t="shared" si="17"/>
        <v>1004-2017-01107</v>
      </c>
      <c r="B1122" s="959" t="str">
        <f>РПЗ!$D1122</f>
        <v>1004-2017-01107 Поставка Комплект преобразователей линейных перемещений с устройством цифровой индикации 1к-т</v>
      </c>
      <c r="C1122" s="233" t="str">
        <f>РПЗ!$AA1210</f>
        <v>АО "НИИ "Полюс" им. М.Ф. Стельмаха" тел. отдела закупок 8-495-333-05-02</v>
      </c>
      <c r="D1122" s="633" t="str">
        <f>РПЗ!$AB1210</f>
        <v>Заказчик</v>
      </c>
      <c r="E1122" s="96" t="s">
        <v>46</v>
      </c>
      <c r="F1122" s="233" t="str">
        <f>РПЗ!Q1122</f>
        <v>ОЗК</v>
      </c>
      <c r="G1122" s="237"/>
      <c r="H1122" s="237" t="str">
        <f>РПЗ!R1122</f>
        <v>Да</v>
      </c>
      <c r="I1122" s="15">
        <f>РПЗ!W1122</f>
        <v>0</v>
      </c>
      <c r="J1122" s="233">
        <f>РПЗ!X1122</f>
        <v>0</v>
      </c>
      <c r="K1122" s="283">
        <f>РПЗ!Z1122</f>
        <v>0</v>
      </c>
      <c r="L1122" s="17"/>
      <c r="M1122" s="18">
        <f>РПЗ!O1122</f>
        <v>42917</v>
      </c>
      <c r="N1122" s="238">
        <f>Таблица5[[#This Row],[10]]</f>
        <v>42917</v>
      </c>
      <c r="O1122" s="17"/>
      <c r="P1122" s="17"/>
      <c r="Q1122" s="17"/>
      <c r="R1122" s="17"/>
      <c r="S1122" s="17"/>
      <c r="T1122" s="686"/>
      <c r="U1122" s="18">
        <f>РПЗ!P1210</f>
        <v>43070</v>
      </c>
      <c r="V1122" s="686"/>
      <c r="W1122" s="236">
        <f>РПЗ!L1210</f>
        <v>240000</v>
      </c>
      <c r="X1122" s="689"/>
      <c r="Y1122" s="689"/>
      <c r="Z1122" s="690"/>
      <c r="AA1122" s="691"/>
      <c r="AB1122" s="111"/>
      <c r="AC1122" s="17"/>
      <c r="AD1122" s="690"/>
      <c r="AE1122" s="686"/>
      <c r="AF1122" s="474"/>
      <c r="AG1122" s="692"/>
      <c r="AH1122" s="236" t="str">
        <f>IF(Таблица5[[#This Row],[30]]=0,"НД",Таблица5[[#This Row],[20]]-Таблица5[[#This Row],[30]])</f>
        <v>НД</v>
      </c>
      <c r="AI1122" s="511" t="str">
        <f>IF(((1-Таблица5[[#This Row],[30]]/Таблица5[[#This Row],[20]])=1),"НД",(1-Таблица5[[#This Row],[30]]/Таблица5[[#This Row],[20]]))</f>
        <v>НД</v>
      </c>
      <c r="AJ1122" s="111"/>
      <c r="AK1122" s="111"/>
      <c r="AL1122" s="512"/>
      <c r="AM1122" s="513"/>
      <c r="AN1122" s="465"/>
      <c r="AO1122" s="468" t="str">
        <f>РПЗ!AD1210</f>
        <v>Нет</v>
      </c>
      <c r="AP1122" s="472">
        <f>РПЗ!V1210</f>
        <v>0</v>
      </c>
      <c r="AQ1122" s="470">
        <f>IF(Таблица5[[#This Row],[11]]=0,,MONTH(Таблица5[[#This Row],[11]]))</f>
        <v>7</v>
      </c>
    </row>
    <row r="1123" spans="1:43" ht="89.25" x14ac:dyDescent="0.25">
      <c r="A1123" s="233" t="str">
        <f t="shared" si="17"/>
        <v>1004-2017-01108</v>
      </c>
      <c r="B1123" s="959" t="str">
        <f>РПЗ!$D1123</f>
        <v xml:space="preserve">1004-2017-01108 Поставка электроды ЭК1 – 25 - 120 Я2М4.088.172, Электроды ЭК4 – 25 – 120 ПГАМ4.088.005, Электроды ЭК1 – 30 – 140 Я2М4.088.172, Электроды ЭК4 – 30 – 140 ПГАМ4.088.005 </v>
      </c>
      <c r="C1123" s="233" t="str">
        <f>РПЗ!$AA1211</f>
        <v>АО "НИИ "Полюс" им. М.Ф. Стельмаха" тел. отдела закупок 8-495-333-05-02</v>
      </c>
      <c r="D1123" s="633" t="str">
        <f>РПЗ!$AB1211</f>
        <v>Заказчик</v>
      </c>
      <c r="E1123" s="96" t="s">
        <v>46</v>
      </c>
      <c r="F1123" s="233" t="str">
        <f>РПЗ!Q1123</f>
        <v>ОЗК</v>
      </c>
      <c r="G1123" s="237"/>
      <c r="H1123" s="237" t="str">
        <f>РПЗ!R1123</f>
        <v>Да</v>
      </c>
      <c r="I1123" s="15">
        <f>РПЗ!W1123</f>
        <v>0</v>
      </c>
      <c r="J1123" s="233">
        <f>РПЗ!X1123</f>
        <v>0</v>
      </c>
      <c r="K1123" s="283">
        <f>РПЗ!Z1123</f>
        <v>0</v>
      </c>
      <c r="L1123" s="17"/>
      <c r="M1123" s="18">
        <f>РПЗ!O1211</f>
        <v>42948</v>
      </c>
      <c r="N1123" s="238">
        <f>Таблица5[[#This Row],[10]]</f>
        <v>42948</v>
      </c>
      <c r="O1123" s="17"/>
      <c r="P1123" s="17"/>
      <c r="Q1123" s="17"/>
      <c r="R1123" s="17"/>
      <c r="S1123" s="17"/>
      <c r="T1123" s="686"/>
      <c r="U1123" s="18">
        <f>РПЗ!P1211</f>
        <v>43009</v>
      </c>
      <c r="V1123" s="686"/>
      <c r="W1123" s="236">
        <f>РПЗ!L1211</f>
        <v>62111.12</v>
      </c>
      <c r="X1123" s="689"/>
      <c r="Y1123" s="689"/>
      <c r="Z1123" s="690"/>
      <c r="AA1123" s="691"/>
      <c r="AB1123" s="111"/>
      <c r="AC1123" s="17"/>
      <c r="AD1123" s="690"/>
      <c r="AE1123" s="686"/>
      <c r="AF1123" s="474"/>
      <c r="AG1123" s="692"/>
      <c r="AH1123" s="236" t="str">
        <f>IF(Таблица5[[#This Row],[30]]=0,"НД",Таблица5[[#This Row],[20]]-Таблица5[[#This Row],[30]])</f>
        <v>НД</v>
      </c>
      <c r="AI1123" s="511" t="str">
        <f>IF(((1-Таблица5[[#This Row],[30]]/Таблица5[[#This Row],[20]])=1),"НД",(1-Таблица5[[#This Row],[30]]/Таблица5[[#This Row],[20]]))</f>
        <v>НД</v>
      </c>
      <c r="AJ1123" s="111"/>
      <c r="AK1123" s="111"/>
      <c r="AL1123" s="512"/>
      <c r="AM1123" s="513"/>
      <c r="AN1123" s="465"/>
      <c r="AO1123" s="468" t="str">
        <f>РПЗ!AD1211</f>
        <v>Нет</v>
      </c>
      <c r="AP1123" s="472">
        <f>РПЗ!V1211</f>
        <v>0</v>
      </c>
      <c r="AQ1123" s="470">
        <f>IF(Таблица5[[#This Row],[11]]=0,,MONTH(Таблица5[[#This Row],[11]]))</f>
        <v>8</v>
      </c>
    </row>
    <row r="1124" spans="1:43" ht="76.5" x14ac:dyDescent="0.25">
      <c r="A1124" s="233" t="str">
        <f t="shared" si="17"/>
        <v>1004-2017-01109</v>
      </c>
      <c r="B1124" s="959" t="str">
        <f>РПЗ!$D1124</f>
        <v xml:space="preserve">1004-2017-01109 Поставка вертикальный многоступенчатый центробежный насос с нормальным всасыванием типа «ин-лайн» для монтажа на плите- основании  – 1 шт. </v>
      </c>
      <c r="C1124" s="233" t="str">
        <f>РПЗ!$AA1212</f>
        <v>АО "НИИ "Полюс" им. М.Ф. Стельмаха" тел. отдела закупок 8-495-333-05-02</v>
      </c>
      <c r="D1124" s="633" t="str">
        <f>РПЗ!$AB1212</f>
        <v>Заказчик</v>
      </c>
      <c r="E1124" s="510" t="s">
        <v>59</v>
      </c>
      <c r="F1124" s="233" t="str">
        <f>РПЗ!Q1124</f>
        <v>ОЗК</v>
      </c>
      <c r="G1124" s="237" t="str">
        <f>Таблица5[[#This Row],[6]]</f>
        <v>ОЗК</v>
      </c>
      <c r="H1124" s="237" t="str">
        <f>РПЗ!R1124</f>
        <v>Да</v>
      </c>
      <c r="I1124" s="15">
        <f>РПЗ!W1124</f>
        <v>0</v>
      </c>
      <c r="J1124" s="233">
        <f>РПЗ!X1124</f>
        <v>0</v>
      </c>
      <c r="K1124" s="283">
        <f>РПЗ!Z1124</f>
        <v>0</v>
      </c>
      <c r="L1124" s="17">
        <v>42936</v>
      </c>
      <c r="M1124" s="18">
        <f>РПЗ!O1124</f>
        <v>42917</v>
      </c>
      <c r="N1124" s="238">
        <f>Таблица5[[#This Row],[10]]</f>
        <v>42917</v>
      </c>
      <c r="O1124" s="17">
        <v>42942</v>
      </c>
      <c r="P1124" s="17">
        <v>42947</v>
      </c>
      <c r="Q1124" s="17">
        <v>42947</v>
      </c>
      <c r="R1124" s="17">
        <v>42947</v>
      </c>
      <c r="S1124" s="17">
        <v>42947</v>
      </c>
      <c r="T1124" s="686"/>
      <c r="U1124" s="18">
        <f>РПЗ!P1124</f>
        <v>42979</v>
      </c>
      <c r="V1124" s="686"/>
      <c r="W1124" s="236">
        <f>РПЗ!L1124</f>
        <v>80000</v>
      </c>
      <c r="X1124" s="689">
        <v>0</v>
      </c>
      <c r="Y1124" s="689">
        <v>0</v>
      </c>
      <c r="Z1124" s="690"/>
      <c r="AA1124" s="691"/>
      <c r="AB1124" s="111"/>
      <c r="AC1124" s="17"/>
      <c r="AD1124" s="690"/>
      <c r="AE1124" s="686"/>
      <c r="AF1124" s="474"/>
      <c r="AG1124" s="692"/>
      <c r="AH1124" s="236" t="str">
        <f>IF(Таблица5[[#This Row],[30]]=0,"НД",Таблица5[[#This Row],[20]]-Таблица5[[#This Row],[30]])</f>
        <v>НД</v>
      </c>
      <c r="AI1124" s="511" t="str">
        <f>IF(((1-Таблица5[[#This Row],[30]]/Таблица5[[#This Row],[20]])=1),"НД",(1-Таблица5[[#This Row],[30]]/Таблица5[[#This Row],[20]]))</f>
        <v>НД</v>
      </c>
      <c r="AJ1124" s="111"/>
      <c r="AK1124" s="111"/>
      <c r="AL1124" s="512"/>
      <c r="AM1124" s="513" t="s">
        <v>113</v>
      </c>
      <c r="AN1124" s="801">
        <v>31705344201</v>
      </c>
      <c r="AO1124" s="468" t="str">
        <f>РПЗ!AD1212</f>
        <v>Нет</v>
      </c>
      <c r="AP1124" s="472">
        <f>РПЗ!V1212</f>
        <v>0</v>
      </c>
      <c r="AQ1124" s="470">
        <f>IF(Таблица5[[#This Row],[11]]=0,,MONTH(Таблица5[[#This Row],[11]]))</f>
        <v>7</v>
      </c>
    </row>
    <row r="1125" spans="1:43" ht="51" x14ac:dyDescent="0.25">
      <c r="A1125" s="233" t="str">
        <f t="shared" si="17"/>
        <v>1004-2017-01110</v>
      </c>
      <c r="B1125" s="959" t="str">
        <f>РПЗ!$D1125</f>
        <v>1004-2017-01110 Поставка Электроды ЭК1 – 20 - 80   Я2М4.088.172</v>
      </c>
      <c r="C1125" s="233" t="str">
        <f>РПЗ!$AA1213</f>
        <v>АО "НИИ "Полюс" им. М.Ф. Стельмаха" тел. отдела закупок 8-495-333-05-02</v>
      </c>
      <c r="D1125" s="633" t="str">
        <f>РПЗ!$AB1213</f>
        <v>Заказчик</v>
      </c>
      <c r="E1125" s="510" t="s">
        <v>62</v>
      </c>
      <c r="F1125" s="233" t="str">
        <f>РПЗ!Q1125</f>
        <v>ОЗК</v>
      </c>
      <c r="G1125" s="237" t="str">
        <f>Таблица5[[#This Row],[6]]</f>
        <v>ОЗК</v>
      </c>
      <c r="H1125" s="237" t="str">
        <f>РПЗ!R1125</f>
        <v>Да</v>
      </c>
      <c r="I1125" s="15">
        <f>РПЗ!W1125</f>
        <v>0</v>
      </c>
      <c r="J1125" s="233">
        <f>РПЗ!X1125</f>
        <v>0</v>
      </c>
      <c r="K1125" s="283">
        <f>РПЗ!Z1125</f>
        <v>0</v>
      </c>
      <c r="L1125" s="17">
        <v>42926</v>
      </c>
      <c r="M1125" s="18">
        <f>РПЗ!O1125</f>
        <v>42917</v>
      </c>
      <c r="N1125" s="238">
        <f>Таблица5[[#This Row],[10]]</f>
        <v>42917</v>
      </c>
      <c r="O1125" s="17">
        <v>42933</v>
      </c>
      <c r="P1125" s="17">
        <v>42940</v>
      </c>
      <c r="Q1125" s="17">
        <v>42940</v>
      </c>
      <c r="R1125" s="17">
        <v>42933</v>
      </c>
      <c r="S1125" s="17">
        <v>42933</v>
      </c>
      <c r="T1125" s="686">
        <v>42948</v>
      </c>
      <c r="U1125" s="18">
        <f>РПЗ!P1213</f>
        <v>43009</v>
      </c>
      <c r="V1125" s="686">
        <v>42948</v>
      </c>
      <c r="W1125" s="236">
        <f>РПЗ!L1125</f>
        <v>60461</v>
      </c>
      <c r="X1125" s="689">
        <v>1</v>
      </c>
      <c r="Y1125" s="689">
        <v>0</v>
      </c>
      <c r="Z1125" s="691">
        <v>2104007460</v>
      </c>
      <c r="AA1125" s="691" t="s">
        <v>6472</v>
      </c>
      <c r="AB1125" s="111">
        <v>49560</v>
      </c>
      <c r="AC1125" s="17">
        <v>42948</v>
      </c>
      <c r="AD1125" s="690" t="s">
        <v>6813</v>
      </c>
      <c r="AE1125" s="686">
        <v>42948</v>
      </c>
      <c r="AF1125" s="474"/>
      <c r="AG1125" s="692">
        <v>49560</v>
      </c>
      <c r="AH1125" s="236">
        <f>IF(Таблица5[[#This Row],[30]]=0,"НД",Таблица5[[#This Row],[20]]-Таблица5[[#This Row],[30]])</f>
        <v>10901</v>
      </c>
      <c r="AI1125" s="511">
        <f>IF(((1-Таблица5[[#This Row],[30]]/Таблица5[[#This Row],[20]])=1),"НД",(1-Таблица5[[#This Row],[30]]/Таблица5[[#This Row],[20]]))</f>
        <v>0.18029804336679844</v>
      </c>
      <c r="AJ1125" s="111">
        <v>49560</v>
      </c>
      <c r="AK1125" s="111"/>
      <c r="AL1125" s="512"/>
      <c r="AM1125" s="513" t="s">
        <v>113</v>
      </c>
      <c r="AN1125" s="801">
        <v>31705306496</v>
      </c>
      <c r="AO1125" s="468" t="str">
        <f>РПЗ!AD1213</f>
        <v>Нет</v>
      </c>
      <c r="AP1125" s="472">
        <f>РПЗ!V1125</f>
        <v>0</v>
      </c>
      <c r="AQ1125" s="470">
        <f>IF(Таблица5[[#This Row],[11]]=0,,MONTH(Таблица5[[#This Row],[11]]))</f>
        <v>7</v>
      </c>
    </row>
    <row r="1126" spans="1:43" ht="38.25" x14ac:dyDescent="0.25">
      <c r="A1126" s="233" t="str">
        <f t="shared" si="17"/>
        <v>1004-2017-01111</v>
      </c>
      <c r="B1126" s="959" t="str">
        <f>РПЗ!$D1126</f>
        <v>1004-2017-01111 Поставка комплект мебели</v>
      </c>
      <c r="C1126" s="233" t="str">
        <f>РПЗ!$AA1214</f>
        <v>АО "НИИ "Полюс" им. М.Ф. Стельмаха" тел. отдела закупок 8-495-333-05-02</v>
      </c>
      <c r="D1126" s="633" t="str">
        <f>РПЗ!$AB1214</f>
        <v>Заказчик</v>
      </c>
      <c r="E1126" s="510" t="s">
        <v>59</v>
      </c>
      <c r="F1126" s="233" t="str">
        <f>РПЗ!Q1126</f>
        <v>ОЗК</v>
      </c>
      <c r="G1126" s="237" t="str">
        <f>Таблица5[[#This Row],[6]]</f>
        <v>ОЗК</v>
      </c>
      <c r="H1126" s="237" t="str">
        <f>РПЗ!R1126</f>
        <v>Да</v>
      </c>
      <c r="I1126" s="15">
        <f>РПЗ!W1126</f>
        <v>0</v>
      </c>
      <c r="J1126" s="233">
        <f>РПЗ!X1126</f>
        <v>0</v>
      </c>
      <c r="K1126" s="283">
        <f>РПЗ!Z1126</f>
        <v>0</v>
      </c>
      <c r="L1126" s="17">
        <v>42927</v>
      </c>
      <c r="M1126" s="18">
        <f>РПЗ!O1126</f>
        <v>42917</v>
      </c>
      <c r="N1126" s="238">
        <f>Таблица5[[#This Row],[10]]</f>
        <v>42917</v>
      </c>
      <c r="O1126" s="17">
        <v>42933</v>
      </c>
      <c r="P1126" s="17">
        <v>42936</v>
      </c>
      <c r="Q1126" s="17">
        <v>42936</v>
      </c>
      <c r="R1126" s="17">
        <v>42936</v>
      </c>
      <c r="S1126" s="17">
        <v>42936</v>
      </c>
      <c r="T1126" s="686"/>
      <c r="U1126" s="18">
        <f>РПЗ!P1214</f>
        <v>43374</v>
      </c>
      <c r="V1126" s="686"/>
      <c r="W1126" s="236">
        <f>РПЗ!L1214</f>
        <v>310000</v>
      </c>
      <c r="X1126" s="689">
        <v>0</v>
      </c>
      <c r="Y1126" s="689">
        <v>0</v>
      </c>
      <c r="Z1126" s="690"/>
      <c r="AA1126" s="691"/>
      <c r="AB1126" s="111"/>
      <c r="AC1126" s="17"/>
      <c r="AD1126" s="690"/>
      <c r="AE1126" s="686"/>
      <c r="AF1126" s="474"/>
      <c r="AG1126" s="692"/>
      <c r="AH1126" s="236" t="str">
        <f>IF(Таблица5[[#This Row],[30]]=0,"НД",Таблица5[[#This Row],[20]]-Таблица5[[#This Row],[30]])</f>
        <v>НД</v>
      </c>
      <c r="AI1126" s="511" t="str">
        <f>IF(((1-Таблица5[[#This Row],[30]]/Таблица5[[#This Row],[20]])=1),"НД",(1-Таблица5[[#This Row],[30]]/Таблица5[[#This Row],[20]]))</f>
        <v>НД</v>
      </c>
      <c r="AJ1126" s="111"/>
      <c r="AK1126" s="111"/>
      <c r="AL1126" s="512"/>
      <c r="AM1126" s="513" t="s">
        <v>113</v>
      </c>
      <c r="AN1126" s="801">
        <v>31705312376</v>
      </c>
      <c r="AO1126" s="468" t="str">
        <f>РПЗ!AD1214</f>
        <v>Нет</v>
      </c>
      <c r="AP1126" s="472">
        <f>РПЗ!V1214</f>
        <v>0</v>
      </c>
      <c r="AQ1126" s="470">
        <f>IF(Таблица5[[#This Row],[11]]=0,,MONTH(Таблица5[[#This Row],[11]]))</f>
        <v>7</v>
      </c>
    </row>
    <row r="1127" spans="1:43" ht="39" thickBot="1" x14ac:dyDescent="0.3">
      <c r="A1127" s="233" t="str">
        <f t="shared" si="17"/>
        <v>1004-2017-01112</v>
      </c>
      <c r="B1127" s="959" t="str">
        <f>РПЗ!$D1127</f>
        <v>1004-2017-01112Поставка  паяльная станция с принадлежностями</v>
      </c>
      <c r="C1127" s="233" t="str">
        <f>РПЗ!$AA1215</f>
        <v>АО "НИИ "Полюс" им. М.Ф. Стельмаха" тел. отдела закупок 8-495-333-05-02</v>
      </c>
      <c r="D1127" s="633" t="str">
        <f>РПЗ!$AB1215</f>
        <v>Заказчик</v>
      </c>
      <c r="E1127" s="510" t="s">
        <v>59</v>
      </c>
      <c r="F1127" s="233" t="str">
        <f>РПЗ!Q1127</f>
        <v>ОЗК</v>
      </c>
      <c r="G1127" s="237" t="str">
        <f>Таблица5[[#This Row],[6]]</f>
        <v>ОЗК</v>
      </c>
      <c r="H1127" s="237" t="str">
        <f>РПЗ!R1127</f>
        <v>Да</v>
      </c>
      <c r="I1127" s="15">
        <f>РПЗ!W1127</f>
        <v>0</v>
      </c>
      <c r="J1127" s="233">
        <f>РПЗ!X1127</f>
        <v>0</v>
      </c>
      <c r="K1127" s="283">
        <f>РПЗ!Z1127</f>
        <v>0</v>
      </c>
      <c r="L1127" s="17">
        <v>42948</v>
      </c>
      <c r="M1127" s="18">
        <f>РПЗ!O1127</f>
        <v>42949</v>
      </c>
      <c r="N1127" s="238">
        <f>Таблица5[[#This Row],[10]]</f>
        <v>42949</v>
      </c>
      <c r="O1127" s="17">
        <v>42955</v>
      </c>
      <c r="P1127" s="17">
        <v>42961</v>
      </c>
      <c r="Q1127" s="17">
        <v>42961</v>
      </c>
      <c r="R1127" s="17">
        <v>42961</v>
      </c>
      <c r="S1127" s="17">
        <v>42961</v>
      </c>
      <c r="T1127" s="686"/>
      <c r="U1127" s="18">
        <f>РПЗ!P1215</f>
        <v>42982</v>
      </c>
      <c r="V1127" s="686"/>
      <c r="W1127" s="236">
        <f>РПЗ!L1127</f>
        <v>35284.300000000003</v>
      </c>
      <c r="X1127" s="689">
        <v>0</v>
      </c>
      <c r="Y1127" s="689">
        <v>0</v>
      </c>
      <c r="Z1127" s="690"/>
      <c r="AA1127" s="691"/>
      <c r="AB1127" s="111"/>
      <c r="AC1127" s="17"/>
      <c r="AD1127" s="690"/>
      <c r="AE1127" s="686"/>
      <c r="AF1127" s="474"/>
      <c r="AG1127" s="692"/>
      <c r="AH1127" s="236" t="str">
        <f>IF(Таблица5[[#This Row],[30]]=0,"НД",Таблица5[[#This Row],[20]]-Таблица5[[#This Row],[30]])</f>
        <v>НД</v>
      </c>
      <c r="AI1127" s="511" t="str">
        <f>IF(((1-Таблица5[[#This Row],[30]]/Таблица5[[#This Row],[20]])=1),"НД",(1-Таблица5[[#This Row],[30]]/Таблица5[[#This Row],[20]]))</f>
        <v>НД</v>
      </c>
      <c r="AJ1127" s="111"/>
      <c r="AK1127" s="111"/>
      <c r="AL1127" s="512"/>
      <c r="AM1127" s="513" t="s">
        <v>113</v>
      </c>
      <c r="AN1127" s="801">
        <v>31705380998</v>
      </c>
      <c r="AO1127" s="468" t="str">
        <f>РПЗ!AD1215</f>
        <v>Нет</v>
      </c>
      <c r="AP1127" s="472">
        <f>РПЗ!V1215</f>
        <v>0</v>
      </c>
      <c r="AQ1127" s="470">
        <f>IF(Таблица5[[#This Row],[11]]=0,,MONTH(Таблица5[[#This Row],[11]]))</f>
        <v>8</v>
      </c>
    </row>
    <row r="1128" spans="1:43" ht="38.25" x14ac:dyDescent="0.25">
      <c r="A1128" s="233" t="str">
        <f t="shared" si="17"/>
        <v>1004-2017-01113</v>
      </c>
      <c r="B1128" s="959" t="str">
        <f>РПЗ!$D1128</f>
        <v>1004-2017-01113 Поставка монтажный стол</v>
      </c>
      <c r="C1128" s="233" t="str">
        <f>РПЗ!$AA1216</f>
        <v>АО "НИИ "Полюс" им. М.Ф. Стельмаха" тел. отдела закупок 8-495-333-05-02</v>
      </c>
      <c r="D1128" s="633" t="str">
        <f>РПЗ!$AB1216</f>
        <v>Заказчик</v>
      </c>
      <c r="E1128" s="96" t="s">
        <v>46</v>
      </c>
      <c r="F1128" s="233" t="str">
        <f>РПЗ!Q1128</f>
        <v>ОЗК</v>
      </c>
      <c r="G1128" s="237"/>
      <c r="H1128" s="237" t="str">
        <f>РПЗ!R1128</f>
        <v>Да</v>
      </c>
      <c r="I1128" s="15">
        <f>РПЗ!W1128</f>
        <v>0</v>
      </c>
      <c r="J1128" s="233">
        <f>РПЗ!X1128</f>
        <v>0</v>
      </c>
      <c r="K1128" s="283">
        <f>РПЗ!Z1128</f>
        <v>0</v>
      </c>
      <c r="L1128" s="17"/>
      <c r="M1128" s="18">
        <f>РПЗ!O1128</f>
        <v>42948</v>
      </c>
      <c r="N1128" s="238">
        <f>Таблица5[[#This Row],[10]]</f>
        <v>42948</v>
      </c>
      <c r="O1128" s="17"/>
      <c r="P1128" s="17"/>
      <c r="Q1128" s="17"/>
      <c r="R1128" s="17"/>
      <c r="S1128" s="17"/>
      <c r="T1128" s="686"/>
      <c r="U1128" s="18">
        <f>РПЗ!P1216</f>
        <v>42980</v>
      </c>
      <c r="V1128" s="686"/>
      <c r="W1128" s="236">
        <f>РПЗ!L1216</f>
        <v>427000</v>
      </c>
      <c r="X1128" s="689"/>
      <c r="Y1128" s="689"/>
      <c r="Z1128" s="690"/>
      <c r="AA1128" s="691"/>
      <c r="AB1128" s="111"/>
      <c r="AC1128" s="17"/>
      <c r="AD1128" s="690"/>
      <c r="AE1128" s="686"/>
      <c r="AF1128" s="474"/>
      <c r="AG1128" s="692"/>
      <c r="AH1128" s="236" t="str">
        <f>IF(Таблица5[[#This Row],[30]]=0,"НД",Таблица5[[#This Row],[20]]-Таблица5[[#This Row],[30]])</f>
        <v>НД</v>
      </c>
      <c r="AI1128" s="511" t="str">
        <f>IF(((1-Таблица5[[#This Row],[30]]/Таблица5[[#This Row],[20]])=1),"НД",(1-Таблица5[[#This Row],[30]]/Таблица5[[#This Row],[20]]))</f>
        <v>НД</v>
      </c>
      <c r="AJ1128" s="111"/>
      <c r="AK1128" s="111"/>
      <c r="AL1128" s="512"/>
      <c r="AM1128" s="513"/>
      <c r="AN1128" s="465"/>
      <c r="AO1128" s="468" t="str">
        <f>РПЗ!AD1216</f>
        <v>Нет</v>
      </c>
      <c r="AP1128" s="472">
        <f>РПЗ!V1216</f>
        <v>0</v>
      </c>
      <c r="AQ1128" s="470">
        <f>IF(Таблица5[[#This Row],[11]]=0,,MONTH(Таблица5[[#This Row],[11]]))</f>
        <v>8</v>
      </c>
    </row>
    <row r="1129" spans="1:43" ht="39" thickBot="1" x14ac:dyDescent="0.3">
      <c r="A1129" s="233" t="str">
        <f t="shared" si="17"/>
        <v>1004-2017-01114</v>
      </c>
      <c r="B1129" s="959" t="str">
        <f>РПЗ!$D1129</f>
        <v>1004-2017-01114 Поставка комплект радиоизмерительных приборов и монтажного оборудования</v>
      </c>
      <c r="C1129" s="233" t="str">
        <f>РПЗ!$AA1217</f>
        <v>АО "НИИ "Полюс" им. М.Ф. Стельмаха" тел. отдела закупок 8-495-333-05-02</v>
      </c>
      <c r="D1129" s="633" t="str">
        <f>РПЗ!$AB1217</f>
        <v>Заказчик</v>
      </c>
      <c r="E1129" s="510" t="s">
        <v>62</v>
      </c>
      <c r="F1129" s="233" t="str">
        <f>РПЗ!Q1129</f>
        <v>ОЗК</v>
      </c>
      <c r="G1129" s="237" t="str">
        <f>Таблица5[[#This Row],[6]]</f>
        <v>ОЗК</v>
      </c>
      <c r="H1129" s="237" t="str">
        <f>РПЗ!R1129</f>
        <v>Да</v>
      </c>
      <c r="I1129" s="15">
        <f>РПЗ!W1129</f>
        <v>0</v>
      </c>
      <c r="J1129" s="233">
        <f>РПЗ!X1129</f>
        <v>0</v>
      </c>
      <c r="K1129" s="283">
        <f>РПЗ!Z1129</f>
        <v>0</v>
      </c>
      <c r="L1129" s="17">
        <v>42928</v>
      </c>
      <c r="M1129" s="18">
        <f>РПЗ!O1129</f>
        <v>42917</v>
      </c>
      <c r="N1129" s="238">
        <f>Таблица5[[#This Row],[10]]</f>
        <v>42917</v>
      </c>
      <c r="O1129" s="17">
        <v>42934</v>
      </c>
      <c r="P1129" s="17">
        <v>42937</v>
      </c>
      <c r="Q1129" s="17">
        <v>42937</v>
      </c>
      <c r="R1129" s="17">
        <v>42937</v>
      </c>
      <c r="S1129" s="17">
        <v>42937</v>
      </c>
      <c r="T1129" s="686">
        <v>42954</v>
      </c>
      <c r="U1129" s="18">
        <f>РПЗ!P1217</f>
        <v>42948</v>
      </c>
      <c r="V1129" s="686">
        <v>43009</v>
      </c>
      <c r="W1129" s="236">
        <f>РПЗ!L1129</f>
        <v>530700.34</v>
      </c>
      <c r="X1129" s="689">
        <v>2</v>
      </c>
      <c r="Y1129" s="689">
        <v>0</v>
      </c>
      <c r="Z1129" s="691">
        <v>7709526445</v>
      </c>
      <c r="AA1129" s="691" t="s">
        <v>6799</v>
      </c>
      <c r="AB1129" s="111">
        <v>490880</v>
      </c>
      <c r="AC1129" s="17">
        <v>43009</v>
      </c>
      <c r="AD1129" s="690" t="s">
        <v>6800</v>
      </c>
      <c r="AE1129" s="686">
        <v>42954</v>
      </c>
      <c r="AF1129" s="474"/>
      <c r="AG1129" s="692">
        <v>490880</v>
      </c>
      <c r="AH1129" s="236">
        <f>IF(Таблица5[[#This Row],[30]]=0,"НД",Таблица5[[#This Row],[20]]-Таблица5[[#This Row],[30]])</f>
        <v>39820.339999999967</v>
      </c>
      <c r="AI1129" s="511">
        <f>IF(((1-Таблица5[[#This Row],[30]]/Таблица5[[#This Row],[20]])=1),"НД",(1-Таблица5[[#This Row],[30]]/Таблица5[[#This Row],[20]]))</f>
        <v>7.5033567907644372E-2</v>
      </c>
      <c r="AJ1129" s="111">
        <v>490880</v>
      </c>
      <c r="AK1129" s="111"/>
      <c r="AL1129" s="512"/>
      <c r="AM1129" s="513" t="s">
        <v>113</v>
      </c>
      <c r="AN1129" s="801">
        <v>31705317272</v>
      </c>
      <c r="AO1129" s="468" t="str">
        <f>РПЗ!AD1217</f>
        <v>Нет</v>
      </c>
      <c r="AP1129" s="472">
        <f>РПЗ!V1217</f>
        <v>0</v>
      </c>
      <c r="AQ1129" s="470">
        <f>IF(Таблица5[[#This Row],[11]]=0,,MONTH(Таблица5[[#This Row],[11]]))</f>
        <v>7</v>
      </c>
    </row>
    <row r="1130" spans="1:43" ht="38.25" x14ac:dyDescent="0.25">
      <c r="A1130" s="233" t="str">
        <f t="shared" si="17"/>
        <v>1004-2017-01115</v>
      </c>
      <c r="B1130" s="959" t="str">
        <f>РПЗ!$D1130</f>
        <v>1004-2017-01115 Поставка источник питания ГИТП 500-30 (10)x12P-220П</v>
      </c>
      <c r="C1130" s="233" t="str">
        <f>РПЗ!$AA1218</f>
        <v>АО "НИИ "Полюс" им. М.Ф. Стельмаха" тел. отдела закупок 8-495-333-05-02</v>
      </c>
      <c r="D1130" s="633" t="str">
        <f>РПЗ!$AB1218</f>
        <v>Заказчик</v>
      </c>
      <c r="E1130" s="96" t="s">
        <v>46</v>
      </c>
      <c r="F1130" s="233" t="str">
        <f>РПЗ!Q1130</f>
        <v>ОЗК</v>
      </c>
      <c r="G1130" s="237"/>
      <c r="H1130" s="237" t="str">
        <f>РПЗ!R1130</f>
        <v>Да</v>
      </c>
      <c r="I1130" s="15">
        <f>РПЗ!W1130</f>
        <v>0</v>
      </c>
      <c r="J1130" s="233">
        <f>РПЗ!X1130</f>
        <v>0</v>
      </c>
      <c r="K1130" s="283">
        <f>РПЗ!Z1130</f>
        <v>0</v>
      </c>
      <c r="L1130" s="17"/>
      <c r="M1130" s="18">
        <f>РПЗ!O1130</f>
        <v>42948</v>
      </c>
      <c r="N1130" s="238">
        <f>Таблица5[[#This Row],[10]]</f>
        <v>42948</v>
      </c>
      <c r="O1130" s="17"/>
      <c r="P1130" s="17"/>
      <c r="Q1130" s="17"/>
      <c r="R1130" s="17"/>
      <c r="S1130" s="17"/>
      <c r="T1130" s="686"/>
      <c r="U1130" s="18">
        <f>РПЗ!P1218</f>
        <v>42948</v>
      </c>
      <c r="V1130" s="686"/>
      <c r="W1130" s="236">
        <f>РПЗ!L1218</f>
        <v>4497000</v>
      </c>
      <c r="X1130" s="689"/>
      <c r="Y1130" s="689"/>
      <c r="Z1130" s="690"/>
      <c r="AA1130" s="691"/>
      <c r="AB1130" s="111"/>
      <c r="AC1130" s="17"/>
      <c r="AD1130" s="690"/>
      <c r="AE1130" s="686"/>
      <c r="AF1130" s="474"/>
      <c r="AG1130" s="692"/>
      <c r="AH1130" s="236" t="str">
        <f>IF(Таблица5[[#This Row],[30]]=0,"НД",Таблица5[[#This Row],[20]]-Таблица5[[#This Row],[30]])</f>
        <v>НД</v>
      </c>
      <c r="AI1130" s="511" t="str">
        <f>IF(((1-Таблица5[[#This Row],[30]]/Таблица5[[#This Row],[20]])=1),"НД",(1-Таблица5[[#This Row],[30]]/Таблица5[[#This Row],[20]]))</f>
        <v>НД</v>
      </c>
      <c r="AJ1130" s="111"/>
      <c r="AK1130" s="111"/>
      <c r="AL1130" s="512"/>
      <c r="AM1130" s="513"/>
      <c r="AN1130" s="465"/>
      <c r="AO1130" s="468" t="str">
        <f>РПЗ!AD1218</f>
        <v>Нет</v>
      </c>
      <c r="AP1130" s="472">
        <f>РПЗ!V1218</f>
        <v>0</v>
      </c>
      <c r="AQ1130" s="470">
        <f>IF(Таблица5[[#This Row],[11]]=0,,MONTH(Таблица5[[#This Row],[11]]))</f>
        <v>8</v>
      </c>
    </row>
    <row r="1131" spans="1:43" ht="38.25" x14ac:dyDescent="0.25">
      <c r="A1131" s="233" t="str">
        <f t="shared" si="17"/>
        <v>1004-2017-01116</v>
      </c>
      <c r="B1131" s="959" t="str">
        <f>РПЗ!$D1131</f>
        <v>1004-2017-01116Поставка  вилочный автопогрузчик</v>
      </c>
      <c r="C1131" s="233" t="str">
        <f>РПЗ!$AA1219</f>
        <v>АО "НИИ "Полюс" им. М.Ф. Стельмаха" тел. отдела закупок 8-495-333-05-02</v>
      </c>
      <c r="D1131" s="633" t="str">
        <f>РПЗ!$AB1219</f>
        <v>Заказчик</v>
      </c>
      <c r="E1131" s="510" t="s">
        <v>62</v>
      </c>
      <c r="F1131" s="233" t="str">
        <f>РПЗ!Q1131</f>
        <v>ОЗК</v>
      </c>
      <c r="G1131" s="237" t="str">
        <f>Таблица5[[#This Row],[6]]</f>
        <v>ОЗК</v>
      </c>
      <c r="H1131" s="237" t="str">
        <f>РПЗ!R1131</f>
        <v>Да</v>
      </c>
      <c r="I1131" s="15">
        <f>РПЗ!W1131</f>
        <v>0</v>
      </c>
      <c r="J1131" s="233">
        <f>РПЗ!X1131</f>
        <v>0</v>
      </c>
      <c r="K1131" s="283">
        <f>РПЗ!Z1131</f>
        <v>0</v>
      </c>
      <c r="L1131" s="17">
        <v>42948</v>
      </c>
      <c r="M1131" s="18">
        <f>РПЗ!O1131</f>
        <v>42949</v>
      </c>
      <c r="N1131" s="238">
        <f>Таблица5[[#This Row],[10]]</f>
        <v>42949</v>
      </c>
      <c r="O1131" s="17">
        <v>42955</v>
      </c>
      <c r="P1131" s="17">
        <v>42961</v>
      </c>
      <c r="Q1131" s="17">
        <v>42961</v>
      </c>
      <c r="R1131" s="17">
        <v>42956</v>
      </c>
      <c r="S1131" s="17">
        <v>42956</v>
      </c>
      <c r="T1131" s="686">
        <v>42969</v>
      </c>
      <c r="U1131" s="18">
        <f>РПЗ!P1131</f>
        <v>42979</v>
      </c>
      <c r="V1131" s="686">
        <v>43009</v>
      </c>
      <c r="W1131" s="236">
        <f>РПЗ!L1131</f>
        <v>3790000</v>
      </c>
      <c r="X1131" s="689">
        <v>1</v>
      </c>
      <c r="Y1131" s="689">
        <v>0</v>
      </c>
      <c r="Z1131" s="691">
        <v>7729588182</v>
      </c>
      <c r="AA1131" s="691" t="s">
        <v>6787</v>
      </c>
      <c r="AB1131" s="111">
        <v>3790000</v>
      </c>
      <c r="AC1131" s="17">
        <v>43009</v>
      </c>
      <c r="AD1131" s="690" t="s">
        <v>6788</v>
      </c>
      <c r="AE1131" s="686">
        <v>42969</v>
      </c>
      <c r="AF1131" s="474"/>
      <c r="AG1131" s="692">
        <v>3790000</v>
      </c>
      <c r="AH1131" s="236">
        <f>IF(Таблица5[[#This Row],[30]]=0,"НД",Таблица5[[#This Row],[20]]-Таблица5[[#This Row],[30]])</f>
        <v>0</v>
      </c>
      <c r="AI1131" s="511">
        <f>IF(((1-Таблица5[[#This Row],[30]]/Таблица5[[#This Row],[20]])=1),"НД",(1-Таблица5[[#This Row],[30]]/Таблица5[[#This Row],[20]]))</f>
        <v>0</v>
      </c>
      <c r="AJ1131" s="111"/>
      <c r="AK1131" s="111"/>
      <c r="AL1131" s="512"/>
      <c r="AM1131" s="513" t="s">
        <v>113</v>
      </c>
      <c r="AN1131" s="801">
        <v>31705382344</v>
      </c>
      <c r="AO1131" s="468" t="str">
        <f>РПЗ!AD1219</f>
        <v>Нет</v>
      </c>
      <c r="AP1131" s="472">
        <f>РПЗ!V1219</f>
        <v>0</v>
      </c>
      <c r="AQ1131" s="470">
        <f>IF(Таблица5[[#This Row],[11]]=0,,MONTH(Таблица5[[#This Row],[11]]))</f>
        <v>8</v>
      </c>
    </row>
    <row r="1132" spans="1:43" ht="39" thickBot="1" x14ac:dyDescent="0.3">
      <c r="A1132" s="233" t="str">
        <f t="shared" si="17"/>
        <v>1004-2017-01117</v>
      </c>
      <c r="B1132" s="959" t="str">
        <f>РПЗ!$D1132</f>
        <v>1004-2017-01117 Поставка Корпус ЖГДК.711314.001</v>
      </c>
      <c r="C1132" s="233" t="str">
        <f>РПЗ!$AA1220</f>
        <v>АО "НИИ "Полюс" им. М.Ф. Стельмаха" тел. отдела закупок 8-495-333-05-02</v>
      </c>
      <c r="D1132" s="633" t="str">
        <f>РПЗ!$AB1220</f>
        <v>Заказчик</v>
      </c>
      <c r="E1132" s="510" t="s">
        <v>62</v>
      </c>
      <c r="F1132" s="233" t="str">
        <f>РПЗ!Q1132</f>
        <v>ЕП</v>
      </c>
      <c r="G1132" s="237" t="str">
        <f>Таблица5[[#This Row],[6]]</f>
        <v>ЕП</v>
      </c>
      <c r="H1132" s="237" t="str">
        <f>РПЗ!R1132</f>
        <v>Нет</v>
      </c>
      <c r="I1132" s="15" t="str">
        <f>РПЗ!W1132</f>
        <v>6.6.2(9)</v>
      </c>
      <c r="J1132" s="233" t="str">
        <f>РПЗ!X1132</f>
        <v>7729746311</v>
      </c>
      <c r="K1132" s="283">
        <f>РПЗ!Z1132</f>
        <v>462000</v>
      </c>
      <c r="L1132" s="17">
        <v>42937</v>
      </c>
      <c r="M1132" s="18">
        <f>РПЗ!O1132</f>
        <v>42919</v>
      </c>
      <c r="N1132" s="238">
        <f>Таблица5[[#This Row],[10]]</f>
        <v>42919</v>
      </c>
      <c r="O1132" s="17"/>
      <c r="P1132" s="17"/>
      <c r="Q1132" s="17"/>
      <c r="R1132" s="17"/>
      <c r="S1132" s="17"/>
      <c r="T1132" s="686">
        <v>42942</v>
      </c>
      <c r="U1132" s="18">
        <f>РПЗ!P1132</f>
        <v>43100</v>
      </c>
      <c r="V1132" s="686">
        <v>42948</v>
      </c>
      <c r="W1132" s="236">
        <f>РПЗ!L1132</f>
        <v>462000</v>
      </c>
      <c r="X1132" s="689">
        <v>1</v>
      </c>
      <c r="Y1132" s="689">
        <v>0</v>
      </c>
      <c r="Z1132" s="691">
        <v>7729746311</v>
      </c>
      <c r="AA1132" s="691" t="s">
        <v>5132</v>
      </c>
      <c r="AB1132" s="111">
        <v>462000</v>
      </c>
      <c r="AC1132" s="17">
        <v>42948</v>
      </c>
      <c r="AD1132" s="690" t="s">
        <v>6434</v>
      </c>
      <c r="AE1132" s="686">
        <v>42942</v>
      </c>
      <c r="AF1132" s="474"/>
      <c r="AG1132" s="692">
        <v>462000</v>
      </c>
      <c r="AH1132" s="236">
        <f>IF(Таблица5[[#This Row],[30]]=0,"НД",Таблица5[[#This Row],[20]]-Таблица5[[#This Row],[30]])</f>
        <v>0</v>
      </c>
      <c r="AI1132" s="511">
        <f>IF(((1-Таблица5[[#This Row],[30]]/Таблица5[[#This Row],[20]])=1),"НД",(1-Таблица5[[#This Row],[30]]/Таблица5[[#This Row],[20]]))</f>
        <v>0</v>
      </c>
      <c r="AJ1132" s="111">
        <v>462000</v>
      </c>
      <c r="AK1132" s="111"/>
      <c r="AL1132" s="512"/>
      <c r="AM1132" s="513" t="s">
        <v>113</v>
      </c>
      <c r="AN1132" s="801">
        <v>31705352373</v>
      </c>
      <c r="AO1132" s="468" t="str">
        <f>РПЗ!AD1132</f>
        <v>Нет</v>
      </c>
      <c r="AP1132" s="472" t="str">
        <f>РПЗ!V1132</f>
        <v>ГОЗ</v>
      </c>
      <c r="AQ1132" s="470">
        <f>IF(Таблица5[[#This Row],[11]]=0,,MONTH(Таблица5[[#This Row],[11]]))</f>
        <v>7</v>
      </c>
    </row>
    <row r="1133" spans="1:43" ht="38.25" x14ac:dyDescent="0.25">
      <c r="A1133" s="233" t="str">
        <f t="shared" si="17"/>
        <v>1004-2017-01118</v>
      </c>
      <c r="B1133" s="959" t="str">
        <f>РПЗ!$D1133</f>
        <v>1004-2017-01118 Поставка Оптические детали</v>
      </c>
      <c r="C1133" s="233" t="str">
        <f>РПЗ!$AA1221</f>
        <v>АО "НИИ "Полюс" им. М.Ф. Стельмаха" тел. отдела закупок 8-495-333-05-02</v>
      </c>
      <c r="D1133" s="633" t="str">
        <f>РПЗ!$AB1221</f>
        <v>Заказчик</v>
      </c>
      <c r="E1133" s="96" t="s">
        <v>46</v>
      </c>
      <c r="F1133" s="233" t="str">
        <f>РПЗ!Q1133</f>
        <v>ЕП</v>
      </c>
      <c r="G1133" s="237"/>
      <c r="H1133" s="237" t="str">
        <f>РПЗ!R1133</f>
        <v>Нет</v>
      </c>
      <c r="I1133" s="15">
        <f>РПЗ!W1133</f>
        <v>0</v>
      </c>
      <c r="J1133" s="233">
        <f>РПЗ!X1133</f>
        <v>0</v>
      </c>
      <c r="K1133" s="283">
        <f>РПЗ!Z1133</f>
        <v>0</v>
      </c>
      <c r="L1133" s="17"/>
      <c r="M1133" s="18">
        <f>РПЗ!O1221</f>
        <v>42948</v>
      </c>
      <c r="N1133" s="238">
        <f>Таблица5[[#This Row],[10]]</f>
        <v>42948</v>
      </c>
      <c r="O1133" s="17"/>
      <c r="P1133" s="17"/>
      <c r="Q1133" s="17"/>
      <c r="R1133" s="17"/>
      <c r="S1133" s="17"/>
      <c r="T1133" s="686"/>
      <c r="U1133" s="18">
        <f>РПЗ!P1221</f>
        <v>43100.5</v>
      </c>
      <c r="V1133" s="686"/>
      <c r="W1133" s="236">
        <f>РПЗ!L1221</f>
        <v>40500000</v>
      </c>
      <c r="X1133" s="689"/>
      <c r="Y1133" s="689"/>
      <c r="Z1133" s="690"/>
      <c r="AA1133" s="691"/>
      <c r="AB1133" s="111"/>
      <c r="AC1133" s="17"/>
      <c r="AD1133" s="690"/>
      <c r="AE1133" s="686"/>
      <c r="AF1133" s="474"/>
      <c r="AG1133" s="692"/>
      <c r="AH1133" s="236" t="str">
        <f>IF(Таблица5[[#This Row],[30]]=0,"НД",Таблица5[[#This Row],[20]]-Таблица5[[#This Row],[30]])</f>
        <v>НД</v>
      </c>
      <c r="AI1133" s="511" t="str">
        <f>IF(((1-Таблица5[[#This Row],[30]]/Таблица5[[#This Row],[20]])=1),"НД",(1-Таблица5[[#This Row],[30]]/Таблица5[[#This Row],[20]]))</f>
        <v>НД</v>
      </c>
      <c r="AJ1133" s="111"/>
      <c r="AK1133" s="111"/>
      <c r="AL1133" s="512"/>
      <c r="AM1133" s="513"/>
      <c r="AN1133" s="465"/>
      <c r="AO1133" s="468" t="str">
        <f>РПЗ!AD1221</f>
        <v>Нет</v>
      </c>
      <c r="AP1133" s="472">
        <f>РПЗ!V1221</f>
        <v>0</v>
      </c>
      <c r="AQ1133" s="470">
        <f>IF(Таблица5[[#This Row],[11]]=0,,MONTH(Таблица5[[#This Row],[11]]))</f>
        <v>8</v>
      </c>
    </row>
    <row r="1134" spans="1:43" ht="89.25" x14ac:dyDescent="0.25">
      <c r="A1134" s="233" t="str">
        <f t="shared" si="17"/>
        <v>1004-2017-01119</v>
      </c>
      <c r="B1134" s="959" t="str">
        <f>РПЗ!$D1134</f>
        <v>1004-2017-01119 проведение ремонтно-строительных работ в помещения АО "НИИ "Полюс" им. М.Ф. Стельмаха": корпус 2 (БК), 4-й этаж, помещения №417, 419, 421, коридор, туалет; корпус 3 (ЛК), 5-й этаж, помещение №9</v>
      </c>
      <c r="C1134" s="233" t="str">
        <f>РПЗ!$AA1134</f>
        <v>АО "НИИ "Полюс" им. М.Ф. Стельмаха" тел. отдела закупок 8-495-333-05-02</v>
      </c>
      <c r="D1134" s="633" t="str">
        <f>РПЗ!$AB1134</f>
        <v>Заказчик</v>
      </c>
      <c r="E1134" s="510" t="s">
        <v>62</v>
      </c>
      <c r="F1134" s="233" t="str">
        <f>РПЗ!Q1134</f>
        <v>ОЗП</v>
      </c>
      <c r="G1134" s="237" t="s">
        <v>106</v>
      </c>
      <c r="H1134" s="237" t="str">
        <f>РПЗ!R1134</f>
        <v>Да</v>
      </c>
      <c r="I1134" s="15">
        <f>РПЗ!W1134</f>
        <v>0</v>
      </c>
      <c r="J1134" s="233">
        <f>РПЗ!X1134</f>
        <v>0</v>
      </c>
      <c r="K1134" s="283">
        <f>РПЗ!Z1134</f>
        <v>0</v>
      </c>
      <c r="L1134" s="17">
        <v>42948</v>
      </c>
      <c r="M1134" s="18" t="e">
        <f>РПЗ!#REF!</f>
        <v>#REF!</v>
      </c>
      <c r="N1134" s="238" t="e">
        <f>Таблица5[[#This Row],[10]]</f>
        <v>#REF!</v>
      </c>
      <c r="O1134" s="17">
        <v>42961</v>
      </c>
      <c r="P1134" s="17">
        <v>42964</v>
      </c>
      <c r="Q1134" s="17">
        <v>42964</v>
      </c>
      <c r="R1134" s="17">
        <v>42969</v>
      </c>
      <c r="S1134" s="17">
        <v>42969</v>
      </c>
      <c r="T1134" s="686">
        <v>42982</v>
      </c>
      <c r="U1134" s="18" t="e">
        <f>РПЗ!#REF!</f>
        <v>#REF!</v>
      </c>
      <c r="V1134" s="686">
        <v>43009</v>
      </c>
      <c r="W1134" s="236" t="e">
        <f>РПЗ!#REF!</f>
        <v>#REF!</v>
      </c>
      <c r="X1134" s="689">
        <v>1</v>
      </c>
      <c r="Y1134" s="689">
        <v>0</v>
      </c>
      <c r="Z1134" s="691">
        <v>7710023855</v>
      </c>
      <c r="AA1134" s="691" t="s">
        <v>8207</v>
      </c>
      <c r="AB1134" s="111">
        <v>2228715.7999999998</v>
      </c>
      <c r="AC1134" s="17">
        <v>43009</v>
      </c>
      <c r="AD1134" s="690" t="s">
        <v>8208</v>
      </c>
      <c r="AE1134" s="686">
        <v>42982</v>
      </c>
      <c r="AF1134" s="474"/>
      <c r="AG1134" s="692">
        <v>2228715.7999999998</v>
      </c>
      <c r="AH1134" s="236" t="e">
        <f>IF(Таблица5[[#This Row],[30]]=0,"НД",Таблица5[[#This Row],[20]]-Таблица5[[#This Row],[30]])</f>
        <v>#REF!</v>
      </c>
      <c r="AI1134" s="511" t="e">
        <f>IF(((1-Таблица5[[#This Row],[30]]/Таблица5[[#This Row],[20]])=1),"НД",(1-Таблица5[[#This Row],[30]]/Таблица5[[#This Row],[20]]))</f>
        <v>#REF!</v>
      </c>
      <c r="AJ1134" s="111">
        <v>2228715.7999999998</v>
      </c>
      <c r="AK1134" s="111"/>
      <c r="AL1134" s="512"/>
      <c r="AM1134" s="513" t="s">
        <v>113</v>
      </c>
      <c r="AN1134" s="801">
        <v>31705381412</v>
      </c>
      <c r="AO1134" s="468" t="e">
        <f>РПЗ!#REF!</f>
        <v>#REF!</v>
      </c>
      <c r="AP1134" s="472" t="e">
        <f>РПЗ!#REF!</f>
        <v>#REF!</v>
      </c>
      <c r="AQ1134" s="470" t="e">
        <f>IF(Таблица5[[#This Row],[11]]=0,,MONTH(Таблица5[[#This Row],[11]]))</f>
        <v>#REF!</v>
      </c>
    </row>
    <row r="1135" spans="1:43" ht="38.25" x14ac:dyDescent="0.25">
      <c r="A1135" s="233" t="str">
        <f t="shared" si="17"/>
        <v>1004-2017-01120</v>
      </c>
      <c r="B1135" s="959" t="str">
        <f>РПЗ!$D1135</f>
        <v>1004-2017-01120 Поставка Офисная мебель</v>
      </c>
      <c r="C1135" s="233" t="str">
        <f>РПЗ!$AA1135</f>
        <v>АО "НИИ "Полюс" им. М.Ф. Стельмаха" тел. отдела закупок 8-495-333-05-02</v>
      </c>
      <c r="D1135" s="633" t="str">
        <f>РПЗ!$AB1135</f>
        <v>Заказчик</v>
      </c>
      <c r="E1135" s="510" t="s">
        <v>62</v>
      </c>
      <c r="F1135" s="233" t="str">
        <f>РПЗ!Q1135</f>
        <v>ОЗК</v>
      </c>
      <c r="G1135" s="237" t="str">
        <f>Таблица5[[#This Row],[6]]</f>
        <v>ОЗК</v>
      </c>
      <c r="H1135" s="237" t="str">
        <f>РПЗ!R1135</f>
        <v>Да</v>
      </c>
      <c r="I1135" s="15">
        <f>РПЗ!W1135</f>
        <v>0</v>
      </c>
      <c r="J1135" s="233">
        <f>РПЗ!X1135</f>
        <v>0</v>
      </c>
      <c r="K1135" s="283">
        <f>РПЗ!Z1135</f>
        <v>0</v>
      </c>
      <c r="L1135" s="17">
        <v>42936</v>
      </c>
      <c r="M1135" s="18">
        <f>РПЗ!O1135</f>
        <v>42919</v>
      </c>
      <c r="N1135" s="238">
        <f>Таблица5[[#This Row],[10]]</f>
        <v>42919</v>
      </c>
      <c r="O1135" s="17">
        <v>42942</v>
      </c>
      <c r="P1135" s="17">
        <v>42947</v>
      </c>
      <c r="Q1135" s="17">
        <v>42947</v>
      </c>
      <c r="R1135" s="17">
        <v>42943</v>
      </c>
      <c r="S1135" s="17">
        <v>42943</v>
      </c>
      <c r="T1135" s="686">
        <v>42958</v>
      </c>
      <c r="U1135" s="18">
        <f>РПЗ!P1135</f>
        <v>42978</v>
      </c>
      <c r="V1135" s="686">
        <v>43070</v>
      </c>
      <c r="W1135" s="236">
        <f>РПЗ!L1135</f>
        <v>163368.70000000001</v>
      </c>
      <c r="X1135" s="689">
        <v>3</v>
      </c>
      <c r="Y1135" s="689">
        <v>0</v>
      </c>
      <c r="Z1135" s="691">
        <v>7733536148</v>
      </c>
      <c r="AA1135" s="691" t="s">
        <v>6793</v>
      </c>
      <c r="AB1135" s="111">
        <v>91519.46</v>
      </c>
      <c r="AC1135" s="17">
        <v>43070</v>
      </c>
      <c r="AD1135" s="690" t="s">
        <v>6794</v>
      </c>
      <c r="AE1135" s="686">
        <v>42958</v>
      </c>
      <c r="AF1135" s="474"/>
      <c r="AG1135" s="692">
        <v>91519.46</v>
      </c>
      <c r="AH1135" s="236">
        <f>IF(Таблица5[[#This Row],[30]]=0,"НД",Таблица5[[#This Row],[20]]-Таблица5[[#This Row],[30]])</f>
        <v>71849.240000000005</v>
      </c>
      <c r="AI1135" s="511">
        <f>IF(((1-Таблица5[[#This Row],[30]]/Таблица5[[#This Row],[20]])=1),"НД",(1-Таблица5[[#This Row],[30]]/Таблица5[[#This Row],[20]]))</f>
        <v>0.43979807637570723</v>
      </c>
      <c r="AJ1135" s="111">
        <v>91519.46</v>
      </c>
      <c r="AK1135" s="111"/>
      <c r="AL1135" s="512"/>
      <c r="AM1135" s="513" t="s">
        <v>113</v>
      </c>
      <c r="AN1135" s="801">
        <v>31705345640</v>
      </c>
      <c r="AO1135" s="468" t="str">
        <f>РПЗ!AD1274</f>
        <v>Нет</v>
      </c>
      <c r="AP1135" s="472">
        <f>РПЗ!V1274</f>
        <v>0</v>
      </c>
      <c r="AQ1135" s="470">
        <f>IF(Таблица5[[#This Row],[11]]=0,,MONTH(Таблица5[[#This Row],[11]]))</f>
        <v>7</v>
      </c>
    </row>
    <row r="1136" spans="1:43" ht="38.25" x14ac:dyDescent="0.25">
      <c r="A1136" s="233" t="str">
        <f t="shared" si="17"/>
        <v>1004-2017-01121</v>
      </c>
      <c r="B1136" s="959" t="str">
        <f>РПЗ!$D1136</f>
        <v>1004-2017-01121 Поставка Комплект промышленной мебели</v>
      </c>
      <c r="C1136" s="233" t="str">
        <f>РПЗ!$AA1136</f>
        <v>АО "НИИ "Полюс" им. М.Ф. Стельмаха" тел. отдела закупок 8-495-333-05-02</v>
      </c>
      <c r="D1136" s="633" t="str">
        <f>РПЗ!$AB1136</f>
        <v>Заказчик</v>
      </c>
      <c r="E1136" s="510" t="s">
        <v>59</v>
      </c>
      <c r="F1136" s="233" t="str">
        <f>РПЗ!Q1136</f>
        <v>ОЗК</v>
      </c>
      <c r="G1136" s="237" t="str">
        <f>Таблица5[[#This Row],[6]]</f>
        <v>ОЗК</v>
      </c>
      <c r="H1136" s="237" t="str">
        <f>РПЗ!R1136</f>
        <v>Да</v>
      </c>
      <c r="I1136" s="15">
        <f>РПЗ!W1136</f>
        <v>0</v>
      </c>
      <c r="J1136" s="233">
        <f>РПЗ!X1136</f>
        <v>0</v>
      </c>
      <c r="K1136" s="283">
        <f>РПЗ!Z1136</f>
        <v>0</v>
      </c>
      <c r="L1136" s="17">
        <v>42921</v>
      </c>
      <c r="M1136" s="18">
        <f>РПЗ!O1136</f>
        <v>42917</v>
      </c>
      <c r="N1136" s="238">
        <f>Таблица5[[#This Row],[10]]</f>
        <v>42917</v>
      </c>
      <c r="O1136" s="17">
        <v>42927</v>
      </c>
      <c r="P1136" s="17">
        <v>42930</v>
      </c>
      <c r="Q1136" s="17">
        <v>42930</v>
      </c>
      <c r="R1136" s="17">
        <v>42930</v>
      </c>
      <c r="S1136" s="17">
        <v>42930</v>
      </c>
      <c r="T1136" s="686"/>
      <c r="U1136" s="18">
        <f>РПЗ!P1136</f>
        <v>42950</v>
      </c>
      <c r="V1136" s="686"/>
      <c r="W1136" s="236">
        <f>РПЗ!L1136</f>
        <v>498198.31</v>
      </c>
      <c r="X1136" s="689">
        <v>0</v>
      </c>
      <c r="Y1136" s="689">
        <v>0</v>
      </c>
      <c r="Z1136" s="690"/>
      <c r="AA1136" s="691"/>
      <c r="AB1136" s="111"/>
      <c r="AC1136" s="17"/>
      <c r="AD1136" s="690"/>
      <c r="AE1136" s="686"/>
      <c r="AF1136" s="474"/>
      <c r="AG1136" s="692"/>
      <c r="AH1136" s="236" t="str">
        <f>IF(Таблица5[[#This Row],[30]]=0,"НД",Таблица5[[#This Row],[20]]-Таблица5[[#This Row],[30]])</f>
        <v>НД</v>
      </c>
      <c r="AI1136" s="511" t="str">
        <f>IF(((1-Таблица5[[#This Row],[30]]/Таблица5[[#This Row],[20]])=1),"НД",(1-Таблица5[[#This Row],[30]]/Таблица5[[#This Row],[20]]))</f>
        <v>НД</v>
      </c>
      <c r="AJ1136" s="111"/>
      <c r="AK1136" s="111"/>
      <c r="AL1136" s="512"/>
      <c r="AM1136" s="513" t="s">
        <v>113</v>
      </c>
      <c r="AN1136" s="801">
        <v>31705296076</v>
      </c>
      <c r="AO1136" s="468" t="str">
        <f>РПЗ!AD1275</f>
        <v>Нет</v>
      </c>
      <c r="AP1136" s="472">
        <f>РПЗ!V1275</f>
        <v>0</v>
      </c>
      <c r="AQ1136" s="470">
        <f>IF(Таблица5[[#This Row],[11]]=0,,MONTH(Таблица5[[#This Row],[11]]))</f>
        <v>7</v>
      </c>
    </row>
    <row r="1137" spans="1:43" ht="51" x14ac:dyDescent="0.25">
      <c r="A1137" s="233" t="str">
        <f t="shared" si="17"/>
        <v>1004-2017-01122</v>
      </c>
      <c r="B1137" s="959" t="str">
        <f>РПЗ!$D1137</f>
        <v>1004-2017-01122 Поставка  подложки арсенида галлия ,легированные кремнием</v>
      </c>
      <c r="C1137" s="233" t="str">
        <f>РПЗ!$AA1137</f>
        <v>АО "НИИ "Полюс" им. М.Ф. Стельмаха" тел. отдела закупок 8-495-333-05-02</v>
      </c>
      <c r="D1137" s="633" t="str">
        <f>РПЗ!$AB1137</f>
        <v>Заказчик</v>
      </c>
      <c r="E1137" s="510" t="s">
        <v>62</v>
      </c>
      <c r="F1137" s="233" t="str">
        <f>РПЗ!Q1137</f>
        <v>ОЗК</v>
      </c>
      <c r="G1137" s="237" t="str">
        <f>Таблица5[[#This Row],[6]]</f>
        <v>ОЗК</v>
      </c>
      <c r="H1137" s="237" t="str">
        <f>РПЗ!R1137</f>
        <v>Да</v>
      </c>
      <c r="I1137" s="15">
        <f>РПЗ!W1137</f>
        <v>0</v>
      </c>
      <c r="J1137" s="233">
        <f>РПЗ!X1137</f>
        <v>0</v>
      </c>
      <c r="K1137" s="283">
        <f>РПЗ!Z1137</f>
        <v>0</v>
      </c>
      <c r="L1137" s="17">
        <v>42927</v>
      </c>
      <c r="M1137" s="18">
        <f>РПЗ!O1137</f>
        <v>42917</v>
      </c>
      <c r="N1137" s="238">
        <f>Таблица5[[#This Row],[10]]</f>
        <v>42917</v>
      </c>
      <c r="O1137" s="17">
        <v>42933</v>
      </c>
      <c r="P1137" s="17">
        <v>42936</v>
      </c>
      <c r="Q1137" s="17">
        <v>42936</v>
      </c>
      <c r="R1137" s="17">
        <v>42940</v>
      </c>
      <c r="S1137" s="17">
        <v>42940</v>
      </c>
      <c r="T1137" s="686">
        <v>42954</v>
      </c>
      <c r="U1137" s="18">
        <f>РПЗ!P1137</f>
        <v>43070</v>
      </c>
      <c r="V1137" s="686">
        <v>43040</v>
      </c>
      <c r="W1137" s="236">
        <f>РПЗ!L1137</f>
        <v>174640</v>
      </c>
      <c r="X1137" s="689">
        <v>1</v>
      </c>
      <c r="Y1137" s="689">
        <v>0</v>
      </c>
      <c r="Z1137" s="691">
        <v>7721166661</v>
      </c>
      <c r="AA1137" s="691" t="s">
        <v>3346</v>
      </c>
      <c r="AB1137" s="111">
        <v>174640</v>
      </c>
      <c r="AC1137" s="17">
        <v>43040</v>
      </c>
      <c r="AD1137" s="690" t="s">
        <v>6814</v>
      </c>
      <c r="AE1137" s="686">
        <v>42954</v>
      </c>
      <c r="AF1137" s="474"/>
      <c r="AG1137" s="692">
        <v>174640</v>
      </c>
      <c r="AH1137" s="236">
        <f>IF(Таблица5[[#This Row],[30]]=0,"НД",Таблица5[[#This Row],[20]]-Таблица5[[#This Row],[30]])</f>
        <v>0</v>
      </c>
      <c r="AI1137" s="511">
        <f>IF(((1-Таблица5[[#This Row],[30]]/Таблица5[[#This Row],[20]])=1),"НД",(1-Таблица5[[#This Row],[30]]/Таблица5[[#This Row],[20]]))</f>
        <v>0</v>
      </c>
      <c r="AJ1137" s="111">
        <v>174640</v>
      </c>
      <c r="AK1137" s="111"/>
      <c r="AL1137" s="512"/>
      <c r="AM1137" s="513" t="s">
        <v>113</v>
      </c>
      <c r="AN1137" s="801">
        <v>31705312133</v>
      </c>
      <c r="AO1137" s="468" t="str">
        <f>РПЗ!AD1276</f>
        <v>Нет</v>
      </c>
      <c r="AP1137" s="472">
        <f>РПЗ!V1276</f>
        <v>0</v>
      </c>
      <c r="AQ1137" s="470">
        <f>IF(Таблица5[[#This Row],[11]]=0,,MONTH(Таблица5[[#This Row],[11]]))</f>
        <v>7</v>
      </c>
    </row>
    <row r="1138" spans="1:43" ht="38.25" x14ac:dyDescent="0.25">
      <c r="A1138" s="233" t="str">
        <f t="shared" si="17"/>
        <v>1004-2017-01123</v>
      </c>
      <c r="B1138" s="959" t="str">
        <f>РПЗ!$D1138</f>
        <v>1004-2017-01123 Поставка Оптические детали</v>
      </c>
      <c r="C1138" s="233" t="str">
        <f>РПЗ!$AA1138</f>
        <v>АО "НИИ "Полюс" им. М.Ф. Стельмаха" тел. отдела закупок 8-495-333-05-02</v>
      </c>
      <c r="D1138" s="633" t="str">
        <f>РПЗ!$AB1138</f>
        <v>Заказчик</v>
      </c>
      <c r="E1138" s="510" t="s">
        <v>62</v>
      </c>
      <c r="F1138" s="233" t="str">
        <f>РПЗ!Q1138</f>
        <v>ЕП</v>
      </c>
      <c r="G1138" s="237" t="str">
        <f>Таблица5[[#This Row],[6]]</f>
        <v>ЕП</v>
      </c>
      <c r="H1138" s="237" t="str">
        <f>РПЗ!R1138</f>
        <v>Нет</v>
      </c>
      <c r="I1138" s="15" t="str">
        <f>РПЗ!W1138</f>
        <v>6.6.2(11)</v>
      </c>
      <c r="J1138" s="233" t="str">
        <f>РПЗ!X1138</f>
        <v>7713297251</v>
      </c>
      <c r="K1138" s="283">
        <f>РПЗ!Z1138</f>
        <v>1523970.48</v>
      </c>
      <c r="L1138" s="17">
        <v>42947</v>
      </c>
      <c r="M1138" s="18">
        <f>РПЗ!O1138</f>
        <v>42948</v>
      </c>
      <c r="N1138" s="238">
        <f>Таблица5[[#This Row],[10]]</f>
        <v>42948</v>
      </c>
      <c r="O1138" s="17"/>
      <c r="P1138" s="17"/>
      <c r="Q1138" s="17"/>
      <c r="R1138" s="17"/>
      <c r="S1138" s="17"/>
      <c r="T1138" s="686">
        <v>42956</v>
      </c>
      <c r="U1138" s="18">
        <f>РПЗ!P1138</f>
        <v>42979</v>
      </c>
      <c r="V1138" s="686">
        <v>42979</v>
      </c>
      <c r="W1138" s="236">
        <f>РПЗ!L1138</f>
        <v>1523970.48</v>
      </c>
      <c r="X1138" s="689">
        <v>1</v>
      </c>
      <c r="Y1138" s="689">
        <v>0</v>
      </c>
      <c r="Z1138" s="691">
        <v>7713297251</v>
      </c>
      <c r="AA1138" s="691" t="s">
        <v>3006</v>
      </c>
      <c r="AB1138" s="111">
        <v>1523970.48</v>
      </c>
      <c r="AC1138" s="17">
        <v>42979</v>
      </c>
      <c r="AD1138" s="690" t="s">
        <v>6849</v>
      </c>
      <c r="AE1138" s="686">
        <v>42956</v>
      </c>
      <c r="AF1138" s="474"/>
      <c r="AG1138" s="692">
        <v>1523970.48</v>
      </c>
      <c r="AH1138" s="236">
        <f>IF(Таблица5[[#This Row],[30]]=0,"НД",Таблица5[[#This Row],[20]]-Таблица5[[#This Row],[30]])</f>
        <v>0</v>
      </c>
      <c r="AI1138" s="511">
        <f>IF(((1-Таблица5[[#This Row],[30]]/Таблица5[[#This Row],[20]])=1),"НД",(1-Таблица5[[#This Row],[30]]/Таблица5[[#This Row],[20]]))</f>
        <v>0</v>
      </c>
      <c r="AJ1138" s="111"/>
      <c r="AK1138" s="111"/>
      <c r="AL1138" s="512"/>
      <c r="AM1138" s="513" t="s">
        <v>113</v>
      </c>
      <c r="AN1138" s="801">
        <v>31705387395</v>
      </c>
      <c r="AO1138" s="468" t="str">
        <f>РПЗ!AD1277</f>
        <v>Нет</v>
      </c>
      <c r="AP1138" s="472" t="str">
        <f>РПЗ!V1277</f>
        <v>ГОЗ</v>
      </c>
      <c r="AQ1138" s="470">
        <f>IF(Таблица5[[#This Row],[11]]=0,,MONTH(Таблица5[[#This Row],[11]]))</f>
        <v>8</v>
      </c>
    </row>
    <row r="1139" spans="1:43" ht="38.25" x14ac:dyDescent="0.25">
      <c r="A1139" s="233" t="str">
        <f t="shared" si="17"/>
        <v>1004-2017-01124</v>
      </c>
      <c r="B1139" s="959" t="str">
        <f>РПЗ!$D1139</f>
        <v>1004-2017-01124Поставка Металлические сплавы</v>
      </c>
      <c r="C1139" s="233" t="str">
        <f>РПЗ!$AA1139</f>
        <v>АО "НИИ "Полюс" им. М.Ф. Стельмаха" тел. отдела закупок 8-495-333-05-02</v>
      </c>
      <c r="D1139" s="633" t="str">
        <f>РПЗ!$AB1139</f>
        <v>Заказчик</v>
      </c>
      <c r="E1139" s="510" t="s">
        <v>59</v>
      </c>
      <c r="F1139" s="233" t="str">
        <f>РПЗ!Q1139</f>
        <v>ОЗК</v>
      </c>
      <c r="G1139" s="237" t="str">
        <f>Таблица5[[#This Row],[6]]</f>
        <v>ОЗК</v>
      </c>
      <c r="H1139" s="237" t="str">
        <f>РПЗ!R1139</f>
        <v>Да</v>
      </c>
      <c r="I1139" s="15">
        <f>РПЗ!W1139</f>
        <v>0</v>
      </c>
      <c r="J1139" s="233">
        <f>РПЗ!X1139</f>
        <v>0</v>
      </c>
      <c r="K1139" s="283">
        <f>РПЗ!Z1139</f>
        <v>0</v>
      </c>
      <c r="L1139" s="17">
        <v>42927</v>
      </c>
      <c r="M1139" s="18">
        <f>РПЗ!O1139</f>
        <v>42917</v>
      </c>
      <c r="N1139" s="238">
        <f>Таблица5[[#This Row],[10]]</f>
        <v>42917</v>
      </c>
      <c r="O1139" s="17">
        <v>42933</v>
      </c>
      <c r="P1139" s="17">
        <v>42936</v>
      </c>
      <c r="Q1139" s="17">
        <v>42936</v>
      </c>
      <c r="R1139" s="17">
        <v>42936</v>
      </c>
      <c r="S1139" s="17">
        <v>42936</v>
      </c>
      <c r="T1139" s="686"/>
      <c r="U1139" s="18">
        <f>РПЗ!P1139</f>
        <v>42948</v>
      </c>
      <c r="V1139" s="686"/>
      <c r="W1139" s="236">
        <f>РПЗ!L1278</f>
        <v>300900</v>
      </c>
      <c r="X1139" s="689">
        <v>0</v>
      </c>
      <c r="Y1139" s="689">
        <v>0</v>
      </c>
      <c r="Z1139" s="690"/>
      <c r="AA1139" s="691"/>
      <c r="AB1139" s="111"/>
      <c r="AC1139" s="17"/>
      <c r="AD1139" s="690"/>
      <c r="AE1139" s="686"/>
      <c r="AF1139" s="474"/>
      <c r="AG1139" s="692"/>
      <c r="AH1139" s="236" t="str">
        <f>IF(Таблица5[[#This Row],[30]]=0,"НД",Таблица5[[#This Row],[20]]-Таблица5[[#This Row],[30]])</f>
        <v>НД</v>
      </c>
      <c r="AI1139" s="511" t="str">
        <f>IF(((1-Таблица5[[#This Row],[30]]/Таблица5[[#This Row],[20]])=1),"НД",(1-Таблица5[[#This Row],[30]]/Таблица5[[#This Row],[20]]))</f>
        <v>НД</v>
      </c>
      <c r="AJ1139" s="111"/>
      <c r="AK1139" s="111"/>
      <c r="AL1139" s="512"/>
      <c r="AM1139" s="513" t="s">
        <v>113</v>
      </c>
      <c r="AN1139" s="801">
        <v>31705310605</v>
      </c>
      <c r="AO1139" s="468" t="str">
        <f>РПЗ!AD1278</f>
        <v>Нет</v>
      </c>
      <c r="AP1139" s="472">
        <f>РПЗ!V1278</f>
        <v>0</v>
      </c>
      <c r="AQ1139" s="470">
        <f>IF(Таблица5[[#This Row],[11]]=0,,MONTH(Таблица5[[#This Row],[11]]))</f>
        <v>7</v>
      </c>
    </row>
    <row r="1140" spans="1:43" ht="39" thickBot="1" x14ac:dyDescent="0.3">
      <c r="A1140" s="233" t="str">
        <f t="shared" ref="A1140:A1203" si="18">INDEX(Диапазон1,ROW(), COLUMN())</f>
        <v>1004-2017-01125</v>
      </c>
      <c r="B1140" s="959" t="str">
        <f>РПЗ!$D1140</f>
        <v>1004-2017-01125 Поставка Металлические сплавы</v>
      </c>
      <c r="C1140" s="233" t="str">
        <f>РПЗ!$AA1140</f>
        <v>АО "НИИ "Полюс" им. М.Ф. Стельмаха" тел. отдела закупок 8-495-333-05-02</v>
      </c>
      <c r="D1140" s="633" t="str">
        <f>РПЗ!$AB1140</f>
        <v>Заказчик</v>
      </c>
      <c r="E1140" s="510" t="s">
        <v>62</v>
      </c>
      <c r="F1140" s="233" t="str">
        <f>РПЗ!Q1140</f>
        <v>ОЗК</v>
      </c>
      <c r="G1140" s="237" t="str">
        <f>Таблица5[[#This Row],[6]]</f>
        <v>ОЗК</v>
      </c>
      <c r="H1140" s="237" t="str">
        <f>РПЗ!R1140</f>
        <v>Да</v>
      </c>
      <c r="I1140" s="15">
        <f>РПЗ!W1140</f>
        <v>0</v>
      </c>
      <c r="J1140" s="233">
        <f>РПЗ!X1140</f>
        <v>0</v>
      </c>
      <c r="K1140" s="283">
        <f>РПЗ!Z1140</f>
        <v>0</v>
      </c>
      <c r="L1140" s="17">
        <v>42930</v>
      </c>
      <c r="M1140" s="18">
        <f>РПЗ!O1140</f>
        <v>42917</v>
      </c>
      <c r="N1140" s="238">
        <f>Таблица5[[#This Row],[10]]</f>
        <v>42917</v>
      </c>
      <c r="O1140" s="17">
        <v>42936</v>
      </c>
      <c r="P1140" s="17">
        <v>42940</v>
      </c>
      <c r="Q1140" s="17">
        <v>42940</v>
      </c>
      <c r="R1140" s="17">
        <v>42940</v>
      </c>
      <c r="S1140" s="17">
        <v>42940</v>
      </c>
      <c r="T1140" s="686">
        <v>42954</v>
      </c>
      <c r="U1140" s="18">
        <f>РПЗ!P1140</f>
        <v>42948</v>
      </c>
      <c r="V1140" s="686">
        <v>43070</v>
      </c>
      <c r="W1140" s="236">
        <f>РПЗ!L1140</f>
        <v>100305.81</v>
      </c>
      <c r="X1140" s="689">
        <v>1</v>
      </c>
      <c r="Y1140" s="689">
        <v>0</v>
      </c>
      <c r="Z1140" s="691">
        <v>9718007640</v>
      </c>
      <c r="AA1140" s="691" t="s">
        <v>3338</v>
      </c>
      <c r="AB1140" s="111">
        <v>90788.6</v>
      </c>
      <c r="AC1140" s="17">
        <v>43070</v>
      </c>
      <c r="AD1140" s="690" t="s">
        <v>6815</v>
      </c>
      <c r="AE1140" s="686">
        <v>42954</v>
      </c>
      <c r="AF1140" s="474"/>
      <c r="AG1140" s="692">
        <v>90788.6</v>
      </c>
      <c r="AH1140" s="236">
        <f>IF(Таблица5[[#This Row],[30]]=0,"НД",Таблица5[[#This Row],[20]]-Таблица5[[#This Row],[30]])</f>
        <v>9517.2099999999919</v>
      </c>
      <c r="AI1140" s="511">
        <f>IF(((1-Таблица5[[#This Row],[30]]/Таблица5[[#This Row],[20]])=1),"НД",(1-Таблица5[[#This Row],[30]]/Таблица5[[#This Row],[20]]))</f>
        <v>9.4881941534592951E-2</v>
      </c>
      <c r="AJ1140" s="111">
        <v>90788.6</v>
      </c>
      <c r="AK1140" s="111"/>
      <c r="AL1140" s="512"/>
      <c r="AM1140" s="513" t="s">
        <v>113</v>
      </c>
      <c r="AN1140" s="801">
        <v>31705327248</v>
      </c>
      <c r="AO1140" s="468" t="str">
        <f>РПЗ!AD1279</f>
        <v>Нет</v>
      </c>
      <c r="AP1140" s="472">
        <f>РПЗ!V1279</f>
        <v>0</v>
      </c>
      <c r="AQ1140" s="470">
        <f>IF(Таблица5[[#This Row],[11]]=0,,MONTH(Таблица5[[#This Row],[11]]))</f>
        <v>7</v>
      </c>
    </row>
    <row r="1141" spans="1:43" ht="38.25" x14ac:dyDescent="0.25">
      <c r="A1141" s="233" t="str">
        <f t="shared" si="18"/>
        <v>1004-2017-01126</v>
      </c>
      <c r="B1141" s="959" t="str">
        <f>РПЗ!$D1141</f>
        <v>1004-2017-01126 Поставка Строительно-отделочные материалы</v>
      </c>
      <c r="C1141" s="233" t="str">
        <f>РПЗ!$AA1141</f>
        <v>АО "НИИ "Полюс" им. М.Ф. Стельмаха" тел. отдела закупок 8-495-333-05-02</v>
      </c>
      <c r="D1141" s="633" t="str">
        <f>РПЗ!$AB1141</f>
        <v>Заказчик</v>
      </c>
      <c r="E1141" s="96" t="s">
        <v>46</v>
      </c>
      <c r="F1141" s="233" t="str">
        <f>РПЗ!Q1141</f>
        <v>ОЗК</v>
      </c>
      <c r="G1141" s="237"/>
      <c r="H1141" s="237" t="str">
        <f>РПЗ!R1141</f>
        <v>Да</v>
      </c>
      <c r="I1141" s="15">
        <f>РПЗ!W1141</f>
        <v>0</v>
      </c>
      <c r="J1141" s="233">
        <f>РПЗ!X1141</f>
        <v>0</v>
      </c>
      <c r="K1141" s="283">
        <f>РПЗ!Z1141</f>
        <v>0</v>
      </c>
      <c r="L1141" s="17"/>
      <c r="M1141" s="18">
        <f>РПЗ!O1280</f>
        <v>42979.625</v>
      </c>
      <c r="N1141" s="238">
        <f>Таблица5[[#This Row],[10]]</f>
        <v>42979.625</v>
      </c>
      <c r="O1141" s="17"/>
      <c r="P1141" s="17"/>
      <c r="Q1141" s="17"/>
      <c r="R1141" s="17"/>
      <c r="S1141" s="17"/>
      <c r="T1141" s="686"/>
      <c r="U1141" s="18">
        <f>РПЗ!P1280</f>
        <v>43040.625</v>
      </c>
      <c r="V1141" s="686"/>
      <c r="W1141" s="236">
        <f>РПЗ!L1280</f>
        <v>97585</v>
      </c>
      <c r="X1141" s="689"/>
      <c r="Y1141" s="689"/>
      <c r="Z1141" s="690"/>
      <c r="AA1141" s="691"/>
      <c r="AB1141" s="111"/>
      <c r="AC1141" s="17"/>
      <c r="AD1141" s="690"/>
      <c r="AE1141" s="686"/>
      <c r="AF1141" s="474"/>
      <c r="AG1141" s="692"/>
      <c r="AH1141" s="236" t="str">
        <f>IF(Таблица5[[#This Row],[30]]=0,"НД",Таблица5[[#This Row],[20]]-Таблица5[[#This Row],[30]])</f>
        <v>НД</v>
      </c>
      <c r="AI1141" s="511" t="str">
        <f>IF(((1-Таблица5[[#This Row],[30]]/Таблица5[[#This Row],[20]])=1),"НД",(1-Таблица5[[#This Row],[30]]/Таблица5[[#This Row],[20]]))</f>
        <v>НД</v>
      </c>
      <c r="AJ1141" s="111"/>
      <c r="AK1141" s="111"/>
      <c r="AL1141" s="512"/>
      <c r="AM1141" s="513"/>
      <c r="AN1141" s="465"/>
      <c r="AO1141" s="468" t="str">
        <f>РПЗ!AD1280</f>
        <v>Нет</v>
      </c>
      <c r="AP1141" s="472">
        <f>РПЗ!V1280</f>
        <v>0</v>
      </c>
      <c r="AQ1141" s="470">
        <f>IF(Таблица5[[#This Row],[11]]=0,,MONTH(Таблица5[[#This Row],[11]]))</f>
        <v>9</v>
      </c>
    </row>
    <row r="1142" spans="1:43" ht="90" thickBot="1" x14ac:dyDescent="0.3">
      <c r="A1142" s="233" t="str">
        <f t="shared" si="18"/>
        <v>1004-2017-01127</v>
      </c>
      <c r="B1142" s="959" t="str">
        <f>РПЗ!$D1142</f>
        <v>1004-2017-01127 Выполнение полного цикла  работ по ремонту стола универсального поворотного делительного с цифровой индикацией модели СУ50-1101 зав. №44, производитель ЗАО "Стан-Самара"</v>
      </c>
      <c r="C1142" s="233" t="str">
        <f>РПЗ!$AA1142</f>
        <v>АО "НИИ "Полюс" им. М.Ф. Стельмаха" тел. отдела закупок 8-495-333-05-02</v>
      </c>
      <c r="D1142" s="633" t="str">
        <f>РПЗ!$AB1142</f>
        <v>Заказчик</v>
      </c>
      <c r="E1142" s="510" t="s">
        <v>62</v>
      </c>
      <c r="F1142" s="233" t="str">
        <f>РПЗ!Q1142</f>
        <v>ЕП</v>
      </c>
      <c r="G1142" s="237" t="str">
        <f>Таблица5[[#This Row],[6]]</f>
        <v>ЕП</v>
      </c>
      <c r="H1142" s="237" t="str">
        <f>РПЗ!R1142</f>
        <v>Нет</v>
      </c>
      <c r="I1142" s="15" t="str">
        <f>РПЗ!W1142</f>
        <v>6.6.2(38)</v>
      </c>
      <c r="J1142" s="233" t="str">
        <f>РПЗ!X1142</f>
        <v>6315507596</v>
      </c>
      <c r="K1142" s="283">
        <f>РПЗ!Z1142</f>
        <v>191809</v>
      </c>
      <c r="L1142" s="17">
        <v>42935</v>
      </c>
      <c r="M1142" s="18">
        <f>РПЗ!O1142</f>
        <v>42917</v>
      </c>
      <c r="N1142" s="238">
        <f>Таблица5[[#This Row],[10]]</f>
        <v>42917</v>
      </c>
      <c r="O1142" s="17"/>
      <c r="P1142" s="17"/>
      <c r="Q1142" s="17"/>
      <c r="R1142" s="17"/>
      <c r="S1142" s="17"/>
      <c r="T1142" s="686">
        <v>42940</v>
      </c>
      <c r="U1142" s="18">
        <f>РПЗ!P1142</f>
        <v>42948</v>
      </c>
      <c r="V1142" s="686">
        <v>42948</v>
      </c>
      <c r="W1142" s="236">
        <f>РПЗ!L1142</f>
        <v>191809</v>
      </c>
      <c r="X1142" s="689">
        <v>1</v>
      </c>
      <c r="Y1142" s="689">
        <v>0</v>
      </c>
      <c r="Z1142" s="691">
        <v>6315507596</v>
      </c>
      <c r="AA1142" s="691" t="s">
        <v>6441</v>
      </c>
      <c r="AB1142" s="111">
        <v>191809</v>
      </c>
      <c r="AC1142" s="17">
        <v>42948</v>
      </c>
      <c r="AD1142" s="690" t="s">
        <v>6442</v>
      </c>
      <c r="AE1142" s="686">
        <v>42940</v>
      </c>
      <c r="AF1142" s="474"/>
      <c r="AG1142" s="692">
        <v>191809</v>
      </c>
      <c r="AH1142" s="236">
        <f>IF(Таблица5[[#This Row],[30]]=0,"НД",Таблица5[[#This Row],[20]]-Таблица5[[#This Row],[30]])</f>
        <v>0</v>
      </c>
      <c r="AI1142" s="511">
        <f>IF(((1-Таблица5[[#This Row],[30]]/Таблица5[[#This Row],[20]])=1),"НД",(1-Таблица5[[#This Row],[30]]/Таблица5[[#This Row],[20]]))</f>
        <v>0</v>
      </c>
      <c r="AJ1142" s="111"/>
      <c r="AK1142" s="111"/>
      <c r="AL1142" s="512"/>
      <c r="AM1142" s="513" t="s">
        <v>113</v>
      </c>
      <c r="AN1142" s="801">
        <v>31705345418</v>
      </c>
      <c r="AO1142" s="468" t="str">
        <f>РПЗ!AD1281</f>
        <v>Нет</v>
      </c>
      <c r="AP1142" s="472">
        <f>РПЗ!V1281</f>
        <v>0</v>
      </c>
      <c r="AQ1142" s="470">
        <f>IF(Таблица5[[#This Row],[11]]=0,,MONTH(Таблица5[[#This Row],[11]]))</f>
        <v>7</v>
      </c>
    </row>
    <row r="1143" spans="1:43" ht="39" thickBot="1" x14ac:dyDescent="0.3">
      <c r="A1143" s="233" t="str">
        <f t="shared" si="18"/>
        <v>1004-2017-01128</v>
      </c>
      <c r="B1143" s="959" t="str">
        <f>РПЗ!$D1143</f>
        <v>1004-2017-01128 Поставка Фотошаблон Э51-ТВ133</v>
      </c>
      <c r="C1143" s="233" t="str">
        <f>РПЗ!$AA1143</f>
        <v>АО "НИИ "Полюс" им. М.Ф. Стельмаха" тел. отдела закупок 8-495-333-05-02</v>
      </c>
      <c r="D1143" s="633" t="str">
        <f>РПЗ!$AB1143</f>
        <v>Заказчик</v>
      </c>
      <c r="E1143" s="96" t="s">
        <v>46</v>
      </c>
      <c r="F1143" s="233" t="str">
        <f>РПЗ!Q1143</f>
        <v>ЕП</v>
      </c>
      <c r="G1143" s="237"/>
      <c r="H1143" s="237" t="str">
        <f>РПЗ!R1143</f>
        <v>Нет</v>
      </c>
      <c r="I1143" s="15">
        <f>РПЗ!W1143</f>
        <v>0</v>
      </c>
      <c r="J1143" s="233">
        <f>РПЗ!X1143</f>
        <v>0</v>
      </c>
      <c r="K1143" s="283">
        <f>РПЗ!Z1143</f>
        <v>0</v>
      </c>
      <c r="L1143" s="17"/>
      <c r="M1143" s="18">
        <f>РПЗ!O1282</f>
        <v>43009.625</v>
      </c>
      <c r="N1143" s="238">
        <f>Таблица5[[#This Row],[10]]</f>
        <v>43009.625</v>
      </c>
      <c r="O1143" s="17"/>
      <c r="P1143" s="17"/>
      <c r="Q1143" s="17"/>
      <c r="R1143" s="17"/>
      <c r="S1143" s="17"/>
      <c r="T1143" s="686"/>
      <c r="U1143" s="18">
        <f>РПЗ!P1282</f>
        <v>43070.625</v>
      </c>
      <c r="V1143" s="686"/>
      <c r="W1143" s="236">
        <f>РПЗ!L1282</f>
        <v>318430.03000000003</v>
      </c>
      <c r="X1143" s="689"/>
      <c r="Y1143" s="689"/>
      <c r="Z1143" s="690"/>
      <c r="AA1143" s="691"/>
      <c r="AB1143" s="111"/>
      <c r="AC1143" s="17"/>
      <c r="AD1143" s="690"/>
      <c r="AE1143" s="686"/>
      <c r="AF1143" s="474"/>
      <c r="AG1143" s="692"/>
      <c r="AH1143" s="236" t="str">
        <f>IF(Таблица5[[#This Row],[30]]=0,"НД",Таблица5[[#This Row],[20]]-Таблица5[[#This Row],[30]])</f>
        <v>НД</v>
      </c>
      <c r="AI1143" s="511" t="str">
        <f>IF(((1-Таблица5[[#This Row],[30]]/Таблица5[[#This Row],[20]])=1),"НД",(1-Таблица5[[#This Row],[30]]/Таблица5[[#This Row],[20]]))</f>
        <v>НД</v>
      </c>
      <c r="AJ1143" s="111"/>
      <c r="AK1143" s="111"/>
      <c r="AL1143" s="512"/>
      <c r="AM1143" s="513"/>
      <c r="AN1143" s="465"/>
      <c r="AO1143" s="468" t="str">
        <f>РПЗ!AD1282</f>
        <v>Нет</v>
      </c>
      <c r="AP1143" s="472">
        <f>РПЗ!V1282</f>
        <v>0</v>
      </c>
      <c r="AQ1143" s="470">
        <f>IF(Таблица5[[#This Row],[11]]=0,,MONTH(Таблица5[[#This Row],[11]]))</f>
        <v>10</v>
      </c>
    </row>
    <row r="1144" spans="1:43" ht="39" thickBot="1" x14ac:dyDescent="0.3">
      <c r="A1144" s="233" t="str">
        <f t="shared" si="18"/>
        <v>1004-2017-01129</v>
      </c>
      <c r="B1144" s="959" t="str">
        <f>РПЗ!$D1144</f>
        <v>1004-2017-01129 Поставка Фотошаблон Э51-ТВ136</v>
      </c>
      <c r="C1144" s="233" t="str">
        <f>РПЗ!$AA1144</f>
        <v>АО "НИИ "Полюс" им. М.Ф. Стельмаха" тел. отдела закупок 8-495-333-05-02</v>
      </c>
      <c r="D1144" s="633" t="str">
        <f>РПЗ!$AB1144</f>
        <v>Заказчик</v>
      </c>
      <c r="E1144" s="96" t="s">
        <v>46</v>
      </c>
      <c r="F1144" s="233" t="str">
        <f>РПЗ!Q1144</f>
        <v>ЕП</v>
      </c>
      <c r="G1144" s="237"/>
      <c r="H1144" s="237" t="str">
        <f>РПЗ!R1144</f>
        <v>Нет</v>
      </c>
      <c r="I1144" s="15">
        <f>РПЗ!W1144</f>
        <v>0</v>
      </c>
      <c r="J1144" s="233">
        <f>РПЗ!X1144</f>
        <v>0</v>
      </c>
      <c r="K1144" s="283">
        <f>РПЗ!Z1144</f>
        <v>0</v>
      </c>
      <c r="L1144" s="17"/>
      <c r="M1144" s="18">
        <f>РПЗ!O1283</f>
        <v>43040</v>
      </c>
      <c r="N1144" s="238">
        <f>Таблица5[[#This Row],[10]]</f>
        <v>43040</v>
      </c>
      <c r="O1144" s="17"/>
      <c r="P1144" s="17"/>
      <c r="Q1144" s="17"/>
      <c r="R1144" s="17"/>
      <c r="S1144" s="17"/>
      <c r="T1144" s="686"/>
      <c r="U1144" s="18">
        <f>РПЗ!P1283</f>
        <v>43070.625</v>
      </c>
      <c r="V1144" s="686"/>
      <c r="W1144" s="236">
        <f>РПЗ!L1283</f>
        <v>183428.91</v>
      </c>
      <c r="X1144" s="689"/>
      <c r="Y1144" s="689"/>
      <c r="Z1144" s="690"/>
      <c r="AA1144" s="691"/>
      <c r="AB1144" s="111"/>
      <c r="AC1144" s="17"/>
      <c r="AD1144" s="690"/>
      <c r="AE1144" s="686"/>
      <c r="AF1144" s="474"/>
      <c r="AG1144" s="692"/>
      <c r="AH1144" s="236" t="str">
        <f>IF(Таблица5[[#This Row],[30]]=0,"НД",Таблица5[[#This Row],[20]]-Таблица5[[#This Row],[30]])</f>
        <v>НД</v>
      </c>
      <c r="AI1144" s="511" t="str">
        <f>IF(((1-Таблица5[[#This Row],[30]]/Таблица5[[#This Row],[20]])=1),"НД",(1-Таблица5[[#This Row],[30]]/Таблица5[[#This Row],[20]]))</f>
        <v>НД</v>
      </c>
      <c r="AJ1144" s="111"/>
      <c r="AK1144" s="111"/>
      <c r="AL1144" s="512"/>
      <c r="AM1144" s="513"/>
      <c r="AN1144" s="465"/>
      <c r="AO1144" s="468" t="str">
        <f>РПЗ!AD1283</f>
        <v>Нет</v>
      </c>
      <c r="AP1144" s="472">
        <f>РПЗ!V1283</f>
        <v>0</v>
      </c>
      <c r="AQ1144" s="470">
        <f>IF(Таблица5[[#This Row],[11]]=0,,MONTH(Таблица5[[#This Row],[11]]))</f>
        <v>11</v>
      </c>
    </row>
    <row r="1145" spans="1:43" ht="39" thickBot="1" x14ac:dyDescent="0.3">
      <c r="A1145" s="233" t="str">
        <f t="shared" si="18"/>
        <v>1004-2017-01130</v>
      </c>
      <c r="B1145" s="959" t="str">
        <f>РПЗ!$D1145</f>
        <v>1004-2017-01130 Поставка Комплект деталей модуля ПОМ(оп.обр.)</v>
      </c>
      <c r="C1145" s="233" t="str">
        <f>РПЗ!$AA1145</f>
        <v>АО "НИИ "Полюс" им. М.Ф. Стельмаха" тел. отдела закупок 8-495-333-05-02</v>
      </c>
      <c r="D1145" s="633" t="str">
        <f>РПЗ!$AB1145</f>
        <v>Заказчик</v>
      </c>
      <c r="E1145" s="96" t="s">
        <v>46</v>
      </c>
      <c r="F1145" s="233" t="str">
        <f>РПЗ!Q1145</f>
        <v>ЕП</v>
      </c>
      <c r="G1145" s="237"/>
      <c r="H1145" s="237" t="str">
        <f>РПЗ!R1145</f>
        <v>Нет</v>
      </c>
      <c r="I1145" s="15">
        <f>РПЗ!W1145</f>
        <v>0</v>
      </c>
      <c r="J1145" s="233">
        <f>РПЗ!X1145</f>
        <v>0</v>
      </c>
      <c r="K1145" s="283">
        <f>РПЗ!Z1145</f>
        <v>0</v>
      </c>
      <c r="L1145" s="17"/>
      <c r="M1145" s="18">
        <f>РПЗ!O1284</f>
        <v>43040</v>
      </c>
      <c r="N1145" s="238">
        <f>Таблица5[[#This Row],[10]]</f>
        <v>43040</v>
      </c>
      <c r="O1145" s="17"/>
      <c r="P1145" s="17"/>
      <c r="Q1145" s="17"/>
      <c r="R1145" s="17"/>
      <c r="S1145" s="17"/>
      <c r="T1145" s="686"/>
      <c r="U1145" s="18">
        <f>РПЗ!P1284</f>
        <v>43070.625</v>
      </c>
      <c r="V1145" s="686"/>
      <c r="W1145" s="236">
        <f>РПЗ!L1284</f>
        <v>93747</v>
      </c>
      <c r="X1145" s="689"/>
      <c r="Y1145" s="689"/>
      <c r="Z1145" s="690"/>
      <c r="AA1145" s="691"/>
      <c r="AB1145" s="111"/>
      <c r="AC1145" s="17"/>
      <c r="AD1145" s="690"/>
      <c r="AE1145" s="686"/>
      <c r="AF1145" s="474"/>
      <c r="AG1145" s="692"/>
      <c r="AH1145" s="236" t="str">
        <f>IF(Таблица5[[#This Row],[30]]=0,"НД",Таблица5[[#This Row],[20]]-Таблица5[[#This Row],[30]])</f>
        <v>НД</v>
      </c>
      <c r="AI1145" s="511" t="str">
        <f>IF(((1-Таблица5[[#This Row],[30]]/Таблица5[[#This Row],[20]])=1),"НД",(1-Таблица5[[#This Row],[30]]/Таблица5[[#This Row],[20]]))</f>
        <v>НД</v>
      </c>
      <c r="AJ1145" s="111"/>
      <c r="AK1145" s="111"/>
      <c r="AL1145" s="512"/>
      <c r="AM1145" s="513"/>
      <c r="AN1145" s="465"/>
      <c r="AO1145" s="468" t="str">
        <f>РПЗ!AD1284</f>
        <v>Нет</v>
      </c>
      <c r="AP1145" s="472">
        <f>РПЗ!V1284</f>
        <v>0</v>
      </c>
      <c r="AQ1145" s="470">
        <f>IF(Таблица5[[#This Row],[11]]=0,,MONTH(Таблица5[[#This Row],[11]]))</f>
        <v>11</v>
      </c>
    </row>
    <row r="1146" spans="1:43" ht="39" thickBot="1" x14ac:dyDescent="0.3">
      <c r="A1146" s="233" t="str">
        <f t="shared" si="18"/>
        <v>1004-2017-01131</v>
      </c>
      <c r="B1146" s="959" t="str">
        <f>РПЗ!$D1146</f>
        <v>1004-2017-01131 Поставка Комплект деталей модуля ПрОМ(оп.обр.)</v>
      </c>
      <c r="C1146" s="233" t="str">
        <f>РПЗ!$AA1146</f>
        <v>АО "НИИ "Полюс" им. М.Ф. Стельмаха" тел. отдела закупок 8-495-333-05-02</v>
      </c>
      <c r="D1146" s="633" t="str">
        <f>РПЗ!$AB1146</f>
        <v>Заказчик</v>
      </c>
      <c r="E1146" s="96" t="s">
        <v>46</v>
      </c>
      <c r="F1146" s="233" t="str">
        <f>РПЗ!Q1146</f>
        <v>ЕП</v>
      </c>
      <c r="G1146" s="237"/>
      <c r="H1146" s="237" t="str">
        <f>РПЗ!R1146</f>
        <v>Нет</v>
      </c>
      <c r="I1146" s="15">
        <f>РПЗ!W1146</f>
        <v>0</v>
      </c>
      <c r="J1146" s="233">
        <f>РПЗ!X1146</f>
        <v>0</v>
      </c>
      <c r="K1146" s="283">
        <f>РПЗ!Z1146</f>
        <v>0</v>
      </c>
      <c r="L1146" s="17"/>
      <c r="M1146" s="18">
        <f>РПЗ!O1285</f>
        <v>42979.625</v>
      </c>
      <c r="N1146" s="238">
        <f>Таблица5[[#This Row],[10]]</f>
        <v>42979.625</v>
      </c>
      <c r="O1146" s="17"/>
      <c r="P1146" s="17"/>
      <c r="Q1146" s="17"/>
      <c r="R1146" s="17"/>
      <c r="S1146" s="17"/>
      <c r="T1146" s="686"/>
      <c r="U1146" s="18">
        <f>РПЗ!P1285</f>
        <v>43040.625</v>
      </c>
      <c r="V1146" s="686"/>
      <c r="W1146" s="236">
        <f>РПЗ!L1285</f>
        <v>25000</v>
      </c>
      <c r="X1146" s="689"/>
      <c r="Y1146" s="689"/>
      <c r="Z1146" s="690"/>
      <c r="AA1146" s="691"/>
      <c r="AB1146" s="111"/>
      <c r="AC1146" s="17"/>
      <c r="AD1146" s="690"/>
      <c r="AE1146" s="686"/>
      <c r="AF1146" s="474"/>
      <c r="AG1146" s="692"/>
      <c r="AH1146" s="236" t="str">
        <f>IF(Таблица5[[#This Row],[30]]=0,"НД",Таблица5[[#This Row],[20]]-Таблица5[[#This Row],[30]])</f>
        <v>НД</v>
      </c>
      <c r="AI1146" s="511" t="str">
        <f>IF(((1-Таблица5[[#This Row],[30]]/Таблица5[[#This Row],[20]])=1),"НД",(1-Таблица5[[#This Row],[30]]/Таблица5[[#This Row],[20]]))</f>
        <v>НД</v>
      </c>
      <c r="AJ1146" s="111"/>
      <c r="AK1146" s="111"/>
      <c r="AL1146" s="512"/>
      <c r="AM1146" s="513"/>
      <c r="AN1146" s="465"/>
      <c r="AO1146" s="468" t="str">
        <f>РПЗ!AD1285</f>
        <v>Нет</v>
      </c>
      <c r="AP1146" s="472">
        <f>РПЗ!V1285</f>
        <v>0</v>
      </c>
      <c r="AQ1146" s="470">
        <f>IF(Таблица5[[#This Row],[11]]=0,,MONTH(Таблица5[[#This Row],[11]]))</f>
        <v>9</v>
      </c>
    </row>
    <row r="1147" spans="1:43" ht="38.25" x14ac:dyDescent="0.25">
      <c r="A1147" s="233" t="str">
        <f t="shared" si="18"/>
        <v>1004-2017-01132</v>
      </c>
      <c r="B1147" s="959" t="str">
        <f>РПЗ!$D1147</f>
        <v>1004-2017-01132 Поставка Вставка 4-выводная</v>
      </c>
      <c r="C1147" s="233" t="str">
        <f>РПЗ!$AA1147</f>
        <v>АО "НИИ "Полюс" им. М.Ф. Стельмаха" тел. отдела закупок 8-495-333-05-02</v>
      </c>
      <c r="D1147" s="633" t="str">
        <f>РПЗ!$AB1147</f>
        <v>Заказчик</v>
      </c>
      <c r="E1147" s="96" t="s">
        <v>46</v>
      </c>
      <c r="F1147" s="233" t="str">
        <f>РПЗ!Q1147</f>
        <v>ЕП</v>
      </c>
      <c r="G1147" s="237"/>
      <c r="H1147" s="237" t="str">
        <f>РПЗ!R1147</f>
        <v>Нет</v>
      </c>
      <c r="I1147" s="15">
        <f>РПЗ!W1147</f>
        <v>0</v>
      </c>
      <c r="J1147" s="233">
        <f>РПЗ!X1147</f>
        <v>0</v>
      </c>
      <c r="K1147" s="283">
        <f>РПЗ!Z1147</f>
        <v>0</v>
      </c>
      <c r="L1147" s="17"/>
      <c r="M1147" s="18">
        <f>РПЗ!O1286</f>
        <v>43009.625</v>
      </c>
      <c r="N1147" s="238">
        <f>Таблица5[[#This Row],[10]]</f>
        <v>43009.625</v>
      </c>
      <c r="O1147" s="17"/>
      <c r="P1147" s="17"/>
      <c r="Q1147" s="17"/>
      <c r="R1147" s="17"/>
      <c r="S1147" s="17"/>
      <c r="T1147" s="686"/>
      <c r="U1147" s="18">
        <f>РПЗ!P1286</f>
        <v>43070.625</v>
      </c>
      <c r="V1147" s="686"/>
      <c r="W1147" s="236">
        <f>РПЗ!L1286</f>
        <v>140000</v>
      </c>
      <c r="X1147" s="689"/>
      <c r="Y1147" s="689"/>
      <c r="Z1147" s="690"/>
      <c r="AA1147" s="691"/>
      <c r="AB1147" s="111"/>
      <c r="AC1147" s="17"/>
      <c r="AD1147" s="690"/>
      <c r="AE1147" s="686"/>
      <c r="AF1147" s="474"/>
      <c r="AG1147" s="692"/>
      <c r="AH1147" s="236" t="str">
        <f>IF(Таблица5[[#This Row],[30]]=0,"НД",Таблица5[[#This Row],[20]]-Таблица5[[#This Row],[30]])</f>
        <v>НД</v>
      </c>
      <c r="AI1147" s="511" t="str">
        <f>IF(((1-Таблица5[[#This Row],[30]]/Таблица5[[#This Row],[20]])=1),"НД",(1-Таблица5[[#This Row],[30]]/Таблица5[[#This Row],[20]]))</f>
        <v>НД</v>
      </c>
      <c r="AJ1147" s="111"/>
      <c r="AK1147" s="111"/>
      <c r="AL1147" s="512"/>
      <c r="AM1147" s="513"/>
      <c r="AN1147" s="465"/>
      <c r="AO1147" s="468" t="str">
        <f>РПЗ!AD1286</f>
        <v>Нет</v>
      </c>
      <c r="AP1147" s="472">
        <f>РПЗ!V1286</f>
        <v>0</v>
      </c>
      <c r="AQ1147" s="470">
        <f>IF(Таблица5[[#This Row],[11]]=0,,MONTH(Таблица5[[#This Row],[11]]))</f>
        <v>10</v>
      </c>
    </row>
    <row r="1148" spans="1:43" ht="39" thickBot="1" x14ac:dyDescent="0.3">
      <c r="A1148" s="233" t="str">
        <f t="shared" si="18"/>
        <v>1004-2017-01133</v>
      </c>
      <c r="B1148" s="959" t="str">
        <f>РПЗ!$D1148</f>
        <v>1004-2017-01133 Поставка Комплект для системы считывания нанорешеток в стеклах</v>
      </c>
      <c r="C1148" s="233" t="str">
        <f>РПЗ!$AA1148</f>
        <v>АО "НИИ "Полюс" им. М.Ф. Стельмаха" тел. отдела закупок 8-495-333-05-02</v>
      </c>
      <c r="D1148" s="633" t="str">
        <f>РПЗ!$AB1148</f>
        <v>Заказчик</v>
      </c>
      <c r="E1148" s="510" t="s">
        <v>59</v>
      </c>
      <c r="F1148" s="233" t="str">
        <f>РПЗ!Q1148</f>
        <v>ОЗК</v>
      </c>
      <c r="G1148" s="237" t="str">
        <f>Таблица5[[#This Row],[6]]</f>
        <v>ОЗК</v>
      </c>
      <c r="H1148" s="237" t="str">
        <f>РПЗ!R1148</f>
        <v>Да</v>
      </c>
      <c r="I1148" s="15">
        <f>РПЗ!W1148</f>
        <v>0</v>
      </c>
      <c r="J1148" s="233">
        <f>РПЗ!X1148</f>
        <v>0</v>
      </c>
      <c r="K1148" s="283">
        <f>РПЗ!Z1148</f>
        <v>0</v>
      </c>
      <c r="L1148" s="17">
        <v>42954</v>
      </c>
      <c r="M1148" s="18">
        <f>РПЗ!O1148</f>
        <v>42948</v>
      </c>
      <c r="N1148" s="238">
        <f>Таблица5[[#This Row],[10]]</f>
        <v>42948</v>
      </c>
      <c r="O1148" s="17">
        <v>42962</v>
      </c>
      <c r="P1148" s="17">
        <v>42968</v>
      </c>
      <c r="Q1148" s="17">
        <v>42968</v>
      </c>
      <c r="R1148" s="17">
        <v>42968</v>
      </c>
      <c r="S1148" s="17">
        <v>42968</v>
      </c>
      <c r="T1148" s="686"/>
      <c r="U1148" s="18">
        <f>РПЗ!P1287</f>
        <v>43040.625</v>
      </c>
      <c r="V1148" s="686"/>
      <c r="W1148" s="236">
        <f>РПЗ!L1148</f>
        <v>745423.23</v>
      </c>
      <c r="X1148" s="689">
        <v>0</v>
      </c>
      <c r="Y1148" s="689">
        <v>0</v>
      </c>
      <c r="Z1148" s="690"/>
      <c r="AA1148" s="691"/>
      <c r="AB1148" s="111"/>
      <c r="AC1148" s="17"/>
      <c r="AD1148" s="690"/>
      <c r="AE1148" s="686"/>
      <c r="AF1148" s="474"/>
      <c r="AG1148" s="692"/>
      <c r="AH1148" s="236" t="str">
        <f>IF(Таблица5[[#This Row],[30]]=0,"НД",Таблица5[[#This Row],[20]]-Таблица5[[#This Row],[30]])</f>
        <v>НД</v>
      </c>
      <c r="AI1148" s="511" t="str">
        <f>IF(((1-Таблица5[[#This Row],[30]]/Таблица5[[#This Row],[20]])=1),"НД",(1-Таблица5[[#This Row],[30]]/Таблица5[[#This Row],[20]]))</f>
        <v>НД</v>
      </c>
      <c r="AJ1148" s="111"/>
      <c r="AK1148" s="111"/>
      <c r="AL1148" s="512"/>
      <c r="AM1148" s="513" t="s">
        <v>113</v>
      </c>
      <c r="AN1148" s="801">
        <v>31705398452</v>
      </c>
      <c r="AO1148" s="468" t="str">
        <f>РПЗ!AD1287</f>
        <v>Нет</v>
      </c>
      <c r="AP1148" s="472">
        <f>РПЗ!V1287</f>
        <v>0</v>
      </c>
      <c r="AQ1148" s="470">
        <f>IF(Таблица5[[#This Row],[11]]=0,,MONTH(Таблица5[[#This Row],[11]]))</f>
        <v>8</v>
      </c>
    </row>
    <row r="1149" spans="1:43" ht="38.25" x14ac:dyDescent="0.25">
      <c r="A1149" s="233" t="str">
        <f t="shared" si="18"/>
        <v>1004-2017-01134</v>
      </c>
      <c r="B1149" s="959" t="str">
        <f>РПЗ!$D1149</f>
        <v>1004-2017-01134 Поставка Установка нанесения фоторезиста TCS</v>
      </c>
      <c r="C1149" s="233" t="str">
        <f>РПЗ!$AA1149</f>
        <v>АО "НИИ "Полюс" им. М.Ф. Стельмаха" тел. отдела закупок 8-495-333-05-02</v>
      </c>
      <c r="D1149" s="633" t="str">
        <f>РПЗ!$AB1149</f>
        <v>Заказчик</v>
      </c>
      <c r="E1149" s="96" t="s">
        <v>46</v>
      </c>
      <c r="F1149" s="233" t="str">
        <f>РПЗ!Q1149</f>
        <v>ОЗК</v>
      </c>
      <c r="G1149" s="237"/>
      <c r="H1149" s="237" t="str">
        <f>РПЗ!R1149</f>
        <v>Да</v>
      </c>
      <c r="I1149" s="15">
        <f>РПЗ!W1149</f>
        <v>0</v>
      </c>
      <c r="J1149" s="233">
        <f>РПЗ!X1149</f>
        <v>0</v>
      </c>
      <c r="K1149" s="283">
        <f>РПЗ!Z1149</f>
        <v>0</v>
      </c>
      <c r="L1149" s="17"/>
      <c r="M1149" s="18">
        <f>РПЗ!O1288</f>
        <v>42979.625</v>
      </c>
      <c r="N1149" s="238">
        <f>Таблица5[[#This Row],[10]]</f>
        <v>42979.625</v>
      </c>
      <c r="O1149" s="17"/>
      <c r="P1149" s="17"/>
      <c r="Q1149" s="17"/>
      <c r="R1149" s="17"/>
      <c r="S1149" s="17"/>
      <c r="T1149" s="686"/>
      <c r="U1149" s="18">
        <f>РПЗ!P1288</f>
        <v>43040.625</v>
      </c>
      <c r="V1149" s="686"/>
      <c r="W1149" s="236">
        <f>РПЗ!L1288</f>
        <v>500000</v>
      </c>
      <c r="X1149" s="689"/>
      <c r="Y1149" s="689"/>
      <c r="Z1149" s="690"/>
      <c r="AA1149" s="691"/>
      <c r="AB1149" s="111"/>
      <c r="AC1149" s="17"/>
      <c r="AD1149" s="690"/>
      <c r="AE1149" s="686"/>
      <c r="AF1149" s="474"/>
      <c r="AG1149" s="692"/>
      <c r="AH1149" s="236" t="str">
        <f>IF(Таблица5[[#This Row],[30]]=0,"НД",Таблица5[[#This Row],[20]]-Таблица5[[#This Row],[30]])</f>
        <v>НД</v>
      </c>
      <c r="AI1149" s="511" t="str">
        <f>IF(((1-Таблица5[[#This Row],[30]]/Таблица5[[#This Row],[20]])=1),"НД",(1-Таблица5[[#This Row],[30]]/Таблица5[[#This Row],[20]]))</f>
        <v>НД</v>
      </c>
      <c r="AJ1149" s="111"/>
      <c r="AK1149" s="111"/>
      <c r="AL1149" s="512"/>
      <c r="AM1149" s="513"/>
      <c r="AN1149" s="465"/>
      <c r="AO1149" s="468" t="str">
        <f>РПЗ!AD1288</f>
        <v>Нет</v>
      </c>
      <c r="AP1149" s="472">
        <f>РПЗ!V1288</f>
        <v>0</v>
      </c>
      <c r="AQ1149" s="470">
        <f>IF(Таблица5[[#This Row],[11]]=0,,MONTH(Таблица5[[#This Row],[11]]))</f>
        <v>9</v>
      </c>
    </row>
    <row r="1150" spans="1:43" ht="39" thickBot="1" x14ac:dyDescent="0.3">
      <c r="A1150" s="233" t="str">
        <f t="shared" si="18"/>
        <v>1004-2017-01135</v>
      </c>
      <c r="B1150" s="959" t="str">
        <f>РПЗ!$D1150</f>
        <v>1004-2017-01135 ПоставкаАвтомобильные шины</v>
      </c>
      <c r="C1150" s="233" t="str">
        <f>РПЗ!$AA1150</f>
        <v>АО "НИИ "Полюс" им. М.Ф. Стельмаха" тел. отдела закупок 8-495-333-05-02</v>
      </c>
      <c r="D1150" s="633" t="str">
        <f>РПЗ!$AB1150</f>
        <v>Заказчик</v>
      </c>
      <c r="E1150" s="510" t="s">
        <v>62</v>
      </c>
      <c r="F1150" s="233" t="str">
        <f>РПЗ!Q1150</f>
        <v>ОЗК</v>
      </c>
      <c r="G1150" s="237" t="str">
        <f>Таблица5[[#This Row],[6]]</f>
        <v>ОЗК</v>
      </c>
      <c r="H1150" s="237" t="str">
        <f>РПЗ!R1150</f>
        <v>Да</v>
      </c>
      <c r="I1150" s="15">
        <f>РПЗ!W1150</f>
        <v>0</v>
      </c>
      <c r="J1150" s="233">
        <f>РПЗ!X1150</f>
        <v>0</v>
      </c>
      <c r="K1150" s="283">
        <f>РПЗ!Z1150</f>
        <v>0</v>
      </c>
      <c r="L1150" s="17">
        <v>42936</v>
      </c>
      <c r="M1150" s="18">
        <f>РПЗ!O1150</f>
        <v>42917.5</v>
      </c>
      <c r="N1150" s="238">
        <f>Таблица5[[#This Row],[10]]</f>
        <v>42917.5</v>
      </c>
      <c r="O1150" s="17">
        <v>42942</v>
      </c>
      <c r="P1150" s="17">
        <v>42947</v>
      </c>
      <c r="Q1150" s="17">
        <v>42947</v>
      </c>
      <c r="R1150" s="17">
        <v>42947</v>
      </c>
      <c r="S1150" s="17">
        <v>42947</v>
      </c>
      <c r="T1150" s="686">
        <v>42958</v>
      </c>
      <c r="U1150" s="18">
        <f>РПЗ!P1150</f>
        <v>42948.5</v>
      </c>
      <c r="V1150" s="686">
        <v>42979</v>
      </c>
      <c r="W1150" s="236">
        <f>РПЗ!L1150</f>
        <v>82073.240000000005</v>
      </c>
      <c r="X1150" s="689">
        <v>2</v>
      </c>
      <c r="Y1150" s="689">
        <v>0</v>
      </c>
      <c r="Z1150" s="691">
        <v>7715728312</v>
      </c>
      <c r="AA1150" s="691" t="s">
        <v>6789</v>
      </c>
      <c r="AB1150" s="111">
        <v>61072</v>
      </c>
      <c r="AC1150" s="17">
        <v>42979</v>
      </c>
      <c r="AD1150" s="690" t="s">
        <v>6790</v>
      </c>
      <c r="AE1150" s="686">
        <v>42958</v>
      </c>
      <c r="AF1150" s="474"/>
      <c r="AG1150" s="692">
        <v>61072</v>
      </c>
      <c r="AH1150" s="236">
        <f>IF(Таблица5[[#This Row],[30]]=0,"НД",Таблица5[[#This Row],[20]]-Таблица5[[#This Row],[30]])</f>
        <v>21001.240000000005</v>
      </c>
      <c r="AI1150" s="511">
        <f>IF(((1-Таблица5[[#This Row],[30]]/Таблица5[[#This Row],[20]])=1),"НД",(1-Таблица5[[#This Row],[30]]/Таблица5[[#This Row],[20]]))</f>
        <v>0.25588413470700078</v>
      </c>
      <c r="AJ1150" s="111">
        <v>61072</v>
      </c>
      <c r="AK1150" s="111"/>
      <c r="AL1150" s="512"/>
      <c r="AM1150" s="513" t="s">
        <v>113</v>
      </c>
      <c r="AN1150" s="801">
        <v>31705344213</v>
      </c>
      <c r="AO1150" s="468" t="str">
        <f>РПЗ!AD1289</f>
        <v>Нет</v>
      </c>
      <c r="AP1150" s="472">
        <f>РПЗ!V1289</f>
        <v>0</v>
      </c>
      <c r="AQ1150" s="470">
        <f>IF(Таблица5[[#This Row],[11]]=0,,MONTH(Таблица5[[#This Row],[11]]))</f>
        <v>7</v>
      </c>
    </row>
    <row r="1151" spans="1:43" ht="39" thickBot="1" x14ac:dyDescent="0.3">
      <c r="A1151" s="233" t="str">
        <f t="shared" si="18"/>
        <v>1004-2017-01136</v>
      </c>
      <c r="B1151" s="959" t="str">
        <f>РПЗ!$D1151</f>
        <v>1004-2017-01136Поставка  Светотехнические изделия</v>
      </c>
      <c r="C1151" s="233" t="str">
        <f>РПЗ!$AA1151</f>
        <v>АО "НИИ "Полюс" им. М.Ф. Стельмаха" тел. отдела закупок 8-495-333-05-02</v>
      </c>
      <c r="D1151" s="633" t="str">
        <f>РПЗ!$AB1151</f>
        <v>Заказчик</v>
      </c>
      <c r="E1151" s="96" t="s">
        <v>46</v>
      </c>
      <c r="F1151" s="233" t="str">
        <f>РПЗ!Q1151</f>
        <v>ОЗК</v>
      </c>
      <c r="G1151" s="237"/>
      <c r="H1151" s="237" t="str">
        <f>РПЗ!R1151</f>
        <v>Да</v>
      </c>
      <c r="I1151" s="15">
        <f>РПЗ!W1151</f>
        <v>0</v>
      </c>
      <c r="J1151" s="233">
        <f>РПЗ!X1151</f>
        <v>0</v>
      </c>
      <c r="K1151" s="283">
        <f>РПЗ!Z1151</f>
        <v>0</v>
      </c>
      <c r="L1151" s="17"/>
      <c r="M1151" s="18">
        <f>РПЗ!O1290</f>
        <v>43040</v>
      </c>
      <c r="N1151" s="238">
        <f>Таблица5[[#This Row],[10]]</f>
        <v>43040</v>
      </c>
      <c r="O1151" s="17"/>
      <c r="P1151" s="17"/>
      <c r="Q1151" s="17"/>
      <c r="R1151" s="17"/>
      <c r="S1151" s="17"/>
      <c r="T1151" s="686"/>
      <c r="U1151" s="18">
        <f>РПЗ!P1290</f>
        <v>43070.625</v>
      </c>
      <c r="V1151" s="686"/>
      <c r="W1151" s="236">
        <f>РПЗ!L1290</f>
        <v>163631.9</v>
      </c>
      <c r="X1151" s="689"/>
      <c r="Y1151" s="689"/>
      <c r="Z1151" s="690"/>
      <c r="AA1151" s="691"/>
      <c r="AB1151" s="111"/>
      <c r="AC1151" s="17"/>
      <c r="AD1151" s="690"/>
      <c r="AE1151" s="686"/>
      <c r="AF1151" s="474"/>
      <c r="AG1151" s="692"/>
      <c r="AH1151" s="236" t="str">
        <f>IF(Таблица5[[#This Row],[30]]=0,"НД",Таблица5[[#This Row],[20]]-Таблица5[[#This Row],[30]])</f>
        <v>НД</v>
      </c>
      <c r="AI1151" s="511" t="str">
        <f>IF(((1-Таблица5[[#This Row],[30]]/Таблица5[[#This Row],[20]])=1),"НД",(1-Таблица5[[#This Row],[30]]/Таблица5[[#This Row],[20]]))</f>
        <v>НД</v>
      </c>
      <c r="AJ1151" s="111"/>
      <c r="AK1151" s="111"/>
      <c r="AL1151" s="512"/>
      <c r="AM1151" s="513"/>
      <c r="AN1151" s="465"/>
      <c r="AO1151" s="468" t="str">
        <f>РПЗ!AD1290</f>
        <v>Нет</v>
      </c>
      <c r="AP1151" s="472">
        <f>РПЗ!V1290</f>
        <v>0</v>
      </c>
      <c r="AQ1151" s="470">
        <f>IF(Таблица5[[#This Row],[11]]=0,,MONTH(Таблица5[[#This Row],[11]]))</f>
        <v>11</v>
      </c>
    </row>
    <row r="1152" spans="1:43" ht="39" thickBot="1" x14ac:dyDescent="0.3">
      <c r="A1152" s="233" t="str">
        <f t="shared" si="18"/>
        <v>1004-2017-01137</v>
      </c>
      <c r="B1152" s="959" t="str">
        <f>РПЗ!$D1152</f>
        <v>1004-2017-01137Поставка  вилки, розетки,уплотнительные пробки</v>
      </c>
      <c r="C1152" s="233" t="str">
        <f>РПЗ!$AA1152</f>
        <v>АО "НИИ "Полюс" им. М.Ф. Стельмаха" тел. отдела закупок 8-495-333-05-02</v>
      </c>
      <c r="D1152" s="633" t="str">
        <f>РПЗ!$AB1152</f>
        <v>Заказчик</v>
      </c>
      <c r="E1152" s="96" t="s">
        <v>46</v>
      </c>
      <c r="F1152" s="233" t="str">
        <f>РПЗ!Q1152</f>
        <v>ЕП</v>
      </c>
      <c r="G1152" s="237"/>
      <c r="H1152" s="237" t="str">
        <f>РПЗ!R1152</f>
        <v>Нет</v>
      </c>
      <c r="I1152" s="15">
        <f>РПЗ!W1152</f>
        <v>0</v>
      </c>
      <c r="J1152" s="233">
        <f>РПЗ!X1152</f>
        <v>0</v>
      </c>
      <c r="K1152" s="283">
        <f>РПЗ!Z1152</f>
        <v>0</v>
      </c>
      <c r="L1152" s="17"/>
      <c r="M1152" s="18">
        <f>РПЗ!O1291</f>
        <v>42979.625</v>
      </c>
      <c r="N1152" s="238">
        <f>Таблица5[[#This Row],[10]]</f>
        <v>42979.625</v>
      </c>
      <c r="O1152" s="17"/>
      <c r="P1152" s="17"/>
      <c r="Q1152" s="17"/>
      <c r="R1152" s="17"/>
      <c r="S1152" s="17"/>
      <c r="T1152" s="686"/>
      <c r="U1152" s="18">
        <f>РПЗ!P1291</f>
        <v>43040.625</v>
      </c>
      <c r="V1152" s="686"/>
      <c r="W1152" s="236">
        <f>РПЗ!L1291</f>
        <v>91403.199999999997</v>
      </c>
      <c r="X1152" s="689"/>
      <c r="Y1152" s="689"/>
      <c r="Z1152" s="690"/>
      <c r="AA1152" s="691"/>
      <c r="AB1152" s="111"/>
      <c r="AC1152" s="17"/>
      <c r="AD1152" s="690"/>
      <c r="AE1152" s="686"/>
      <c r="AF1152" s="474"/>
      <c r="AG1152" s="692"/>
      <c r="AH1152" s="236" t="str">
        <f>IF(Таблица5[[#This Row],[30]]=0,"НД",Таблица5[[#This Row],[20]]-Таблица5[[#This Row],[30]])</f>
        <v>НД</v>
      </c>
      <c r="AI1152" s="511" t="str">
        <f>IF(((1-Таблица5[[#This Row],[30]]/Таблица5[[#This Row],[20]])=1),"НД",(1-Таблица5[[#This Row],[30]]/Таблица5[[#This Row],[20]]))</f>
        <v>НД</v>
      </c>
      <c r="AJ1152" s="111"/>
      <c r="AK1152" s="111"/>
      <c r="AL1152" s="512"/>
      <c r="AM1152" s="513"/>
      <c r="AN1152" s="465"/>
      <c r="AO1152" s="468" t="str">
        <f>РПЗ!AD1291</f>
        <v>Нет</v>
      </c>
      <c r="AP1152" s="472">
        <f>РПЗ!V1291</f>
        <v>0</v>
      </c>
      <c r="AQ1152" s="470">
        <f>IF(Таблица5[[#This Row],[11]]=0,,MONTH(Таблица5[[#This Row],[11]]))</f>
        <v>9</v>
      </c>
    </row>
    <row r="1153" spans="1:43" ht="38.25" x14ac:dyDescent="0.25">
      <c r="A1153" s="233" t="str">
        <f t="shared" si="18"/>
        <v>1004-2017-01138</v>
      </c>
      <c r="B1153" s="959" t="str">
        <f>РПЗ!$D1153</f>
        <v>1004-2017-01138Поставка  вилки, розетки</v>
      </c>
      <c r="C1153" s="233" t="str">
        <f>РПЗ!$AA1153</f>
        <v>АО "НИИ "Полюс" им. М.Ф. Стельмаха" тел. отдела закупок 8-495-333-05-02</v>
      </c>
      <c r="D1153" s="633" t="str">
        <f>РПЗ!$AB1153</f>
        <v>Заказчик</v>
      </c>
      <c r="E1153" s="96" t="s">
        <v>46</v>
      </c>
      <c r="F1153" s="233" t="str">
        <f>РПЗ!Q1153</f>
        <v>ЕП</v>
      </c>
      <c r="G1153" s="237"/>
      <c r="H1153" s="237" t="str">
        <f>РПЗ!R1153</f>
        <v>Нет</v>
      </c>
      <c r="I1153" s="15">
        <f>РПЗ!W1153</f>
        <v>0</v>
      </c>
      <c r="J1153" s="233">
        <f>РПЗ!X1153</f>
        <v>0</v>
      </c>
      <c r="K1153" s="283">
        <f>РПЗ!Z1153</f>
        <v>0</v>
      </c>
      <c r="L1153" s="17"/>
      <c r="M1153" s="18">
        <f>РПЗ!O1292</f>
        <v>42979.625</v>
      </c>
      <c r="N1153" s="238">
        <f>Таблица5[[#This Row],[10]]</f>
        <v>42979.625</v>
      </c>
      <c r="O1153" s="17"/>
      <c r="P1153" s="17"/>
      <c r="Q1153" s="17"/>
      <c r="R1153" s="17"/>
      <c r="S1153" s="17"/>
      <c r="T1153" s="686"/>
      <c r="U1153" s="18">
        <f>РПЗ!P1292</f>
        <v>43040.625</v>
      </c>
      <c r="V1153" s="686"/>
      <c r="W1153" s="236">
        <f>РПЗ!L1292</f>
        <v>100000</v>
      </c>
      <c r="X1153" s="689"/>
      <c r="Y1153" s="689"/>
      <c r="Z1153" s="690"/>
      <c r="AA1153" s="691"/>
      <c r="AB1153" s="111"/>
      <c r="AC1153" s="17"/>
      <c r="AD1153" s="690"/>
      <c r="AE1153" s="686"/>
      <c r="AF1153" s="474"/>
      <c r="AG1153" s="692"/>
      <c r="AH1153" s="236" t="str">
        <f>IF(Таблица5[[#This Row],[30]]=0,"НД",Таблица5[[#This Row],[20]]-Таблица5[[#This Row],[30]])</f>
        <v>НД</v>
      </c>
      <c r="AI1153" s="511" t="str">
        <f>IF(((1-Таблица5[[#This Row],[30]]/Таблица5[[#This Row],[20]])=1),"НД",(1-Таблица5[[#This Row],[30]]/Таблица5[[#This Row],[20]]))</f>
        <v>НД</v>
      </c>
      <c r="AJ1153" s="111"/>
      <c r="AK1153" s="111"/>
      <c r="AL1153" s="512"/>
      <c r="AM1153" s="513"/>
      <c r="AN1153" s="465"/>
      <c r="AO1153" s="468" t="str">
        <f>РПЗ!AD1292</f>
        <v>Нет</v>
      </c>
      <c r="AP1153" s="472">
        <f>РПЗ!V1292</f>
        <v>0</v>
      </c>
      <c r="AQ1153" s="470">
        <f>IF(Таблица5[[#This Row],[11]]=0,,MONTH(Таблица5[[#This Row],[11]]))</f>
        <v>9</v>
      </c>
    </row>
    <row r="1154" spans="1:43" ht="38.25" x14ac:dyDescent="0.25">
      <c r="A1154" s="233" t="str">
        <f t="shared" si="18"/>
        <v>1004-2017-01139</v>
      </c>
      <c r="B1154" s="959" t="str">
        <f>РПЗ!$D1154</f>
        <v>1004-2017-01139 Поставка амортизаторы АПН</v>
      </c>
      <c r="C1154" s="233" t="str">
        <f>РПЗ!$AA1154</f>
        <v>АО "НИИ "Полюс" им. М.Ф. Стельмаха" тел. отдела закупок 8-495-333-05-02</v>
      </c>
      <c r="D1154" s="633" t="str">
        <f>РПЗ!$AB1154</f>
        <v>Заказчик</v>
      </c>
      <c r="E1154" s="510" t="s">
        <v>62</v>
      </c>
      <c r="F1154" s="233" t="str">
        <f>РПЗ!Q1154</f>
        <v>ЕП</v>
      </c>
      <c r="G1154" s="237" t="str">
        <f>Таблица5[[#This Row],[6]]</f>
        <v>ЕП</v>
      </c>
      <c r="H1154" s="237" t="str">
        <f>РПЗ!R1154</f>
        <v>Нет</v>
      </c>
      <c r="I1154" s="15" t="str">
        <f>РПЗ!W1154</f>
        <v>6.6.2(11)</v>
      </c>
      <c r="J1154" s="233" t="str">
        <f>РПЗ!X1154</f>
        <v>5260900066</v>
      </c>
      <c r="K1154" s="283">
        <f>РПЗ!Z1154</f>
        <v>204831.24</v>
      </c>
      <c r="L1154" s="17">
        <v>42935</v>
      </c>
      <c r="M1154" s="18">
        <f>РПЗ!O1154</f>
        <v>42917.5</v>
      </c>
      <c r="N1154" s="238">
        <f>Таблица5[[#This Row],[10]]</f>
        <v>42917.5</v>
      </c>
      <c r="O1154" s="17"/>
      <c r="P1154" s="17"/>
      <c r="Q1154" s="17"/>
      <c r="R1154" s="17"/>
      <c r="S1154" s="17"/>
      <c r="T1154" s="686">
        <v>42977</v>
      </c>
      <c r="U1154" s="18">
        <f>РПЗ!P1154</f>
        <v>42979.5</v>
      </c>
      <c r="V1154" s="686">
        <v>43070</v>
      </c>
      <c r="W1154" s="236">
        <f>РПЗ!L1154</f>
        <v>204831.24</v>
      </c>
      <c r="X1154" s="689">
        <v>1</v>
      </c>
      <c r="Y1154" s="689">
        <v>0</v>
      </c>
      <c r="Z1154" s="691">
        <v>5260900066</v>
      </c>
      <c r="AA1154" s="691" t="s">
        <v>6845</v>
      </c>
      <c r="AB1154" s="111">
        <v>204831.24</v>
      </c>
      <c r="AC1154" s="17">
        <v>43070</v>
      </c>
      <c r="AD1154" s="690" t="s">
        <v>119</v>
      </c>
      <c r="AE1154" s="686">
        <v>0</v>
      </c>
      <c r="AF1154" s="474"/>
      <c r="AG1154" s="692">
        <v>204831.24</v>
      </c>
      <c r="AH1154" s="236">
        <f>IF(Таблица5[[#This Row],[30]]=0,"НД",Таблица5[[#This Row],[20]]-Таблица5[[#This Row],[30]])</f>
        <v>0</v>
      </c>
      <c r="AI1154" s="511">
        <f>IF(((1-Таблица5[[#This Row],[30]]/Таблица5[[#This Row],[20]])=1),"НД",(1-Таблица5[[#This Row],[30]]/Таблица5[[#This Row],[20]]))</f>
        <v>0</v>
      </c>
      <c r="AJ1154" s="111"/>
      <c r="AK1154" s="111"/>
      <c r="AL1154" s="512"/>
      <c r="AM1154" s="513" t="s">
        <v>113</v>
      </c>
      <c r="AN1154" s="801">
        <v>31705390094</v>
      </c>
      <c r="AO1154" s="468" t="str">
        <f>РПЗ!AD1293</f>
        <v>Нет</v>
      </c>
      <c r="AP1154" s="472">
        <f>РПЗ!V1293</f>
        <v>0</v>
      </c>
      <c r="AQ1154" s="470">
        <f>IF(Таблица5[[#This Row],[11]]=0,,MONTH(Таблица5[[#This Row],[11]]))</f>
        <v>7</v>
      </c>
    </row>
    <row r="1155" spans="1:43" ht="38.25" x14ac:dyDescent="0.25">
      <c r="A1155" s="233" t="str">
        <f t="shared" si="18"/>
        <v>1004-2017-01140</v>
      </c>
      <c r="B1155" s="959" t="str">
        <f>РПЗ!$D1155</f>
        <v>1004-2017-01140Поставка транзисторы</v>
      </c>
      <c r="C1155" s="233" t="str">
        <f>РПЗ!$AA1155</f>
        <v>АО "НИИ "Полюс" им. М.Ф. Стельмаха" тел. отдела закупок 8-495-333-05-02</v>
      </c>
      <c r="D1155" s="633" t="str">
        <f>РПЗ!$AB1155</f>
        <v>Заказчик</v>
      </c>
      <c r="E1155" s="510" t="s">
        <v>62</v>
      </c>
      <c r="F1155" s="233" t="str">
        <f>РПЗ!Q1155</f>
        <v>ЕП</v>
      </c>
      <c r="G1155" s="237" t="str">
        <f>Таблица5[[#This Row],[6]]</f>
        <v>ЕП</v>
      </c>
      <c r="H1155" s="237" t="str">
        <f>РПЗ!R1155</f>
        <v>Нет</v>
      </c>
      <c r="I1155" s="15" t="str">
        <f>РПЗ!W1155</f>
        <v>6.6.2(10)</v>
      </c>
      <c r="J1155" s="233" t="str">
        <f>РПЗ!X1155</f>
        <v>7735010706</v>
      </c>
      <c r="K1155" s="283">
        <f>РПЗ!Z1155</f>
        <v>137145.5</v>
      </c>
      <c r="L1155" s="17">
        <v>42919</v>
      </c>
      <c r="M1155" s="18">
        <f>РПЗ!O1155</f>
        <v>42917.5</v>
      </c>
      <c r="N1155" s="238">
        <f>Таблица5[[#This Row],[10]]</f>
        <v>42917.5</v>
      </c>
      <c r="O1155" s="17"/>
      <c r="P1155" s="17"/>
      <c r="Q1155" s="17"/>
      <c r="R1155" s="17"/>
      <c r="S1155" s="17"/>
      <c r="T1155" s="686">
        <v>42940</v>
      </c>
      <c r="U1155" s="18">
        <f>РПЗ!P1155</f>
        <v>42979.5</v>
      </c>
      <c r="V1155" s="686">
        <v>43070</v>
      </c>
      <c r="W1155" s="236">
        <f>РПЗ!L1155</f>
        <v>137145.5</v>
      </c>
      <c r="X1155" s="689">
        <v>1</v>
      </c>
      <c r="Y1155" s="689">
        <v>0</v>
      </c>
      <c r="Z1155" s="691">
        <v>7735010706</v>
      </c>
      <c r="AA1155" s="691" t="s">
        <v>6436</v>
      </c>
      <c r="AB1155" s="111">
        <v>137145.5</v>
      </c>
      <c r="AC1155" s="17">
        <v>43070</v>
      </c>
      <c r="AD1155" s="690" t="s">
        <v>120</v>
      </c>
      <c r="AE1155" s="686">
        <v>42940</v>
      </c>
      <c r="AF1155" s="474"/>
      <c r="AG1155" s="692">
        <v>137145.5</v>
      </c>
      <c r="AH1155" s="236">
        <f>IF(Таблица5[[#This Row],[30]]=0,"НД",Таблица5[[#This Row],[20]]-Таблица5[[#This Row],[30]])</f>
        <v>0</v>
      </c>
      <c r="AI1155" s="511">
        <f>IF(((1-Таблица5[[#This Row],[30]]/Таблица5[[#This Row],[20]])=1),"НД",(1-Таблица5[[#This Row],[30]]/Таблица5[[#This Row],[20]]))</f>
        <v>0</v>
      </c>
      <c r="AJ1155" s="111"/>
      <c r="AK1155" s="111"/>
      <c r="AL1155" s="512"/>
      <c r="AM1155" s="513" t="s">
        <v>113</v>
      </c>
      <c r="AN1155" s="801">
        <v>31705339993</v>
      </c>
      <c r="AO1155" s="468" t="str">
        <f>РПЗ!AD1294</f>
        <v>Нет</v>
      </c>
      <c r="AP1155" s="472">
        <f>РПЗ!V1294</f>
        <v>0</v>
      </c>
      <c r="AQ1155" s="470">
        <f>IF(Таблица5[[#This Row],[11]]=0,,MONTH(Таблица5[[#This Row],[11]]))</f>
        <v>7</v>
      </c>
    </row>
    <row r="1156" spans="1:43" ht="38.25" x14ac:dyDescent="0.25">
      <c r="A1156" s="233" t="str">
        <f t="shared" si="18"/>
        <v>1004-2017-01141</v>
      </c>
      <c r="B1156" s="959" t="str">
        <f>РПЗ!$D1156</f>
        <v>1004-2017-01141 Поставка тиристоры КУ221А</v>
      </c>
      <c r="C1156" s="233" t="str">
        <f>РПЗ!$AA1156</f>
        <v>АО "НИИ "Полюс" им. М.Ф. Стельмаха" тел. отдела закупок 8-495-333-05-02</v>
      </c>
      <c r="D1156" s="633" t="str">
        <f>РПЗ!$AB1156</f>
        <v>Заказчик</v>
      </c>
      <c r="E1156" s="510" t="s">
        <v>62</v>
      </c>
      <c r="F1156" s="233" t="str">
        <f>РПЗ!Q1156</f>
        <v>ЕП</v>
      </c>
      <c r="G1156" s="237" t="str">
        <f>Таблица5[[#This Row],[6]]</f>
        <v>ЕП</v>
      </c>
      <c r="H1156" s="237" t="str">
        <f>РПЗ!R1156</f>
        <v>Нет</v>
      </c>
      <c r="I1156" s="15" t="str">
        <f>РПЗ!W1156</f>
        <v>6.6.2(11)</v>
      </c>
      <c r="J1156" s="233" t="str">
        <f>РПЗ!X1156</f>
        <v>7841479761</v>
      </c>
      <c r="K1156" s="283">
        <f>РПЗ!Z1156</f>
        <v>132000</v>
      </c>
      <c r="L1156" s="17">
        <v>42937</v>
      </c>
      <c r="M1156" s="18">
        <f>РПЗ!O1156</f>
        <v>42917.5</v>
      </c>
      <c r="N1156" s="238">
        <f>Таблица5[[#This Row],[10]]</f>
        <v>42917.5</v>
      </c>
      <c r="O1156" s="17"/>
      <c r="P1156" s="17"/>
      <c r="Q1156" s="17"/>
      <c r="R1156" s="17"/>
      <c r="S1156" s="17"/>
      <c r="T1156" s="686">
        <v>42941</v>
      </c>
      <c r="U1156" s="18">
        <f>РПЗ!P1156</f>
        <v>42979.5</v>
      </c>
      <c r="V1156" s="686">
        <v>42948</v>
      </c>
      <c r="W1156" s="236">
        <f>РПЗ!L1156</f>
        <v>132000</v>
      </c>
      <c r="X1156" s="689">
        <v>1</v>
      </c>
      <c r="Y1156" s="689">
        <v>0</v>
      </c>
      <c r="Z1156" s="691">
        <v>7841479761</v>
      </c>
      <c r="AA1156" s="691" t="s">
        <v>1720</v>
      </c>
      <c r="AB1156" s="111">
        <v>132000</v>
      </c>
      <c r="AC1156" s="17">
        <v>42948</v>
      </c>
      <c r="AD1156" s="690" t="s">
        <v>215</v>
      </c>
      <c r="AE1156" s="686">
        <v>42941</v>
      </c>
      <c r="AF1156" s="474"/>
      <c r="AG1156" s="692">
        <v>132000</v>
      </c>
      <c r="AH1156" s="236">
        <f>IF(Таблица5[[#This Row],[30]]=0,"НД",Таблица5[[#This Row],[20]]-Таблица5[[#This Row],[30]])</f>
        <v>0</v>
      </c>
      <c r="AI1156" s="511">
        <f>IF(((1-Таблица5[[#This Row],[30]]/Таблица5[[#This Row],[20]])=1),"НД",(1-Таблица5[[#This Row],[30]]/Таблица5[[#This Row],[20]]))</f>
        <v>0</v>
      </c>
      <c r="AJ1156" s="111"/>
      <c r="AK1156" s="111"/>
      <c r="AL1156" s="512"/>
      <c r="AM1156" s="513" t="s">
        <v>113</v>
      </c>
      <c r="AN1156" s="801">
        <v>31705354361</v>
      </c>
      <c r="AO1156" s="468" t="str">
        <f>РПЗ!AD1156</f>
        <v>Нет</v>
      </c>
      <c r="AP1156" s="472">
        <f>РПЗ!V1156</f>
        <v>0</v>
      </c>
      <c r="AQ1156" s="470">
        <f>IF(Таблица5[[#This Row],[11]]=0,,MONTH(Таблица5[[#This Row],[11]]))</f>
        <v>7</v>
      </c>
    </row>
    <row r="1157" spans="1:43" ht="51" x14ac:dyDescent="0.25">
      <c r="A1157" s="233" t="str">
        <f t="shared" si="18"/>
        <v>1004-2017-01142</v>
      </c>
      <c r="B1157" s="959" t="str">
        <f>РПЗ!$D1157</f>
        <v>1004-2017-01142 Поставка Полировальный раствор Chemlox, 4 л. (Tхранения +4 .. +24С), артикул 0CON-141</v>
      </c>
      <c r="C1157" s="233" t="str">
        <f>РПЗ!$AA1157</f>
        <v>АО "НИИ "Полюс" им. М.Ф. Стельмаха" тел. отдела закупок 8-495-333-05-02</v>
      </c>
      <c r="D1157" s="633" t="str">
        <f>РПЗ!$AB1157</f>
        <v>Заказчик</v>
      </c>
      <c r="E1157" s="510" t="s">
        <v>62</v>
      </c>
      <c r="F1157" s="233" t="str">
        <f>РПЗ!Q1157</f>
        <v>ОЗК</v>
      </c>
      <c r="G1157" s="237" t="str">
        <f>Таблица5[[#This Row],[6]]</f>
        <v>ОЗК</v>
      </c>
      <c r="H1157" s="237" t="str">
        <f>РПЗ!R1157</f>
        <v>Да</v>
      </c>
      <c r="I1157" s="15">
        <f>РПЗ!W1157</f>
        <v>0</v>
      </c>
      <c r="J1157" s="233">
        <f>РПЗ!X1157</f>
        <v>0</v>
      </c>
      <c r="K1157" s="283">
        <f>РПЗ!Z1157</f>
        <v>0</v>
      </c>
      <c r="L1157" s="17">
        <v>42990</v>
      </c>
      <c r="M1157" s="18">
        <f>РПЗ!O1157</f>
        <v>42979</v>
      </c>
      <c r="N1157" s="238">
        <f>Таблица5[[#This Row],[10]]</f>
        <v>42979</v>
      </c>
      <c r="O1157" s="17">
        <v>42999</v>
      </c>
      <c r="P1157" s="17">
        <v>43003</v>
      </c>
      <c r="Q1157" s="17">
        <v>43003</v>
      </c>
      <c r="R1157" s="17">
        <v>43003</v>
      </c>
      <c r="S1157" s="17">
        <v>43003</v>
      </c>
      <c r="T1157" s="686">
        <v>43018</v>
      </c>
      <c r="U1157" s="18">
        <f>РПЗ!P1157</f>
        <v>43010.5</v>
      </c>
      <c r="V1157" s="686">
        <v>43101</v>
      </c>
      <c r="W1157" s="236">
        <f>РПЗ!L1157</f>
        <v>5629</v>
      </c>
      <c r="X1157" s="689">
        <v>1</v>
      </c>
      <c r="Y1157" s="689">
        <v>0</v>
      </c>
      <c r="Z1157" s="691">
        <v>7813321571</v>
      </c>
      <c r="AA1157" s="691" t="s">
        <v>6872</v>
      </c>
      <c r="AB1157" s="111">
        <v>5629</v>
      </c>
      <c r="AC1157" s="17">
        <v>43101</v>
      </c>
      <c r="AD1157" s="690" t="s">
        <v>6873</v>
      </c>
      <c r="AE1157" s="686">
        <v>43018</v>
      </c>
      <c r="AF1157" s="474"/>
      <c r="AG1157" s="692">
        <v>5629</v>
      </c>
      <c r="AH1157" s="236">
        <f>IF(Таблица5[[#This Row],[30]]=0,"НД",Таблица5[[#This Row],[20]]-Таблица5[[#This Row],[30]])</f>
        <v>0</v>
      </c>
      <c r="AI1157" s="511">
        <f>IF(((1-Таблица5[[#This Row],[30]]/Таблица5[[#This Row],[20]])=1),"НД",(1-Таблица5[[#This Row],[30]]/Таблица5[[#This Row],[20]]))</f>
        <v>0</v>
      </c>
      <c r="AJ1157" s="111"/>
      <c r="AK1157" s="111"/>
      <c r="AL1157" s="512"/>
      <c r="AM1157" s="513" t="s">
        <v>113</v>
      </c>
      <c r="AN1157" s="801">
        <v>31705511598</v>
      </c>
      <c r="AO1157" s="468" t="str">
        <f>РПЗ!AD1296</f>
        <v>Нет</v>
      </c>
      <c r="AP1157" s="472">
        <f>РПЗ!V1296</f>
        <v>0</v>
      </c>
      <c r="AQ1157" s="470">
        <f>IF(Таблица5[[#This Row],[11]]=0,,MONTH(Таблица5[[#This Row],[11]]))</f>
        <v>9</v>
      </c>
    </row>
    <row r="1158" spans="1:43" ht="39" thickBot="1" x14ac:dyDescent="0.3">
      <c r="A1158" s="233" t="str">
        <f t="shared" si="18"/>
        <v>1004-2017-01143</v>
      </c>
      <c r="B1158" s="959" t="str">
        <f>РПЗ!$D1158</f>
        <v>1004-2017-01143 Поставка хладонов</v>
      </c>
      <c r="C1158" s="233" t="str">
        <f>РПЗ!$AA1158</f>
        <v>АО "НИИ "Полюс" им. М.Ф. Стельмаха" тел. отдела закупок 8-495-333-05-02</v>
      </c>
      <c r="D1158" s="633" t="str">
        <f>РПЗ!$AB1158</f>
        <v>Заказчик</v>
      </c>
      <c r="E1158" s="510" t="s">
        <v>62</v>
      </c>
      <c r="F1158" s="233" t="str">
        <f>РПЗ!Q1158</f>
        <v>ОЗК</v>
      </c>
      <c r="G1158" s="237" t="str">
        <f>Таблица5[[#This Row],[6]]</f>
        <v>ОЗК</v>
      </c>
      <c r="H1158" s="237" t="str">
        <f>РПЗ!R1158</f>
        <v>Да</v>
      </c>
      <c r="I1158" s="15">
        <f>РПЗ!W1158</f>
        <v>0</v>
      </c>
      <c r="J1158" s="233">
        <f>РПЗ!X1158</f>
        <v>0</v>
      </c>
      <c r="K1158" s="283">
        <f>РПЗ!Z1158</f>
        <v>0</v>
      </c>
      <c r="L1158" s="17">
        <v>42930</v>
      </c>
      <c r="M1158" s="18">
        <f>РПЗ!O1158</f>
        <v>42918.5</v>
      </c>
      <c r="N1158" s="238">
        <f>Таблица5[[#This Row],[10]]</f>
        <v>42918.5</v>
      </c>
      <c r="O1158" s="17">
        <v>42935</v>
      </c>
      <c r="P1158" s="17">
        <v>42940</v>
      </c>
      <c r="Q1158" s="17">
        <v>42940</v>
      </c>
      <c r="R1158" s="17">
        <v>42940</v>
      </c>
      <c r="S1158" s="17">
        <v>42940</v>
      </c>
      <c r="T1158" s="686">
        <v>42954</v>
      </c>
      <c r="U1158" s="18">
        <f>РПЗ!P1158</f>
        <v>42949.5</v>
      </c>
      <c r="V1158" s="686">
        <v>43070</v>
      </c>
      <c r="W1158" s="236">
        <f>РПЗ!L1158</f>
        <v>886925.73</v>
      </c>
      <c r="X1158" s="689">
        <v>4</v>
      </c>
      <c r="Y1158" s="689">
        <v>0</v>
      </c>
      <c r="Z1158" s="691">
        <v>7708714830</v>
      </c>
      <c r="AA1158" s="691" t="s">
        <v>6098</v>
      </c>
      <c r="AB1158" s="111">
        <v>757538</v>
      </c>
      <c r="AC1158" s="17">
        <v>43070</v>
      </c>
      <c r="AD1158" s="690" t="s">
        <v>6804</v>
      </c>
      <c r="AE1158" s="686">
        <v>42954</v>
      </c>
      <c r="AF1158" s="474"/>
      <c r="AG1158" s="692">
        <v>757538</v>
      </c>
      <c r="AH1158" s="236">
        <f>IF(Таблица5[[#This Row],[30]]=0,"НД",Таблица5[[#This Row],[20]]-Таблица5[[#This Row],[30]])</f>
        <v>129387.72999999998</v>
      </c>
      <c r="AI1158" s="511">
        <f>IF(((1-Таблица5[[#This Row],[30]]/Таблица5[[#This Row],[20]])=1),"НД",(1-Таблица5[[#This Row],[30]]/Таблица5[[#This Row],[20]]))</f>
        <v>0.14588338755264207</v>
      </c>
      <c r="AJ1158" s="111">
        <v>757538</v>
      </c>
      <c r="AK1158" s="111"/>
      <c r="AL1158" s="512"/>
      <c r="AM1158" s="513" t="s">
        <v>113</v>
      </c>
      <c r="AN1158" s="801">
        <v>31705323633</v>
      </c>
      <c r="AO1158" s="468" t="str">
        <f>РПЗ!AD1297</f>
        <v>Нет</v>
      </c>
      <c r="AP1158" s="472">
        <f>РПЗ!V1297</f>
        <v>0</v>
      </c>
      <c r="AQ1158" s="470">
        <f>IF(Таблица5[[#This Row],[11]]=0,,MONTH(Таблица5[[#This Row],[11]]))</f>
        <v>7</v>
      </c>
    </row>
    <row r="1159" spans="1:43" ht="39" thickBot="1" x14ac:dyDescent="0.3">
      <c r="A1159" s="233" t="str">
        <f t="shared" si="18"/>
        <v>1004-2017-01144</v>
      </c>
      <c r="B1159" s="959" t="str">
        <f>РПЗ!$D1159</f>
        <v>1004-2017-01144 Поставка микросхемы</v>
      </c>
      <c r="C1159" s="233" t="str">
        <f>РПЗ!$AA1159</f>
        <v>АО "НИИ "Полюс" им. М.Ф. Стельмаха" тел. отдела закупок 8-495-333-05-02</v>
      </c>
      <c r="D1159" s="633" t="str">
        <f>РПЗ!$AB1159</f>
        <v>Заказчик</v>
      </c>
      <c r="E1159" s="96" t="s">
        <v>46</v>
      </c>
      <c r="F1159" s="233" t="str">
        <f>РПЗ!Q1159</f>
        <v>ЕП</v>
      </c>
      <c r="G1159" s="237"/>
      <c r="H1159" s="237" t="str">
        <f>РПЗ!R1159</f>
        <v>Нет</v>
      </c>
      <c r="I1159" s="15">
        <f>РПЗ!W1159</f>
        <v>0</v>
      </c>
      <c r="J1159" s="233">
        <f>РПЗ!X1159</f>
        <v>0</v>
      </c>
      <c r="K1159" s="283">
        <f>РПЗ!Z1159</f>
        <v>0</v>
      </c>
      <c r="L1159" s="17"/>
      <c r="M1159" s="18">
        <f>РПЗ!O1298</f>
        <v>42979.625</v>
      </c>
      <c r="N1159" s="238">
        <f>Таблица5[[#This Row],[10]]</f>
        <v>42979.625</v>
      </c>
      <c r="O1159" s="17"/>
      <c r="P1159" s="17"/>
      <c r="Q1159" s="17"/>
      <c r="R1159" s="17"/>
      <c r="S1159" s="17"/>
      <c r="T1159" s="686"/>
      <c r="U1159" s="18">
        <f>РПЗ!P1298</f>
        <v>43040.625</v>
      </c>
      <c r="V1159" s="686"/>
      <c r="W1159" s="236">
        <f>РПЗ!L1298</f>
        <v>485000</v>
      </c>
      <c r="X1159" s="689"/>
      <c r="Y1159" s="689"/>
      <c r="Z1159" s="690"/>
      <c r="AA1159" s="691"/>
      <c r="AB1159" s="111"/>
      <c r="AC1159" s="17"/>
      <c r="AD1159" s="690"/>
      <c r="AE1159" s="686"/>
      <c r="AF1159" s="474"/>
      <c r="AG1159" s="692"/>
      <c r="AH1159" s="236" t="str">
        <f>IF(Таблица5[[#This Row],[30]]=0,"НД",Таблица5[[#This Row],[20]]-Таблица5[[#This Row],[30]])</f>
        <v>НД</v>
      </c>
      <c r="AI1159" s="511" t="str">
        <f>IF(((1-Таблица5[[#This Row],[30]]/Таблица5[[#This Row],[20]])=1),"НД",(1-Таблица5[[#This Row],[30]]/Таблица5[[#This Row],[20]]))</f>
        <v>НД</v>
      </c>
      <c r="AJ1159" s="111"/>
      <c r="AK1159" s="111"/>
      <c r="AL1159" s="512"/>
      <c r="AM1159" s="513"/>
      <c r="AN1159" s="465"/>
      <c r="AO1159" s="468" t="str">
        <f>РПЗ!AD1298</f>
        <v>Нет</v>
      </c>
      <c r="AP1159" s="472">
        <f>РПЗ!V1298</f>
        <v>0</v>
      </c>
      <c r="AQ1159" s="470">
        <f>IF(Таблица5[[#This Row],[11]]=0,,MONTH(Таблица5[[#This Row],[11]]))</f>
        <v>9</v>
      </c>
    </row>
    <row r="1160" spans="1:43" ht="39" thickBot="1" x14ac:dyDescent="0.3">
      <c r="A1160" s="233" t="str">
        <f t="shared" si="18"/>
        <v>1004-2017-01145</v>
      </c>
      <c r="B1160" s="959" t="str">
        <f>РПЗ!$D1160</f>
        <v>1004-2017-01145Поставка  диодная сборка с прижимом</v>
      </c>
      <c r="C1160" s="233" t="str">
        <f>РПЗ!$AA1160</f>
        <v>АО "НИИ "Полюс" им. М.Ф. Стельмаха" тел. отдела закупок 8-495-333-05-02</v>
      </c>
      <c r="D1160" s="633" t="str">
        <f>РПЗ!$AB1160</f>
        <v>Заказчик</v>
      </c>
      <c r="E1160" s="96" t="s">
        <v>46</v>
      </c>
      <c r="F1160" s="233" t="str">
        <f>РПЗ!Q1160</f>
        <v>ЕП</v>
      </c>
      <c r="G1160" s="237"/>
      <c r="H1160" s="237" t="str">
        <f>РПЗ!R1160</f>
        <v>Нет</v>
      </c>
      <c r="I1160" s="15">
        <f>РПЗ!W1160</f>
        <v>0</v>
      </c>
      <c r="J1160" s="233">
        <f>РПЗ!X1160</f>
        <v>0</v>
      </c>
      <c r="K1160" s="283">
        <f>РПЗ!Z1160</f>
        <v>0</v>
      </c>
      <c r="L1160" s="17"/>
      <c r="M1160" s="18">
        <f>РПЗ!O1299</f>
        <v>42979.625</v>
      </c>
      <c r="N1160" s="238">
        <f>Таблица5[[#This Row],[10]]</f>
        <v>42979.625</v>
      </c>
      <c r="O1160" s="17"/>
      <c r="P1160" s="17"/>
      <c r="Q1160" s="17"/>
      <c r="R1160" s="17"/>
      <c r="S1160" s="17"/>
      <c r="T1160" s="686"/>
      <c r="U1160" s="18">
        <f>РПЗ!P1299</f>
        <v>43040.625</v>
      </c>
      <c r="V1160" s="686"/>
      <c r="W1160" s="236">
        <f>РПЗ!L1299</f>
        <v>110000</v>
      </c>
      <c r="X1160" s="689"/>
      <c r="Y1160" s="689"/>
      <c r="Z1160" s="690"/>
      <c r="AA1160" s="691"/>
      <c r="AB1160" s="111"/>
      <c r="AC1160" s="17"/>
      <c r="AD1160" s="690"/>
      <c r="AE1160" s="686"/>
      <c r="AF1160" s="474"/>
      <c r="AG1160" s="692"/>
      <c r="AH1160" s="236" t="str">
        <f>IF(Таблица5[[#This Row],[30]]=0,"НД",Таблица5[[#This Row],[20]]-Таблица5[[#This Row],[30]])</f>
        <v>НД</v>
      </c>
      <c r="AI1160" s="511" t="str">
        <f>IF(((1-Таблица5[[#This Row],[30]]/Таблица5[[#This Row],[20]])=1),"НД",(1-Таблица5[[#This Row],[30]]/Таблица5[[#This Row],[20]]))</f>
        <v>НД</v>
      </c>
      <c r="AJ1160" s="111"/>
      <c r="AK1160" s="111"/>
      <c r="AL1160" s="512"/>
      <c r="AM1160" s="513"/>
      <c r="AN1160" s="465"/>
      <c r="AO1160" s="468" t="str">
        <f>РПЗ!AD1299</f>
        <v>Нет</v>
      </c>
      <c r="AP1160" s="472">
        <f>РПЗ!V1299</f>
        <v>0</v>
      </c>
      <c r="AQ1160" s="470">
        <f>IF(Таблица5[[#This Row],[11]]=0,,MONTH(Таблица5[[#This Row],[11]]))</f>
        <v>9</v>
      </c>
    </row>
    <row r="1161" spans="1:43" ht="39" thickBot="1" x14ac:dyDescent="0.3">
      <c r="A1161" s="233" t="str">
        <f t="shared" si="18"/>
        <v>1004-2017-01146</v>
      </c>
      <c r="B1161" s="959" t="str">
        <f>РПЗ!$D1161</f>
        <v>1004-2017-01146 Поставка транзисторы, микросхемы</v>
      </c>
      <c r="C1161" s="233" t="str">
        <f>РПЗ!$AA1161</f>
        <v>АО "НИИ "Полюс" им. М.Ф. Стельмаха" тел. отдела закупок 8-495-333-05-02</v>
      </c>
      <c r="D1161" s="633" t="str">
        <f>РПЗ!$AB1161</f>
        <v>Заказчик</v>
      </c>
      <c r="E1161" s="96" t="s">
        <v>46</v>
      </c>
      <c r="F1161" s="233" t="str">
        <f>РПЗ!Q1161</f>
        <v>ЕП</v>
      </c>
      <c r="G1161" s="237"/>
      <c r="H1161" s="237" t="str">
        <f>РПЗ!R1161</f>
        <v>Нет</v>
      </c>
      <c r="I1161" s="15">
        <f>РПЗ!W1161</f>
        <v>0</v>
      </c>
      <c r="J1161" s="233">
        <f>РПЗ!X1161</f>
        <v>0</v>
      </c>
      <c r="K1161" s="283">
        <f>РПЗ!Z1161</f>
        <v>0</v>
      </c>
      <c r="L1161" s="17"/>
      <c r="M1161" s="18">
        <f>РПЗ!O1300</f>
        <v>43040</v>
      </c>
      <c r="N1161" s="238">
        <f>Таблица5[[#This Row],[10]]</f>
        <v>43040</v>
      </c>
      <c r="O1161" s="17"/>
      <c r="P1161" s="17"/>
      <c r="Q1161" s="17"/>
      <c r="R1161" s="17"/>
      <c r="S1161" s="17"/>
      <c r="T1161" s="686"/>
      <c r="U1161" s="18">
        <f>РПЗ!P1300</f>
        <v>43040</v>
      </c>
      <c r="V1161" s="686"/>
      <c r="W1161" s="236">
        <f>РПЗ!L1300</f>
        <v>3312561.14</v>
      </c>
      <c r="X1161" s="689"/>
      <c r="Y1161" s="689"/>
      <c r="Z1161" s="690"/>
      <c r="AA1161" s="691"/>
      <c r="AB1161" s="111"/>
      <c r="AC1161" s="17"/>
      <c r="AD1161" s="690"/>
      <c r="AE1161" s="686"/>
      <c r="AF1161" s="474"/>
      <c r="AG1161" s="692"/>
      <c r="AH1161" s="236" t="str">
        <f>IF(Таблица5[[#This Row],[30]]=0,"НД",Таблица5[[#This Row],[20]]-Таблица5[[#This Row],[30]])</f>
        <v>НД</v>
      </c>
      <c r="AI1161" s="511" t="str">
        <f>IF(((1-Таблица5[[#This Row],[30]]/Таблица5[[#This Row],[20]])=1),"НД",(1-Таблица5[[#This Row],[30]]/Таблица5[[#This Row],[20]]))</f>
        <v>НД</v>
      </c>
      <c r="AJ1161" s="111"/>
      <c r="AK1161" s="111"/>
      <c r="AL1161" s="512"/>
      <c r="AM1161" s="513"/>
      <c r="AN1161" s="465"/>
      <c r="AO1161" s="468" t="str">
        <f>РПЗ!AD1300</f>
        <v>Нет</v>
      </c>
      <c r="AP1161" s="472">
        <f>РПЗ!V1300</f>
        <v>0</v>
      </c>
      <c r="AQ1161" s="470">
        <f>IF(Таблица5[[#This Row],[11]]=0,,MONTH(Таблица5[[#This Row],[11]]))</f>
        <v>11</v>
      </c>
    </row>
    <row r="1162" spans="1:43" ht="38.25" x14ac:dyDescent="0.25">
      <c r="A1162" s="233" t="str">
        <f t="shared" si="18"/>
        <v>1004-2017-01147</v>
      </c>
      <c r="B1162" s="959" t="str">
        <f>РПЗ!$D1162</f>
        <v>1004-2017-01147 Поставка Кварцевые генераторы</v>
      </c>
      <c r="C1162" s="233" t="str">
        <f>РПЗ!$AA1162</f>
        <v>АО "НИИ "Полюс" им. М.Ф. Стельмаха" тел. отдела закупок 8-495-333-05-02</v>
      </c>
      <c r="D1162" s="633" t="str">
        <f>РПЗ!$AB1162</f>
        <v>Заказчик</v>
      </c>
      <c r="E1162" s="96" t="s">
        <v>46</v>
      </c>
      <c r="F1162" s="233" t="str">
        <f>РПЗ!Q1162</f>
        <v>ЕП</v>
      </c>
      <c r="G1162" s="237"/>
      <c r="H1162" s="237" t="str">
        <f>РПЗ!R1162</f>
        <v>Нет</v>
      </c>
      <c r="I1162" s="15">
        <f>РПЗ!W1162</f>
        <v>0</v>
      </c>
      <c r="J1162" s="233">
        <f>РПЗ!X1162</f>
        <v>0</v>
      </c>
      <c r="K1162" s="283">
        <f>РПЗ!Z1162</f>
        <v>0</v>
      </c>
      <c r="L1162" s="17"/>
      <c r="M1162" s="18">
        <f>РПЗ!O1301</f>
        <v>42979.625</v>
      </c>
      <c r="N1162" s="238">
        <f>Таблица5[[#This Row],[10]]</f>
        <v>42979.625</v>
      </c>
      <c r="O1162" s="17"/>
      <c r="P1162" s="17"/>
      <c r="Q1162" s="17"/>
      <c r="R1162" s="17"/>
      <c r="S1162" s="17"/>
      <c r="T1162" s="686"/>
      <c r="U1162" s="18">
        <f>РПЗ!P1301</f>
        <v>43009.625</v>
      </c>
      <c r="V1162" s="686"/>
      <c r="W1162" s="236">
        <f>РПЗ!L1301</f>
        <v>2762053.53</v>
      </c>
      <c r="X1162" s="689"/>
      <c r="Y1162" s="689"/>
      <c r="Z1162" s="690"/>
      <c r="AA1162" s="691"/>
      <c r="AB1162" s="111"/>
      <c r="AC1162" s="17"/>
      <c r="AD1162" s="690"/>
      <c r="AE1162" s="686"/>
      <c r="AF1162" s="474"/>
      <c r="AG1162" s="692"/>
      <c r="AH1162" s="236" t="str">
        <f>IF(Таблица5[[#This Row],[30]]=0,"НД",Таблица5[[#This Row],[20]]-Таблица5[[#This Row],[30]])</f>
        <v>НД</v>
      </c>
      <c r="AI1162" s="511" t="str">
        <f>IF(((1-Таблица5[[#This Row],[30]]/Таблица5[[#This Row],[20]])=1),"НД",(1-Таблица5[[#This Row],[30]]/Таблица5[[#This Row],[20]]))</f>
        <v>НД</v>
      </c>
      <c r="AJ1162" s="111"/>
      <c r="AK1162" s="111"/>
      <c r="AL1162" s="512"/>
      <c r="AM1162" s="513"/>
      <c r="AN1162" s="465"/>
      <c r="AO1162" s="468" t="str">
        <f>РПЗ!AD1301</f>
        <v>Нет</v>
      </c>
      <c r="AP1162" s="472">
        <f>РПЗ!V1301</f>
        <v>0</v>
      </c>
      <c r="AQ1162" s="470">
        <f>IF(Таблица5[[#This Row],[11]]=0,,MONTH(Таблица5[[#This Row],[11]]))</f>
        <v>9</v>
      </c>
    </row>
    <row r="1163" spans="1:43" ht="39" thickBot="1" x14ac:dyDescent="0.3">
      <c r="A1163" s="233" t="str">
        <f t="shared" si="18"/>
        <v>1004-2017-01148</v>
      </c>
      <c r="B1163" s="959" t="str">
        <f>РПЗ!$D1163</f>
        <v>1004-2017-01148 Поставка диоды, микросхемы</v>
      </c>
      <c r="C1163" s="233" t="str">
        <f>РПЗ!$AA1163</f>
        <v>АО "НИИ "Полюс" им. М.Ф. Стельмаха" тел. отдела закупок 8-495-333-05-02</v>
      </c>
      <c r="D1163" s="633" t="str">
        <f>РПЗ!$AB1163</f>
        <v>Заказчик</v>
      </c>
      <c r="E1163" s="510" t="s">
        <v>62</v>
      </c>
      <c r="F1163" s="233" t="str">
        <f>РПЗ!Q1163</f>
        <v>ЕП</v>
      </c>
      <c r="G1163" s="237" t="str">
        <f>Таблица5[[#This Row],[6]]</f>
        <v>ЕП</v>
      </c>
      <c r="H1163" s="237" t="str">
        <f>РПЗ!R1163</f>
        <v>Нет</v>
      </c>
      <c r="I1163" s="15" t="str">
        <f>РПЗ!W1163</f>
        <v>6.6.2(11)</v>
      </c>
      <c r="J1163" s="233" t="str">
        <f>РПЗ!X1163</f>
        <v>5027095560</v>
      </c>
      <c r="K1163" s="283">
        <f>РПЗ!Z1163</f>
        <v>640067.4</v>
      </c>
      <c r="L1163" s="17">
        <v>42919</v>
      </c>
      <c r="M1163" s="18">
        <f>РПЗ!O1163</f>
        <v>42918.5</v>
      </c>
      <c r="N1163" s="238">
        <f>Таблица5[[#This Row],[10]]</f>
        <v>42918.5</v>
      </c>
      <c r="O1163" s="17"/>
      <c r="P1163" s="17"/>
      <c r="Q1163" s="17"/>
      <c r="R1163" s="17"/>
      <c r="S1163" s="17"/>
      <c r="T1163" s="686">
        <v>42955</v>
      </c>
      <c r="U1163" s="18">
        <f>РПЗ!P1163</f>
        <v>42949.5</v>
      </c>
      <c r="V1163" s="686">
        <v>43070</v>
      </c>
      <c r="W1163" s="236">
        <f>РПЗ!L1163</f>
        <v>640067.4</v>
      </c>
      <c r="X1163" s="689">
        <v>1</v>
      </c>
      <c r="Y1163" s="689">
        <v>0</v>
      </c>
      <c r="Z1163" s="691">
        <v>5027095560</v>
      </c>
      <c r="AA1163" s="691" t="s">
        <v>6416</v>
      </c>
      <c r="AB1163" s="111">
        <v>640067.4</v>
      </c>
      <c r="AC1163" s="17">
        <v>43435</v>
      </c>
      <c r="AD1163" s="690" t="s">
        <v>120</v>
      </c>
      <c r="AE1163" s="686">
        <v>42955</v>
      </c>
      <c r="AF1163" s="474"/>
      <c r="AG1163" s="692">
        <v>640067.4</v>
      </c>
      <c r="AH1163" s="236">
        <f>IF(Таблица5[[#This Row],[30]]=0,"НД",Таблица5[[#This Row],[20]]-Таблица5[[#This Row],[30]])</f>
        <v>0</v>
      </c>
      <c r="AI1163" s="511">
        <f>IF(((1-Таблица5[[#This Row],[30]]/Таблица5[[#This Row],[20]])=1),"НД",(1-Таблица5[[#This Row],[30]]/Таблица5[[#This Row],[20]]))</f>
        <v>0</v>
      </c>
      <c r="AJ1163" s="111"/>
      <c r="AK1163" s="111"/>
      <c r="AL1163" s="512"/>
      <c r="AM1163" s="513" t="s">
        <v>113</v>
      </c>
      <c r="AN1163" s="801">
        <v>31705379185</v>
      </c>
      <c r="AO1163" s="468" t="str">
        <f>РПЗ!AD1163</f>
        <v>Нет</v>
      </c>
      <c r="AP1163" s="472" t="str">
        <f>РПЗ!V1163</f>
        <v>ГОЗ</v>
      </c>
      <c r="AQ1163" s="470">
        <f>IF(Таблица5[[#This Row],[11]]=0,,MONTH(Таблица5[[#This Row],[11]]))</f>
        <v>7</v>
      </c>
    </row>
    <row r="1164" spans="1:43" ht="38.25" x14ac:dyDescent="0.25">
      <c r="A1164" s="233" t="str">
        <f t="shared" si="18"/>
        <v>1004-2017-01149</v>
      </c>
      <c r="B1164" s="959" t="str">
        <f>РПЗ!$D1164</f>
        <v>1004-2017-01149Поставка  конденсаторы</v>
      </c>
      <c r="C1164" s="233" t="str">
        <f>РПЗ!$AA1164</f>
        <v>АО "НИИ "Полюс" им. М.Ф. Стельмаха" тел. отдела закупок 8-495-333-05-02</v>
      </c>
      <c r="D1164" s="633" t="str">
        <f>РПЗ!$AB1164</f>
        <v>Заказчик</v>
      </c>
      <c r="E1164" s="96" t="s">
        <v>46</v>
      </c>
      <c r="F1164" s="233" t="str">
        <f>РПЗ!Q1164</f>
        <v>ЕП</v>
      </c>
      <c r="G1164" s="237"/>
      <c r="H1164" s="237" t="str">
        <f>РПЗ!R1164</f>
        <v>Нет</v>
      </c>
      <c r="I1164" s="15">
        <f>РПЗ!W1164</f>
        <v>0</v>
      </c>
      <c r="J1164" s="233">
        <f>РПЗ!X1164</f>
        <v>0</v>
      </c>
      <c r="K1164" s="283">
        <f>РПЗ!Z1164</f>
        <v>0</v>
      </c>
      <c r="L1164" s="17"/>
      <c r="M1164" s="18">
        <f>РПЗ!O1303</f>
        <v>42979.625</v>
      </c>
      <c r="N1164" s="238">
        <f>Таблица5[[#This Row],[10]]</f>
        <v>42979.625</v>
      </c>
      <c r="O1164" s="17"/>
      <c r="P1164" s="17"/>
      <c r="Q1164" s="17"/>
      <c r="R1164" s="17"/>
      <c r="S1164" s="17"/>
      <c r="T1164" s="686"/>
      <c r="U1164" s="18">
        <f>РПЗ!P1303</f>
        <v>43040.625</v>
      </c>
      <c r="V1164" s="686"/>
      <c r="W1164" s="236">
        <f>РПЗ!L1303</f>
        <v>166821.70000000001</v>
      </c>
      <c r="X1164" s="689"/>
      <c r="Y1164" s="689"/>
      <c r="Z1164" s="690"/>
      <c r="AA1164" s="691"/>
      <c r="AB1164" s="111"/>
      <c r="AC1164" s="17"/>
      <c r="AD1164" s="690"/>
      <c r="AE1164" s="686"/>
      <c r="AF1164" s="474"/>
      <c r="AG1164" s="692"/>
      <c r="AH1164" s="236" t="str">
        <f>IF(Таблица5[[#This Row],[30]]=0,"НД",Таблица5[[#This Row],[20]]-Таблица5[[#This Row],[30]])</f>
        <v>НД</v>
      </c>
      <c r="AI1164" s="511" t="str">
        <f>IF(((1-Таблица5[[#This Row],[30]]/Таблица5[[#This Row],[20]])=1),"НД",(1-Таблица5[[#This Row],[30]]/Таблица5[[#This Row],[20]]))</f>
        <v>НД</v>
      </c>
      <c r="AJ1164" s="111"/>
      <c r="AK1164" s="111"/>
      <c r="AL1164" s="512"/>
      <c r="AM1164" s="513"/>
      <c r="AN1164" s="465"/>
      <c r="AO1164" s="468" t="str">
        <f>РПЗ!AD1303</f>
        <v>Нет</v>
      </c>
      <c r="AP1164" s="472">
        <f>РПЗ!V1303</f>
        <v>0</v>
      </c>
      <c r="AQ1164" s="470">
        <f>IF(Таблица5[[#This Row],[11]]=0,,MONTH(Таблица5[[#This Row],[11]]))</f>
        <v>9</v>
      </c>
    </row>
    <row r="1165" spans="1:43" ht="38.25" x14ac:dyDescent="0.25">
      <c r="A1165" s="233" t="str">
        <f t="shared" si="18"/>
        <v>1004-2017-01150</v>
      </c>
      <c r="B1165" s="959" t="str">
        <f>РПЗ!$D1165</f>
        <v>1004-2017-01150 Поставка электродвигатели</v>
      </c>
      <c r="C1165" s="233" t="str">
        <f>РПЗ!$AA1165</f>
        <v>АО "НИИ "Полюс" им. М.Ф. Стельмаха" тел. отдела закупок 8-495-333-05-02</v>
      </c>
      <c r="D1165" s="633" t="str">
        <f>РПЗ!$AB1165</f>
        <v>Заказчик</v>
      </c>
      <c r="E1165" s="510" t="s">
        <v>62</v>
      </c>
      <c r="F1165" s="233" t="str">
        <f>РПЗ!Q1165</f>
        <v>ЕП</v>
      </c>
      <c r="G1165" s="237" t="str">
        <f>Таблица5[[#This Row],[6]]</f>
        <v>ЕП</v>
      </c>
      <c r="H1165" s="237" t="str">
        <f>РПЗ!R1165</f>
        <v>Нет</v>
      </c>
      <c r="I1165" s="15" t="str">
        <f>РПЗ!W1165</f>
        <v>6.6.2(11)</v>
      </c>
      <c r="J1165" s="233" t="str">
        <f>РПЗ!X1165</f>
        <v>3664122185</v>
      </c>
      <c r="K1165" s="283">
        <f>РПЗ!Z1165</f>
        <v>348159</v>
      </c>
      <c r="L1165" s="17">
        <v>42951</v>
      </c>
      <c r="M1165" s="18">
        <f>РПЗ!O1165</f>
        <v>42918.5</v>
      </c>
      <c r="N1165" s="238">
        <f>Таблица5[[#This Row],[10]]</f>
        <v>42918.5</v>
      </c>
      <c r="O1165" s="17"/>
      <c r="P1165" s="17"/>
      <c r="Q1165" s="17"/>
      <c r="R1165" s="17"/>
      <c r="S1165" s="17"/>
      <c r="T1165" s="686">
        <v>42985</v>
      </c>
      <c r="U1165" s="18">
        <f>РПЗ!P1165</f>
        <v>42949.5</v>
      </c>
      <c r="V1165" s="686">
        <v>43070</v>
      </c>
      <c r="W1165" s="236">
        <f>РПЗ!L1165</f>
        <v>348159</v>
      </c>
      <c r="X1165" s="689">
        <v>1</v>
      </c>
      <c r="Y1165" s="689">
        <v>0</v>
      </c>
      <c r="Z1165" s="691">
        <v>3664122185</v>
      </c>
      <c r="AA1165" s="691" t="s">
        <v>6022</v>
      </c>
      <c r="AB1165" s="111">
        <v>348159</v>
      </c>
      <c r="AC1165" s="17">
        <v>43070</v>
      </c>
      <c r="AD1165" s="690" t="s">
        <v>119</v>
      </c>
      <c r="AE1165" s="686">
        <v>42985</v>
      </c>
      <c r="AF1165" s="474"/>
      <c r="AG1165" s="692">
        <v>348159</v>
      </c>
      <c r="AH1165" s="236">
        <f>IF(Таблица5[[#This Row],[30]]=0,"НД",Таблица5[[#This Row],[20]]-Таблица5[[#This Row],[30]])</f>
        <v>0</v>
      </c>
      <c r="AI1165" s="511">
        <f>IF(((1-Таблица5[[#This Row],[30]]/Таблица5[[#This Row],[20]])=1),"НД",(1-Таблица5[[#This Row],[30]]/Таблица5[[#This Row],[20]]))</f>
        <v>0</v>
      </c>
      <c r="AJ1165" s="111"/>
      <c r="AK1165" s="111"/>
      <c r="AL1165" s="512"/>
      <c r="AM1165" s="513" t="s">
        <v>113</v>
      </c>
      <c r="AN1165" s="801">
        <v>31705456952</v>
      </c>
      <c r="AO1165" s="468" t="str">
        <f>РПЗ!AD1304</f>
        <v>Нет</v>
      </c>
      <c r="AP1165" s="472">
        <f>РПЗ!V1304</f>
        <v>0</v>
      </c>
      <c r="AQ1165" s="470">
        <f>IF(Таблица5[[#This Row],[11]]=0,,MONTH(Таблица5[[#This Row],[11]]))</f>
        <v>7</v>
      </c>
    </row>
    <row r="1166" spans="1:43" ht="51.75" thickBot="1" x14ac:dyDescent="0.3">
      <c r="A1166" s="233" t="str">
        <f t="shared" si="18"/>
        <v>1004-2017-01151</v>
      </c>
      <c r="B1166" s="959" t="str">
        <f>РПЗ!$D1166</f>
        <v>1004-2017-01151 Поставка Электротехнические изделия</v>
      </c>
      <c r="C1166" s="233" t="str">
        <f>РПЗ!$AA1166</f>
        <v>АО "НИИ "Полюс" им. М.Ф. Стельмаха" тел. отдела закупок 8-495-333-05-02</v>
      </c>
      <c r="D1166" s="633" t="str">
        <f>РПЗ!$AB1166</f>
        <v>Заказчик</v>
      </c>
      <c r="E1166" s="510" t="s">
        <v>62</v>
      </c>
      <c r="F1166" s="233" t="str">
        <f>РПЗ!Q1166</f>
        <v>ОЗК</v>
      </c>
      <c r="G1166" s="237" t="s">
        <v>108</v>
      </c>
      <c r="H1166" s="237" t="str">
        <f>РПЗ!R1166</f>
        <v>Да</v>
      </c>
      <c r="I1166" s="15">
        <f>РПЗ!W1166</f>
        <v>0</v>
      </c>
      <c r="J1166" s="233">
        <f>РПЗ!X1166</f>
        <v>0</v>
      </c>
      <c r="K1166" s="283">
        <f>РПЗ!Z1166</f>
        <v>0</v>
      </c>
      <c r="L1166" s="17">
        <v>42946</v>
      </c>
      <c r="M1166" s="18">
        <f>РПЗ!O1166</f>
        <v>42918.5</v>
      </c>
      <c r="N1166" s="238">
        <f>Таблица5[[#This Row],[10]]</f>
        <v>42918.5</v>
      </c>
      <c r="O1166" s="17">
        <v>42954</v>
      </c>
      <c r="P1166" s="17">
        <v>42957</v>
      </c>
      <c r="Q1166" s="17">
        <v>42957</v>
      </c>
      <c r="R1166" s="17">
        <v>42956</v>
      </c>
      <c r="S1166" s="17">
        <v>42956</v>
      </c>
      <c r="T1166" s="686">
        <v>42968</v>
      </c>
      <c r="U1166" s="18">
        <f>РПЗ!P1166</f>
        <v>42949.5</v>
      </c>
      <c r="V1166" s="686">
        <v>43009</v>
      </c>
      <c r="W1166" s="236">
        <f>РПЗ!L1166</f>
        <v>104907.78</v>
      </c>
      <c r="X1166" s="689">
        <v>6</v>
      </c>
      <c r="Y1166" s="689">
        <v>0</v>
      </c>
      <c r="Z1166" s="691">
        <v>7717154670</v>
      </c>
      <c r="AA1166" s="691" t="s">
        <v>6784</v>
      </c>
      <c r="AB1166" s="111">
        <v>93707.73</v>
      </c>
      <c r="AC1166" s="17">
        <v>43009</v>
      </c>
      <c r="AD1166" s="690" t="s">
        <v>6785</v>
      </c>
      <c r="AE1166" s="686">
        <v>42968</v>
      </c>
      <c r="AF1166" s="474"/>
      <c r="AG1166" s="692">
        <v>93707.73</v>
      </c>
      <c r="AH1166" s="236">
        <f>IF(Таблица5[[#This Row],[30]]=0,"НД",Таблица5[[#This Row],[20]]-Таблица5[[#This Row],[30]])</f>
        <v>11200.050000000003</v>
      </c>
      <c r="AI1166" s="511">
        <f>IF(((1-Таблица5[[#This Row],[30]]/Таблица5[[#This Row],[20]])=1),"НД",(1-Таблица5[[#This Row],[30]]/Таблица5[[#This Row],[20]]))</f>
        <v>0.10676090943874705</v>
      </c>
      <c r="AJ1166" s="111">
        <v>93707.73</v>
      </c>
      <c r="AK1166" s="111"/>
      <c r="AL1166" s="512"/>
      <c r="AM1166" s="513" t="s">
        <v>113</v>
      </c>
      <c r="AN1166" s="801">
        <v>31705384067</v>
      </c>
      <c r="AO1166" s="468" t="str">
        <f>РПЗ!AD1305</f>
        <v>Нет</v>
      </c>
      <c r="AP1166" s="472" t="str">
        <f>РПЗ!V1305</f>
        <v>ГОЗ</v>
      </c>
      <c r="AQ1166" s="470">
        <f>IF(Таблица5[[#This Row],[11]]=0,,MONTH(Таблица5[[#This Row],[11]]))</f>
        <v>7</v>
      </c>
    </row>
    <row r="1167" spans="1:43" ht="38.25" x14ac:dyDescent="0.25">
      <c r="A1167" s="233" t="str">
        <f t="shared" si="18"/>
        <v>1004-2017-01152</v>
      </c>
      <c r="B1167" s="959" t="str">
        <f>РПЗ!$D1167</f>
        <v>1004-2017-01152 Выполнение работ по Нанесение гальванического покрытия Ник.Зл.</v>
      </c>
      <c r="C1167" s="233" t="str">
        <f>РПЗ!$AA1167</f>
        <v>АО "НИИ "Полюс" им. М.Ф. Стельмаха" тел. отдела закупок 8-495-333-05-02</v>
      </c>
      <c r="D1167" s="633" t="str">
        <f>РПЗ!$AB1167</f>
        <v>Заказчик</v>
      </c>
      <c r="E1167" s="96" t="s">
        <v>46</v>
      </c>
      <c r="F1167" s="233" t="str">
        <f>РПЗ!Q1167</f>
        <v>ЕП</v>
      </c>
      <c r="G1167" s="237"/>
      <c r="H1167" s="237" t="str">
        <f>РПЗ!R1167</f>
        <v>Нет</v>
      </c>
      <c r="I1167" s="15">
        <f>РПЗ!W1167</f>
        <v>0</v>
      </c>
      <c r="J1167" s="233">
        <f>РПЗ!X1167</f>
        <v>0</v>
      </c>
      <c r="K1167" s="283">
        <f>РПЗ!Z1167</f>
        <v>0</v>
      </c>
      <c r="L1167" s="17"/>
      <c r="M1167" s="18">
        <f>РПЗ!O1306</f>
        <v>42979.625</v>
      </c>
      <c r="N1167" s="238">
        <f>Таблица5[[#This Row],[10]]</f>
        <v>42979.625</v>
      </c>
      <c r="O1167" s="17"/>
      <c r="P1167" s="17"/>
      <c r="Q1167" s="17"/>
      <c r="R1167" s="17"/>
      <c r="S1167" s="17"/>
      <c r="T1167" s="686"/>
      <c r="U1167" s="18">
        <f>РПЗ!P1306</f>
        <v>43040.625</v>
      </c>
      <c r="V1167" s="686"/>
      <c r="W1167" s="236">
        <f>РПЗ!L1306</f>
        <v>321614.83</v>
      </c>
      <c r="X1167" s="689"/>
      <c r="Y1167" s="689"/>
      <c r="Z1167" s="690"/>
      <c r="AA1167" s="691"/>
      <c r="AB1167" s="111"/>
      <c r="AC1167" s="17"/>
      <c r="AD1167" s="690"/>
      <c r="AE1167" s="686"/>
      <c r="AF1167" s="474"/>
      <c r="AG1167" s="692"/>
      <c r="AH1167" s="236" t="str">
        <f>IF(Таблица5[[#This Row],[30]]=0,"НД",Таблица5[[#This Row],[20]]-Таблица5[[#This Row],[30]])</f>
        <v>НД</v>
      </c>
      <c r="AI1167" s="511" t="str">
        <f>IF(((1-Таблица5[[#This Row],[30]]/Таблица5[[#This Row],[20]])=1),"НД",(1-Таблица5[[#This Row],[30]]/Таблица5[[#This Row],[20]]))</f>
        <v>НД</v>
      </c>
      <c r="AJ1167" s="111"/>
      <c r="AK1167" s="111"/>
      <c r="AL1167" s="512"/>
      <c r="AM1167" s="513"/>
      <c r="AN1167" s="465"/>
      <c r="AO1167" s="468" t="str">
        <f>РПЗ!AD1306</f>
        <v>Нет</v>
      </c>
      <c r="AP1167" s="472">
        <f>РПЗ!V1306</f>
        <v>0</v>
      </c>
      <c r="AQ1167" s="470">
        <f>IF(Таблица5[[#This Row],[11]]=0,,MONTH(Таблица5[[#This Row],[11]]))</f>
        <v>9</v>
      </c>
    </row>
    <row r="1168" spans="1:43" ht="39" thickBot="1" x14ac:dyDescent="0.3">
      <c r="A1168" s="233" t="str">
        <f t="shared" si="18"/>
        <v>1004-2017-01153</v>
      </c>
      <c r="B1168" s="959" t="str">
        <f>РПЗ!$D1168</f>
        <v>1004-2017-01153 Поставка Изделия оптические из кристаллов ниобата лития 6.3х14.1х8.2 мм</v>
      </c>
      <c r="C1168" s="233" t="str">
        <f>РПЗ!$AA1168</f>
        <v>АО "НИИ "Полюс" им. М.Ф. Стельмаха" тел. отдела закупок 8-495-333-05-02</v>
      </c>
      <c r="D1168" s="633" t="str">
        <f>РПЗ!$AB1168</f>
        <v>Заказчик</v>
      </c>
      <c r="E1168" s="510" t="s">
        <v>62</v>
      </c>
      <c r="F1168" s="233" t="str">
        <f>РПЗ!Q1168</f>
        <v>ОЗК</v>
      </c>
      <c r="G1168" s="237" t="str">
        <f>Таблица5[[#This Row],[6]]</f>
        <v>ОЗК</v>
      </c>
      <c r="H1168" s="237" t="str">
        <f>РПЗ!R1168</f>
        <v>Да</v>
      </c>
      <c r="I1168" s="15">
        <f>РПЗ!W1168</f>
        <v>0</v>
      </c>
      <c r="J1168" s="233">
        <f>РПЗ!X1168</f>
        <v>0</v>
      </c>
      <c r="K1168" s="283">
        <f>РПЗ!Z1168</f>
        <v>0</v>
      </c>
      <c r="L1168" s="17">
        <v>42965</v>
      </c>
      <c r="M1168" s="18">
        <f>РПЗ!O1168</f>
        <v>42918.5</v>
      </c>
      <c r="N1168" s="238">
        <f>Таблица5[[#This Row],[10]]</f>
        <v>42918.5</v>
      </c>
      <c r="O1168" s="17">
        <v>42972</v>
      </c>
      <c r="P1168" s="17">
        <v>42978</v>
      </c>
      <c r="Q1168" s="17">
        <v>42978</v>
      </c>
      <c r="R1168" s="17">
        <v>42972</v>
      </c>
      <c r="S1168" s="17">
        <v>42972</v>
      </c>
      <c r="T1168" s="686">
        <v>42983</v>
      </c>
      <c r="U1168" s="18">
        <f>РПЗ!P1168</f>
        <v>42949.5</v>
      </c>
      <c r="V1168" s="686">
        <v>43009</v>
      </c>
      <c r="W1168" s="236">
        <f>РПЗ!L1168</f>
        <v>1478835</v>
      </c>
      <c r="X1168" s="689">
        <v>1</v>
      </c>
      <c r="Y1168" s="689">
        <v>0</v>
      </c>
      <c r="Z1168" s="691">
        <v>5044066978</v>
      </c>
      <c r="AA1168" s="691" t="s">
        <v>3325</v>
      </c>
      <c r="AB1168" s="111">
        <v>1224840</v>
      </c>
      <c r="AC1168" s="17">
        <v>43009</v>
      </c>
      <c r="AD1168" s="690" t="s">
        <v>6634</v>
      </c>
      <c r="AE1168" s="686">
        <v>42983</v>
      </c>
      <c r="AF1168" s="474"/>
      <c r="AG1168" s="692">
        <v>1224840</v>
      </c>
      <c r="AH1168" s="236">
        <f>IF(Таблица5[[#This Row],[30]]=0,"НД",Таблица5[[#This Row],[20]]-Таблица5[[#This Row],[30]])</f>
        <v>253995</v>
      </c>
      <c r="AI1168" s="511">
        <f>IF(((1-Таблица5[[#This Row],[30]]/Таблица5[[#This Row],[20]])=1),"НД",(1-Таблица5[[#This Row],[30]]/Таблица5[[#This Row],[20]]))</f>
        <v>0.17175344105326151</v>
      </c>
      <c r="AJ1168" s="111">
        <v>1224840</v>
      </c>
      <c r="AK1168" s="111"/>
      <c r="AL1168" s="512"/>
      <c r="AM1168" s="513" t="s">
        <v>113</v>
      </c>
      <c r="AN1168" s="801">
        <v>31705435298</v>
      </c>
      <c r="AO1168" s="468" t="str">
        <f>РПЗ!AD1307</f>
        <v>Нет</v>
      </c>
      <c r="AP1168" s="472">
        <f>РПЗ!V1307</f>
        <v>0</v>
      </c>
      <c r="AQ1168" s="470">
        <f>IF(Таблица5[[#This Row],[11]]=0,,MONTH(Таблица5[[#This Row],[11]]))</f>
        <v>7</v>
      </c>
    </row>
    <row r="1169" spans="1:43" ht="51" x14ac:dyDescent="0.25">
      <c r="A1169" s="233" t="str">
        <f t="shared" si="18"/>
        <v>1004-2017-01154</v>
      </c>
      <c r="B1169" s="959" t="str">
        <f>РПЗ!$D1169</f>
        <v>1004-2017-01154 Поставка Оптические элементы LN-05 из кристалла нобата лития размером 6,3х14,1х18,2 мм</v>
      </c>
      <c r="C1169" s="233" t="str">
        <f>РПЗ!$AA1169</f>
        <v>АО "НИИ "Полюс" им. М.Ф. Стельмаха" тел. отдела закупок 8-495-333-05-02</v>
      </c>
      <c r="D1169" s="633" t="str">
        <f>РПЗ!$AB1169</f>
        <v>Заказчик</v>
      </c>
      <c r="E1169" s="96" t="s">
        <v>46</v>
      </c>
      <c r="F1169" s="233" t="str">
        <f>РПЗ!Q1169</f>
        <v>ЕП</v>
      </c>
      <c r="G1169" s="237"/>
      <c r="H1169" s="237" t="str">
        <f>РПЗ!R1169</f>
        <v>Нет</v>
      </c>
      <c r="I1169" s="15">
        <f>РПЗ!W1169</f>
        <v>0</v>
      </c>
      <c r="J1169" s="233">
        <f>РПЗ!X1169</f>
        <v>0</v>
      </c>
      <c r="K1169" s="283">
        <f>РПЗ!Z1169</f>
        <v>0</v>
      </c>
      <c r="L1169" s="17"/>
      <c r="M1169" s="18">
        <f>РПЗ!O1308</f>
        <v>42979.625</v>
      </c>
      <c r="N1169" s="238">
        <f>Таблица5[[#This Row],[10]]</f>
        <v>42979.625</v>
      </c>
      <c r="O1169" s="17"/>
      <c r="P1169" s="17"/>
      <c r="Q1169" s="17"/>
      <c r="R1169" s="17"/>
      <c r="S1169" s="17"/>
      <c r="T1169" s="686"/>
      <c r="U1169" s="18">
        <f>РПЗ!P1308</f>
        <v>42979.625</v>
      </c>
      <c r="V1169" s="686"/>
      <c r="W1169" s="236">
        <f>РПЗ!L1308</f>
        <v>200000</v>
      </c>
      <c r="X1169" s="689"/>
      <c r="Y1169" s="689"/>
      <c r="Z1169" s="690"/>
      <c r="AA1169" s="691"/>
      <c r="AB1169" s="111"/>
      <c r="AC1169" s="17"/>
      <c r="AD1169" s="690"/>
      <c r="AE1169" s="686"/>
      <c r="AF1169" s="474"/>
      <c r="AG1169" s="692"/>
      <c r="AH1169" s="236" t="str">
        <f>IF(Таблица5[[#This Row],[30]]=0,"НД",Таблица5[[#This Row],[20]]-Таблица5[[#This Row],[30]])</f>
        <v>НД</v>
      </c>
      <c r="AI1169" s="511" t="str">
        <f>IF(((1-Таблица5[[#This Row],[30]]/Таблица5[[#This Row],[20]])=1),"НД",(1-Таблица5[[#This Row],[30]]/Таблица5[[#This Row],[20]]))</f>
        <v>НД</v>
      </c>
      <c r="AJ1169" s="111"/>
      <c r="AK1169" s="111"/>
      <c r="AL1169" s="512"/>
      <c r="AM1169" s="513"/>
      <c r="AN1169" s="465"/>
      <c r="AO1169" s="468" t="str">
        <f>РПЗ!AD1308</f>
        <v>Нет</v>
      </c>
      <c r="AP1169" s="472">
        <f>РПЗ!V1308</f>
        <v>0</v>
      </c>
      <c r="AQ1169" s="470">
        <f>IF(Таблица5[[#This Row],[11]]=0,,MONTH(Таблица5[[#This Row],[11]]))</f>
        <v>9</v>
      </c>
    </row>
    <row r="1170" spans="1:43" ht="39" thickBot="1" x14ac:dyDescent="0.3">
      <c r="A1170" s="233" t="str">
        <f t="shared" si="18"/>
        <v>1004-2017-01155</v>
      </c>
      <c r="B1170" s="959" t="str">
        <f>РПЗ!$D1170</f>
        <v xml:space="preserve">1004-2017-01155 Поставка Модули лазерные волоконные мощностью 160 Вт и источники питания </v>
      </c>
      <c r="C1170" s="233" t="str">
        <f>РПЗ!$AA1170</f>
        <v>АО "НИИ "Полюс" им. М.Ф. Стельмаха" тел. отдела закупок 8-495-333-05-02</v>
      </c>
      <c r="D1170" s="633" t="str">
        <f>РПЗ!$AB1170</f>
        <v>Заказчик</v>
      </c>
      <c r="E1170" s="510" t="s">
        <v>62</v>
      </c>
      <c r="F1170" s="233" t="str">
        <f>РПЗ!Q1170</f>
        <v>ЕП</v>
      </c>
      <c r="G1170" s="237" t="str">
        <f>Таблица5[[#This Row],[6]]</f>
        <v>ЕП</v>
      </c>
      <c r="H1170" s="237" t="str">
        <f>РПЗ!R1170</f>
        <v>Нет</v>
      </c>
      <c r="I1170" s="15" t="str">
        <f>РПЗ!W1170</f>
        <v>6.6.2(11)</v>
      </c>
      <c r="J1170" s="233" t="str">
        <f>РПЗ!X1170</f>
        <v>7731425509</v>
      </c>
      <c r="K1170" s="283">
        <f>РПЗ!Z1170</f>
        <v>1642200</v>
      </c>
      <c r="L1170" s="17">
        <v>43005</v>
      </c>
      <c r="M1170" s="18">
        <f>РПЗ!O1309</f>
        <v>42979.625</v>
      </c>
      <c r="N1170" s="238">
        <f>Таблица5[[#This Row],[10]]</f>
        <v>42979.625</v>
      </c>
      <c r="O1170" s="17"/>
      <c r="P1170" s="17"/>
      <c r="Q1170" s="17"/>
      <c r="R1170" s="17"/>
      <c r="S1170" s="17"/>
      <c r="T1170" s="686">
        <v>43013</v>
      </c>
      <c r="U1170" s="18">
        <f>РПЗ!P1309</f>
        <v>42979.625</v>
      </c>
      <c r="V1170" s="686"/>
      <c r="W1170" s="236">
        <f>РПЗ!L1170</f>
        <v>1642200</v>
      </c>
      <c r="X1170" s="689">
        <v>1</v>
      </c>
      <c r="Y1170" s="689">
        <v>0</v>
      </c>
      <c r="Z1170" s="691">
        <v>7731425509</v>
      </c>
      <c r="AA1170" s="691" t="s">
        <v>7229</v>
      </c>
      <c r="AB1170" s="111">
        <v>1642200</v>
      </c>
      <c r="AC1170" s="17">
        <v>43070</v>
      </c>
      <c r="AD1170" s="690" t="s">
        <v>7230</v>
      </c>
      <c r="AE1170" s="686">
        <v>43013</v>
      </c>
      <c r="AF1170" s="474"/>
      <c r="AG1170" s="692">
        <v>1642200</v>
      </c>
      <c r="AH1170" s="236">
        <f>IF(Таблица5[[#This Row],[30]]=0,"НД",Таблица5[[#This Row],[20]]-Таблица5[[#This Row],[30]])</f>
        <v>0</v>
      </c>
      <c r="AI1170" s="511">
        <f>IF(((1-Таблица5[[#This Row],[30]]/Таблица5[[#This Row],[20]])=1),"НД",(1-Таблица5[[#This Row],[30]]/Таблица5[[#This Row],[20]]))</f>
        <v>0</v>
      </c>
      <c r="AJ1170" s="111">
        <v>1642200</v>
      </c>
      <c r="AK1170" s="111"/>
      <c r="AL1170" s="512"/>
      <c r="AM1170" s="513" t="s">
        <v>113</v>
      </c>
      <c r="AN1170" s="801">
        <v>31705590154</v>
      </c>
      <c r="AO1170" s="468" t="str">
        <f>РПЗ!AD1309</f>
        <v>Нет</v>
      </c>
      <c r="AP1170" s="472">
        <f>РПЗ!V1309</f>
        <v>0</v>
      </c>
      <c r="AQ1170" s="470">
        <f>IF(Таблица5[[#This Row],[11]]=0,,MONTH(Таблица5[[#This Row],[11]]))</f>
        <v>9</v>
      </c>
    </row>
    <row r="1171" spans="1:43" ht="39" thickBot="1" x14ac:dyDescent="0.3">
      <c r="A1171" s="233" t="str">
        <f t="shared" si="18"/>
        <v>1004-2017-01156</v>
      </c>
      <c r="B1171" s="959" t="str">
        <f>РПЗ!$D1171</f>
        <v>1004-2017-01156 Поставка Параболические зеркала</v>
      </c>
      <c r="C1171" s="233" t="str">
        <f>РПЗ!$AA1171</f>
        <v>АО "НИИ "Полюс" им. М.Ф. Стельмаха" тел. отдела закупок 8-495-333-05-02</v>
      </c>
      <c r="D1171" s="633" t="str">
        <f>РПЗ!$AB1171</f>
        <v>Заказчик</v>
      </c>
      <c r="E1171" s="96" t="s">
        <v>46</v>
      </c>
      <c r="F1171" s="233" t="str">
        <f>РПЗ!Q1171</f>
        <v>ОЗК</v>
      </c>
      <c r="G1171" s="237"/>
      <c r="H1171" s="237" t="str">
        <f>РПЗ!R1171</f>
        <v>Да</v>
      </c>
      <c r="I1171" s="15">
        <f>РПЗ!W1171</f>
        <v>0</v>
      </c>
      <c r="J1171" s="233">
        <f>РПЗ!X1171</f>
        <v>0</v>
      </c>
      <c r="K1171" s="283">
        <f>РПЗ!Z1171</f>
        <v>0</v>
      </c>
      <c r="L1171" s="17"/>
      <c r="M1171" s="18">
        <f>РПЗ!O1310</f>
        <v>42979.625</v>
      </c>
      <c r="N1171" s="238">
        <f>Таблица5[[#This Row],[10]]</f>
        <v>42979.625</v>
      </c>
      <c r="O1171" s="17"/>
      <c r="P1171" s="17"/>
      <c r="Q1171" s="17"/>
      <c r="R1171" s="17"/>
      <c r="S1171" s="17"/>
      <c r="T1171" s="686"/>
      <c r="U1171" s="18">
        <f>РПЗ!P1310</f>
        <v>42979.625</v>
      </c>
      <c r="V1171" s="686"/>
      <c r="W1171" s="236">
        <f>РПЗ!L1310</f>
        <v>1420000</v>
      </c>
      <c r="X1171" s="689"/>
      <c r="Y1171" s="689"/>
      <c r="Z1171" s="690"/>
      <c r="AA1171" s="691"/>
      <c r="AB1171" s="111"/>
      <c r="AC1171" s="17"/>
      <c r="AD1171" s="690"/>
      <c r="AE1171" s="686"/>
      <c r="AF1171" s="474"/>
      <c r="AG1171" s="692"/>
      <c r="AH1171" s="236" t="str">
        <f>IF(Таблица5[[#This Row],[30]]=0,"НД",Таблица5[[#This Row],[20]]-Таблица5[[#This Row],[30]])</f>
        <v>НД</v>
      </c>
      <c r="AI1171" s="511" t="str">
        <f>IF(((1-Таблица5[[#This Row],[30]]/Таблица5[[#This Row],[20]])=1),"НД",(1-Таблица5[[#This Row],[30]]/Таблица5[[#This Row],[20]]))</f>
        <v>НД</v>
      </c>
      <c r="AJ1171" s="111"/>
      <c r="AK1171" s="111"/>
      <c r="AL1171" s="512"/>
      <c r="AM1171" s="513"/>
      <c r="AN1171" s="465"/>
      <c r="AO1171" s="468" t="str">
        <f>РПЗ!AD1310</f>
        <v>Нет</v>
      </c>
      <c r="AP1171" s="472">
        <f>РПЗ!V1310</f>
        <v>0</v>
      </c>
      <c r="AQ1171" s="470">
        <f>IF(Таблица5[[#This Row],[11]]=0,,MONTH(Таблица5[[#This Row],[11]]))</f>
        <v>9</v>
      </c>
    </row>
    <row r="1172" spans="1:43" ht="39" thickBot="1" x14ac:dyDescent="0.3">
      <c r="A1172" s="233" t="str">
        <f t="shared" si="18"/>
        <v>1004-2017-01157</v>
      </c>
      <c r="B1172" s="959" t="str">
        <f>РПЗ!$D1172</f>
        <v xml:space="preserve">1004-2017-01157 Поставка Оптическое волокно с сердцевиной специальной формы </v>
      </c>
      <c r="C1172" s="233" t="str">
        <f>РПЗ!$AA1172</f>
        <v>АО "НИИ "Полюс" им. М.Ф. Стельмаха" тел. отдела закупок 8-495-333-05-02</v>
      </c>
      <c r="D1172" s="633" t="str">
        <f>РПЗ!$AB1172</f>
        <v>Заказчик</v>
      </c>
      <c r="E1172" s="96" t="s">
        <v>46</v>
      </c>
      <c r="F1172" s="233" t="str">
        <f>РПЗ!Q1172</f>
        <v>ОЗК</v>
      </c>
      <c r="G1172" s="237"/>
      <c r="H1172" s="237" t="str">
        <f>РПЗ!R1172</f>
        <v>Да</v>
      </c>
      <c r="I1172" s="15">
        <f>РПЗ!W1172</f>
        <v>0</v>
      </c>
      <c r="J1172" s="233">
        <f>РПЗ!X1172</f>
        <v>0</v>
      </c>
      <c r="K1172" s="283">
        <f>РПЗ!Z1172</f>
        <v>0</v>
      </c>
      <c r="L1172" s="17"/>
      <c r="M1172" s="18">
        <f>РПЗ!O1311</f>
        <v>42979.625</v>
      </c>
      <c r="N1172" s="238">
        <f>Таблица5[[#This Row],[10]]</f>
        <v>42979.625</v>
      </c>
      <c r="O1172" s="17"/>
      <c r="P1172" s="17"/>
      <c r="Q1172" s="17"/>
      <c r="R1172" s="17"/>
      <c r="S1172" s="17"/>
      <c r="T1172" s="686"/>
      <c r="U1172" s="18">
        <f>РПЗ!P1311</f>
        <v>42979.625</v>
      </c>
      <c r="V1172" s="686"/>
      <c r="W1172" s="236">
        <f>РПЗ!L1311</f>
        <v>948000</v>
      </c>
      <c r="X1172" s="689"/>
      <c r="Y1172" s="689"/>
      <c r="Z1172" s="690"/>
      <c r="AA1172" s="691"/>
      <c r="AB1172" s="111"/>
      <c r="AC1172" s="17"/>
      <c r="AD1172" s="690"/>
      <c r="AE1172" s="686"/>
      <c r="AF1172" s="474"/>
      <c r="AG1172" s="692"/>
      <c r="AH1172" s="236" t="str">
        <f>IF(Таблица5[[#This Row],[30]]=0,"НД",Таблица5[[#This Row],[20]]-Таблица5[[#This Row],[30]])</f>
        <v>НД</v>
      </c>
      <c r="AI1172" s="511" t="str">
        <f>IF(((1-Таблица5[[#This Row],[30]]/Таблица5[[#This Row],[20]])=1),"НД",(1-Таблица5[[#This Row],[30]]/Таблица5[[#This Row],[20]]))</f>
        <v>НД</v>
      </c>
      <c r="AJ1172" s="111"/>
      <c r="AK1172" s="111"/>
      <c r="AL1172" s="512"/>
      <c r="AM1172" s="513"/>
      <c r="AN1172" s="465"/>
      <c r="AO1172" s="468" t="str">
        <f>РПЗ!AD1311</f>
        <v>Нет</v>
      </c>
      <c r="AP1172" s="472" t="str">
        <f>РПЗ!V1311</f>
        <v>ГОЗ</v>
      </c>
      <c r="AQ1172" s="470">
        <f>IF(Таблица5[[#This Row],[11]]=0,,MONTH(Таблица5[[#This Row],[11]]))</f>
        <v>9</v>
      </c>
    </row>
    <row r="1173" spans="1:43" ht="39" thickBot="1" x14ac:dyDescent="0.3">
      <c r="A1173" s="233" t="str">
        <f t="shared" si="18"/>
        <v>1004-2017-01158</v>
      </c>
      <c r="B1173" s="959" t="str">
        <f>РПЗ!$D1173</f>
        <v>1004-2017-01158 Поставка Импульсный источник питания модулей лазерных диодов</v>
      </c>
      <c r="C1173" s="233" t="str">
        <f>РПЗ!$AA1173</f>
        <v>АО "НИИ "Полюс" им. М.Ф. Стельмаха" тел. отдела закупок 8-495-333-05-02</v>
      </c>
      <c r="D1173" s="633" t="str">
        <f>РПЗ!$AB1173</f>
        <v>Заказчик</v>
      </c>
      <c r="E1173" s="96" t="s">
        <v>46</v>
      </c>
      <c r="F1173" s="233" t="str">
        <f>РПЗ!Q1173</f>
        <v>ОЗК</v>
      </c>
      <c r="G1173" s="237"/>
      <c r="H1173" s="237" t="str">
        <f>РПЗ!R1173</f>
        <v>Да</v>
      </c>
      <c r="I1173" s="15">
        <f>РПЗ!W1173</f>
        <v>0</v>
      </c>
      <c r="J1173" s="233">
        <f>РПЗ!X1173</f>
        <v>0</v>
      </c>
      <c r="K1173" s="283">
        <f>РПЗ!Z1173</f>
        <v>0</v>
      </c>
      <c r="L1173" s="17"/>
      <c r="M1173" s="18">
        <f>РПЗ!O1312</f>
        <v>42979.625</v>
      </c>
      <c r="N1173" s="238">
        <f>Таблица5[[#This Row],[10]]</f>
        <v>42979.625</v>
      </c>
      <c r="O1173" s="17"/>
      <c r="P1173" s="17"/>
      <c r="Q1173" s="17"/>
      <c r="R1173" s="17"/>
      <c r="S1173" s="17"/>
      <c r="T1173" s="686"/>
      <c r="U1173" s="18">
        <f>РПЗ!P1312</f>
        <v>42979.625</v>
      </c>
      <c r="V1173" s="686"/>
      <c r="W1173" s="236">
        <f>РПЗ!L1312</f>
        <v>415000</v>
      </c>
      <c r="X1173" s="689"/>
      <c r="Y1173" s="689"/>
      <c r="Z1173" s="690"/>
      <c r="AA1173" s="691"/>
      <c r="AB1173" s="111"/>
      <c r="AC1173" s="17"/>
      <c r="AD1173" s="690"/>
      <c r="AE1173" s="686"/>
      <c r="AF1173" s="474"/>
      <c r="AG1173" s="692"/>
      <c r="AH1173" s="236" t="str">
        <f>IF(Таблица5[[#This Row],[30]]=0,"НД",Таблица5[[#This Row],[20]]-Таблица5[[#This Row],[30]])</f>
        <v>НД</v>
      </c>
      <c r="AI1173" s="511" t="str">
        <f>IF(((1-Таблица5[[#This Row],[30]]/Таблица5[[#This Row],[20]])=1),"НД",(1-Таблица5[[#This Row],[30]]/Таблица5[[#This Row],[20]]))</f>
        <v>НД</v>
      </c>
      <c r="AJ1173" s="111"/>
      <c r="AK1173" s="111"/>
      <c r="AL1173" s="512"/>
      <c r="AM1173" s="513"/>
      <c r="AN1173" s="465"/>
      <c r="AO1173" s="468" t="str">
        <f>РПЗ!AD1312</f>
        <v>Нет</v>
      </c>
      <c r="AP1173" s="472" t="str">
        <f>РПЗ!V1312</f>
        <v>ГОЗ</v>
      </c>
      <c r="AQ1173" s="470">
        <f>IF(Таблица5[[#This Row],[11]]=0,,MONTH(Таблица5[[#This Row],[11]]))</f>
        <v>9</v>
      </c>
    </row>
    <row r="1174" spans="1:43" ht="38.25" x14ac:dyDescent="0.25">
      <c r="A1174" s="233" t="str">
        <f t="shared" si="18"/>
        <v>1004-2017-01159</v>
      </c>
      <c r="B1174" s="959" t="str">
        <f>РПЗ!$D1174</f>
        <v>1004-2017-01159 Поставка Мишени для магнетронного распыления</v>
      </c>
      <c r="C1174" s="233" t="str">
        <f>РПЗ!$AA1174</f>
        <v>АО "НИИ "Полюс" им. М.Ф. Стельмаха" тел. отдела закупок 8-495-333-05-02</v>
      </c>
      <c r="D1174" s="633" t="str">
        <f>РПЗ!$AB1174</f>
        <v>Заказчик</v>
      </c>
      <c r="E1174" s="96" t="s">
        <v>46</v>
      </c>
      <c r="F1174" s="233" t="str">
        <f>РПЗ!Q1174</f>
        <v>ОЗК</v>
      </c>
      <c r="G1174" s="237"/>
      <c r="H1174" s="237" t="str">
        <f>РПЗ!R1174</f>
        <v>Да</v>
      </c>
      <c r="I1174" s="15">
        <f>РПЗ!W1174</f>
        <v>0</v>
      </c>
      <c r="J1174" s="233">
        <f>РПЗ!X1174</f>
        <v>0</v>
      </c>
      <c r="K1174" s="283">
        <f>РПЗ!Z1174</f>
        <v>0</v>
      </c>
      <c r="L1174" s="17"/>
      <c r="M1174" s="18">
        <f>РПЗ!O1313</f>
        <v>43009</v>
      </c>
      <c r="N1174" s="238">
        <f>Таблица5[[#This Row],[10]]</f>
        <v>43009</v>
      </c>
      <c r="O1174" s="17"/>
      <c r="P1174" s="17"/>
      <c r="Q1174" s="17"/>
      <c r="R1174" s="17"/>
      <c r="S1174" s="17"/>
      <c r="T1174" s="686"/>
      <c r="U1174" s="18">
        <f>РПЗ!P1313</f>
        <v>43009</v>
      </c>
      <c r="V1174" s="686"/>
      <c r="W1174" s="236">
        <f>РПЗ!L1313</f>
        <v>1074100</v>
      </c>
      <c r="X1174" s="689"/>
      <c r="Y1174" s="689"/>
      <c r="Z1174" s="690"/>
      <c r="AA1174" s="691"/>
      <c r="AB1174" s="111"/>
      <c r="AC1174" s="17"/>
      <c r="AD1174" s="690"/>
      <c r="AE1174" s="686"/>
      <c r="AF1174" s="474"/>
      <c r="AG1174" s="692"/>
      <c r="AH1174" s="236" t="str">
        <f>IF(Таблица5[[#This Row],[30]]=0,"НД",Таблица5[[#This Row],[20]]-Таблица5[[#This Row],[30]])</f>
        <v>НД</v>
      </c>
      <c r="AI1174" s="511" t="str">
        <f>IF(((1-Таблица5[[#This Row],[30]]/Таблица5[[#This Row],[20]])=1),"НД",(1-Таблица5[[#This Row],[30]]/Таблица5[[#This Row],[20]]))</f>
        <v>НД</v>
      </c>
      <c r="AJ1174" s="111"/>
      <c r="AK1174" s="111"/>
      <c r="AL1174" s="512"/>
      <c r="AM1174" s="513"/>
      <c r="AN1174" s="465"/>
      <c r="AO1174" s="468" t="str">
        <f>РПЗ!AD1313</f>
        <v>Нет</v>
      </c>
      <c r="AP1174" s="472">
        <f>РПЗ!V1313</f>
        <v>0</v>
      </c>
      <c r="AQ1174" s="470">
        <f>IF(Таблица5[[#This Row],[11]]=0,,MONTH(Таблица5[[#This Row],[11]]))</f>
        <v>10</v>
      </c>
    </row>
    <row r="1175" spans="1:43" ht="51" x14ac:dyDescent="0.25">
      <c r="A1175" s="233" t="str">
        <f t="shared" si="18"/>
        <v>1004-2017-01160</v>
      </c>
      <c r="B1175" s="959" t="str">
        <f>РПЗ!$D1175</f>
        <v>1004-2017-01160 Поставка оптического оборудования (полярископ - 1шт, микроскопы - 5 шт.)</v>
      </c>
      <c r="C1175" s="233" t="str">
        <f>РПЗ!$AA1175</f>
        <v>АО "НИИ "Полюс" им. М.Ф. Стельмаха" тел. отдела закупок 8-495-333-05-02</v>
      </c>
      <c r="D1175" s="633" t="str">
        <f>РПЗ!$AB1175</f>
        <v>Заказчик</v>
      </c>
      <c r="E1175" s="510" t="s">
        <v>62</v>
      </c>
      <c r="F1175" s="233" t="str">
        <f>РПЗ!Q1175</f>
        <v>ОК</v>
      </c>
      <c r="G1175" s="237" t="s">
        <v>100</v>
      </c>
      <c r="H1175" s="237" t="str">
        <f>РПЗ!R1175</f>
        <v>Да</v>
      </c>
      <c r="I1175" s="15">
        <f>РПЗ!W1175</f>
        <v>0</v>
      </c>
      <c r="J1175" s="233">
        <f>РПЗ!X1175</f>
        <v>0</v>
      </c>
      <c r="K1175" s="283">
        <f>РПЗ!Z1175</f>
        <v>0</v>
      </c>
      <c r="L1175" s="17">
        <v>43041</v>
      </c>
      <c r="M1175" s="18">
        <f>РПЗ!O1175</f>
        <v>43040</v>
      </c>
      <c r="N1175" s="238">
        <f>Таблица5[[#This Row],[10]]</f>
        <v>43040</v>
      </c>
      <c r="O1175" s="17">
        <v>43067</v>
      </c>
      <c r="P1175" s="17">
        <v>43073</v>
      </c>
      <c r="Q1175" s="17">
        <v>43073</v>
      </c>
      <c r="R1175" s="17">
        <v>43076</v>
      </c>
      <c r="S1175" s="17">
        <v>43076</v>
      </c>
      <c r="T1175" s="686">
        <v>43088</v>
      </c>
      <c r="U1175" s="18">
        <f>РПЗ!P1175</f>
        <v>43100.5</v>
      </c>
      <c r="V1175" s="686">
        <v>42947</v>
      </c>
      <c r="W1175" s="236">
        <f>РПЗ!L1175</f>
        <v>12713665.060000001</v>
      </c>
      <c r="X1175" s="689">
        <v>1</v>
      </c>
      <c r="Y1175" s="689">
        <v>0</v>
      </c>
      <c r="Z1175" s="691">
        <v>7714710760</v>
      </c>
      <c r="AA1175" s="691" t="s">
        <v>5076</v>
      </c>
      <c r="AB1175" s="111">
        <v>12348226.199999999</v>
      </c>
      <c r="AC1175" s="17">
        <v>42947</v>
      </c>
      <c r="AD1175" s="690" t="s">
        <v>8197</v>
      </c>
      <c r="AE1175" s="686">
        <v>43088</v>
      </c>
      <c r="AF1175" s="474"/>
      <c r="AG1175" s="692">
        <v>12348226.199999999</v>
      </c>
      <c r="AH1175" s="236">
        <f>IF(Таблица5[[#This Row],[30]]=0,"НД",Таблица5[[#This Row],[20]]-Таблица5[[#This Row],[30]])</f>
        <v>365438.86000000127</v>
      </c>
      <c r="AI1175" s="511">
        <f>IF(((1-Таблица5[[#This Row],[30]]/Таблица5[[#This Row],[20]])=1),"НД",(1-Таблица5[[#This Row],[30]]/Таблица5[[#This Row],[20]]))</f>
        <v>2.8743785389608312E-2</v>
      </c>
      <c r="AJ1175" s="111"/>
      <c r="AK1175" s="111"/>
      <c r="AL1175" s="512"/>
      <c r="AM1175" s="513" t="s">
        <v>113</v>
      </c>
      <c r="AN1175" s="801">
        <v>31705701470</v>
      </c>
      <c r="AO1175" s="468" t="str">
        <f>РПЗ!AD1314</f>
        <v>Нет</v>
      </c>
      <c r="AP1175" s="472">
        <f>РПЗ!V1314</f>
        <v>0</v>
      </c>
      <c r="AQ1175" s="470">
        <f>IF(Таблица5[[#This Row],[11]]=0,,MONTH(Таблица5[[#This Row],[11]]))</f>
        <v>11</v>
      </c>
    </row>
    <row r="1176" spans="1:43" ht="63.75" x14ac:dyDescent="0.25">
      <c r="A1176" s="233" t="str">
        <f t="shared" si="18"/>
        <v>1004-2017-01161</v>
      </c>
      <c r="B1176" s="959" t="str">
        <f>РПЗ!$D1176</f>
        <v>1004-2017-01161 Поставка Строительно-отделочные материалы</v>
      </c>
      <c r="C1176" s="233" t="str">
        <f>РПЗ!$AA1176</f>
        <v>АО "НИИ "Полюс" им. М.Ф. Стельмаха" тел. отдела закупок 8-495-333-05-02</v>
      </c>
      <c r="D1176" s="633" t="str">
        <f>РПЗ!$AB1176</f>
        <v>Заказчик</v>
      </c>
      <c r="E1176" s="510" t="s">
        <v>62</v>
      </c>
      <c r="F1176" s="233" t="str">
        <f>РПЗ!Q1176</f>
        <v>ОЗК</v>
      </c>
      <c r="G1176" s="237" t="str">
        <f>Таблица5[[#This Row],[6]]</f>
        <v>ОЗК</v>
      </c>
      <c r="H1176" s="237" t="str">
        <f>РПЗ!R1176</f>
        <v>Да</v>
      </c>
      <c r="I1176" s="15">
        <f>РПЗ!W1176</f>
        <v>0</v>
      </c>
      <c r="J1176" s="233">
        <f>РПЗ!X1176</f>
        <v>0</v>
      </c>
      <c r="K1176" s="283">
        <f>РПЗ!Z1176</f>
        <v>0</v>
      </c>
      <c r="L1176" s="17">
        <v>42942</v>
      </c>
      <c r="M1176" s="18">
        <f>РПЗ!O1176</f>
        <v>42926.5</v>
      </c>
      <c r="N1176" s="238">
        <f>Таблица5[[#This Row],[10]]</f>
        <v>42926.5</v>
      </c>
      <c r="O1176" s="17">
        <v>42948</v>
      </c>
      <c r="P1176" s="17">
        <v>42951</v>
      </c>
      <c r="Q1176" s="17">
        <v>42951</v>
      </c>
      <c r="R1176" s="17">
        <v>42951</v>
      </c>
      <c r="S1176" s="17">
        <v>42951</v>
      </c>
      <c r="T1176" s="686"/>
      <c r="U1176" s="18">
        <f>РПЗ!P1176</f>
        <v>43100.5</v>
      </c>
      <c r="V1176" s="686"/>
      <c r="W1176" s="236">
        <f>РПЗ!L1176</f>
        <v>723046.72</v>
      </c>
      <c r="X1176" s="689">
        <v>2</v>
      </c>
      <c r="Y1176" s="689">
        <v>0</v>
      </c>
      <c r="Z1176" s="691">
        <v>7715471410</v>
      </c>
      <c r="AA1176" s="691" t="s">
        <v>6797</v>
      </c>
      <c r="AB1176" s="111">
        <v>695789</v>
      </c>
      <c r="AC1176" s="17"/>
      <c r="AD1176" s="690" t="s">
        <v>6798</v>
      </c>
      <c r="AE1176" s="686"/>
      <c r="AF1176" s="474"/>
      <c r="AG1176" s="692">
        <v>695789</v>
      </c>
      <c r="AH1176" s="236">
        <f>IF(Таблица5[[#This Row],[30]]=0,"НД",Таблица5[[#This Row],[20]]-Таблица5[[#This Row],[30]])</f>
        <v>27257.719999999972</v>
      </c>
      <c r="AI1176" s="511">
        <f>IF(((1-Таблица5[[#This Row],[30]]/Таблица5[[#This Row],[20]])=1),"НД",(1-Таблица5[[#This Row],[30]]/Таблица5[[#This Row],[20]]))</f>
        <v>3.7698421479596789E-2</v>
      </c>
      <c r="AJ1176" s="111">
        <v>695789</v>
      </c>
      <c r="AK1176" s="111"/>
      <c r="AL1176" s="512"/>
      <c r="AM1176" s="513" t="s">
        <v>113</v>
      </c>
      <c r="AN1176" s="801">
        <v>31705360997</v>
      </c>
      <c r="AO1176" s="468" t="str">
        <f>РПЗ!AD1315</f>
        <v>Нет</v>
      </c>
      <c r="AP1176" s="472" t="str">
        <f>РПЗ!V1315</f>
        <v>ГОЗ</v>
      </c>
      <c r="AQ1176" s="470">
        <f>IF(Таблица5[[#This Row],[11]]=0,,MONTH(Таблица5[[#This Row],[11]]))</f>
        <v>7</v>
      </c>
    </row>
    <row r="1177" spans="1:43" ht="38.25" x14ac:dyDescent="0.25">
      <c r="A1177" s="233" t="str">
        <f t="shared" si="18"/>
        <v>1004-2017-01162</v>
      </c>
      <c r="B1177" s="959" t="str">
        <f>РПЗ!$D1177</f>
        <v>1004-2017-01162Поставка  Металлические сплавы</v>
      </c>
      <c r="C1177" s="233" t="str">
        <f>РПЗ!$AA1177</f>
        <v>АО "НИИ "Полюс" им. М.Ф. Стельмаха" тел. отдела закупок 8-495-333-05-02</v>
      </c>
      <c r="D1177" s="633" t="str">
        <f>РПЗ!$AB1177</f>
        <v>Заказчик</v>
      </c>
      <c r="E1177" s="510" t="s">
        <v>59</v>
      </c>
      <c r="F1177" s="233" t="str">
        <f>РПЗ!Q1177</f>
        <v>ОЗК</v>
      </c>
      <c r="G1177" s="237" t="str">
        <f>Таблица5[[#This Row],[6]]</f>
        <v>ОЗК</v>
      </c>
      <c r="H1177" s="237" t="str">
        <f>РПЗ!R1177</f>
        <v>Да</v>
      </c>
      <c r="I1177" s="15">
        <f>РПЗ!W1177</f>
        <v>0</v>
      </c>
      <c r="J1177" s="233">
        <f>РПЗ!X1177</f>
        <v>0</v>
      </c>
      <c r="K1177" s="283">
        <f>РПЗ!Z1177</f>
        <v>0</v>
      </c>
      <c r="L1177" s="17">
        <v>42904</v>
      </c>
      <c r="M1177" s="18">
        <f>РПЗ!O1177</f>
        <v>42887</v>
      </c>
      <c r="N1177" s="238">
        <f>Таблица5[[#This Row],[10]]</f>
        <v>42887</v>
      </c>
      <c r="O1177" s="17">
        <v>42940</v>
      </c>
      <c r="P1177" s="17">
        <v>42943</v>
      </c>
      <c r="Q1177" s="17">
        <v>42943</v>
      </c>
      <c r="R1177" s="17">
        <v>42943</v>
      </c>
      <c r="S1177" s="17">
        <v>42943</v>
      </c>
      <c r="T1177" s="686"/>
      <c r="U1177" s="18">
        <f>РПЗ!P1177</f>
        <v>42917</v>
      </c>
      <c r="V1177" s="686"/>
      <c r="W1177" s="236">
        <f>РПЗ!L1177</f>
        <v>181239.05</v>
      </c>
      <c r="X1177" s="689">
        <v>0</v>
      </c>
      <c r="Y1177" s="689">
        <v>0</v>
      </c>
      <c r="Z1177" s="690"/>
      <c r="AA1177" s="691"/>
      <c r="AB1177" s="111"/>
      <c r="AC1177" s="17"/>
      <c r="AD1177" s="690"/>
      <c r="AE1177" s="686"/>
      <c r="AF1177" s="474"/>
      <c r="AG1177" s="692"/>
      <c r="AH1177" s="236" t="str">
        <f>IF(Таблица5[[#This Row],[30]]=0,"НД",Таблица5[[#This Row],[20]]-Таблица5[[#This Row],[30]])</f>
        <v>НД</v>
      </c>
      <c r="AI1177" s="511" t="str">
        <f>IF(((1-Таблица5[[#This Row],[30]]/Таблица5[[#This Row],[20]])=1),"НД",(1-Таблица5[[#This Row],[30]]/Таблица5[[#This Row],[20]]))</f>
        <v>НД</v>
      </c>
      <c r="AJ1177" s="111"/>
      <c r="AK1177" s="111"/>
      <c r="AL1177" s="512"/>
      <c r="AM1177" s="513" t="s">
        <v>113</v>
      </c>
      <c r="AN1177" s="801">
        <v>31705336873</v>
      </c>
      <c r="AO1177" s="468" t="str">
        <f>РПЗ!AD1316</f>
        <v>Нет</v>
      </c>
      <c r="AP1177" s="472">
        <f>РПЗ!V1316</f>
        <v>0</v>
      </c>
      <c r="AQ1177" s="470">
        <f>IF(Таблица5[[#This Row],[11]]=0,,MONTH(Таблица5[[#This Row],[11]]))</f>
        <v>6</v>
      </c>
    </row>
    <row r="1178" spans="1:43" ht="38.25" x14ac:dyDescent="0.25">
      <c r="A1178" s="233" t="str">
        <f t="shared" si="18"/>
        <v>1004-2017-01163</v>
      </c>
      <c r="B1178" s="959" t="str">
        <f>РПЗ!$D1178</f>
        <v>1004-2017-01163 Поставка Металлические сплавы</v>
      </c>
      <c r="C1178" s="233" t="str">
        <f>РПЗ!$AA1178</f>
        <v>АО "НИИ "Полюс" им. М.Ф. Стельмаха" тел. отдела закупок 8-495-333-05-02</v>
      </c>
      <c r="D1178" s="633" t="str">
        <f>РПЗ!$AB1178</f>
        <v>Заказчик</v>
      </c>
      <c r="E1178" s="510" t="s">
        <v>59</v>
      </c>
      <c r="F1178" s="233" t="str">
        <f>РПЗ!Q1178</f>
        <v>ОЗК</v>
      </c>
      <c r="G1178" s="237" t="str">
        <f>Таблица5[[#This Row],[6]]</f>
        <v>ОЗК</v>
      </c>
      <c r="H1178" s="237" t="str">
        <f>РПЗ!R1178</f>
        <v>Да</v>
      </c>
      <c r="I1178" s="15">
        <f>РПЗ!W1178</f>
        <v>0</v>
      </c>
      <c r="J1178" s="233">
        <f>РПЗ!X1178</f>
        <v>0</v>
      </c>
      <c r="K1178" s="283">
        <f>РПЗ!Z1178</f>
        <v>0</v>
      </c>
      <c r="L1178" s="17">
        <v>42934</v>
      </c>
      <c r="M1178" s="18">
        <f>РПЗ!O1178</f>
        <v>42887</v>
      </c>
      <c r="N1178" s="238">
        <f>Таблица5[[#This Row],[10]]</f>
        <v>42887</v>
      </c>
      <c r="O1178" s="17">
        <v>42940</v>
      </c>
      <c r="P1178" s="17">
        <v>42943</v>
      </c>
      <c r="Q1178" s="17">
        <v>42943</v>
      </c>
      <c r="R1178" s="17">
        <v>42943</v>
      </c>
      <c r="S1178" s="17">
        <v>42943</v>
      </c>
      <c r="T1178" s="686"/>
      <c r="U1178" s="18">
        <f>РПЗ!P1178</f>
        <v>42917</v>
      </c>
      <c r="V1178" s="686"/>
      <c r="W1178" s="236">
        <f>РПЗ!L1178</f>
        <v>159625.54999999999</v>
      </c>
      <c r="X1178" s="689">
        <v>0</v>
      </c>
      <c r="Y1178" s="689">
        <v>0</v>
      </c>
      <c r="Z1178" s="690"/>
      <c r="AA1178" s="691"/>
      <c r="AB1178" s="111"/>
      <c r="AC1178" s="17"/>
      <c r="AD1178" s="690"/>
      <c r="AE1178" s="686"/>
      <c r="AF1178" s="474"/>
      <c r="AG1178" s="692"/>
      <c r="AH1178" s="236" t="str">
        <f>IF(Таблица5[[#This Row],[30]]=0,"НД",Таблица5[[#This Row],[20]]-Таблица5[[#This Row],[30]])</f>
        <v>НД</v>
      </c>
      <c r="AI1178" s="511" t="str">
        <f>IF(((1-Таблица5[[#This Row],[30]]/Таблица5[[#This Row],[20]])=1),"НД",(1-Таблица5[[#This Row],[30]]/Таблица5[[#This Row],[20]]))</f>
        <v>НД</v>
      </c>
      <c r="AJ1178" s="111"/>
      <c r="AK1178" s="111"/>
      <c r="AL1178" s="512"/>
      <c r="AM1178" s="513" t="s">
        <v>113</v>
      </c>
      <c r="AN1178" s="801">
        <v>31705336872</v>
      </c>
      <c r="AO1178" s="468" t="str">
        <f>РПЗ!AD1317</f>
        <v>Нет</v>
      </c>
      <c r="AP1178" s="472">
        <f>РПЗ!V1317</f>
        <v>0</v>
      </c>
      <c r="AQ1178" s="470">
        <f>IF(Таблица5[[#This Row],[11]]=0,,MONTH(Таблица5[[#This Row],[11]]))</f>
        <v>6</v>
      </c>
    </row>
    <row r="1179" spans="1:43" ht="51" x14ac:dyDescent="0.25">
      <c r="A1179" s="233" t="str">
        <f t="shared" si="18"/>
        <v>1004-2017-01164</v>
      </c>
      <c r="B1179" s="959" t="str">
        <f>РПЗ!$D1179</f>
        <v>1004-2017-01164 Поставка Комплект преобразователей линейных перемещений с устройством цифровой индикации 1к-т</v>
      </c>
      <c r="C1179" s="233" t="str">
        <f>РПЗ!$AA1179</f>
        <v>АО "НИИ "Полюс" им. М.Ф. Стельмаха" тел. отдела закупок 8-495-333-05-02</v>
      </c>
      <c r="D1179" s="633" t="str">
        <f>РПЗ!$AB1179</f>
        <v>Заказчик</v>
      </c>
      <c r="E1179" s="510" t="s">
        <v>59</v>
      </c>
      <c r="F1179" s="233" t="str">
        <f>РПЗ!Q1179</f>
        <v>ОЗК</v>
      </c>
      <c r="G1179" s="237" t="str">
        <f>Таблица5[[#This Row],[6]]</f>
        <v>ОЗК</v>
      </c>
      <c r="H1179" s="237" t="str">
        <f>РПЗ!R1179</f>
        <v>Да</v>
      </c>
      <c r="I1179" s="15">
        <f>РПЗ!W1179</f>
        <v>0</v>
      </c>
      <c r="J1179" s="233">
        <f>РПЗ!X1179</f>
        <v>0</v>
      </c>
      <c r="K1179" s="283">
        <f>РПЗ!Z1179</f>
        <v>0</v>
      </c>
      <c r="L1179" s="17">
        <v>42934</v>
      </c>
      <c r="M1179" s="18">
        <f>РПЗ!O1179</f>
        <v>42917</v>
      </c>
      <c r="N1179" s="238">
        <f>Таблица5[[#This Row],[10]]</f>
        <v>42917</v>
      </c>
      <c r="O1179" s="17">
        <v>42940</v>
      </c>
      <c r="P1179" s="17">
        <v>42943</v>
      </c>
      <c r="Q1179" s="17">
        <v>42943</v>
      </c>
      <c r="R1179" s="17">
        <v>42943</v>
      </c>
      <c r="S1179" s="17">
        <v>42943</v>
      </c>
      <c r="T1179" s="686"/>
      <c r="U1179" s="18">
        <f>РПЗ!P1179</f>
        <v>42979</v>
      </c>
      <c r="V1179" s="686"/>
      <c r="W1179" s="236">
        <f>РПЗ!L1179</f>
        <v>92221.06</v>
      </c>
      <c r="X1179" s="689">
        <v>0</v>
      </c>
      <c r="Y1179" s="689">
        <v>0</v>
      </c>
      <c r="Z1179" s="690"/>
      <c r="AA1179" s="691"/>
      <c r="AB1179" s="111"/>
      <c r="AC1179" s="17"/>
      <c r="AD1179" s="690"/>
      <c r="AE1179" s="686"/>
      <c r="AF1179" s="474"/>
      <c r="AG1179" s="692"/>
      <c r="AH1179" s="236" t="str">
        <f>IF(Таблица5[[#This Row],[30]]=0,"НД",Таблица5[[#This Row],[20]]-Таблица5[[#This Row],[30]])</f>
        <v>НД</v>
      </c>
      <c r="AI1179" s="511" t="str">
        <f>IF(((1-Таблица5[[#This Row],[30]]/Таблица5[[#This Row],[20]])=1),"НД",(1-Таблица5[[#This Row],[30]]/Таблица5[[#This Row],[20]]))</f>
        <v>НД</v>
      </c>
      <c r="AJ1179" s="111"/>
      <c r="AK1179" s="111"/>
      <c r="AL1179" s="512"/>
      <c r="AM1179" s="513" t="s">
        <v>113</v>
      </c>
      <c r="AN1179" s="801">
        <v>31705335665</v>
      </c>
      <c r="AO1179" s="468" t="str">
        <f>РПЗ!AD1318</f>
        <v>Нет</v>
      </c>
      <c r="AP1179" s="472" t="str">
        <f>РПЗ!V1318</f>
        <v>ГОЗ</v>
      </c>
      <c r="AQ1179" s="470">
        <f>IF(Таблица5[[#This Row],[11]]=0,,MONTH(Таблица5[[#This Row],[11]]))</f>
        <v>7</v>
      </c>
    </row>
    <row r="1180" spans="1:43" ht="38.25" x14ac:dyDescent="0.25">
      <c r="A1180" s="233" t="str">
        <f t="shared" si="18"/>
        <v>1004-2017-01165</v>
      </c>
      <c r="B1180" s="959" t="str">
        <f>РПЗ!$D1180</f>
        <v>1004-2017-01165 Поставка изотопов гелия и неона</v>
      </c>
      <c r="C1180" s="233" t="str">
        <f>РПЗ!$AA1180</f>
        <v>АО "НИИ "Полюс" им. М.Ф. Стельмаха" тел. отдела закупок 8-495-333-05-02</v>
      </c>
      <c r="D1180" s="633" t="str">
        <f>РПЗ!$AB1180</f>
        <v>Заказчик</v>
      </c>
      <c r="E1180" s="510" t="s">
        <v>59</v>
      </c>
      <c r="F1180" s="233" t="str">
        <f>РПЗ!Q1180</f>
        <v>ОЗК</v>
      </c>
      <c r="G1180" s="237" t="str">
        <f>Таблица5[[#This Row],[6]]</f>
        <v>ОЗК</v>
      </c>
      <c r="H1180" s="237" t="str">
        <f>РПЗ!R1180</f>
        <v>Да</v>
      </c>
      <c r="I1180" s="15">
        <f>РПЗ!W1180</f>
        <v>0</v>
      </c>
      <c r="J1180" s="233">
        <f>РПЗ!X1180</f>
        <v>0</v>
      </c>
      <c r="K1180" s="283">
        <f>РПЗ!Z1180</f>
        <v>0</v>
      </c>
      <c r="L1180" s="17">
        <v>42936</v>
      </c>
      <c r="M1180" s="18">
        <f>РПЗ!O1180</f>
        <v>42917</v>
      </c>
      <c r="N1180" s="238">
        <f>Таблица5[[#This Row],[10]]</f>
        <v>42917</v>
      </c>
      <c r="O1180" s="17">
        <v>42942</v>
      </c>
      <c r="P1180" s="17">
        <v>42947</v>
      </c>
      <c r="Q1180" s="17">
        <v>42947</v>
      </c>
      <c r="R1180" s="17">
        <v>42947</v>
      </c>
      <c r="S1180" s="17">
        <v>42947</v>
      </c>
      <c r="T1180" s="686"/>
      <c r="U1180" s="18">
        <f>РПЗ!P1180</f>
        <v>42949</v>
      </c>
      <c r="V1180" s="686"/>
      <c r="W1180" s="236">
        <f>РПЗ!L1180</f>
        <v>278527.2</v>
      </c>
      <c r="X1180" s="689">
        <v>0</v>
      </c>
      <c r="Y1180" s="689">
        <v>0</v>
      </c>
      <c r="Z1180" s="690"/>
      <c r="AA1180" s="691"/>
      <c r="AB1180" s="111"/>
      <c r="AC1180" s="17"/>
      <c r="AD1180" s="690"/>
      <c r="AE1180" s="686"/>
      <c r="AF1180" s="474"/>
      <c r="AG1180" s="692"/>
      <c r="AH1180" s="236" t="str">
        <f>IF(Таблица5[[#This Row],[30]]=0,"НД",Таблица5[[#This Row],[20]]-Таблица5[[#This Row],[30]])</f>
        <v>НД</v>
      </c>
      <c r="AI1180" s="511" t="str">
        <f>IF(((1-Таблица5[[#This Row],[30]]/Таблица5[[#This Row],[20]])=1),"НД",(1-Таблица5[[#This Row],[30]]/Таблица5[[#This Row],[20]]))</f>
        <v>НД</v>
      </c>
      <c r="AJ1180" s="111"/>
      <c r="AK1180" s="111"/>
      <c r="AL1180" s="512"/>
      <c r="AM1180" s="513" t="s">
        <v>113</v>
      </c>
      <c r="AN1180" s="801">
        <v>31705343357</v>
      </c>
      <c r="AO1180" s="468" t="str">
        <f>РПЗ!AD1319</f>
        <v>Нет</v>
      </c>
      <c r="AP1180" s="472" t="str">
        <f>РПЗ!V1319</f>
        <v>ИВД</v>
      </c>
      <c r="AQ1180" s="470">
        <f>IF(Таблица5[[#This Row],[11]]=0,,MONTH(Таблица5[[#This Row],[11]]))</f>
        <v>7</v>
      </c>
    </row>
    <row r="1181" spans="1:43" ht="38.25" x14ac:dyDescent="0.25">
      <c r="A1181" s="233" t="str">
        <f t="shared" si="18"/>
        <v>1004-2017-01166</v>
      </c>
      <c r="B1181" s="959" t="str">
        <f>РПЗ!$D1181</f>
        <v>1004-2017-01166 Поставка Диэлектрические изделия(перчатки, ковры,галоши)</v>
      </c>
      <c r="C1181" s="233" t="str">
        <f>РПЗ!$AA1181</f>
        <v>АО "НИИ "Полюс" им. М.Ф. Стельмаха" тел. отдела закупок 8-495-333-05-02</v>
      </c>
      <c r="D1181" s="633" t="str">
        <f>РПЗ!$AB1181</f>
        <v>Заказчик</v>
      </c>
      <c r="E1181" s="510" t="s">
        <v>59</v>
      </c>
      <c r="F1181" s="233" t="str">
        <f>РПЗ!Q1181</f>
        <v>ОЗК</v>
      </c>
      <c r="G1181" s="237" t="str">
        <f>Таблица5[[#This Row],[6]]</f>
        <v>ОЗК</v>
      </c>
      <c r="H1181" s="237" t="str">
        <f>РПЗ!R1181</f>
        <v>Да</v>
      </c>
      <c r="I1181" s="15">
        <f>РПЗ!W1181</f>
        <v>0</v>
      </c>
      <c r="J1181" s="233">
        <f>РПЗ!X1181</f>
        <v>0</v>
      </c>
      <c r="K1181" s="283">
        <f>РПЗ!Z1181</f>
        <v>0</v>
      </c>
      <c r="L1181" s="17">
        <v>42936</v>
      </c>
      <c r="M1181" s="18">
        <f>РПЗ!O1181</f>
        <v>42917</v>
      </c>
      <c r="N1181" s="238">
        <f>Таблица5[[#This Row],[10]]</f>
        <v>42917</v>
      </c>
      <c r="O1181" s="17">
        <v>42942</v>
      </c>
      <c r="P1181" s="17">
        <v>42947</v>
      </c>
      <c r="Q1181" s="17">
        <v>42947</v>
      </c>
      <c r="R1181" s="17">
        <v>42947</v>
      </c>
      <c r="S1181" s="17">
        <v>42947</v>
      </c>
      <c r="T1181" s="686"/>
      <c r="U1181" s="18">
        <f>РПЗ!P1181</f>
        <v>42917</v>
      </c>
      <c r="V1181" s="686"/>
      <c r="W1181" s="236">
        <f>РПЗ!L1181</f>
        <v>8299.33</v>
      </c>
      <c r="X1181" s="689">
        <v>0</v>
      </c>
      <c r="Y1181" s="689">
        <v>0</v>
      </c>
      <c r="Z1181" s="690"/>
      <c r="AA1181" s="691"/>
      <c r="AB1181" s="111"/>
      <c r="AC1181" s="17"/>
      <c r="AD1181" s="690"/>
      <c r="AE1181" s="686"/>
      <c r="AF1181" s="474"/>
      <c r="AG1181" s="692"/>
      <c r="AH1181" s="236" t="str">
        <f>IF(Таблица5[[#This Row],[30]]=0,"НД",Таблица5[[#This Row],[20]]-Таблица5[[#This Row],[30]])</f>
        <v>НД</v>
      </c>
      <c r="AI1181" s="511" t="str">
        <f>IF(((1-Таблица5[[#This Row],[30]]/Таблица5[[#This Row],[20]])=1),"НД",(1-Таблица5[[#This Row],[30]]/Таблица5[[#This Row],[20]]))</f>
        <v>НД</v>
      </c>
      <c r="AJ1181" s="111"/>
      <c r="AK1181" s="111"/>
      <c r="AL1181" s="512"/>
      <c r="AM1181" s="513" t="s">
        <v>113</v>
      </c>
      <c r="AN1181" s="801">
        <v>31705341585</v>
      </c>
      <c r="AO1181" s="468" t="str">
        <f>РПЗ!AD1320</f>
        <v>Нет</v>
      </c>
      <c r="AP1181" s="472" t="str">
        <f>РПЗ!V1320</f>
        <v>ГОЗ</v>
      </c>
      <c r="AQ1181" s="470">
        <f>IF(Таблица5[[#This Row],[11]]=0,,MONTH(Таблица5[[#This Row],[11]]))</f>
        <v>7</v>
      </c>
    </row>
    <row r="1182" spans="1:43" ht="63.75" x14ac:dyDescent="0.25">
      <c r="A1182" s="233" t="str">
        <f t="shared" si="18"/>
        <v>1004-2017-01167</v>
      </c>
      <c r="B1182" s="959" t="str">
        <f>РПЗ!$D1182</f>
        <v>1004-2017-01167 проведение ремонтно-строительных работ в помещения АО "НИИ "Полюс" им. М.Ф. Стельмаха": корпус 3 (ЛК), 5-й этаж (женский туалет</v>
      </c>
      <c r="C1182" s="233" t="str">
        <f>РПЗ!$AA1182</f>
        <v>АО "НИИ "Полюс" им. М.Ф. Стельмаха" тел. отдела закупок 8-495-333-05-02</v>
      </c>
      <c r="D1182" s="633" t="str">
        <f>РПЗ!$AB1182</f>
        <v>Заказчик</v>
      </c>
      <c r="E1182" s="510" t="s">
        <v>62</v>
      </c>
      <c r="F1182" s="233" t="str">
        <f>РПЗ!Q1182</f>
        <v>ОЗП</v>
      </c>
      <c r="G1182" s="237" t="s">
        <v>106</v>
      </c>
      <c r="H1182" s="237" t="str">
        <f>РПЗ!R1182</f>
        <v>Да</v>
      </c>
      <c r="I1182" s="15">
        <f>РПЗ!W1182</f>
        <v>0</v>
      </c>
      <c r="J1182" s="233">
        <f>РПЗ!X1182</f>
        <v>0</v>
      </c>
      <c r="K1182" s="283">
        <f>РПЗ!Z1182</f>
        <v>0</v>
      </c>
      <c r="L1182" s="17">
        <v>42948</v>
      </c>
      <c r="M1182" s="18">
        <f>РПЗ!O1182</f>
        <v>42948</v>
      </c>
      <c r="N1182" s="238">
        <f>Таблица5[[#This Row],[10]]</f>
        <v>42948</v>
      </c>
      <c r="O1182" s="17">
        <v>42961</v>
      </c>
      <c r="P1182" s="17">
        <v>42964</v>
      </c>
      <c r="Q1182" s="17">
        <v>42964</v>
      </c>
      <c r="R1182" s="17">
        <v>42969</v>
      </c>
      <c r="S1182" s="17">
        <v>42969</v>
      </c>
      <c r="T1182" s="686">
        <v>42976</v>
      </c>
      <c r="U1182" s="18">
        <f>РПЗ!P1321</f>
        <v>43009.625</v>
      </c>
      <c r="V1182" s="686">
        <v>42979</v>
      </c>
      <c r="W1182" s="236">
        <f>РПЗ!L1182</f>
        <v>543740.37</v>
      </c>
      <c r="X1182" s="689">
        <v>1</v>
      </c>
      <c r="Y1182" s="689">
        <v>0</v>
      </c>
      <c r="Z1182" s="691">
        <v>7714585728</v>
      </c>
      <c r="AA1182" s="691" t="s">
        <v>8209</v>
      </c>
      <c r="AB1182" s="111">
        <v>541478.31999999995</v>
      </c>
      <c r="AC1182" s="17">
        <v>42979</v>
      </c>
      <c r="AD1182" s="690" t="s">
        <v>8210</v>
      </c>
      <c r="AE1182" s="686">
        <v>42976</v>
      </c>
      <c r="AF1182" s="474"/>
      <c r="AG1182" s="692">
        <v>541478.31999999995</v>
      </c>
      <c r="AH1182" s="236">
        <f>IF(Таблица5[[#This Row],[30]]=0,"НД",Таблица5[[#This Row],[20]]-Таблица5[[#This Row],[30]])</f>
        <v>2262.0500000000466</v>
      </c>
      <c r="AI1182" s="511">
        <f>IF(((1-Таблица5[[#This Row],[30]]/Таблица5[[#This Row],[20]])=1),"НД",(1-Таблица5[[#This Row],[30]]/Таблица5[[#This Row],[20]]))</f>
        <v>4.160165631990953E-3</v>
      </c>
      <c r="AJ1182" s="111">
        <v>541478.31999999995</v>
      </c>
      <c r="AK1182" s="111"/>
      <c r="AL1182" s="512"/>
      <c r="AM1182" s="513" t="s">
        <v>113</v>
      </c>
      <c r="AN1182" s="801">
        <v>31705381403</v>
      </c>
      <c r="AO1182" s="468" t="str">
        <f>РПЗ!AD1321</f>
        <v>Нет</v>
      </c>
      <c r="AP1182" s="472">
        <f>РПЗ!V1321</f>
        <v>0</v>
      </c>
      <c r="AQ1182" s="470">
        <f>IF(Таблица5[[#This Row],[11]]=0,,MONTH(Таблица5[[#This Row],[11]]))</f>
        <v>8</v>
      </c>
    </row>
    <row r="1183" spans="1:43" ht="114.75" x14ac:dyDescent="0.25">
      <c r="A1183" s="233" t="str">
        <f t="shared" si="18"/>
        <v>1004-2017-01168</v>
      </c>
      <c r="B1183" s="959" t="str">
        <f>РПЗ!$D1183</f>
        <v>1004-2017-01168 Выполнение услуг по Доработка функциональности и техническое обслуживание  программно-информационного комплекса системы автоматизированного учета на базе продукта "1С: Управление производственным предприятием 8, ред.1.3."</v>
      </c>
      <c r="C1183" s="233" t="str">
        <f>РПЗ!$AA1183</f>
        <v>АО "НИИ "Полюс" им. М.Ф. Стельмаха" тел. отдела закупок 8-495-333-05-02</v>
      </c>
      <c r="D1183" s="633" t="str">
        <f>РПЗ!$AB1183</f>
        <v>Заказчик</v>
      </c>
      <c r="E1183" s="510" t="s">
        <v>62</v>
      </c>
      <c r="F1183" s="233" t="str">
        <f>РПЗ!Q1183</f>
        <v>ОЗК</v>
      </c>
      <c r="G1183" s="237" t="str">
        <f>Таблица5[[#This Row],[6]]</f>
        <v>ОЗК</v>
      </c>
      <c r="H1183" s="237" t="str">
        <f>РПЗ!R1183</f>
        <v>Да</v>
      </c>
      <c r="I1183" s="15">
        <f>РПЗ!W1183</f>
        <v>0</v>
      </c>
      <c r="J1183" s="233">
        <f>РПЗ!X1183</f>
        <v>0</v>
      </c>
      <c r="K1183" s="283">
        <f>РПЗ!Z1183</f>
        <v>0</v>
      </c>
      <c r="L1183" s="17">
        <v>42934</v>
      </c>
      <c r="M1183" s="18">
        <f>РПЗ!O1183</f>
        <v>42917</v>
      </c>
      <c r="N1183" s="238">
        <f>Таблица5[[#This Row],[10]]</f>
        <v>42917</v>
      </c>
      <c r="O1183" s="17">
        <v>42940</v>
      </c>
      <c r="P1183" s="17">
        <v>42943</v>
      </c>
      <c r="Q1183" s="17">
        <v>42943</v>
      </c>
      <c r="R1183" s="17">
        <v>42941</v>
      </c>
      <c r="S1183" s="17">
        <v>42941</v>
      </c>
      <c r="T1183" s="686">
        <v>42954</v>
      </c>
      <c r="U1183" s="18">
        <f>РПЗ!P1183</f>
        <v>43282</v>
      </c>
      <c r="V1183" s="686">
        <v>42948</v>
      </c>
      <c r="W1183" s="236">
        <f>РПЗ!L1183</f>
        <v>3200000</v>
      </c>
      <c r="X1183" s="689">
        <v>1</v>
      </c>
      <c r="Y1183" s="689">
        <v>0</v>
      </c>
      <c r="Z1183" s="691">
        <v>5042098389</v>
      </c>
      <c r="AA1183" s="691" t="s">
        <v>6795</v>
      </c>
      <c r="AB1183" s="111">
        <v>2980000</v>
      </c>
      <c r="AC1183" s="17">
        <v>42948</v>
      </c>
      <c r="AD1183" s="690" t="s">
        <v>6796</v>
      </c>
      <c r="AE1183" s="686">
        <v>42954</v>
      </c>
      <c r="AF1183" s="474"/>
      <c r="AG1183" s="692">
        <v>2980000</v>
      </c>
      <c r="AH1183" s="236">
        <f>IF(Таблица5[[#This Row],[30]]=0,"НД",Таблица5[[#This Row],[20]]-Таблица5[[#This Row],[30]])</f>
        <v>220000</v>
      </c>
      <c r="AI1183" s="511">
        <f>IF(((1-Таблица5[[#This Row],[30]]/Таблица5[[#This Row],[20]])=1),"НД",(1-Таблица5[[#This Row],[30]]/Таблица5[[#This Row],[20]]))</f>
        <v>6.8749999999999978E-2</v>
      </c>
      <c r="AJ1183" s="111">
        <v>2980000</v>
      </c>
      <c r="AK1183" s="111"/>
      <c r="AL1183" s="512"/>
      <c r="AM1183" s="513" t="s">
        <v>113</v>
      </c>
      <c r="AN1183" s="801">
        <v>31705336876</v>
      </c>
      <c r="AO1183" s="468" t="str">
        <f>РПЗ!AD1322</f>
        <v>Нет</v>
      </c>
      <c r="AP1183" s="472">
        <f>РПЗ!V1322</f>
        <v>0</v>
      </c>
      <c r="AQ1183" s="470">
        <f>IF(Таблица5[[#This Row],[11]]=0,,MONTH(Таблица5[[#This Row],[11]]))</f>
        <v>7</v>
      </c>
    </row>
    <row r="1184" spans="1:43" ht="39" thickBot="1" x14ac:dyDescent="0.3">
      <c r="A1184" s="233" t="str">
        <f t="shared" si="18"/>
        <v>1004-2017-01169</v>
      </c>
      <c r="B1184" s="959" t="str">
        <f>РПЗ!$D1184</f>
        <v>1004-2017-01169 Выполнение услуг по закупке услуг страхования залогового имущества</v>
      </c>
      <c r="C1184" s="233" t="str">
        <f>РПЗ!$AA1184</f>
        <v>АО "НИИ "Полюс" им. М.Ф. Стельмаха" тел. отдела закупок 8-495-333-05-02</v>
      </c>
      <c r="D1184" s="633" t="str">
        <f>РПЗ!$AB1184</f>
        <v>ООО "РТ-Страхование"</v>
      </c>
      <c r="E1184" s="510" t="s">
        <v>59</v>
      </c>
      <c r="F1184" s="233" t="str">
        <f>РПЗ!Q1184</f>
        <v>ОЗК</v>
      </c>
      <c r="G1184" s="237" t="str">
        <f>Таблица5[[#This Row],[6]]</f>
        <v>ОЗК</v>
      </c>
      <c r="H1184" s="237" t="str">
        <f>РПЗ!R1184</f>
        <v>Да</v>
      </c>
      <c r="I1184" s="15">
        <f>РПЗ!W1184</f>
        <v>0</v>
      </c>
      <c r="J1184" s="233">
        <f>РПЗ!X1184</f>
        <v>0</v>
      </c>
      <c r="K1184" s="283">
        <f>РПЗ!Z1184</f>
        <v>0</v>
      </c>
      <c r="L1184" s="17">
        <v>42977</v>
      </c>
      <c r="M1184" s="18">
        <f>РПЗ!O1184</f>
        <v>42948</v>
      </c>
      <c r="N1184" s="238">
        <f>Таблица5[[#This Row],[10]]</f>
        <v>42948</v>
      </c>
      <c r="O1184" s="17">
        <v>42996</v>
      </c>
      <c r="P1184" s="17">
        <v>42997</v>
      </c>
      <c r="Q1184" s="17">
        <v>42997</v>
      </c>
      <c r="R1184" s="17">
        <v>42997</v>
      </c>
      <c r="S1184" s="17">
        <v>42997</v>
      </c>
      <c r="T1184" s="686"/>
      <c r="U1184" s="18">
        <f>РПЗ!P1323</f>
        <v>43435.625</v>
      </c>
      <c r="V1184" s="686"/>
      <c r="W1184" s="236">
        <f>РПЗ!L1184</f>
        <v>382853</v>
      </c>
      <c r="X1184" s="689">
        <v>0</v>
      </c>
      <c r="Y1184" s="689">
        <v>0</v>
      </c>
      <c r="Z1184" s="690"/>
      <c r="AA1184" s="691"/>
      <c r="AB1184" s="111"/>
      <c r="AC1184" s="17"/>
      <c r="AD1184" s="690"/>
      <c r="AE1184" s="686"/>
      <c r="AF1184" s="474"/>
      <c r="AG1184" s="692"/>
      <c r="AH1184" s="236" t="str">
        <f>IF(Таблица5[[#This Row],[30]]=0,"НД",Таблица5[[#This Row],[20]]-Таблица5[[#This Row],[30]])</f>
        <v>НД</v>
      </c>
      <c r="AI1184" s="511" t="str">
        <f>IF(((1-Таблица5[[#This Row],[30]]/Таблица5[[#This Row],[20]])=1),"НД",(1-Таблица5[[#This Row],[30]]/Таблица5[[#This Row],[20]]))</f>
        <v>НД</v>
      </c>
      <c r="AJ1184" s="111"/>
      <c r="AK1184" s="111"/>
      <c r="AL1184" s="512"/>
      <c r="AM1184" s="513" t="s">
        <v>113</v>
      </c>
      <c r="AN1184" s="801">
        <v>31705508500</v>
      </c>
      <c r="AO1184" s="468" t="str">
        <f>РПЗ!AD1323</f>
        <v>Нет</v>
      </c>
      <c r="AP1184" s="472">
        <f>РПЗ!V1323</f>
        <v>0</v>
      </c>
      <c r="AQ1184" s="470">
        <f>IF(Таблица5[[#This Row],[11]]=0,,MONTH(Таблица5[[#This Row],[11]]))</f>
        <v>8</v>
      </c>
    </row>
    <row r="1185" spans="1:43" ht="51" x14ac:dyDescent="0.25">
      <c r="A1185" s="233" t="str">
        <f t="shared" si="18"/>
        <v>1004-2017-01170</v>
      </c>
      <c r="B1185" s="959" t="str">
        <f>РПЗ!$D1185</f>
        <v>1004-2017-01170 выполнение строительно-монтажных работ по замене кровли в КВЦ в АО "НИИ "Полюс" им. М.Ф. Стельмаха (БМД)</v>
      </c>
      <c r="C1185" s="233" t="str">
        <f>РПЗ!$AA1185</f>
        <v>АО "НИИ "Полюс" им. М.Ф. Стельмаха" тел. отдела закупок 8-495-333-05-02</v>
      </c>
      <c r="D1185" s="633" t="str">
        <f>РПЗ!$AB1185</f>
        <v>Заказчик</v>
      </c>
      <c r="E1185" s="96" t="s">
        <v>46</v>
      </c>
      <c r="F1185" s="233" t="str">
        <f>РПЗ!Q1185</f>
        <v>ОК</v>
      </c>
      <c r="G1185" s="237"/>
      <c r="H1185" s="237" t="str">
        <f>РПЗ!R1185</f>
        <v>Да</v>
      </c>
      <c r="I1185" s="15">
        <f>РПЗ!W1185</f>
        <v>0</v>
      </c>
      <c r="J1185" s="233">
        <f>РПЗ!X1185</f>
        <v>0</v>
      </c>
      <c r="K1185" s="283">
        <f>РПЗ!Z1185</f>
        <v>0</v>
      </c>
      <c r="L1185" s="17"/>
      <c r="M1185" s="18">
        <f>РПЗ!O1324</f>
        <v>42979.625</v>
      </c>
      <c r="N1185" s="238">
        <f>Таблица5[[#This Row],[10]]</f>
        <v>42979.625</v>
      </c>
      <c r="O1185" s="17"/>
      <c r="P1185" s="17"/>
      <c r="Q1185" s="17"/>
      <c r="R1185" s="17"/>
      <c r="S1185" s="17"/>
      <c r="T1185" s="686"/>
      <c r="U1185" s="18">
        <f>РПЗ!P1324</f>
        <v>43435.625</v>
      </c>
      <c r="V1185" s="686"/>
      <c r="W1185" s="236">
        <f>РПЗ!L1324</f>
        <v>17760000</v>
      </c>
      <c r="X1185" s="689"/>
      <c r="Y1185" s="689"/>
      <c r="Z1185" s="690"/>
      <c r="AA1185" s="691"/>
      <c r="AB1185" s="111"/>
      <c r="AC1185" s="17"/>
      <c r="AD1185" s="690"/>
      <c r="AE1185" s="686"/>
      <c r="AF1185" s="474"/>
      <c r="AG1185" s="692"/>
      <c r="AH1185" s="236" t="str">
        <f>IF(Таблица5[[#This Row],[30]]=0,"НД",Таблица5[[#This Row],[20]]-Таблица5[[#This Row],[30]])</f>
        <v>НД</v>
      </c>
      <c r="AI1185" s="511" t="str">
        <f>IF(((1-Таблица5[[#This Row],[30]]/Таблица5[[#This Row],[20]])=1),"НД",(1-Таблица5[[#This Row],[30]]/Таблица5[[#This Row],[20]]))</f>
        <v>НД</v>
      </c>
      <c r="AJ1185" s="111"/>
      <c r="AK1185" s="111"/>
      <c r="AL1185" s="512"/>
      <c r="AM1185" s="513"/>
      <c r="AN1185" s="465"/>
      <c r="AO1185" s="468" t="str">
        <f>РПЗ!AD1324</f>
        <v>Нет</v>
      </c>
      <c r="AP1185" s="472">
        <f>РПЗ!V1324</f>
        <v>0</v>
      </c>
      <c r="AQ1185" s="470">
        <f>IF(Таблица5[[#This Row],[11]]=0,,MONTH(Таблица5[[#This Row],[11]]))</f>
        <v>9</v>
      </c>
    </row>
    <row r="1186" spans="1:43" ht="38.25" x14ac:dyDescent="0.25">
      <c r="A1186" s="233" t="str">
        <f t="shared" si="18"/>
        <v>1004-2017-01171</v>
      </c>
      <c r="B1186" s="959" t="str">
        <f>РПЗ!$D1186</f>
        <v>1004-2017-01171 Изготовление и поставка комплектов составных частей  изделия МТД</v>
      </c>
      <c r="C1186" s="233" t="str">
        <f>РПЗ!$AA1186</f>
        <v>АО "НИИ "Полюс" им. М.Ф. Стельмаха" тел. отдела закупок 8-495-333-05-02</v>
      </c>
      <c r="D1186" s="633" t="str">
        <f>РПЗ!$AB1186</f>
        <v>Заказчик</v>
      </c>
      <c r="E1186" s="510" t="s">
        <v>62</v>
      </c>
      <c r="F1186" s="233" t="str">
        <f>РПЗ!Q1186</f>
        <v>ЕП</v>
      </c>
      <c r="G1186" s="237" t="str">
        <f>Таблица5[[#This Row],[6]]</f>
        <v>ЕП</v>
      </c>
      <c r="H1186" s="237" t="str">
        <f>РПЗ!R1186</f>
        <v>Нет</v>
      </c>
      <c r="I1186" s="15" t="str">
        <f>РПЗ!W1186</f>
        <v>6.6.2(11)</v>
      </c>
      <c r="J1186" s="233" t="str">
        <f>РПЗ!X1186</f>
        <v>5043057427</v>
      </c>
      <c r="K1186" s="283">
        <f>РПЗ!Z1186</f>
        <v>4800004</v>
      </c>
      <c r="L1186" s="17">
        <v>42940</v>
      </c>
      <c r="M1186" s="18">
        <f>РПЗ!O1186</f>
        <v>42917</v>
      </c>
      <c r="N1186" s="238">
        <f>Таблица5[[#This Row],[10]]</f>
        <v>42917</v>
      </c>
      <c r="O1186" s="17"/>
      <c r="P1186" s="17"/>
      <c r="Q1186" s="17"/>
      <c r="R1186" s="17"/>
      <c r="S1186" s="17"/>
      <c r="T1186" s="686">
        <v>42943</v>
      </c>
      <c r="U1186" s="18">
        <f>РПЗ!P1186</f>
        <v>43100.5</v>
      </c>
      <c r="V1186" s="686">
        <v>43040</v>
      </c>
      <c r="W1186" s="236">
        <f>РПЗ!L1186</f>
        <v>4800004</v>
      </c>
      <c r="X1186" s="689">
        <v>1</v>
      </c>
      <c r="Y1186" s="689">
        <v>0</v>
      </c>
      <c r="Z1186" s="691">
        <v>5043057427</v>
      </c>
      <c r="AA1186" s="691" t="s">
        <v>5073</v>
      </c>
      <c r="AB1186" s="111">
        <v>4800004</v>
      </c>
      <c r="AC1186" s="17">
        <v>43040</v>
      </c>
      <c r="AD1186" s="690" t="s">
        <v>6432</v>
      </c>
      <c r="AE1186" s="686">
        <v>42943</v>
      </c>
      <c r="AF1186" s="474"/>
      <c r="AG1186" s="692">
        <v>4800004</v>
      </c>
      <c r="AH1186" s="236">
        <f>IF(Таблица5[[#This Row],[30]]=0,"НД",Таблица5[[#This Row],[20]]-Таблица5[[#This Row],[30]])</f>
        <v>0</v>
      </c>
      <c r="AI1186" s="511">
        <f>IF(((1-Таблица5[[#This Row],[30]]/Таблица5[[#This Row],[20]])=1),"НД",(1-Таблица5[[#This Row],[30]]/Таблица5[[#This Row],[20]]))</f>
        <v>0</v>
      </c>
      <c r="AJ1186" s="111"/>
      <c r="AK1186" s="111"/>
      <c r="AL1186" s="512"/>
      <c r="AM1186" s="513" t="s">
        <v>113</v>
      </c>
      <c r="AN1186" s="801">
        <v>31705361058</v>
      </c>
      <c r="AO1186" s="468" t="str">
        <f>РПЗ!AD1325</f>
        <v>Нет</v>
      </c>
      <c r="AP1186" s="472">
        <f>РПЗ!V1325</f>
        <v>0</v>
      </c>
      <c r="AQ1186" s="470">
        <f>IF(Таблица5[[#This Row],[11]]=0,,MONTH(Таблица5[[#This Row],[11]]))</f>
        <v>7</v>
      </c>
    </row>
    <row r="1187" spans="1:43" ht="38.25" x14ac:dyDescent="0.25">
      <c r="A1187" s="233" t="str">
        <f t="shared" si="18"/>
        <v>1004-2017-01172</v>
      </c>
      <c r="B1187" s="959" t="str">
        <f>РПЗ!$D1187</f>
        <v>1004-2017-01172 Поставка триметилгаллия, триметилиндия, триметилалюминия</v>
      </c>
      <c r="C1187" s="233" t="str">
        <f>РПЗ!$AA1187</f>
        <v>АО "НИИ "Полюс" им. М.Ф. Стельмаха" тел. отдела закупок 8-495-333-05-02</v>
      </c>
      <c r="D1187" s="633" t="str">
        <f>РПЗ!$AB1187</f>
        <v>Заказчик</v>
      </c>
      <c r="E1187" s="510" t="s">
        <v>62</v>
      </c>
      <c r="F1187" s="233" t="str">
        <f>РПЗ!Q1187</f>
        <v>ЕП</v>
      </c>
      <c r="G1187" s="237" t="str">
        <f>Таблица5[[#This Row],[6]]</f>
        <v>ЕП</v>
      </c>
      <c r="H1187" s="237" t="str">
        <f>РПЗ!R1187</f>
        <v>Нет</v>
      </c>
      <c r="I1187" s="15" t="str">
        <f>РПЗ!W1187</f>
        <v>6.6.2(9)</v>
      </c>
      <c r="J1187" s="233" t="str">
        <f>РПЗ!X1187</f>
        <v>7735148768</v>
      </c>
      <c r="K1187" s="283">
        <f>РПЗ!Z1187</f>
        <v>0</v>
      </c>
      <c r="L1187" s="17">
        <v>42940</v>
      </c>
      <c r="M1187" s="18">
        <f>РПЗ!O1187</f>
        <v>42917</v>
      </c>
      <c r="N1187" s="238">
        <f>Таблица5[[#This Row],[10]]</f>
        <v>42917</v>
      </c>
      <c r="O1187" s="17"/>
      <c r="P1187" s="17"/>
      <c r="Q1187" s="17"/>
      <c r="R1187" s="17"/>
      <c r="S1187" s="17"/>
      <c r="T1187" s="686">
        <v>42944</v>
      </c>
      <c r="U1187" s="18">
        <f>РПЗ!P1187</f>
        <v>42917</v>
      </c>
      <c r="V1187" s="686">
        <v>42948</v>
      </c>
      <c r="W1187" s="236">
        <f>РПЗ!L1187</f>
        <v>212600</v>
      </c>
      <c r="X1187" s="689">
        <v>1</v>
      </c>
      <c r="Y1187" s="689">
        <v>0</v>
      </c>
      <c r="Z1187" s="691">
        <v>7735148768</v>
      </c>
      <c r="AA1187" s="691" t="s">
        <v>3360</v>
      </c>
      <c r="AB1187" s="111">
        <v>212600</v>
      </c>
      <c r="AC1187" s="17">
        <v>42948</v>
      </c>
      <c r="AD1187" s="690" t="s">
        <v>6431</v>
      </c>
      <c r="AE1187" s="686">
        <v>42944</v>
      </c>
      <c r="AF1187" s="474"/>
      <c r="AG1187" s="692">
        <v>212600</v>
      </c>
      <c r="AH1187" s="236">
        <f>IF(Таблица5[[#This Row],[30]]=0,"НД",Таблица5[[#This Row],[20]]-Таблица5[[#This Row],[30]])</f>
        <v>0</v>
      </c>
      <c r="AI1187" s="511">
        <f>IF(((1-Таблица5[[#This Row],[30]]/Таблица5[[#This Row],[20]])=1),"НД",(1-Таблица5[[#This Row],[30]]/Таблица5[[#This Row],[20]]))</f>
        <v>0</v>
      </c>
      <c r="AJ1187" s="111">
        <v>212600</v>
      </c>
      <c r="AK1187" s="111"/>
      <c r="AL1187" s="512"/>
      <c r="AM1187" s="513" t="s">
        <v>113</v>
      </c>
      <c r="AN1187" s="801">
        <v>31705365053</v>
      </c>
      <c r="AO1187" s="468" t="str">
        <f>РПЗ!AD1326</f>
        <v>Нет</v>
      </c>
      <c r="AP1187" s="472">
        <f>РПЗ!V1326</f>
        <v>0</v>
      </c>
      <c r="AQ1187" s="470">
        <f>IF(Таблица5[[#This Row],[11]]=0,,MONTH(Таблица5[[#This Row],[11]]))</f>
        <v>7</v>
      </c>
    </row>
    <row r="1188" spans="1:43" ht="63.75" x14ac:dyDescent="0.25">
      <c r="A1188" s="233" t="str">
        <f t="shared" si="18"/>
        <v>1004-2017-01173</v>
      </c>
      <c r="B1188" s="959" t="str">
        <f>РПЗ!$D1188</f>
        <v>1004-2017-01173 Поставка Контактная пластина ВАНЕ.741221.001; Крышка ет.4.127.979; Корпус; Кассета (круглая); Кассета</v>
      </c>
      <c r="C1188" s="233" t="str">
        <f>РПЗ!$AA1188</f>
        <v>АО "НИИ "Полюс" им. М.Ф. Стельмаха" тел. отдела закупок 8-495-333-05-02</v>
      </c>
      <c r="D1188" s="633" t="str">
        <f>РПЗ!$AB1188</f>
        <v>Заказчик</v>
      </c>
      <c r="E1188" s="510" t="s">
        <v>62</v>
      </c>
      <c r="F1188" s="233" t="str">
        <f>РПЗ!Q1188</f>
        <v>ЕП</v>
      </c>
      <c r="G1188" s="237" t="str">
        <f>Таблица5[[#This Row],[6]]</f>
        <v>ЕП</v>
      </c>
      <c r="H1188" s="237" t="str">
        <f>РПЗ!R1188</f>
        <v>Нет</v>
      </c>
      <c r="I1188" s="15" t="str">
        <f>РПЗ!W1188</f>
        <v>6.6.2(9)</v>
      </c>
      <c r="J1188" s="233" t="str">
        <f>РПЗ!X1188</f>
        <v>7729746311</v>
      </c>
      <c r="K1188" s="283">
        <f>РПЗ!Z1188</f>
        <v>996060</v>
      </c>
      <c r="L1188" s="17">
        <v>42941</v>
      </c>
      <c r="M1188" s="18">
        <f>РПЗ!O1188</f>
        <v>42949</v>
      </c>
      <c r="N1188" s="238">
        <f>Таблица5[[#This Row],[10]]</f>
        <v>42949</v>
      </c>
      <c r="O1188" s="17"/>
      <c r="P1188" s="17"/>
      <c r="Q1188" s="17"/>
      <c r="R1188" s="17"/>
      <c r="S1188" s="17"/>
      <c r="T1188" s="686">
        <v>42962</v>
      </c>
      <c r="U1188" s="18">
        <f>РПЗ!P1188</f>
        <v>43100.5</v>
      </c>
      <c r="V1188" s="686">
        <v>43040</v>
      </c>
      <c r="W1188" s="236">
        <f>РПЗ!L1188</f>
        <v>996060</v>
      </c>
      <c r="X1188" s="689">
        <v>1</v>
      </c>
      <c r="Y1188" s="689">
        <v>0</v>
      </c>
      <c r="Z1188" s="691">
        <v>7729746311</v>
      </c>
      <c r="AA1188" s="691" t="s">
        <v>5132</v>
      </c>
      <c r="AB1188" s="111">
        <v>996060</v>
      </c>
      <c r="AC1188" s="17">
        <v>43040</v>
      </c>
      <c r="AD1188" s="690" t="s">
        <v>6405</v>
      </c>
      <c r="AE1188" s="686">
        <v>42962</v>
      </c>
      <c r="AF1188" s="474"/>
      <c r="AG1188" s="692">
        <v>996060</v>
      </c>
      <c r="AH1188" s="236">
        <f>IF(Таблица5[[#This Row],[30]]=0,"НД",Таблица5[[#This Row],[20]]-Таблица5[[#This Row],[30]])</f>
        <v>0</v>
      </c>
      <c r="AI1188" s="511">
        <f>IF(((1-Таблица5[[#This Row],[30]]/Таблица5[[#This Row],[20]])=1),"НД",(1-Таблица5[[#This Row],[30]]/Таблица5[[#This Row],[20]]))</f>
        <v>0</v>
      </c>
      <c r="AJ1188" s="111">
        <v>996060</v>
      </c>
      <c r="AK1188" s="111"/>
      <c r="AL1188" s="512"/>
      <c r="AM1188" s="513" t="s">
        <v>113</v>
      </c>
      <c r="AN1188" s="964">
        <v>31705402319</v>
      </c>
      <c r="AO1188" s="468" t="str">
        <f>РПЗ!AD1188</f>
        <v>Нет</v>
      </c>
      <c r="AP1188" s="472">
        <f>РПЗ!V1188</f>
        <v>0</v>
      </c>
      <c r="AQ1188" s="470">
        <f>IF(Таблица5[[#This Row],[11]]=0,,MONTH(Таблица5[[#This Row],[11]]))</f>
        <v>8</v>
      </c>
    </row>
    <row r="1189" spans="1:43" ht="38.25" x14ac:dyDescent="0.25">
      <c r="A1189" s="233" t="str">
        <f t="shared" si="18"/>
        <v>1004-2017-01174</v>
      </c>
      <c r="B1189" s="959" t="str">
        <f>РПЗ!$D1189</f>
        <v>1004-2017-01174 поставка тепловой энергии</v>
      </c>
      <c r="C1189" s="233" t="str">
        <f>РПЗ!$AA1189</f>
        <v>АО "НИИ "Полюс" им. М.Ф. Стельмаха" тел. отдела закупок 8-495-333-05-02</v>
      </c>
      <c r="D1189" s="633" t="str">
        <f>РПЗ!$AB1189</f>
        <v>Заказчик</v>
      </c>
      <c r="E1189" s="510" t="s">
        <v>62</v>
      </c>
      <c r="F1189" s="233" t="str">
        <f>РПЗ!Q1189</f>
        <v>ЕП</v>
      </c>
      <c r="G1189" s="237" t="str">
        <f>Таблица5[[#This Row],[6]]</f>
        <v>ЕП</v>
      </c>
      <c r="H1189" s="237" t="str">
        <f>РПЗ!R1189</f>
        <v>Нет</v>
      </c>
      <c r="I1189" s="15" t="str">
        <f>РПЗ!W1189</f>
        <v>6.6.2(2)</v>
      </c>
      <c r="J1189" s="233" t="str">
        <f>РПЗ!X1189</f>
        <v>7720518494</v>
      </c>
      <c r="K1189" s="283">
        <f>РПЗ!Z1189</f>
        <v>17000000</v>
      </c>
      <c r="L1189" s="17">
        <v>42950</v>
      </c>
      <c r="M1189" s="18">
        <f>РПЗ!O1189</f>
        <v>42949</v>
      </c>
      <c r="N1189" s="238">
        <f>Таблица5[[#This Row],[10]]</f>
        <v>42949</v>
      </c>
      <c r="O1189" s="17"/>
      <c r="P1189" s="17"/>
      <c r="Q1189" s="17"/>
      <c r="R1189" s="17"/>
      <c r="S1189" s="17"/>
      <c r="T1189" s="686">
        <v>42956</v>
      </c>
      <c r="U1189" s="18">
        <f>РПЗ!P1189</f>
        <v>43100.5</v>
      </c>
      <c r="V1189" s="686">
        <v>43070</v>
      </c>
      <c r="W1189" s="236">
        <f>РПЗ!L1189</f>
        <v>17000000</v>
      </c>
      <c r="X1189" s="689">
        <v>1</v>
      </c>
      <c r="Y1189" s="689">
        <v>0</v>
      </c>
      <c r="Z1189" s="691">
        <v>7720518494</v>
      </c>
      <c r="AA1189" s="691" t="s">
        <v>6408</v>
      </c>
      <c r="AB1189" s="111">
        <v>17000000</v>
      </c>
      <c r="AC1189" s="17">
        <v>43070</v>
      </c>
      <c r="AD1189" s="690" t="s">
        <v>6409</v>
      </c>
      <c r="AE1189" s="686">
        <v>42956</v>
      </c>
      <c r="AF1189" s="474"/>
      <c r="AG1189" s="692">
        <v>17000000</v>
      </c>
      <c r="AH1189" s="236">
        <f>IF(Таблица5[[#This Row],[30]]=0,"НД",Таблица5[[#This Row],[20]]-Таблица5[[#This Row],[30]])</f>
        <v>0</v>
      </c>
      <c r="AI1189" s="511">
        <f>IF(((1-Таблица5[[#This Row],[30]]/Таблица5[[#This Row],[20]])=1),"НД",(1-Таблица5[[#This Row],[30]]/Таблица5[[#This Row],[20]]))</f>
        <v>0</v>
      </c>
      <c r="AJ1189" s="111"/>
      <c r="AK1189" s="111"/>
      <c r="AL1189" s="512"/>
      <c r="AM1189" s="513" t="s">
        <v>113</v>
      </c>
      <c r="AN1189" s="801">
        <v>31705396310</v>
      </c>
      <c r="AO1189" s="468" t="str">
        <f>РПЗ!AD1328</f>
        <v>Нет</v>
      </c>
      <c r="AP1189" s="472">
        <f>РПЗ!V1328</f>
        <v>0</v>
      </c>
      <c r="AQ1189" s="470">
        <f>IF(Таблица5[[#This Row],[11]]=0,,MONTH(Таблица5[[#This Row],[11]]))</f>
        <v>8</v>
      </c>
    </row>
    <row r="1190" spans="1:43" ht="38.25" x14ac:dyDescent="0.25">
      <c r="A1190" s="233" t="str">
        <f t="shared" si="18"/>
        <v>1004-2017-01175</v>
      </c>
      <c r="B1190" s="959" t="str">
        <f>РПЗ!$D1190</f>
        <v>1004-2017-01175 Выполнение работ по Изготовление зеркала ЖГДК.756523.007 (без покрытия)</v>
      </c>
      <c r="C1190" s="233" t="str">
        <f>РПЗ!$AA1190</f>
        <v>АО "НИИ "Полюс" им. М.Ф. Стельмаха" тел. отдела закупок 8-495-333-05-02</v>
      </c>
      <c r="D1190" s="633" t="str">
        <f>РПЗ!$AB1190</f>
        <v>Заказчик</v>
      </c>
      <c r="E1190" s="510" t="s">
        <v>62</v>
      </c>
      <c r="F1190" s="233" t="str">
        <f>РПЗ!Q1190</f>
        <v>ЕП</v>
      </c>
      <c r="G1190" s="237" t="str">
        <f>Таблица5[[#This Row],[6]]</f>
        <v>ЕП</v>
      </c>
      <c r="H1190" s="237" t="str">
        <f>РПЗ!R1190</f>
        <v>Нет</v>
      </c>
      <c r="I1190" s="15" t="str">
        <f>РПЗ!W1190</f>
        <v>6.6.2(11)</v>
      </c>
      <c r="J1190" s="233" t="str">
        <f>РПЗ!X1190</f>
        <v>7727768951</v>
      </c>
      <c r="K1190" s="283">
        <f>РПЗ!Z1190</f>
        <v>220896</v>
      </c>
      <c r="L1190" s="17">
        <v>42934</v>
      </c>
      <c r="M1190" s="18">
        <f>РПЗ!O1190</f>
        <v>42917</v>
      </c>
      <c r="N1190" s="238">
        <f>Таблица5[[#This Row],[10]]</f>
        <v>42917</v>
      </c>
      <c r="O1190" s="17"/>
      <c r="P1190" s="17"/>
      <c r="Q1190" s="17"/>
      <c r="R1190" s="17"/>
      <c r="S1190" s="17"/>
      <c r="T1190" s="686">
        <v>42954</v>
      </c>
      <c r="U1190" s="18">
        <f>РПЗ!P1190</f>
        <v>43100.5</v>
      </c>
      <c r="V1190" s="686">
        <v>43070</v>
      </c>
      <c r="W1190" s="236">
        <f>РПЗ!L1190</f>
        <v>220896</v>
      </c>
      <c r="X1190" s="689">
        <v>1</v>
      </c>
      <c r="Y1190" s="689">
        <v>0</v>
      </c>
      <c r="Z1190" s="691">
        <v>7727768951</v>
      </c>
      <c r="AA1190" s="691" t="s">
        <v>2370</v>
      </c>
      <c r="AB1190" s="111">
        <v>220896</v>
      </c>
      <c r="AC1190" s="17">
        <v>43070</v>
      </c>
      <c r="AD1190" s="690" t="s">
        <v>6420</v>
      </c>
      <c r="AE1190" s="686">
        <v>42954</v>
      </c>
      <c r="AF1190" s="474"/>
      <c r="AG1190" s="692">
        <v>220896</v>
      </c>
      <c r="AH1190" s="236">
        <f>IF(Таблица5[[#This Row],[30]]=0,"НД",Таблица5[[#This Row],[20]]-Таблица5[[#This Row],[30]])</f>
        <v>0</v>
      </c>
      <c r="AI1190" s="511">
        <f>IF(((1-Таблица5[[#This Row],[30]]/Таблица5[[#This Row],[20]])=1),"НД",(1-Таблица5[[#This Row],[30]]/Таблица5[[#This Row],[20]]))</f>
        <v>0</v>
      </c>
      <c r="AJ1190" s="111"/>
      <c r="AK1190" s="111"/>
      <c r="AL1190" s="512"/>
      <c r="AM1190" s="513" t="s">
        <v>113</v>
      </c>
      <c r="AN1190" s="801">
        <v>31705383580</v>
      </c>
      <c r="AO1190" s="468" t="str">
        <f>РПЗ!AD1190</f>
        <v>Нет</v>
      </c>
      <c r="AP1190" s="472" t="str">
        <f>РПЗ!V1190</f>
        <v>ГОЗ</v>
      </c>
      <c r="AQ1190" s="470">
        <f>IF(Таблица5[[#This Row],[11]]=0,,MONTH(Таблица5[[#This Row],[11]]))</f>
        <v>7</v>
      </c>
    </row>
    <row r="1191" spans="1:43" ht="38.25" x14ac:dyDescent="0.25">
      <c r="A1191" s="233" t="str">
        <f t="shared" si="18"/>
        <v>1004-2017-01176</v>
      </c>
      <c r="B1191" s="959" t="str">
        <f>РПЗ!$D1191</f>
        <v>1004-2017-01176Поставка  комплект мебели</v>
      </c>
      <c r="C1191" s="233" t="str">
        <f>РПЗ!$AA1191</f>
        <v>АО "НИИ "Полюс" им. М.Ф. Стельмаха" тел. отдела закупок 8-495-333-05-02</v>
      </c>
      <c r="D1191" s="633" t="str">
        <f>РПЗ!$AB1191</f>
        <v>Заказчик</v>
      </c>
      <c r="E1191" s="510" t="s">
        <v>62</v>
      </c>
      <c r="F1191" s="233" t="str">
        <f>РПЗ!Q1191</f>
        <v>ОЗК</v>
      </c>
      <c r="G1191" s="237" t="str">
        <f>Таблица5[[#This Row],[6]]</f>
        <v>ОЗК</v>
      </c>
      <c r="H1191" s="237" t="str">
        <f>РПЗ!R1191</f>
        <v>Да</v>
      </c>
      <c r="I1191" s="15">
        <f>РПЗ!W1191</f>
        <v>0</v>
      </c>
      <c r="J1191" s="233">
        <f>РПЗ!X1191</f>
        <v>0</v>
      </c>
      <c r="K1191" s="283">
        <f>РПЗ!Z1191</f>
        <v>0</v>
      </c>
      <c r="L1191" s="17">
        <v>42961</v>
      </c>
      <c r="M1191" s="18">
        <f>РПЗ!O1191</f>
        <v>42917</v>
      </c>
      <c r="N1191" s="238">
        <f>Таблица5[[#This Row],[10]]</f>
        <v>42917</v>
      </c>
      <c r="O1191" s="17">
        <v>42969</v>
      </c>
      <c r="P1191" s="17">
        <v>42976</v>
      </c>
      <c r="Q1191" s="17">
        <v>42976</v>
      </c>
      <c r="R1191" s="17">
        <v>42970</v>
      </c>
      <c r="S1191" s="17">
        <v>42970</v>
      </c>
      <c r="T1191" s="686">
        <v>42983</v>
      </c>
      <c r="U1191" s="18">
        <f>РПЗ!P1191</f>
        <v>42979</v>
      </c>
      <c r="V1191" s="686">
        <v>43008</v>
      </c>
      <c r="W1191" s="236">
        <f>РПЗ!L1191</f>
        <v>341774</v>
      </c>
      <c r="X1191" s="689">
        <v>1</v>
      </c>
      <c r="Y1191" s="689">
        <v>0</v>
      </c>
      <c r="Z1191" s="691">
        <v>4401137419</v>
      </c>
      <c r="AA1191" s="691" t="s">
        <v>6783</v>
      </c>
      <c r="AB1191" s="111">
        <v>339230</v>
      </c>
      <c r="AC1191" s="17">
        <v>43008</v>
      </c>
      <c r="AD1191" s="690" t="s">
        <v>7192</v>
      </c>
      <c r="AE1191" s="686">
        <v>42983</v>
      </c>
      <c r="AF1191" s="474"/>
      <c r="AG1191" s="692">
        <v>339230</v>
      </c>
      <c r="AH1191" s="236">
        <f>IF(Таблица5[[#This Row],[30]]=0,"НД",Таблица5[[#This Row],[20]]-Таблица5[[#This Row],[30]])</f>
        <v>2544</v>
      </c>
      <c r="AI1191" s="511">
        <f>IF(((1-Таблица5[[#This Row],[30]]/Таблица5[[#This Row],[20]])=1),"НД",(1-Таблица5[[#This Row],[30]]/Таблица5[[#This Row],[20]]))</f>
        <v>7.4435153054357439E-3</v>
      </c>
      <c r="AJ1191" s="111">
        <v>339230</v>
      </c>
      <c r="AK1191" s="111"/>
      <c r="AL1191" s="512"/>
      <c r="AM1191" s="513" t="s">
        <v>113</v>
      </c>
      <c r="AN1191" s="801">
        <v>31705419387</v>
      </c>
      <c r="AO1191" s="468" t="str">
        <f>РПЗ!AD1330</f>
        <v>Нет</v>
      </c>
      <c r="AP1191" s="472">
        <f>РПЗ!V1330</f>
        <v>0</v>
      </c>
      <c r="AQ1191" s="470">
        <f>IF(Таблица5[[#This Row],[11]]=0,,MONTH(Таблица5[[#This Row],[11]]))</f>
        <v>7</v>
      </c>
    </row>
    <row r="1192" spans="1:43" ht="39" thickBot="1" x14ac:dyDescent="0.3">
      <c r="A1192" s="233" t="str">
        <f t="shared" si="18"/>
        <v>1004-2017-01177</v>
      </c>
      <c r="B1192" s="959" t="str">
        <f>РПЗ!$D1192</f>
        <v>1004-2017-01177 Поставка консольно-моноблочный насос КМ 100-80-160 с электродвигателем</v>
      </c>
      <c r="C1192" s="233" t="str">
        <f>РПЗ!$AA1192</f>
        <v>АО "НИИ "Полюс" им. М.Ф. Стельмаха" тел. отдела закупок 8-495-333-05-02</v>
      </c>
      <c r="D1192" s="633" t="str">
        <f>РПЗ!$AB1192</f>
        <v>Заказчик</v>
      </c>
      <c r="E1192" s="510" t="s">
        <v>62</v>
      </c>
      <c r="F1192" s="233" t="str">
        <f>РПЗ!Q1192</f>
        <v>ОЗК</v>
      </c>
      <c r="G1192" s="237" t="str">
        <f>Таблица5[[#This Row],[6]]</f>
        <v>ОЗК</v>
      </c>
      <c r="H1192" s="237" t="str">
        <f>РПЗ!R1192</f>
        <v>Да</v>
      </c>
      <c r="I1192" s="15">
        <f>РПЗ!W1192</f>
        <v>0</v>
      </c>
      <c r="J1192" s="233">
        <f>РПЗ!X1192</f>
        <v>0</v>
      </c>
      <c r="K1192" s="283">
        <f>РПЗ!Z1192</f>
        <v>0</v>
      </c>
      <c r="L1192" s="17">
        <v>42958</v>
      </c>
      <c r="M1192" s="18">
        <f>РПЗ!O1192</f>
        <v>42917</v>
      </c>
      <c r="N1192" s="238">
        <f>Таблица5[[#This Row],[10]]</f>
        <v>42917</v>
      </c>
      <c r="O1192" s="17">
        <v>42964</v>
      </c>
      <c r="P1192" s="17">
        <v>42968</v>
      </c>
      <c r="Q1192" s="17">
        <v>42968</v>
      </c>
      <c r="R1192" s="17">
        <v>42965</v>
      </c>
      <c r="S1192" s="17">
        <v>42965</v>
      </c>
      <c r="T1192" s="686">
        <v>42976</v>
      </c>
      <c r="U1192" s="18">
        <f>РПЗ!P1192</f>
        <v>42979</v>
      </c>
      <c r="V1192" s="686">
        <v>43009</v>
      </c>
      <c r="W1192" s="236">
        <f>РПЗ!L1192</f>
        <v>37775</v>
      </c>
      <c r="X1192" s="689">
        <v>1</v>
      </c>
      <c r="Y1192" s="689">
        <v>0</v>
      </c>
      <c r="Z1192" s="691">
        <v>7106055771</v>
      </c>
      <c r="AA1192" s="691" t="s">
        <v>6782</v>
      </c>
      <c r="AB1192" s="111">
        <v>35000</v>
      </c>
      <c r="AC1192" s="17">
        <v>43009</v>
      </c>
      <c r="AD1192" s="690" t="s">
        <v>6781</v>
      </c>
      <c r="AE1192" s="686">
        <v>42976</v>
      </c>
      <c r="AF1192" s="474"/>
      <c r="AG1192" s="692">
        <v>35000</v>
      </c>
      <c r="AH1192" s="236">
        <f>IF(Таблица5[[#This Row],[30]]=0,"НД",Таблица5[[#This Row],[20]]-Таблица5[[#This Row],[30]])</f>
        <v>2775</v>
      </c>
      <c r="AI1192" s="511">
        <f>IF(((1-Таблица5[[#This Row],[30]]/Таблица5[[#This Row],[20]])=1),"НД",(1-Таблица5[[#This Row],[30]]/Таблица5[[#This Row],[20]]))</f>
        <v>7.3461283917935161E-2</v>
      </c>
      <c r="AJ1192" s="111">
        <v>35000</v>
      </c>
      <c r="AK1192" s="111"/>
      <c r="AL1192" s="512"/>
      <c r="AM1192" s="513" t="s">
        <v>113</v>
      </c>
      <c r="AN1192" s="801">
        <v>31705415129</v>
      </c>
      <c r="AO1192" s="468" t="str">
        <f>РПЗ!AD1331</f>
        <v>Нет</v>
      </c>
      <c r="AP1192" s="472">
        <f>РПЗ!V1331</f>
        <v>0</v>
      </c>
      <c r="AQ1192" s="470">
        <f>IF(Таблица5[[#This Row],[11]]=0,,MONTH(Таблица5[[#This Row],[11]]))</f>
        <v>7</v>
      </c>
    </row>
    <row r="1193" spans="1:43" ht="38.25" x14ac:dyDescent="0.25">
      <c r="A1193" s="233" t="str">
        <f t="shared" si="18"/>
        <v>1004-2017-01178</v>
      </c>
      <c r="B1193" s="959" t="str">
        <f>РПЗ!$D1193</f>
        <v xml:space="preserve">1004-2017-01178 Поставка Отрезные алмазные бескорпусные диски </v>
      </c>
      <c r="C1193" s="233" t="str">
        <f>РПЗ!$AA1193</f>
        <v>АО "НИИ "Полюс" им. М.Ф. Стельмаха" тел. отдела закупок 8-495-333-05-02</v>
      </c>
      <c r="D1193" s="633" t="str">
        <f>РПЗ!$AB1193</f>
        <v>Заказчик</v>
      </c>
      <c r="E1193" s="96" t="s">
        <v>46</v>
      </c>
      <c r="F1193" s="233" t="str">
        <f>РПЗ!Q1193</f>
        <v>ОЗК</v>
      </c>
      <c r="G1193" s="237"/>
      <c r="H1193" s="237" t="str">
        <f>РПЗ!R1193</f>
        <v>Да</v>
      </c>
      <c r="I1193" s="15">
        <f>РПЗ!W1193</f>
        <v>0</v>
      </c>
      <c r="J1193" s="233">
        <f>РПЗ!X1193</f>
        <v>0</v>
      </c>
      <c r="K1193" s="283">
        <f>РПЗ!Z1193</f>
        <v>0</v>
      </c>
      <c r="L1193" s="17"/>
      <c r="M1193" s="18">
        <f>РПЗ!O1332</f>
        <v>43009.625</v>
      </c>
      <c r="N1193" s="238">
        <f>Таблица5[[#This Row],[10]]</f>
        <v>43009.625</v>
      </c>
      <c r="O1193" s="17"/>
      <c r="P1193" s="17"/>
      <c r="Q1193" s="17"/>
      <c r="R1193" s="17"/>
      <c r="S1193" s="17"/>
      <c r="T1193" s="686"/>
      <c r="U1193" s="18">
        <f>РПЗ!P1332</f>
        <v>43070.625</v>
      </c>
      <c r="V1193" s="686"/>
      <c r="W1193" s="236">
        <f>РПЗ!L1332</f>
        <v>395000</v>
      </c>
      <c r="X1193" s="689"/>
      <c r="Y1193" s="689"/>
      <c r="Z1193" s="690"/>
      <c r="AA1193" s="691"/>
      <c r="AB1193" s="111"/>
      <c r="AC1193" s="17"/>
      <c r="AD1193" s="690"/>
      <c r="AE1193" s="686"/>
      <c r="AF1193" s="474"/>
      <c r="AG1193" s="692"/>
      <c r="AH1193" s="236" t="str">
        <f>IF(Таблица5[[#This Row],[30]]=0,"НД",Таблица5[[#This Row],[20]]-Таблица5[[#This Row],[30]])</f>
        <v>НД</v>
      </c>
      <c r="AI1193" s="511" t="str">
        <f>IF(((1-Таблица5[[#This Row],[30]]/Таблица5[[#This Row],[20]])=1),"НД",(1-Таблица5[[#This Row],[30]]/Таблица5[[#This Row],[20]]))</f>
        <v>НД</v>
      </c>
      <c r="AJ1193" s="111"/>
      <c r="AK1193" s="111"/>
      <c r="AL1193" s="512"/>
      <c r="AM1193" s="513"/>
      <c r="AN1193" s="465"/>
      <c r="AO1193" s="468" t="str">
        <f>РПЗ!AD1332</f>
        <v>Нет</v>
      </c>
      <c r="AP1193" s="472">
        <f>РПЗ!V1332</f>
        <v>0</v>
      </c>
      <c r="AQ1193" s="470">
        <f>IF(Таблица5[[#This Row],[11]]=0,,MONTH(Таблица5[[#This Row],[11]]))</f>
        <v>10</v>
      </c>
    </row>
    <row r="1194" spans="1:43" ht="76.5" x14ac:dyDescent="0.25">
      <c r="A1194" s="233" t="str">
        <f t="shared" si="18"/>
        <v>1004-2017-01179</v>
      </c>
      <c r="B1194" s="959" t="str">
        <f>РПЗ!$D1194</f>
        <v>1004-2017-01179  Поставка Оптические детали</v>
      </c>
      <c r="C1194" s="233" t="str">
        <f>РПЗ!$AA1194</f>
        <v>АО "НИИ "Полюс" им. М.Ф. Стельмаха" тел. отдела закупок 8-495-333-05-02</v>
      </c>
      <c r="D1194" s="633" t="str">
        <f>РПЗ!$AB1194</f>
        <v>Заказчик</v>
      </c>
      <c r="E1194" s="510" t="s">
        <v>62</v>
      </c>
      <c r="F1194" s="233" t="str">
        <f>РПЗ!Q1194</f>
        <v>ЕП</v>
      </c>
      <c r="G1194" s="237" t="str">
        <f>Таблица5[[#This Row],[6]]</f>
        <v>ЕП</v>
      </c>
      <c r="H1194" s="237" t="str">
        <f>РПЗ!R1194</f>
        <v>Нет</v>
      </c>
      <c r="I1194" s="15" t="str">
        <f>РПЗ!W1194</f>
        <v>6.6.2(11)</v>
      </c>
      <c r="J1194" s="233" t="str">
        <f>РПЗ!X1194</f>
        <v>101394957</v>
      </c>
      <c r="K1194" s="283">
        <f>РПЗ!Z1194</f>
        <v>5101858</v>
      </c>
      <c r="L1194" s="17">
        <v>42969</v>
      </c>
      <c r="M1194" s="18">
        <f>РПЗ!O1194</f>
        <v>42948</v>
      </c>
      <c r="N1194" s="238">
        <f>Таблица5[[#This Row],[10]]</f>
        <v>42948</v>
      </c>
      <c r="O1194" s="17"/>
      <c r="P1194" s="17"/>
      <c r="Q1194" s="17"/>
      <c r="R1194" s="17"/>
      <c r="S1194" s="17"/>
      <c r="T1194" s="686">
        <v>42972</v>
      </c>
      <c r="U1194" s="18">
        <f>РПЗ!P1194</f>
        <v>43160</v>
      </c>
      <c r="V1194" s="686">
        <v>43160</v>
      </c>
      <c r="W1194" s="236">
        <f>РПЗ!L1194</f>
        <v>5101858</v>
      </c>
      <c r="X1194" s="689">
        <v>1</v>
      </c>
      <c r="Y1194" s="689">
        <v>0</v>
      </c>
      <c r="Z1194" s="691">
        <v>101394957</v>
      </c>
      <c r="AA1194" s="691" t="s">
        <v>6850</v>
      </c>
      <c r="AB1194" s="111">
        <v>5101858</v>
      </c>
      <c r="AC1194" s="17">
        <v>43160</v>
      </c>
      <c r="AD1194" s="690" t="s">
        <v>6851</v>
      </c>
      <c r="AE1194" s="686">
        <v>42972</v>
      </c>
      <c r="AF1194" s="474"/>
      <c r="AG1194" s="692">
        <v>5101858</v>
      </c>
      <c r="AH1194" s="236">
        <f>IF(Таблица5[[#This Row],[30]]=0,"НД",Таблица5[[#This Row],[20]]-Таблица5[[#This Row],[30]])</f>
        <v>0</v>
      </c>
      <c r="AI1194" s="511">
        <f>IF(((1-Таблица5[[#This Row],[30]]/Таблица5[[#This Row],[20]])=1),"НД",(1-Таблица5[[#This Row],[30]]/Таблица5[[#This Row],[20]]))</f>
        <v>0</v>
      </c>
      <c r="AJ1194" s="111"/>
      <c r="AK1194" s="111"/>
      <c r="AL1194" s="512"/>
      <c r="AM1194" s="513" t="s">
        <v>113</v>
      </c>
      <c r="AN1194" s="801">
        <v>31705453746</v>
      </c>
      <c r="AO1194" s="468" t="str">
        <f>РПЗ!AD1194</f>
        <v>Нет</v>
      </c>
      <c r="AP1194" s="472">
        <f>РПЗ!V1333</f>
        <v>0</v>
      </c>
      <c r="AQ1194" s="470">
        <f>IF(Таблица5[[#This Row],[11]]=0,,MONTH(Таблица5[[#This Row],[11]]))</f>
        <v>8</v>
      </c>
    </row>
    <row r="1195" spans="1:43" ht="38.25" x14ac:dyDescent="0.25">
      <c r="A1195" s="233" t="str">
        <f t="shared" si="18"/>
        <v>1004-2017-01180</v>
      </c>
      <c r="B1195" s="959" t="str">
        <f>РПЗ!$D1195</f>
        <v>1004-2017-01180 Поставка вилки, розетки,уплотнительные пробки</v>
      </c>
      <c r="C1195" s="233" t="str">
        <f>РПЗ!$AA1195</f>
        <v>АО "НИИ "Полюс" им. М.Ф. Стельмаха" тел. отдела закупок 8-495-333-05-02</v>
      </c>
      <c r="D1195" s="633" t="str">
        <f>РПЗ!$AB1195</f>
        <v>Заказчик</v>
      </c>
      <c r="E1195" s="510" t="s">
        <v>62</v>
      </c>
      <c r="F1195" s="233" t="str">
        <f>РПЗ!Q1195</f>
        <v>ЕП</v>
      </c>
      <c r="G1195" s="237" t="str">
        <f>Таблица5[[#This Row],[6]]</f>
        <v>ЕП</v>
      </c>
      <c r="H1195" s="237" t="str">
        <f>РПЗ!R1195</f>
        <v>Нет</v>
      </c>
      <c r="I1195" s="15" t="str">
        <f>РПЗ!W1195</f>
        <v>6.6.2(11)</v>
      </c>
      <c r="J1195" s="233" t="str">
        <f>РПЗ!X1195</f>
        <v>1657032272</v>
      </c>
      <c r="K1195" s="283">
        <f>РПЗ!Z1195</f>
        <v>200757.53</v>
      </c>
      <c r="L1195" s="17">
        <v>42934</v>
      </c>
      <c r="M1195" s="18">
        <f>РПЗ!O1195</f>
        <v>42948</v>
      </c>
      <c r="N1195" s="238">
        <f>Таблица5[[#This Row],[10]]</f>
        <v>42948</v>
      </c>
      <c r="O1195" s="17"/>
      <c r="P1195" s="17"/>
      <c r="Q1195" s="17"/>
      <c r="R1195" s="17"/>
      <c r="S1195" s="17"/>
      <c r="T1195" s="686">
        <v>42964</v>
      </c>
      <c r="U1195" s="18">
        <f>РПЗ!P1195</f>
        <v>42979</v>
      </c>
      <c r="V1195" s="686">
        <v>43070</v>
      </c>
      <c r="W1195" s="236">
        <f>РПЗ!L1195</f>
        <v>200757.53</v>
      </c>
      <c r="X1195" s="689">
        <v>1</v>
      </c>
      <c r="Y1195" s="689">
        <v>0</v>
      </c>
      <c r="Z1195" s="691">
        <v>1657032272</v>
      </c>
      <c r="AA1195" s="691" t="s">
        <v>3299</v>
      </c>
      <c r="AB1195" s="111">
        <v>200757.53</v>
      </c>
      <c r="AC1195" s="17">
        <v>43070</v>
      </c>
      <c r="AD1195" s="690" t="s">
        <v>6411</v>
      </c>
      <c r="AE1195" s="686">
        <v>42964</v>
      </c>
      <c r="AF1195" s="474"/>
      <c r="AG1195" s="692">
        <v>200757.53</v>
      </c>
      <c r="AH1195" s="236">
        <f>IF(Таблица5[[#This Row],[30]]=0,"НД",Таблица5[[#This Row],[20]]-Таблица5[[#This Row],[30]])</f>
        <v>0</v>
      </c>
      <c r="AI1195" s="511">
        <f>IF(((1-Таблица5[[#This Row],[30]]/Таблица5[[#This Row],[20]])=1),"НД",(1-Таблица5[[#This Row],[30]]/Таблица5[[#This Row],[20]]))</f>
        <v>0</v>
      </c>
      <c r="AJ1195" s="111"/>
      <c r="AK1195" s="111"/>
      <c r="AL1195" s="512"/>
      <c r="AM1195" s="513" t="s">
        <v>113</v>
      </c>
      <c r="AN1195" s="801">
        <v>31705411862</v>
      </c>
      <c r="AO1195" s="468" t="str">
        <f>РПЗ!AD1195</f>
        <v>Нет</v>
      </c>
      <c r="AP1195" s="472" t="str">
        <f>РПЗ!V1195</f>
        <v>ГОЗ</v>
      </c>
      <c r="AQ1195" s="470">
        <f>IF(Таблица5[[#This Row],[11]]=0,,MONTH(Таблица5[[#This Row],[11]]))</f>
        <v>8</v>
      </c>
    </row>
    <row r="1196" spans="1:43" ht="39" thickBot="1" x14ac:dyDescent="0.3">
      <c r="A1196" s="233" t="str">
        <f t="shared" si="18"/>
        <v>1004-2017-01181</v>
      </c>
      <c r="B1196" s="959" t="str">
        <f>РПЗ!$D1196</f>
        <v>1004-2017-01181 Поставка вилки, розетки</v>
      </c>
      <c r="C1196" s="233" t="str">
        <f>РПЗ!$AA1196</f>
        <v>АО "НИИ "Полюс" им. М.Ф. Стельмаха" тел. отдела закупок 8-495-333-05-02</v>
      </c>
      <c r="D1196" s="633" t="str">
        <f>РПЗ!$AB1196</f>
        <v>Заказчик</v>
      </c>
      <c r="E1196" s="510" t="s">
        <v>62</v>
      </c>
      <c r="F1196" s="233" t="str">
        <f>РПЗ!Q1196</f>
        <v>ЕП</v>
      </c>
      <c r="G1196" s="237" t="str">
        <f>Таблица5[[#This Row],[6]]</f>
        <v>ЕП</v>
      </c>
      <c r="H1196" s="237" t="str">
        <f>РПЗ!R1196</f>
        <v>Нет</v>
      </c>
      <c r="I1196" s="15" t="str">
        <f>РПЗ!W1196</f>
        <v>6.6.2(11)</v>
      </c>
      <c r="J1196" s="233" t="str">
        <f>РПЗ!X1196</f>
        <v>1657032272</v>
      </c>
      <c r="K1196" s="283">
        <f>РПЗ!Z1196</f>
        <v>352443.96</v>
      </c>
      <c r="L1196" s="17">
        <v>42942</v>
      </c>
      <c r="M1196" s="18">
        <f>РПЗ!O1196</f>
        <v>42948</v>
      </c>
      <c r="N1196" s="238">
        <f>Таблица5[[#This Row],[10]]</f>
        <v>42948</v>
      </c>
      <c r="O1196" s="17"/>
      <c r="P1196" s="17"/>
      <c r="Q1196" s="17"/>
      <c r="R1196" s="17"/>
      <c r="S1196" s="17"/>
      <c r="T1196" s="686">
        <v>42977</v>
      </c>
      <c r="U1196" s="18">
        <f>РПЗ!P1196</f>
        <v>42979</v>
      </c>
      <c r="V1196" s="686">
        <v>43070</v>
      </c>
      <c r="W1196" s="236">
        <f>РПЗ!L1196</f>
        <v>352443.96</v>
      </c>
      <c r="X1196" s="689">
        <v>1</v>
      </c>
      <c r="Y1196" s="689">
        <v>0</v>
      </c>
      <c r="Z1196" s="691">
        <v>1657032272</v>
      </c>
      <c r="AA1196" s="691" t="s">
        <v>3299</v>
      </c>
      <c r="AB1196" s="111">
        <v>352443.96</v>
      </c>
      <c r="AC1196" s="17">
        <v>43070</v>
      </c>
      <c r="AD1196" s="690" t="s">
        <v>6842</v>
      </c>
      <c r="AE1196" s="686">
        <v>42977</v>
      </c>
      <c r="AF1196" s="474"/>
      <c r="AG1196" s="692">
        <v>352443.96</v>
      </c>
      <c r="AH1196" s="236">
        <f>IF(Таблица5[[#This Row],[30]]=0,"НД",Таблица5[[#This Row],[20]]-Таблица5[[#This Row],[30]])</f>
        <v>0</v>
      </c>
      <c r="AI1196" s="511">
        <f>IF(((1-Таблица5[[#This Row],[30]]/Таблица5[[#This Row],[20]])=1),"НД",(1-Таблица5[[#This Row],[30]]/Таблица5[[#This Row],[20]]))</f>
        <v>0</v>
      </c>
      <c r="AJ1196" s="111"/>
      <c r="AK1196" s="111"/>
      <c r="AL1196" s="512"/>
      <c r="AM1196" s="513" t="s">
        <v>113</v>
      </c>
      <c r="AN1196" s="801">
        <v>31705443357</v>
      </c>
      <c r="AO1196" s="468" t="str">
        <f>РПЗ!AD1335</f>
        <v>Нет</v>
      </c>
      <c r="AP1196" s="472">
        <f>РПЗ!V1335</f>
        <v>0</v>
      </c>
      <c r="AQ1196" s="470">
        <f>IF(Таблица5[[#This Row],[11]]=0,,MONTH(Таблица5[[#This Row],[11]]))</f>
        <v>8</v>
      </c>
    </row>
    <row r="1197" spans="1:43" ht="38.25" x14ac:dyDescent="0.25">
      <c r="A1197" s="233" t="str">
        <f t="shared" si="18"/>
        <v>1004-2017-01182</v>
      </c>
      <c r="B1197" s="959" t="str">
        <f>РПЗ!$D1197</f>
        <v>1004-2017-01182 Поставка амортизаторы АПН</v>
      </c>
      <c r="C1197" s="233" t="str">
        <f>РПЗ!$AA1197</f>
        <v>АО "НИИ "Полюс" им. М.Ф. Стельмаха" тел. отдела закупок 8-495-333-05-02</v>
      </c>
      <c r="D1197" s="633" t="str">
        <f>РПЗ!$AB1197</f>
        <v>Заказчик</v>
      </c>
      <c r="E1197" s="96" t="s">
        <v>46</v>
      </c>
      <c r="F1197" s="233" t="str">
        <f>РПЗ!Q1197</f>
        <v>ЕП</v>
      </c>
      <c r="G1197" s="237"/>
      <c r="H1197" s="237" t="str">
        <f>РПЗ!R1197</f>
        <v>Нет</v>
      </c>
      <c r="I1197" s="15">
        <f>РПЗ!W1197</f>
        <v>0</v>
      </c>
      <c r="J1197" s="233">
        <f>РПЗ!X1197</f>
        <v>0</v>
      </c>
      <c r="K1197" s="283">
        <f>РПЗ!Z1197</f>
        <v>0</v>
      </c>
      <c r="L1197" s="17"/>
      <c r="M1197" s="18">
        <f>РПЗ!O1336</f>
        <v>43040.625</v>
      </c>
      <c r="N1197" s="238">
        <f>Таблица5[[#This Row],[10]]</f>
        <v>43040.625</v>
      </c>
      <c r="O1197" s="17"/>
      <c r="P1197" s="17"/>
      <c r="Q1197" s="17"/>
      <c r="R1197" s="17"/>
      <c r="S1197" s="17"/>
      <c r="T1197" s="686"/>
      <c r="U1197" s="18">
        <f>РПЗ!P1336</f>
        <v>43070.625</v>
      </c>
      <c r="V1197" s="686"/>
      <c r="W1197" s="236">
        <f>РПЗ!L1336</f>
        <v>929250</v>
      </c>
      <c r="X1197" s="689"/>
      <c r="Y1197" s="689"/>
      <c r="Z1197" s="690"/>
      <c r="AA1197" s="691"/>
      <c r="AB1197" s="111"/>
      <c r="AC1197" s="17"/>
      <c r="AD1197" s="690"/>
      <c r="AE1197" s="686"/>
      <c r="AF1197" s="474"/>
      <c r="AG1197" s="692"/>
      <c r="AH1197" s="236" t="str">
        <f>IF(Таблица5[[#This Row],[30]]=0,"НД",Таблица5[[#This Row],[20]]-Таблица5[[#This Row],[30]])</f>
        <v>НД</v>
      </c>
      <c r="AI1197" s="511" t="str">
        <f>IF(((1-Таблица5[[#This Row],[30]]/Таблица5[[#This Row],[20]])=1),"НД",(1-Таблица5[[#This Row],[30]]/Таблица5[[#This Row],[20]]))</f>
        <v>НД</v>
      </c>
      <c r="AJ1197" s="111"/>
      <c r="AK1197" s="111"/>
      <c r="AL1197" s="512"/>
      <c r="AM1197" s="513"/>
      <c r="AN1197" s="465"/>
      <c r="AO1197" s="468" t="str">
        <f>РПЗ!AD1336</f>
        <v>Нет</v>
      </c>
      <c r="AP1197" s="472" t="str">
        <f>РПЗ!V1336</f>
        <v>ГОЗ</v>
      </c>
      <c r="AQ1197" s="470">
        <f>IF(Таблица5[[#This Row],[11]]=0,,MONTH(Таблица5[[#This Row],[11]]))</f>
        <v>11</v>
      </c>
    </row>
    <row r="1198" spans="1:43" ht="64.5" thickBot="1" x14ac:dyDescent="0.3">
      <c r="A1198" s="233" t="str">
        <f t="shared" si="18"/>
        <v>1004-2017-01183</v>
      </c>
      <c r="B1198" s="959" t="str">
        <f>РПЗ!$D1198</f>
        <v>1004-2017-01183Поставка  модули питания  МДМ8-2Е0512ВП</v>
      </c>
      <c r="C1198" s="233" t="str">
        <f>РПЗ!$AA1198</f>
        <v>АО "НИИ "Полюс" им. М.Ф. Стельмаха" тел. отдела закупок 8-495-333-05-02</v>
      </c>
      <c r="D1198" s="633" t="str">
        <f>РПЗ!$AB1198</f>
        <v>Заказчик</v>
      </c>
      <c r="E1198" s="510" t="s">
        <v>62</v>
      </c>
      <c r="F1198" s="233" t="str">
        <f>РПЗ!Q1198</f>
        <v>ЕП</v>
      </c>
      <c r="G1198" s="237" t="str">
        <f>Таблица5[[#This Row],[6]]</f>
        <v>ЕП</v>
      </c>
      <c r="H1198" s="237" t="str">
        <f>РПЗ!R1198</f>
        <v>Нет</v>
      </c>
      <c r="I1198" s="15" t="str">
        <f>РПЗ!W1198</f>
        <v>6.6.2(10)</v>
      </c>
      <c r="J1198" s="233" t="str">
        <f>РПЗ!X1198</f>
        <v>7702231308</v>
      </c>
      <c r="K1198" s="283">
        <f>РПЗ!Z1198</f>
        <v>310277.81</v>
      </c>
      <c r="L1198" s="17">
        <v>42947</v>
      </c>
      <c r="M1198" s="18">
        <f>РПЗ!O1198</f>
        <v>42949</v>
      </c>
      <c r="N1198" s="238">
        <f>Таблица5[[#This Row],[10]]</f>
        <v>42949</v>
      </c>
      <c r="O1198" s="17"/>
      <c r="P1198" s="17"/>
      <c r="Q1198" s="17"/>
      <c r="R1198" s="17"/>
      <c r="S1198" s="17"/>
      <c r="T1198" s="686">
        <v>42982</v>
      </c>
      <c r="U1198" s="18">
        <f>РПЗ!P1198</f>
        <v>42979</v>
      </c>
      <c r="V1198" s="686">
        <v>43070</v>
      </c>
      <c r="W1198" s="236">
        <f>РПЗ!L1198</f>
        <v>310277.81</v>
      </c>
      <c r="X1198" s="689">
        <v>1</v>
      </c>
      <c r="Y1198" s="689">
        <v>0</v>
      </c>
      <c r="Z1198" s="691">
        <v>7702231308</v>
      </c>
      <c r="AA1198" s="691" t="s">
        <v>3331</v>
      </c>
      <c r="AB1198" s="111">
        <v>310277.81</v>
      </c>
      <c r="AC1198" s="17">
        <v>43070</v>
      </c>
      <c r="AD1198" s="690" t="s">
        <v>6834</v>
      </c>
      <c r="AE1198" s="686">
        <v>42982</v>
      </c>
      <c r="AF1198" s="474"/>
      <c r="AG1198" s="692">
        <v>310277.81</v>
      </c>
      <c r="AH1198" s="236">
        <f>IF(Таблица5[[#This Row],[30]]=0,"НД",Таблица5[[#This Row],[20]]-Таблица5[[#This Row],[30]])</f>
        <v>0</v>
      </c>
      <c r="AI1198" s="511">
        <f>IF(((1-Таблица5[[#This Row],[30]]/Таблица5[[#This Row],[20]])=1),"НД",(1-Таблица5[[#This Row],[30]]/Таблица5[[#This Row],[20]]))</f>
        <v>0</v>
      </c>
      <c r="AJ1198" s="111"/>
      <c r="AK1198" s="111"/>
      <c r="AL1198" s="512"/>
      <c r="AM1198" s="513" t="s">
        <v>113</v>
      </c>
      <c r="AN1198" s="801">
        <v>31705387429</v>
      </c>
      <c r="AO1198" s="468" t="str">
        <f>РПЗ!AD1198</f>
        <v>Нет</v>
      </c>
      <c r="AP1198" s="472">
        <f>РПЗ!V1337</f>
        <v>0</v>
      </c>
      <c r="AQ1198" s="470">
        <f>IF(Таблица5[[#This Row],[11]]=0,,MONTH(Таблица5[[#This Row],[11]]))</f>
        <v>8</v>
      </c>
    </row>
    <row r="1199" spans="1:43" ht="39" thickBot="1" x14ac:dyDescent="0.3">
      <c r="A1199" s="233" t="str">
        <f t="shared" si="18"/>
        <v>1004-2017-01184</v>
      </c>
      <c r="B1199" s="959" t="str">
        <f>РПЗ!$D1199</f>
        <v>1004-2017-01184Поставка  микросхемы</v>
      </c>
      <c r="C1199" s="233" t="str">
        <f>РПЗ!$AA1199</f>
        <v>АО "НИИ "Полюс" им. М.Ф. Стельмаха" тел. отдела закупок 8-495-333-05-02</v>
      </c>
      <c r="D1199" s="633" t="str">
        <f>РПЗ!$AB1199</f>
        <v>Заказчик</v>
      </c>
      <c r="E1199" s="96" t="s">
        <v>46</v>
      </c>
      <c r="F1199" s="233" t="str">
        <f>РПЗ!Q1199</f>
        <v>ЕП</v>
      </c>
      <c r="G1199" s="237"/>
      <c r="H1199" s="237" t="str">
        <f>РПЗ!R1199</f>
        <v>Нет</v>
      </c>
      <c r="I1199" s="15">
        <f>РПЗ!W1199</f>
        <v>0</v>
      </c>
      <c r="J1199" s="233">
        <f>РПЗ!X1199</f>
        <v>0</v>
      </c>
      <c r="K1199" s="283">
        <f>РПЗ!Z1199</f>
        <v>0</v>
      </c>
      <c r="L1199" s="17"/>
      <c r="M1199" s="18">
        <f>РПЗ!O1338</f>
        <v>43009.625</v>
      </c>
      <c r="N1199" s="238">
        <f>Таблица5[[#This Row],[10]]</f>
        <v>43009.625</v>
      </c>
      <c r="O1199" s="17"/>
      <c r="P1199" s="17"/>
      <c r="Q1199" s="17"/>
      <c r="R1199" s="17"/>
      <c r="S1199" s="17"/>
      <c r="T1199" s="686"/>
      <c r="U1199" s="18">
        <f>РПЗ!P1338</f>
        <v>43070.625</v>
      </c>
      <c r="V1199" s="686"/>
      <c r="W1199" s="236">
        <f>РПЗ!L1338</f>
        <v>302670</v>
      </c>
      <c r="X1199" s="689"/>
      <c r="Y1199" s="689"/>
      <c r="Z1199" s="690"/>
      <c r="AA1199" s="691"/>
      <c r="AB1199" s="111"/>
      <c r="AC1199" s="17"/>
      <c r="AD1199" s="690"/>
      <c r="AE1199" s="686"/>
      <c r="AF1199" s="474"/>
      <c r="AG1199" s="692"/>
      <c r="AH1199" s="236" t="str">
        <f>IF(Таблица5[[#This Row],[30]]=0,"НД",Таблица5[[#This Row],[20]]-Таблица5[[#This Row],[30]])</f>
        <v>НД</v>
      </c>
      <c r="AI1199" s="511" t="str">
        <f>IF(((1-Таблица5[[#This Row],[30]]/Таблица5[[#This Row],[20]])=1),"НД",(1-Таблица5[[#This Row],[30]]/Таблица5[[#This Row],[20]]))</f>
        <v>НД</v>
      </c>
      <c r="AJ1199" s="111"/>
      <c r="AK1199" s="111"/>
      <c r="AL1199" s="512"/>
      <c r="AM1199" s="513"/>
      <c r="AN1199" s="465"/>
      <c r="AO1199" s="468" t="str">
        <f>РПЗ!AD1338</f>
        <v>Нет</v>
      </c>
      <c r="AP1199" s="472">
        <f>РПЗ!V1338</f>
        <v>0</v>
      </c>
      <c r="AQ1199" s="470">
        <f>IF(Таблица5[[#This Row],[11]]=0,,MONTH(Таблица5[[#This Row],[11]]))</f>
        <v>10</v>
      </c>
    </row>
    <row r="1200" spans="1:43" ht="39" thickBot="1" x14ac:dyDescent="0.3">
      <c r="A1200" s="233" t="str">
        <f t="shared" si="18"/>
        <v>1004-2017-01185</v>
      </c>
      <c r="B1200" s="959" t="str">
        <f>РПЗ!$D1200</f>
        <v>1004-2017-01185 Поставка диодная сборка с прижимом</v>
      </c>
      <c r="C1200" s="233" t="str">
        <f>РПЗ!$AA1200</f>
        <v>АО "НИИ "Полюс" им. М.Ф. Стельмаха" тел. отдела закупок 8-495-333-05-02</v>
      </c>
      <c r="D1200" s="633" t="str">
        <f>РПЗ!$AB1200</f>
        <v>Заказчик</v>
      </c>
      <c r="E1200" s="96" t="s">
        <v>46</v>
      </c>
      <c r="F1200" s="233" t="str">
        <f>РПЗ!Q1200</f>
        <v>ЕП</v>
      </c>
      <c r="G1200" s="237"/>
      <c r="H1200" s="237" t="str">
        <f>РПЗ!R1200</f>
        <v>Нет</v>
      </c>
      <c r="I1200" s="15">
        <f>РПЗ!W1200</f>
        <v>0</v>
      </c>
      <c r="J1200" s="233">
        <f>РПЗ!X1200</f>
        <v>0</v>
      </c>
      <c r="K1200" s="283">
        <f>РПЗ!Z1200</f>
        <v>0</v>
      </c>
      <c r="L1200" s="17"/>
      <c r="M1200" s="18">
        <f>РПЗ!O1339</f>
        <v>43009.625</v>
      </c>
      <c r="N1200" s="238">
        <f>Таблица5[[#This Row],[10]]</f>
        <v>43009.625</v>
      </c>
      <c r="O1200" s="17"/>
      <c r="P1200" s="17"/>
      <c r="Q1200" s="17"/>
      <c r="R1200" s="17"/>
      <c r="S1200" s="17"/>
      <c r="T1200" s="686"/>
      <c r="U1200" s="18">
        <f>РПЗ!P1339</f>
        <v>43070.625</v>
      </c>
      <c r="V1200" s="686"/>
      <c r="W1200" s="236">
        <f>РПЗ!L1339</f>
        <v>157388.4</v>
      </c>
      <c r="X1200" s="689"/>
      <c r="Y1200" s="689"/>
      <c r="Z1200" s="690"/>
      <c r="AA1200" s="691"/>
      <c r="AB1200" s="111"/>
      <c r="AC1200" s="17"/>
      <c r="AD1200" s="690"/>
      <c r="AE1200" s="686"/>
      <c r="AF1200" s="474"/>
      <c r="AG1200" s="692"/>
      <c r="AH1200" s="236" t="str">
        <f>IF(Таблица5[[#This Row],[30]]=0,"НД",Таблица5[[#This Row],[20]]-Таблица5[[#This Row],[30]])</f>
        <v>НД</v>
      </c>
      <c r="AI1200" s="511" t="str">
        <f>IF(((1-Таблица5[[#This Row],[30]]/Таблица5[[#This Row],[20]])=1),"НД",(1-Таблица5[[#This Row],[30]]/Таблица5[[#This Row],[20]]))</f>
        <v>НД</v>
      </c>
      <c r="AJ1200" s="111"/>
      <c r="AK1200" s="111"/>
      <c r="AL1200" s="512"/>
      <c r="AM1200" s="513"/>
      <c r="AN1200" s="465"/>
      <c r="AO1200" s="468" t="str">
        <f>РПЗ!AD1339</f>
        <v>Нет</v>
      </c>
      <c r="AP1200" s="472">
        <f>РПЗ!V1339</f>
        <v>0</v>
      </c>
      <c r="AQ1200" s="470">
        <f>IF(Таблица5[[#This Row],[11]]=0,,MONTH(Таблица5[[#This Row],[11]]))</f>
        <v>10</v>
      </c>
    </row>
    <row r="1201" spans="1:43" ht="39" thickBot="1" x14ac:dyDescent="0.3">
      <c r="A1201" s="233" t="str">
        <f t="shared" si="18"/>
        <v>1004-2017-01186</v>
      </c>
      <c r="B1201" s="959" t="str">
        <f>РПЗ!$D1201</f>
        <v>1004-2017-01186 Поставка транзисторы</v>
      </c>
      <c r="C1201" s="233" t="str">
        <f>РПЗ!$AA1201</f>
        <v>АО "НИИ "Полюс" им. М.Ф. Стельмаха" тел. отдела закупок 8-495-333-05-02</v>
      </c>
      <c r="D1201" s="633" t="str">
        <f>РПЗ!$AB1201</f>
        <v>Заказчик</v>
      </c>
      <c r="E1201" s="96" t="s">
        <v>46</v>
      </c>
      <c r="F1201" s="233" t="str">
        <f>РПЗ!Q1201</f>
        <v>ЕП</v>
      </c>
      <c r="G1201" s="237"/>
      <c r="H1201" s="237" t="str">
        <f>РПЗ!R1201</f>
        <v>Нет</v>
      </c>
      <c r="I1201" s="15">
        <f>РПЗ!W1201</f>
        <v>0</v>
      </c>
      <c r="J1201" s="233">
        <f>РПЗ!X1201</f>
        <v>0</v>
      </c>
      <c r="K1201" s="283">
        <f>РПЗ!Z1201</f>
        <v>0</v>
      </c>
      <c r="L1201" s="17"/>
      <c r="M1201" s="18">
        <f>РПЗ!O1340</f>
        <v>43009.625</v>
      </c>
      <c r="N1201" s="238">
        <f>Таблица5[[#This Row],[10]]</f>
        <v>43009.625</v>
      </c>
      <c r="O1201" s="17"/>
      <c r="P1201" s="17"/>
      <c r="Q1201" s="17"/>
      <c r="R1201" s="17"/>
      <c r="S1201" s="17"/>
      <c r="T1201" s="686"/>
      <c r="U1201" s="18">
        <f>РПЗ!P1340</f>
        <v>43070.625</v>
      </c>
      <c r="V1201" s="686"/>
      <c r="W1201" s="236">
        <f>РПЗ!L1340</f>
        <v>115014.6</v>
      </c>
      <c r="X1201" s="689"/>
      <c r="Y1201" s="689"/>
      <c r="Z1201" s="690"/>
      <c r="AA1201" s="691"/>
      <c r="AB1201" s="111"/>
      <c r="AC1201" s="17"/>
      <c r="AD1201" s="690"/>
      <c r="AE1201" s="686"/>
      <c r="AF1201" s="474"/>
      <c r="AG1201" s="692"/>
      <c r="AH1201" s="236" t="str">
        <f>IF(Таблица5[[#This Row],[30]]=0,"НД",Таблица5[[#This Row],[20]]-Таблица5[[#This Row],[30]])</f>
        <v>НД</v>
      </c>
      <c r="AI1201" s="511" t="str">
        <f>IF(((1-Таблица5[[#This Row],[30]]/Таблица5[[#This Row],[20]])=1),"НД",(1-Таблица5[[#This Row],[30]]/Таблица5[[#This Row],[20]]))</f>
        <v>НД</v>
      </c>
      <c r="AJ1201" s="111"/>
      <c r="AK1201" s="111"/>
      <c r="AL1201" s="512"/>
      <c r="AM1201" s="513"/>
      <c r="AN1201" s="465"/>
      <c r="AO1201" s="468" t="str">
        <f>РПЗ!AD1340</f>
        <v>Нет</v>
      </c>
      <c r="AP1201" s="472">
        <f>РПЗ!V1340</f>
        <v>0</v>
      </c>
      <c r="AQ1201" s="470">
        <f>IF(Таблица5[[#This Row],[11]]=0,,MONTH(Таблица5[[#This Row],[11]]))</f>
        <v>10</v>
      </c>
    </row>
    <row r="1202" spans="1:43" ht="38.25" x14ac:dyDescent="0.25">
      <c r="A1202" s="233" t="str">
        <f t="shared" si="18"/>
        <v>1004-2017-01187</v>
      </c>
      <c r="B1202" s="959" t="str">
        <f>РПЗ!$D1202</f>
        <v>1004-2017-01187Поставка  Кварцевые генераторы</v>
      </c>
      <c r="C1202" s="233" t="str">
        <f>РПЗ!$AA1202</f>
        <v>АО "НИИ "Полюс" им. М.Ф. Стельмаха" тел. отдела закупок 8-495-333-05-02</v>
      </c>
      <c r="D1202" s="633" t="str">
        <f>РПЗ!$AB1202</f>
        <v>Заказчик</v>
      </c>
      <c r="E1202" s="96" t="s">
        <v>46</v>
      </c>
      <c r="F1202" s="233" t="str">
        <f>РПЗ!Q1202</f>
        <v>ЕП</v>
      </c>
      <c r="G1202" s="237"/>
      <c r="H1202" s="237" t="str">
        <f>РПЗ!R1202</f>
        <v>Нет</v>
      </c>
      <c r="I1202" s="15">
        <f>РПЗ!W1202</f>
        <v>0</v>
      </c>
      <c r="J1202" s="233">
        <f>РПЗ!X1202</f>
        <v>0</v>
      </c>
      <c r="K1202" s="283">
        <f>РПЗ!Z1202</f>
        <v>0</v>
      </c>
      <c r="L1202" s="17"/>
      <c r="M1202" s="18">
        <f>РПЗ!O1341</f>
        <v>43009.625</v>
      </c>
      <c r="N1202" s="238">
        <f>Таблица5[[#This Row],[10]]</f>
        <v>43009.625</v>
      </c>
      <c r="O1202" s="17"/>
      <c r="P1202" s="17"/>
      <c r="Q1202" s="17"/>
      <c r="R1202" s="17"/>
      <c r="S1202" s="17"/>
      <c r="T1202" s="686"/>
      <c r="U1202" s="18">
        <f>РПЗ!P1341</f>
        <v>43070.625</v>
      </c>
      <c r="V1202" s="686"/>
      <c r="W1202" s="236">
        <f>РПЗ!L1341</f>
        <v>2612520</v>
      </c>
      <c r="X1202" s="689"/>
      <c r="Y1202" s="689"/>
      <c r="Z1202" s="690"/>
      <c r="AA1202" s="691"/>
      <c r="AB1202" s="111"/>
      <c r="AC1202" s="17"/>
      <c r="AD1202" s="690"/>
      <c r="AE1202" s="686"/>
      <c r="AF1202" s="474"/>
      <c r="AG1202" s="692"/>
      <c r="AH1202" s="236" t="str">
        <f>IF(Таблица5[[#This Row],[30]]=0,"НД",Таблица5[[#This Row],[20]]-Таблица5[[#This Row],[30]])</f>
        <v>НД</v>
      </c>
      <c r="AI1202" s="511" t="str">
        <f>IF(((1-Таблица5[[#This Row],[30]]/Таблица5[[#This Row],[20]])=1),"НД",(1-Таблица5[[#This Row],[30]]/Таблица5[[#This Row],[20]]))</f>
        <v>НД</v>
      </c>
      <c r="AJ1202" s="111"/>
      <c r="AK1202" s="111"/>
      <c r="AL1202" s="512"/>
      <c r="AM1202" s="513"/>
      <c r="AN1202" s="465"/>
      <c r="AO1202" s="468" t="str">
        <f>РПЗ!AD1341</f>
        <v>Нет</v>
      </c>
      <c r="AP1202" s="472">
        <f>РПЗ!V1341</f>
        <v>0</v>
      </c>
      <c r="AQ1202" s="470">
        <f>IF(Таблица5[[#This Row],[11]]=0,,MONTH(Таблица5[[#This Row],[11]]))</f>
        <v>10</v>
      </c>
    </row>
    <row r="1203" spans="1:43" ht="39" thickBot="1" x14ac:dyDescent="0.3">
      <c r="A1203" s="233" t="str">
        <f t="shared" si="18"/>
        <v>1004-2017-01188</v>
      </c>
      <c r="B1203" s="959" t="str">
        <f>РПЗ!$D1203</f>
        <v>1004-2017-01188 Поставка конденсаторы</v>
      </c>
      <c r="C1203" s="233" t="str">
        <f>РПЗ!$AA1203</f>
        <v>АО "НИИ "Полюс" им. М.Ф. Стельмаха" тел. отдела закупок 8-495-333-05-02</v>
      </c>
      <c r="D1203" s="633" t="str">
        <f>РПЗ!$AB1203</f>
        <v>Заказчик</v>
      </c>
      <c r="E1203" s="510" t="s">
        <v>62</v>
      </c>
      <c r="F1203" s="233" t="str">
        <f>РПЗ!Q1203</f>
        <v>ЕП</v>
      </c>
      <c r="G1203" s="237" t="str">
        <f>Таблица5[[#This Row],[6]]</f>
        <v>ЕП</v>
      </c>
      <c r="H1203" s="237" t="str">
        <f>РПЗ!R1203</f>
        <v>Нет</v>
      </c>
      <c r="I1203" s="15" t="str">
        <f>РПЗ!W1203</f>
        <v>6.6.2(10)</v>
      </c>
      <c r="J1203" s="233" t="str">
        <f>РПЗ!X1203</f>
        <v>1827003592</v>
      </c>
      <c r="K1203" s="283">
        <f>РПЗ!Z1203</f>
        <v>523652.03</v>
      </c>
      <c r="L1203" s="17">
        <v>42968</v>
      </c>
      <c r="M1203" s="18">
        <f>РПЗ!O1203</f>
        <v>42952</v>
      </c>
      <c r="N1203" s="238">
        <f>Таблица5[[#This Row],[10]]</f>
        <v>42952</v>
      </c>
      <c r="O1203" s="17"/>
      <c r="P1203" s="17"/>
      <c r="Q1203" s="17"/>
      <c r="R1203" s="17"/>
      <c r="S1203" s="17"/>
      <c r="T1203" s="686">
        <v>43005</v>
      </c>
      <c r="U1203" s="18">
        <f>РПЗ!P1203</f>
        <v>42981</v>
      </c>
      <c r="V1203" s="686">
        <v>43070</v>
      </c>
      <c r="W1203" s="236">
        <f>РПЗ!L1203</f>
        <v>523652.03</v>
      </c>
      <c r="X1203" s="689">
        <v>1</v>
      </c>
      <c r="Y1203" s="689">
        <v>0</v>
      </c>
      <c r="Z1203" s="691">
        <v>1827003592</v>
      </c>
      <c r="AA1203" s="691" t="s">
        <v>3078</v>
      </c>
      <c r="AB1203" s="111">
        <v>523652.03</v>
      </c>
      <c r="AC1203" s="17">
        <v>43070</v>
      </c>
      <c r="AD1203" s="690" t="s">
        <v>6083</v>
      </c>
      <c r="AE1203" s="686">
        <v>43005</v>
      </c>
      <c r="AF1203" s="474"/>
      <c r="AG1203" s="692">
        <v>523652.03</v>
      </c>
      <c r="AH1203" s="236">
        <f>IF(Таблица5[[#This Row],[30]]=0,"НД",Таблица5[[#This Row],[20]]-Таблица5[[#This Row],[30]])</f>
        <v>0</v>
      </c>
      <c r="AI1203" s="511">
        <f>IF(((1-Таблица5[[#This Row],[30]]/Таблица5[[#This Row],[20]])=1),"НД",(1-Таблица5[[#This Row],[30]]/Таблица5[[#This Row],[20]]))</f>
        <v>0</v>
      </c>
      <c r="AJ1203" s="111"/>
      <c r="AK1203" s="111"/>
      <c r="AL1203" s="512"/>
      <c r="AM1203" s="513" t="s">
        <v>113</v>
      </c>
      <c r="AN1203" s="801">
        <v>31705456946</v>
      </c>
      <c r="AO1203" s="468" t="str">
        <f>РПЗ!AD1342</f>
        <v>Нет</v>
      </c>
      <c r="AP1203" s="472">
        <f>РПЗ!V1342</f>
        <v>0</v>
      </c>
      <c r="AQ1203" s="470">
        <f>IF(Таблица5[[#This Row],[11]]=0,,MONTH(Таблица5[[#This Row],[11]]))</f>
        <v>8</v>
      </c>
    </row>
    <row r="1204" spans="1:43" ht="38.25" x14ac:dyDescent="0.25">
      <c r="A1204" s="233" t="str">
        <f t="shared" ref="A1204:A1267" si="19">INDEX(Диапазон1,ROW(), COLUMN())</f>
        <v>1004-2017-01189</v>
      </c>
      <c r="B1204" s="959" t="str">
        <f>РПЗ!$D1204</f>
        <v>1004-2017-01189 Поставка электродвигатели</v>
      </c>
      <c r="C1204" s="233" t="str">
        <f>РПЗ!$AA1204</f>
        <v>АО "НИИ "Полюс" им. М.Ф. Стельмаха" тел. отдела закупок 8-495-333-05-02</v>
      </c>
      <c r="D1204" s="633" t="str">
        <f>РПЗ!$AB1204</f>
        <v>Заказчик</v>
      </c>
      <c r="E1204" s="96" t="s">
        <v>46</v>
      </c>
      <c r="F1204" s="233" t="str">
        <f>РПЗ!Q1204</f>
        <v>ЕП</v>
      </c>
      <c r="G1204" s="237"/>
      <c r="H1204" s="237" t="str">
        <f>РПЗ!R1204</f>
        <v>Нет</v>
      </c>
      <c r="I1204" s="15">
        <f>РПЗ!W1204</f>
        <v>0</v>
      </c>
      <c r="J1204" s="233">
        <f>РПЗ!X1204</f>
        <v>0</v>
      </c>
      <c r="K1204" s="283">
        <f>РПЗ!Z1204</f>
        <v>0</v>
      </c>
      <c r="L1204" s="17"/>
      <c r="M1204" s="18">
        <f>РПЗ!O1343</f>
        <v>43009.625</v>
      </c>
      <c r="N1204" s="238">
        <f>Таблица5[[#This Row],[10]]</f>
        <v>43009.625</v>
      </c>
      <c r="O1204" s="17"/>
      <c r="P1204" s="17"/>
      <c r="Q1204" s="17"/>
      <c r="R1204" s="17"/>
      <c r="S1204" s="17"/>
      <c r="T1204" s="686"/>
      <c r="U1204" s="18">
        <f>РПЗ!P1343</f>
        <v>43070.625</v>
      </c>
      <c r="V1204" s="686"/>
      <c r="W1204" s="236">
        <f>РПЗ!L1343</f>
        <v>146591.4</v>
      </c>
      <c r="X1204" s="689"/>
      <c r="Y1204" s="689"/>
      <c r="Z1204" s="690"/>
      <c r="AA1204" s="691"/>
      <c r="AB1204" s="111"/>
      <c r="AC1204" s="17"/>
      <c r="AD1204" s="690"/>
      <c r="AE1204" s="686"/>
      <c r="AF1204" s="474"/>
      <c r="AG1204" s="692"/>
      <c r="AH1204" s="236" t="str">
        <f>IF(Таблица5[[#This Row],[30]]=0,"НД",Таблица5[[#This Row],[20]]-Таблица5[[#This Row],[30]])</f>
        <v>НД</v>
      </c>
      <c r="AI1204" s="511" t="str">
        <f>IF(((1-Таблица5[[#This Row],[30]]/Таблица5[[#This Row],[20]])=1),"НД",(1-Таблица5[[#This Row],[30]]/Таблица5[[#This Row],[20]]))</f>
        <v>НД</v>
      </c>
      <c r="AJ1204" s="111"/>
      <c r="AK1204" s="111"/>
      <c r="AL1204" s="512"/>
      <c r="AM1204" s="513"/>
      <c r="AN1204" s="465"/>
      <c r="AO1204" s="468" t="str">
        <f>РПЗ!AD1343</f>
        <v>Нет</v>
      </c>
      <c r="AP1204" s="472">
        <f>РПЗ!V1343</f>
        <v>0</v>
      </c>
      <c r="AQ1204" s="470">
        <f>IF(Таблица5[[#This Row],[11]]=0,,MONTH(Таблица5[[#This Row],[11]]))</f>
        <v>10</v>
      </c>
    </row>
    <row r="1205" spans="1:43" ht="51.75" thickBot="1" x14ac:dyDescent="0.3">
      <c r="A1205" s="233" t="str">
        <f t="shared" si="19"/>
        <v>1004-2017-01190</v>
      </c>
      <c r="B1205" s="959" t="str">
        <f>РПЗ!$D1205</f>
        <v xml:space="preserve">1004-2017-01190Поставка  Узел генератора-абсорбера высокого давления , Узел конденсатора-испарителя аэродинамический </v>
      </c>
      <c r="C1205" s="233" t="str">
        <f>РПЗ!$AA1205</f>
        <v>АО "НИИ "Полюс" им. М.Ф. Стельмаха" тел. отдела закупок 8-495-333-05-02</v>
      </c>
      <c r="D1205" s="633" t="str">
        <f>РПЗ!$AB1205</f>
        <v>Заказчик</v>
      </c>
      <c r="E1205" s="510" t="s">
        <v>62</v>
      </c>
      <c r="F1205" s="233" t="str">
        <f>РПЗ!Q1205</f>
        <v>ЕП</v>
      </c>
      <c r="G1205" s="237" t="str">
        <f>Таблица5[[#This Row],[6]]</f>
        <v>ЕП</v>
      </c>
      <c r="H1205" s="237" t="str">
        <f>РПЗ!R1205</f>
        <v>Нет</v>
      </c>
      <c r="I1205" s="15" t="str">
        <f>РПЗ!W1205</f>
        <v>6.6.2(11)</v>
      </c>
      <c r="J1205" s="233" t="str">
        <f>РПЗ!X1205</f>
        <v>7704855904</v>
      </c>
      <c r="K1205" s="283">
        <f>РПЗ!Z1205</f>
        <v>602300</v>
      </c>
      <c r="L1205" s="17">
        <v>42941</v>
      </c>
      <c r="M1205" s="18">
        <f>РПЗ!O1205</f>
        <v>42948</v>
      </c>
      <c r="N1205" s="238">
        <f>Таблица5[[#This Row],[10]]</f>
        <v>42948</v>
      </c>
      <c r="O1205" s="17"/>
      <c r="P1205" s="17"/>
      <c r="Q1205" s="17"/>
      <c r="R1205" s="17"/>
      <c r="S1205" s="17"/>
      <c r="T1205" s="686">
        <v>42969</v>
      </c>
      <c r="U1205" s="18">
        <f>РПЗ!P1205</f>
        <v>43009</v>
      </c>
      <c r="V1205" s="686">
        <v>43040</v>
      </c>
      <c r="W1205" s="236">
        <f>РПЗ!L1205</f>
        <v>602300</v>
      </c>
      <c r="X1205" s="689">
        <v>1</v>
      </c>
      <c r="Y1205" s="689">
        <v>0</v>
      </c>
      <c r="Z1205" s="691">
        <v>7704855904</v>
      </c>
      <c r="AA1205" s="691" t="s">
        <v>3044</v>
      </c>
      <c r="AB1205" s="111">
        <v>602300</v>
      </c>
      <c r="AC1205" s="17">
        <v>43040</v>
      </c>
      <c r="AD1205" s="690" t="s">
        <v>6856</v>
      </c>
      <c r="AE1205" s="686">
        <v>42969</v>
      </c>
      <c r="AF1205" s="474"/>
      <c r="AG1205" s="692">
        <v>602300</v>
      </c>
      <c r="AH1205" s="236">
        <f>IF(Таблица5[[#This Row],[30]]=0,"НД",Таблица5[[#This Row],[20]]-Таблица5[[#This Row],[30]])</f>
        <v>0</v>
      </c>
      <c r="AI1205" s="511">
        <f>IF(((1-Таблица5[[#This Row],[30]]/Таблица5[[#This Row],[20]])=1),"НД",(1-Таблица5[[#This Row],[30]]/Таблица5[[#This Row],[20]]))</f>
        <v>0</v>
      </c>
      <c r="AJ1205" s="111">
        <v>602300</v>
      </c>
      <c r="AK1205" s="111"/>
      <c r="AL1205" s="512"/>
      <c r="AM1205" s="513" t="s">
        <v>113</v>
      </c>
      <c r="AN1205" s="801">
        <v>31705429971</v>
      </c>
      <c r="AO1205" s="468" t="str">
        <f>РПЗ!AD1344</f>
        <v>Нет</v>
      </c>
      <c r="AP1205" s="472">
        <f>РПЗ!V1344</f>
        <v>0</v>
      </c>
      <c r="AQ1205" s="470">
        <f>IF(Таблица5[[#This Row],[11]]=0,,MONTH(Таблица5[[#This Row],[11]]))</f>
        <v>8</v>
      </c>
    </row>
    <row r="1206" spans="1:43" ht="63.75" x14ac:dyDescent="0.25">
      <c r="A1206" s="233" t="str">
        <f t="shared" si="19"/>
        <v>1004-2017-01191</v>
      </c>
      <c r="B1206" s="959" t="str">
        <f>РПЗ!$D1206</f>
        <v>1004-2017-01191 Поставка Прецизионный автомат продольного точеная щвейцарского типа с ЧПУ, противошпинделем и функциями сверления и фрезерования</v>
      </c>
      <c r="C1206" s="233" t="str">
        <f>РПЗ!$AA1206</f>
        <v>АО "НИИ "Полюс" им. М.Ф. Стельмаха" тел. отдела закупок 8-495-333-05-02</v>
      </c>
      <c r="D1206" s="633" t="str">
        <f>РПЗ!$AB1206</f>
        <v>Заказчик</v>
      </c>
      <c r="E1206" s="96" t="s">
        <v>46</v>
      </c>
      <c r="F1206" s="233" t="str">
        <f>РПЗ!Q1206</f>
        <v>ОЗК</v>
      </c>
      <c r="G1206" s="237"/>
      <c r="H1206" s="237" t="str">
        <f>РПЗ!R1206</f>
        <v>Да</v>
      </c>
      <c r="I1206" s="15">
        <f>РПЗ!W1206</f>
        <v>0</v>
      </c>
      <c r="J1206" s="233">
        <f>РПЗ!X1206</f>
        <v>0</v>
      </c>
      <c r="K1206" s="283">
        <f>РПЗ!Z1206</f>
        <v>0</v>
      </c>
      <c r="L1206" s="17"/>
      <c r="M1206" s="18">
        <f>РПЗ!O1345</f>
        <v>43009.625</v>
      </c>
      <c r="N1206" s="238">
        <f>Таблица5[[#This Row],[10]]</f>
        <v>43009.625</v>
      </c>
      <c r="O1206" s="17"/>
      <c r="P1206" s="17"/>
      <c r="Q1206" s="17"/>
      <c r="R1206" s="17"/>
      <c r="S1206" s="17"/>
      <c r="T1206" s="686"/>
      <c r="U1206" s="18">
        <f>РПЗ!P1345</f>
        <v>43070.625</v>
      </c>
      <c r="V1206" s="686"/>
      <c r="W1206" s="236">
        <f>РПЗ!L1345</f>
        <v>110306.4</v>
      </c>
      <c r="X1206" s="689"/>
      <c r="Y1206" s="689"/>
      <c r="Z1206" s="690"/>
      <c r="AA1206" s="691"/>
      <c r="AB1206" s="111"/>
      <c r="AC1206" s="17"/>
      <c r="AD1206" s="690"/>
      <c r="AE1206" s="686"/>
      <c r="AF1206" s="474"/>
      <c r="AG1206" s="692"/>
      <c r="AH1206" s="236" t="str">
        <f>IF(Таблица5[[#This Row],[30]]=0,"НД",Таблица5[[#This Row],[20]]-Таблица5[[#This Row],[30]])</f>
        <v>НД</v>
      </c>
      <c r="AI1206" s="511" t="str">
        <f>IF(((1-Таблица5[[#This Row],[30]]/Таблица5[[#This Row],[20]])=1),"НД",(1-Таблица5[[#This Row],[30]]/Таблица5[[#This Row],[20]]))</f>
        <v>НД</v>
      </c>
      <c r="AJ1206" s="111"/>
      <c r="AK1206" s="111"/>
      <c r="AL1206" s="512"/>
      <c r="AM1206" s="513"/>
      <c r="AN1206" s="465"/>
      <c r="AO1206" s="468" t="str">
        <f>РПЗ!AD1345</f>
        <v>Нет</v>
      </c>
      <c r="AP1206" s="472" t="str">
        <f>РПЗ!V1345</f>
        <v>ГОЗ</v>
      </c>
      <c r="AQ1206" s="470">
        <f>IF(Таблица5[[#This Row],[11]]=0,,MONTH(Таблица5[[#This Row],[11]]))</f>
        <v>10</v>
      </c>
    </row>
    <row r="1207" spans="1:43" ht="39" thickBot="1" x14ac:dyDescent="0.3">
      <c r="A1207" s="233" t="str">
        <f t="shared" si="19"/>
        <v>1004-2017-01192</v>
      </c>
      <c r="B1207" s="959" t="str">
        <f>РПЗ!$D1207</f>
        <v>1004-2017-01192 Изготовление и поставка комплектов механических деталей для изделия ЛД-294</v>
      </c>
      <c r="C1207" s="233" t="str">
        <f>РПЗ!$AA1207</f>
        <v>АО "НИИ "Полюс" им. М.Ф. Стельмаха" тел. отдела закупок 8-495-333-05-02</v>
      </c>
      <c r="D1207" s="633" t="str">
        <f>РПЗ!$AB1207</f>
        <v>Заказчик</v>
      </c>
      <c r="E1207" s="510" t="s">
        <v>62</v>
      </c>
      <c r="F1207" s="233" t="str">
        <f>РПЗ!Q1207</f>
        <v>ЕП</v>
      </c>
      <c r="G1207" s="237" t="str">
        <f>Таблица5[[#This Row],[6]]</f>
        <v>ЕП</v>
      </c>
      <c r="H1207" s="237" t="str">
        <f>РПЗ!R1207</f>
        <v>Нет</v>
      </c>
      <c r="I1207" s="15" t="str">
        <f>РПЗ!W1207</f>
        <v>6.6.2(11)</v>
      </c>
      <c r="J1207" s="233" t="str">
        <f>РПЗ!X1207</f>
        <v>190437885</v>
      </c>
      <c r="K1207" s="283">
        <f>РПЗ!Z1207</f>
        <v>3496000</v>
      </c>
      <c r="L1207" s="17">
        <v>42955</v>
      </c>
      <c r="M1207" s="18">
        <f>РПЗ!O1207</f>
        <v>42948</v>
      </c>
      <c r="N1207" s="238">
        <f>Таблица5[[#This Row],[10]]</f>
        <v>42948</v>
      </c>
      <c r="O1207" s="17"/>
      <c r="P1207" s="17"/>
      <c r="Q1207" s="17"/>
      <c r="R1207" s="17"/>
      <c r="S1207" s="17"/>
      <c r="T1207" s="686">
        <v>42962</v>
      </c>
      <c r="U1207" s="18">
        <f>РПЗ!P1207</f>
        <v>43100.5</v>
      </c>
      <c r="V1207" s="686">
        <v>43009</v>
      </c>
      <c r="W1207" s="236">
        <f>РПЗ!L1207</f>
        <v>3496000</v>
      </c>
      <c r="X1207" s="689">
        <v>1</v>
      </c>
      <c r="Y1207" s="689">
        <v>0</v>
      </c>
      <c r="Z1207" s="691">
        <v>190437885</v>
      </c>
      <c r="AA1207" s="691" t="s">
        <v>2335</v>
      </c>
      <c r="AB1207" s="111">
        <v>3496000</v>
      </c>
      <c r="AC1207" s="17">
        <v>43009</v>
      </c>
      <c r="AD1207" s="690" t="s">
        <v>6848</v>
      </c>
      <c r="AE1207" s="686">
        <v>42962</v>
      </c>
      <c r="AF1207" s="474"/>
      <c r="AG1207" s="692">
        <v>3496000</v>
      </c>
      <c r="AH1207" s="236">
        <f>IF(Таблица5[[#This Row],[30]]=0,"НД",Таблица5[[#This Row],[20]]-Таблица5[[#This Row],[30]])</f>
        <v>0</v>
      </c>
      <c r="AI1207" s="511">
        <f>IF(((1-Таблица5[[#This Row],[30]]/Таблица5[[#This Row],[20]])=1),"НД",(1-Таблица5[[#This Row],[30]]/Таблица5[[#This Row],[20]]))</f>
        <v>0</v>
      </c>
      <c r="AJ1207" s="111"/>
      <c r="AK1207" s="111"/>
      <c r="AL1207" s="512"/>
      <c r="AM1207" s="513" t="s">
        <v>113</v>
      </c>
      <c r="AN1207" s="801">
        <v>31705412275</v>
      </c>
      <c r="AO1207" s="468" t="str">
        <f>РПЗ!AD1346</f>
        <v>Нет</v>
      </c>
      <c r="AP1207" s="472" t="str">
        <f>РПЗ!V1346</f>
        <v>ГОЗ</v>
      </c>
      <c r="AQ1207" s="470">
        <f>IF(Таблица5[[#This Row],[11]]=0,,MONTH(Таблица5[[#This Row],[11]]))</f>
        <v>8</v>
      </c>
    </row>
    <row r="1208" spans="1:43" ht="51" x14ac:dyDescent="0.25">
      <c r="A1208" s="233" t="str">
        <f t="shared" si="19"/>
        <v>1004-2017-01193</v>
      </c>
      <c r="B1208" s="959" t="str">
        <f>РПЗ!$D1208</f>
        <v>1004-2017-01193 Выполнение работ по  Изготовление колодки  БЛ6.673.166 и трансформатора ет 4.720.436</v>
      </c>
      <c r="C1208" s="233" t="str">
        <f>РПЗ!$AA1208</f>
        <v>АО "НИИ "Полюс" им. М.Ф. Стельмаха" тел. отдела закупок 8-495-333-05-02</v>
      </c>
      <c r="D1208" s="633" t="str">
        <f>РПЗ!$AB1208</f>
        <v>Заказчик</v>
      </c>
      <c r="E1208" s="96" t="s">
        <v>46</v>
      </c>
      <c r="F1208" s="233" t="str">
        <f>РПЗ!Q1208</f>
        <v>ЕП</v>
      </c>
      <c r="G1208" s="237"/>
      <c r="H1208" s="237" t="str">
        <f>РПЗ!R1208</f>
        <v>Нет</v>
      </c>
      <c r="I1208" s="15">
        <f>РПЗ!W1208</f>
        <v>0</v>
      </c>
      <c r="J1208" s="233">
        <f>РПЗ!X1208</f>
        <v>0</v>
      </c>
      <c r="K1208" s="283">
        <f>РПЗ!Z1208</f>
        <v>0</v>
      </c>
      <c r="L1208" s="17"/>
      <c r="M1208" s="18">
        <f>РПЗ!O1347</f>
        <v>43009.625</v>
      </c>
      <c r="N1208" s="238">
        <f>Таблица5[[#This Row],[10]]</f>
        <v>43009.625</v>
      </c>
      <c r="O1208" s="17"/>
      <c r="P1208" s="17"/>
      <c r="Q1208" s="17"/>
      <c r="R1208" s="17"/>
      <c r="S1208" s="17"/>
      <c r="T1208" s="686"/>
      <c r="U1208" s="18">
        <f>РПЗ!P1347</f>
        <v>43070.625</v>
      </c>
      <c r="V1208" s="686"/>
      <c r="W1208" s="236">
        <f>РПЗ!L1347</f>
        <v>295000</v>
      </c>
      <c r="X1208" s="689"/>
      <c r="Y1208" s="689"/>
      <c r="Z1208" s="690"/>
      <c r="AA1208" s="691"/>
      <c r="AB1208" s="111"/>
      <c r="AC1208" s="17"/>
      <c r="AD1208" s="690"/>
      <c r="AE1208" s="686"/>
      <c r="AF1208" s="474"/>
      <c r="AG1208" s="692"/>
      <c r="AH1208" s="236" t="str">
        <f>IF(Таблица5[[#This Row],[30]]=0,"НД",Таблица5[[#This Row],[20]]-Таблица5[[#This Row],[30]])</f>
        <v>НД</v>
      </c>
      <c r="AI1208" s="511" t="str">
        <f>IF(((1-Таблица5[[#This Row],[30]]/Таблица5[[#This Row],[20]])=1),"НД",(1-Таблица5[[#This Row],[30]]/Таблица5[[#This Row],[20]]))</f>
        <v>НД</v>
      </c>
      <c r="AJ1208" s="111"/>
      <c r="AK1208" s="111"/>
      <c r="AL1208" s="512"/>
      <c r="AM1208" s="513"/>
      <c r="AN1208" s="465"/>
      <c r="AO1208" s="468" t="str">
        <f>РПЗ!AD1347</f>
        <v>Нет</v>
      </c>
      <c r="AP1208" s="472">
        <f>РПЗ!V1347</f>
        <v>0</v>
      </c>
      <c r="AQ1208" s="470">
        <f>IF(Таблица5[[#This Row],[11]]=0,,MONTH(Таблица5[[#This Row],[11]]))</f>
        <v>10</v>
      </c>
    </row>
    <row r="1209" spans="1:43" ht="39" thickBot="1" x14ac:dyDescent="0.3">
      <c r="A1209" s="233" t="str">
        <f t="shared" si="19"/>
        <v>1004-2017-01194</v>
      </c>
      <c r="B1209" s="959" t="str">
        <f>РПЗ!$D1209</f>
        <v>1004-2017-01194 Выполнение работ по Изготовлению линзы ЖГДК.203.512.028</v>
      </c>
      <c r="C1209" s="233" t="str">
        <f>РПЗ!$AA1209</f>
        <v>АО "НИИ "Полюс" им. М.Ф. Стельмаха" тел. отдела закупок 8-495-333-05-02</v>
      </c>
      <c r="D1209" s="633" t="str">
        <f>РПЗ!$AB1209</f>
        <v>Заказчик</v>
      </c>
      <c r="E1209" s="510" t="s">
        <v>62</v>
      </c>
      <c r="F1209" s="233" t="str">
        <f>РПЗ!Q1209</f>
        <v>ЕП</v>
      </c>
      <c r="G1209" s="237" t="str">
        <f>Таблица5[[#This Row],[6]]</f>
        <v>ЕП</v>
      </c>
      <c r="H1209" s="237" t="str">
        <f>РПЗ!R1209</f>
        <v>Нет</v>
      </c>
      <c r="I1209" s="15" t="str">
        <f>РПЗ!W1209</f>
        <v>6.6.2(11)</v>
      </c>
      <c r="J1209" s="233" t="str">
        <f>РПЗ!X1209</f>
        <v>7727768951</v>
      </c>
      <c r="K1209" s="283">
        <f>РПЗ!Z1209</f>
        <v>185850</v>
      </c>
      <c r="L1209" s="17">
        <v>42971</v>
      </c>
      <c r="M1209" s="18">
        <f>РПЗ!O1209</f>
        <v>42948</v>
      </c>
      <c r="N1209" s="238">
        <f>Таблица5[[#This Row],[10]]</f>
        <v>42948</v>
      </c>
      <c r="O1209" s="17"/>
      <c r="P1209" s="17"/>
      <c r="Q1209" s="17"/>
      <c r="R1209" s="17"/>
      <c r="S1209" s="17"/>
      <c r="T1209" s="686">
        <v>42982</v>
      </c>
      <c r="U1209" s="18">
        <f>РПЗ!P1209</f>
        <v>43070</v>
      </c>
      <c r="V1209" s="686">
        <v>43070</v>
      </c>
      <c r="W1209" s="236">
        <f>РПЗ!L1209</f>
        <v>185850</v>
      </c>
      <c r="X1209" s="689">
        <v>1</v>
      </c>
      <c r="Y1209" s="689">
        <v>0</v>
      </c>
      <c r="Z1209" s="691">
        <v>7727768951</v>
      </c>
      <c r="AA1209" s="691" t="s">
        <v>2370</v>
      </c>
      <c r="AB1209" s="111">
        <v>185850</v>
      </c>
      <c r="AC1209" s="17">
        <v>43070</v>
      </c>
      <c r="AD1209" s="690" t="s">
        <v>6836</v>
      </c>
      <c r="AE1209" s="686">
        <v>42982</v>
      </c>
      <c r="AF1209" s="474"/>
      <c r="AG1209" s="692">
        <v>185850</v>
      </c>
      <c r="AH1209" s="236">
        <f>IF(Таблица5[[#This Row],[30]]=0,"НД",Таблица5[[#This Row],[20]]-Таблица5[[#This Row],[30]])</f>
        <v>0</v>
      </c>
      <c r="AI1209" s="511">
        <f>IF(((1-Таблица5[[#This Row],[30]]/Таблица5[[#This Row],[20]])=1),"НД",(1-Таблица5[[#This Row],[30]]/Таблица5[[#This Row],[20]]))</f>
        <v>0</v>
      </c>
      <c r="AJ1209" s="111"/>
      <c r="AK1209" s="111"/>
      <c r="AL1209" s="512"/>
      <c r="AM1209" s="513" t="s">
        <v>113</v>
      </c>
      <c r="AN1209" s="801">
        <v>31705480038</v>
      </c>
      <c r="AO1209" s="468" t="str">
        <f>РПЗ!AD1348</f>
        <v>Нет</v>
      </c>
      <c r="AP1209" s="472" t="str">
        <f>РПЗ!V1348</f>
        <v>ГОЗ</v>
      </c>
      <c r="AQ1209" s="470">
        <f>IF(Таблица5[[#This Row],[11]]=0,,MONTH(Таблица5[[#This Row],[11]]))</f>
        <v>8</v>
      </c>
    </row>
    <row r="1210" spans="1:43" ht="39" thickBot="1" x14ac:dyDescent="0.3">
      <c r="A1210" s="233" t="str">
        <f t="shared" si="19"/>
        <v>1004-2017-01195</v>
      </c>
      <c r="B1210" s="959" t="str">
        <f>РПЗ!$D1210</f>
        <v>1004-2017-01195 Поставка Печатные платы для изд. ЛД-294</v>
      </c>
      <c r="C1210" s="233" t="str">
        <f>РПЗ!$AA1210</f>
        <v>АО "НИИ "Полюс" им. М.Ф. Стельмаха" тел. отдела закупок 8-495-333-05-02</v>
      </c>
      <c r="D1210" s="633" t="str">
        <f>РПЗ!$AB1210</f>
        <v>Заказчик</v>
      </c>
      <c r="E1210" s="96" t="s">
        <v>46</v>
      </c>
      <c r="F1210" s="233" t="str">
        <f>РПЗ!Q1210</f>
        <v>ЕП</v>
      </c>
      <c r="G1210" s="237"/>
      <c r="H1210" s="237" t="str">
        <f>РПЗ!R1210</f>
        <v>Нет</v>
      </c>
      <c r="I1210" s="15">
        <f>РПЗ!W1210</f>
        <v>0</v>
      </c>
      <c r="J1210" s="233">
        <f>РПЗ!X1210</f>
        <v>0</v>
      </c>
      <c r="K1210" s="283">
        <f>РПЗ!Z1210</f>
        <v>0</v>
      </c>
      <c r="L1210" s="17"/>
      <c r="M1210" s="18">
        <f>РПЗ!O1349</f>
        <v>43009.625</v>
      </c>
      <c r="N1210" s="238">
        <f>Таблица5[[#This Row],[10]]</f>
        <v>43009.625</v>
      </c>
      <c r="O1210" s="17"/>
      <c r="P1210" s="17"/>
      <c r="Q1210" s="17"/>
      <c r="R1210" s="17"/>
      <c r="S1210" s="17"/>
      <c r="T1210" s="686"/>
      <c r="U1210" s="18">
        <f>РПЗ!P1349</f>
        <v>43070.625</v>
      </c>
      <c r="V1210" s="686"/>
      <c r="W1210" s="236">
        <f>РПЗ!L1349</f>
        <v>410100</v>
      </c>
      <c r="X1210" s="689"/>
      <c r="Y1210" s="689"/>
      <c r="Z1210" s="690"/>
      <c r="AA1210" s="691"/>
      <c r="AB1210" s="111"/>
      <c r="AC1210" s="17"/>
      <c r="AD1210" s="690"/>
      <c r="AE1210" s="686"/>
      <c r="AF1210" s="474"/>
      <c r="AG1210" s="692"/>
      <c r="AH1210" s="236" t="str">
        <f>IF(Таблица5[[#This Row],[30]]=0,"НД",Таблица5[[#This Row],[20]]-Таблица5[[#This Row],[30]])</f>
        <v>НД</v>
      </c>
      <c r="AI1210" s="511" t="str">
        <f>IF(((1-Таблица5[[#This Row],[30]]/Таблица5[[#This Row],[20]])=1),"НД",(1-Таблица5[[#This Row],[30]]/Таблица5[[#This Row],[20]]))</f>
        <v>НД</v>
      </c>
      <c r="AJ1210" s="111"/>
      <c r="AK1210" s="111"/>
      <c r="AL1210" s="512"/>
      <c r="AM1210" s="513"/>
      <c r="AN1210" s="465"/>
      <c r="AO1210" s="468" t="str">
        <f>РПЗ!AD1349</f>
        <v>Нет</v>
      </c>
      <c r="AP1210" s="472">
        <f>РПЗ!V1349</f>
        <v>0</v>
      </c>
      <c r="AQ1210" s="470">
        <f>IF(Таблица5[[#This Row],[11]]=0,,MONTH(Таблица5[[#This Row],[11]]))</f>
        <v>10</v>
      </c>
    </row>
    <row r="1211" spans="1:43" ht="39" thickBot="1" x14ac:dyDescent="0.3">
      <c r="A1211" s="233" t="str">
        <f t="shared" si="19"/>
        <v>1004-2017-01196</v>
      </c>
      <c r="B1211" s="959" t="str">
        <f>РПЗ!$D1211</f>
        <v>1004-2017-01196 Поставка Верстак с дополнительными принадлежностями</v>
      </c>
      <c r="C1211" s="233" t="str">
        <f>РПЗ!$AA1211</f>
        <v>АО "НИИ "Полюс" им. М.Ф. Стельмаха" тел. отдела закупок 8-495-333-05-02</v>
      </c>
      <c r="D1211" s="633" t="str">
        <f>РПЗ!$AB1211</f>
        <v>Заказчик</v>
      </c>
      <c r="E1211" s="96" t="s">
        <v>46</v>
      </c>
      <c r="F1211" s="233" t="str">
        <f>РПЗ!Q1211</f>
        <v>ОЗК</v>
      </c>
      <c r="G1211" s="237"/>
      <c r="H1211" s="237" t="str">
        <f>РПЗ!R1211</f>
        <v>Да</v>
      </c>
      <c r="I1211" s="15">
        <f>РПЗ!W1211</f>
        <v>0</v>
      </c>
      <c r="J1211" s="233">
        <f>РПЗ!X1211</f>
        <v>0</v>
      </c>
      <c r="K1211" s="283">
        <f>РПЗ!Z1211</f>
        <v>0</v>
      </c>
      <c r="L1211" s="17"/>
      <c r="M1211" s="18">
        <f>РПЗ!O1350</f>
        <v>43009.625</v>
      </c>
      <c r="N1211" s="238">
        <f>Таблица5[[#This Row],[10]]</f>
        <v>43009.625</v>
      </c>
      <c r="O1211" s="17"/>
      <c r="P1211" s="17"/>
      <c r="Q1211" s="17"/>
      <c r="R1211" s="17"/>
      <c r="S1211" s="17"/>
      <c r="T1211" s="686"/>
      <c r="U1211" s="18">
        <f>РПЗ!P1350</f>
        <v>43070.625</v>
      </c>
      <c r="V1211" s="686"/>
      <c r="W1211" s="236">
        <f>РПЗ!L1350</f>
        <v>64000.9</v>
      </c>
      <c r="X1211" s="689"/>
      <c r="Y1211" s="689"/>
      <c r="Z1211" s="690"/>
      <c r="AA1211" s="691"/>
      <c r="AB1211" s="111"/>
      <c r="AC1211" s="17"/>
      <c r="AD1211" s="690"/>
      <c r="AE1211" s="686"/>
      <c r="AF1211" s="474"/>
      <c r="AG1211" s="692"/>
      <c r="AH1211" s="236" t="str">
        <f>IF(Таблица5[[#This Row],[30]]=0,"НД",Таблица5[[#This Row],[20]]-Таблица5[[#This Row],[30]])</f>
        <v>НД</v>
      </c>
      <c r="AI1211" s="511" t="str">
        <f>IF(((1-Таблица5[[#This Row],[30]]/Таблица5[[#This Row],[20]])=1),"НД",(1-Таблица5[[#This Row],[30]]/Таблица5[[#This Row],[20]]))</f>
        <v>НД</v>
      </c>
      <c r="AJ1211" s="111"/>
      <c r="AK1211" s="111"/>
      <c r="AL1211" s="512"/>
      <c r="AM1211" s="513"/>
      <c r="AN1211" s="465"/>
      <c r="AO1211" s="468" t="str">
        <f>РПЗ!AD1350</f>
        <v>Нет</v>
      </c>
      <c r="AP1211" s="472">
        <f>РПЗ!V1350</f>
        <v>0</v>
      </c>
      <c r="AQ1211" s="470">
        <f>IF(Таблица5[[#This Row],[11]]=0,,MONTH(Таблица5[[#This Row],[11]]))</f>
        <v>10</v>
      </c>
    </row>
    <row r="1212" spans="1:43" ht="39" thickBot="1" x14ac:dyDescent="0.3">
      <c r="A1212" s="233" t="str">
        <f t="shared" si="19"/>
        <v>1004-2017-01197</v>
      </c>
      <c r="B1212" s="959" t="str">
        <f>РПЗ!$D1212</f>
        <v>1004-2017-01197 Поставка комплект радиоизмерительных приборов</v>
      </c>
      <c r="C1212" s="233" t="str">
        <f>РПЗ!$AA1212</f>
        <v>АО "НИИ "Полюс" им. М.Ф. Стельмаха" тел. отдела закупок 8-495-333-05-02</v>
      </c>
      <c r="D1212" s="633" t="str">
        <f>РПЗ!$AB1212</f>
        <v>Заказчик</v>
      </c>
      <c r="E1212" s="96" t="s">
        <v>46</v>
      </c>
      <c r="F1212" s="233" t="str">
        <f>РПЗ!Q1212</f>
        <v>ОЗК</v>
      </c>
      <c r="G1212" s="237"/>
      <c r="H1212" s="237" t="str">
        <f>РПЗ!R1212</f>
        <v>Да</v>
      </c>
      <c r="I1212" s="15">
        <f>РПЗ!W1212</f>
        <v>0</v>
      </c>
      <c r="J1212" s="233">
        <f>РПЗ!X1212</f>
        <v>0</v>
      </c>
      <c r="K1212" s="283">
        <f>РПЗ!Z1212</f>
        <v>0</v>
      </c>
      <c r="L1212" s="17"/>
      <c r="M1212" s="18">
        <f>РПЗ!O1351</f>
        <v>43009.625</v>
      </c>
      <c r="N1212" s="238">
        <f>Таблица5[[#This Row],[10]]</f>
        <v>43009.625</v>
      </c>
      <c r="O1212" s="17"/>
      <c r="P1212" s="17"/>
      <c r="Q1212" s="17"/>
      <c r="R1212" s="17"/>
      <c r="S1212" s="17"/>
      <c r="T1212" s="686"/>
      <c r="U1212" s="18">
        <f>РПЗ!P1351</f>
        <v>43070.625</v>
      </c>
      <c r="V1212" s="686"/>
      <c r="W1212" s="236">
        <f>РПЗ!L1351</f>
        <v>316270.68</v>
      </c>
      <c r="X1212" s="689"/>
      <c r="Y1212" s="689"/>
      <c r="Z1212" s="690"/>
      <c r="AA1212" s="691"/>
      <c r="AB1212" s="111"/>
      <c r="AC1212" s="17"/>
      <c r="AD1212" s="690"/>
      <c r="AE1212" s="686"/>
      <c r="AF1212" s="474"/>
      <c r="AG1212" s="692"/>
      <c r="AH1212" s="236" t="str">
        <f>IF(Таблица5[[#This Row],[30]]=0,"НД",Таблица5[[#This Row],[20]]-Таблица5[[#This Row],[30]])</f>
        <v>НД</v>
      </c>
      <c r="AI1212" s="511" t="str">
        <f>IF(((1-Таблица5[[#This Row],[30]]/Таблица5[[#This Row],[20]])=1),"НД",(1-Таблица5[[#This Row],[30]]/Таблица5[[#This Row],[20]]))</f>
        <v>НД</v>
      </c>
      <c r="AJ1212" s="111"/>
      <c r="AK1212" s="111"/>
      <c r="AL1212" s="512"/>
      <c r="AM1212" s="513"/>
      <c r="AN1212" s="465"/>
      <c r="AO1212" s="468" t="str">
        <f>РПЗ!AD1351</f>
        <v>Нет</v>
      </c>
      <c r="AP1212" s="472" t="str">
        <f>РПЗ!V1351</f>
        <v>ГОЗ</v>
      </c>
      <c r="AQ1212" s="470">
        <f>IF(Таблица5[[#This Row],[11]]=0,,MONTH(Таблица5[[#This Row],[11]]))</f>
        <v>10</v>
      </c>
    </row>
    <row r="1213" spans="1:43" ht="64.5" thickBot="1" x14ac:dyDescent="0.3">
      <c r="A1213" s="233" t="str">
        <f t="shared" si="19"/>
        <v>1004-2017-01198</v>
      </c>
      <c r="B1213" s="959" t="str">
        <f>РПЗ!$D1213</f>
        <v>1004-2017-01198 Поставка Прецизионный автомат продольного точения швейцарского типа с ЧПУ, противошпинделем и функциями сверления и фрезерования 1 шт.</v>
      </c>
      <c r="C1213" s="233" t="str">
        <f>РПЗ!$AA1213</f>
        <v>АО "НИИ "Полюс" им. М.Ф. Стельмаха" тел. отдела закупок 8-495-333-05-02</v>
      </c>
      <c r="D1213" s="633" t="str">
        <f>РПЗ!$AB1213</f>
        <v>Заказчик</v>
      </c>
      <c r="E1213" s="96" t="s">
        <v>46</v>
      </c>
      <c r="F1213" s="233" t="str">
        <f>РПЗ!Q1213</f>
        <v>ОК</v>
      </c>
      <c r="G1213" s="237"/>
      <c r="H1213" s="237" t="str">
        <f>РПЗ!R1213</f>
        <v>Да</v>
      </c>
      <c r="I1213" s="15">
        <f>РПЗ!W1213</f>
        <v>0</v>
      </c>
      <c r="J1213" s="233">
        <f>РПЗ!X1213</f>
        <v>0</v>
      </c>
      <c r="K1213" s="283">
        <f>РПЗ!Z1213</f>
        <v>0</v>
      </c>
      <c r="L1213" s="17"/>
      <c r="M1213" s="18">
        <f>РПЗ!O1352</f>
        <v>43009.625</v>
      </c>
      <c r="N1213" s="238">
        <f>Таблица5[[#This Row],[10]]</f>
        <v>43009.625</v>
      </c>
      <c r="O1213" s="17"/>
      <c r="P1213" s="17"/>
      <c r="Q1213" s="17"/>
      <c r="R1213" s="17"/>
      <c r="S1213" s="17"/>
      <c r="T1213" s="686"/>
      <c r="U1213" s="18">
        <f>РПЗ!P1352</f>
        <v>43070.625</v>
      </c>
      <c r="V1213" s="686"/>
      <c r="W1213" s="236">
        <f>РПЗ!L1352</f>
        <v>670440.72</v>
      </c>
      <c r="X1213" s="689"/>
      <c r="Y1213" s="689"/>
      <c r="Z1213" s="690"/>
      <c r="AA1213" s="691"/>
      <c r="AB1213" s="111"/>
      <c r="AC1213" s="17"/>
      <c r="AD1213" s="690"/>
      <c r="AE1213" s="686"/>
      <c r="AF1213" s="474"/>
      <c r="AG1213" s="692"/>
      <c r="AH1213" s="236" t="str">
        <f>IF(Таблица5[[#This Row],[30]]=0,"НД",Таблица5[[#This Row],[20]]-Таблица5[[#This Row],[30]])</f>
        <v>НД</v>
      </c>
      <c r="AI1213" s="511" t="str">
        <f>IF(((1-Таблица5[[#This Row],[30]]/Таблица5[[#This Row],[20]])=1),"НД",(1-Таблица5[[#This Row],[30]]/Таблица5[[#This Row],[20]]))</f>
        <v>НД</v>
      </c>
      <c r="AJ1213" s="111"/>
      <c r="AK1213" s="111"/>
      <c r="AL1213" s="512"/>
      <c r="AM1213" s="513"/>
      <c r="AN1213" s="465"/>
      <c r="AO1213" s="468" t="str">
        <f>РПЗ!AD1352</f>
        <v>Нет</v>
      </c>
      <c r="AP1213" s="472">
        <f>РПЗ!V1352</f>
        <v>0</v>
      </c>
      <c r="AQ1213" s="470">
        <f>IF(Таблица5[[#This Row],[11]]=0,,MONTH(Таблица5[[#This Row],[11]]))</f>
        <v>10</v>
      </c>
    </row>
    <row r="1214" spans="1:43" ht="63.75" x14ac:dyDescent="0.25">
      <c r="A1214" s="233" t="str">
        <f t="shared" si="19"/>
        <v>1004-2017-01199</v>
      </c>
      <c r="B1214" s="959" t="str">
        <f>РПЗ!$D1214</f>
        <v>1004-2017-01199 Предоставление Исполнителем Заказчику Услуг по предоставлению доступа и сопровождению Пользователей   системы ИБАК</v>
      </c>
      <c r="C1214" s="233" t="str">
        <f>РПЗ!$AA1214</f>
        <v>АО "НИИ "Полюс" им. М.Ф. Стельмаха" тел. отдела закупок 8-495-333-05-02</v>
      </c>
      <c r="D1214" s="633" t="str">
        <f>РПЗ!$AB1214</f>
        <v>Заказчик</v>
      </c>
      <c r="E1214" s="96" t="s">
        <v>46</v>
      </c>
      <c r="F1214" s="233" t="str">
        <f>РПЗ!Q1214</f>
        <v>ОЗК</v>
      </c>
      <c r="G1214" s="237"/>
      <c r="H1214" s="237" t="str">
        <f>РПЗ!R1214</f>
        <v>Да</v>
      </c>
      <c r="I1214" s="15">
        <f>РПЗ!W1214</f>
        <v>0</v>
      </c>
      <c r="J1214" s="233">
        <f>РПЗ!X1214</f>
        <v>0</v>
      </c>
      <c r="K1214" s="283">
        <f>РПЗ!Z1214</f>
        <v>0</v>
      </c>
      <c r="L1214" s="17"/>
      <c r="M1214" s="18">
        <f>РПЗ!O1353</f>
        <v>43040.625</v>
      </c>
      <c r="N1214" s="238">
        <f>Таблица5[[#This Row],[10]]</f>
        <v>43040.625</v>
      </c>
      <c r="O1214" s="17"/>
      <c r="P1214" s="17"/>
      <c r="Q1214" s="17"/>
      <c r="R1214" s="17"/>
      <c r="S1214" s="17"/>
      <c r="T1214" s="686"/>
      <c r="U1214" s="18">
        <f>РПЗ!P1353</f>
        <v>43070.625</v>
      </c>
      <c r="V1214" s="686"/>
      <c r="W1214" s="236">
        <f>РПЗ!L1353</f>
        <v>226467.96</v>
      </c>
      <c r="X1214" s="689"/>
      <c r="Y1214" s="689"/>
      <c r="Z1214" s="690"/>
      <c r="AA1214" s="691"/>
      <c r="AB1214" s="111"/>
      <c r="AC1214" s="17"/>
      <c r="AD1214" s="690"/>
      <c r="AE1214" s="686"/>
      <c r="AF1214" s="474"/>
      <c r="AG1214" s="692"/>
      <c r="AH1214" s="236" t="str">
        <f>IF(Таблица5[[#This Row],[30]]=0,"НД",Таблица5[[#This Row],[20]]-Таблица5[[#This Row],[30]])</f>
        <v>НД</v>
      </c>
      <c r="AI1214" s="511" t="str">
        <f>IF(((1-Таблица5[[#This Row],[30]]/Таблица5[[#This Row],[20]])=1),"НД",(1-Таблица5[[#This Row],[30]]/Таблица5[[#This Row],[20]]))</f>
        <v>НД</v>
      </c>
      <c r="AJ1214" s="111"/>
      <c r="AK1214" s="111"/>
      <c r="AL1214" s="512"/>
      <c r="AM1214" s="513"/>
      <c r="AN1214" s="465"/>
      <c r="AO1214" s="468" t="str">
        <f>РПЗ!AD1353</f>
        <v>Нет</v>
      </c>
      <c r="AP1214" s="472" t="str">
        <f>РПЗ!V1353</f>
        <v>ГОЗ</v>
      </c>
      <c r="AQ1214" s="470">
        <f>IF(Таблица5[[#This Row],[11]]=0,,MONTH(Таблица5[[#This Row],[11]]))</f>
        <v>11</v>
      </c>
    </row>
    <row r="1215" spans="1:43" ht="38.25" x14ac:dyDescent="0.25">
      <c r="A1215" s="233" t="str">
        <f t="shared" si="19"/>
        <v>1004-2017-01200</v>
      </c>
      <c r="B1215" s="959" t="str">
        <f>РПЗ!$D1215</f>
        <v xml:space="preserve">1004-2017-01200Поставка Комплект промышленной мебели </v>
      </c>
      <c r="C1215" s="233" t="str">
        <f>РПЗ!$AA1215</f>
        <v>АО "НИИ "Полюс" им. М.Ф. Стельмаха" тел. отдела закупок 8-495-333-05-02</v>
      </c>
      <c r="D1215" s="633" t="str">
        <f>РПЗ!$AB1215</f>
        <v>Заказчик</v>
      </c>
      <c r="E1215" s="510" t="s">
        <v>62</v>
      </c>
      <c r="F1215" s="233" t="str">
        <f>РПЗ!Q1215</f>
        <v>ЕП</v>
      </c>
      <c r="G1215" s="237" t="str">
        <f>Таблица5[[#This Row],[6]]</f>
        <v>ЕП</v>
      </c>
      <c r="H1215" s="237" t="str">
        <f>РПЗ!R1215</f>
        <v>Нет</v>
      </c>
      <c r="I1215" s="15" t="str">
        <f>РПЗ!W1215</f>
        <v>6.6.2(30)</v>
      </c>
      <c r="J1215" s="233" t="str">
        <f>РПЗ!X1215</f>
        <v>7723924550</v>
      </c>
      <c r="K1215" s="283">
        <f>РПЗ!Z1215</f>
        <v>498000</v>
      </c>
      <c r="L1215" s="17">
        <v>42947</v>
      </c>
      <c r="M1215" s="18">
        <f>РПЗ!O1215</f>
        <v>42948</v>
      </c>
      <c r="N1215" s="238">
        <f>Таблица5[[#This Row],[10]]</f>
        <v>42948</v>
      </c>
      <c r="O1215" s="17"/>
      <c r="P1215" s="17"/>
      <c r="Q1215" s="17"/>
      <c r="R1215" s="17"/>
      <c r="S1215" s="17"/>
      <c r="T1215" s="686">
        <v>42954</v>
      </c>
      <c r="U1215" s="18">
        <f>РПЗ!P1215</f>
        <v>42982</v>
      </c>
      <c r="V1215" s="686">
        <v>42979</v>
      </c>
      <c r="W1215" s="236">
        <f>РПЗ!L1215</f>
        <v>498000</v>
      </c>
      <c r="X1215" s="689">
        <v>1</v>
      </c>
      <c r="Y1215" s="689">
        <v>0</v>
      </c>
      <c r="Z1215" s="691">
        <v>7723924550</v>
      </c>
      <c r="AA1215" s="691" t="s">
        <v>6418</v>
      </c>
      <c r="AB1215" s="111">
        <v>498000</v>
      </c>
      <c r="AC1215" s="17">
        <v>42979</v>
      </c>
      <c r="AD1215" s="690" t="s">
        <v>6419</v>
      </c>
      <c r="AE1215" s="686">
        <v>42954</v>
      </c>
      <c r="AF1215" s="474"/>
      <c r="AG1215" s="692">
        <v>498000</v>
      </c>
      <c r="AH1215" s="236">
        <f>IF(Таблица5[[#This Row],[30]]=0,"НД",Таблица5[[#This Row],[20]]-Таблица5[[#This Row],[30]])</f>
        <v>0</v>
      </c>
      <c r="AI1215" s="511">
        <f>IF(((1-Таблица5[[#This Row],[30]]/Таблица5[[#This Row],[20]])=1),"НД",(1-Таблица5[[#This Row],[30]]/Таблица5[[#This Row],[20]]))</f>
        <v>0</v>
      </c>
      <c r="AJ1215" s="111">
        <v>498000</v>
      </c>
      <c r="AK1215" s="111"/>
      <c r="AL1215" s="512"/>
      <c r="AM1215" s="513" t="s">
        <v>113</v>
      </c>
      <c r="AN1215" s="801">
        <v>31705396193</v>
      </c>
      <c r="AO1215" s="468" t="str">
        <f>РПЗ!AD1215</f>
        <v>Нет</v>
      </c>
      <c r="AP1215" s="472">
        <f>РПЗ!V1215</f>
        <v>0</v>
      </c>
      <c r="AQ1215" s="470">
        <f>IF(Таблица5[[#This Row],[11]]=0,,MONTH(Таблица5[[#This Row],[11]]))</f>
        <v>8</v>
      </c>
    </row>
    <row r="1216" spans="1:43" ht="38.25" x14ac:dyDescent="0.25">
      <c r="A1216" s="233" t="str">
        <f t="shared" si="19"/>
        <v>1004-2017-01201</v>
      </c>
      <c r="B1216" s="959" t="str">
        <f>РПЗ!$D1216</f>
        <v>1004-2017-01201 Поставка монтажный стол</v>
      </c>
      <c r="C1216" s="233" t="str">
        <f>РПЗ!$AA1216</f>
        <v>АО "НИИ "Полюс" им. М.Ф. Стельмаха" тел. отдела закупок 8-495-333-05-02</v>
      </c>
      <c r="D1216" s="633" t="str">
        <f>РПЗ!$AB1216</f>
        <v>Заказчик</v>
      </c>
      <c r="E1216" s="510" t="s">
        <v>62</v>
      </c>
      <c r="F1216" s="233" t="str">
        <f>РПЗ!Q1216</f>
        <v>ОЗК</v>
      </c>
      <c r="G1216" s="237" t="str">
        <f>Таблица5[[#This Row],[6]]</f>
        <v>ОЗК</v>
      </c>
      <c r="H1216" s="237" t="str">
        <f>РПЗ!R1216</f>
        <v>Да</v>
      </c>
      <c r="I1216" s="15">
        <f>РПЗ!W1216</f>
        <v>0</v>
      </c>
      <c r="J1216" s="233">
        <f>РПЗ!X1216</f>
        <v>0</v>
      </c>
      <c r="K1216" s="283">
        <f>РПЗ!Z1216</f>
        <v>0</v>
      </c>
      <c r="L1216" s="17">
        <v>42964</v>
      </c>
      <c r="M1216" s="18">
        <f>РПЗ!O1216</f>
        <v>42948</v>
      </c>
      <c r="N1216" s="238">
        <f>Таблица5[[#This Row],[10]]</f>
        <v>42948</v>
      </c>
      <c r="O1216" s="17">
        <v>42971</v>
      </c>
      <c r="P1216" s="17">
        <v>42977</v>
      </c>
      <c r="Q1216" s="17">
        <v>42977</v>
      </c>
      <c r="R1216" s="17">
        <v>42971</v>
      </c>
      <c r="S1216" s="17">
        <v>42971</v>
      </c>
      <c r="T1216" s="686">
        <v>42983</v>
      </c>
      <c r="U1216" s="18">
        <f>РПЗ!P1355</f>
        <v>43070.625</v>
      </c>
      <c r="V1216" s="686">
        <v>42990</v>
      </c>
      <c r="W1216" s="236">
        <f>РПЗ!L1216</f>
        <v>427000</v>
      </c>
      <c r="X1216" s="689">
        <v>1</v>
      </c>
      <c r="Y1216" s="689">
        <v>0</v>
      </c>
      <c r="Z1216" s="691">
        <v>7707772332</v>
      </c>
      <c r="AA1216" s="691" t="s">
        <v>6779</v>
      </c>
      <c r="AB1216" s="111">
        <v>385000</v>
      </c>
      <c r="AC1216" s="17">
        <v>42990</v>
      </c>
      <c r="AD1216" s="690" t="s">
        <v>6780</v>
      </c>
      <c r="AE1216" s="686">
        <v>42983</v>
      </c>
      <c r="AF1216" s="474"/>
      <c r="AG1216" s="692">
        <v>385000</v>
      </c>
      <c r="AH1216" s="236">
        <f>IF(Таблица5[[#This Row],[30]]=0,"НД",Таблица5[[#This Row],[20]]-Таблица5[[#This Row],[30]])</f>
        <v>42000</v>
      </c>
      <c r="AI1216" s="511">
        <f>IF(((1-Таблица5[[#This Row],[30]]/Таблица5[[#This Row],[20]])=1),"НД",(1-Таблица5[[#This Row],[30]]/Таблица5[[#This Row],[20]]))</f>
        <v>9.8360655737704916E-2</v>
      </c>
      <c r="AJ1216" s="111">
        <v>385000</v>
      </c>
      <c r="AK1216" s="111"/>
      <c r="AL1216" s="512"/>
      <c r="AM1216" s="513" t="s">
        <v>113</v>
      </c>
      <c r="AN1216" s="801">
        <v>31705430173</v>
      </c>
      <c r="AO1216" s="468" t="str">
        <f>РПЗ!AD1355</f>
        <v>Нет</v>
      </c>
      <c r="AP1216" s="472" t="str">
        <f>РПЗ!V1355</f>
        <v>ГОЗ</v>
      </c>
      <c r="AQ1216" s="470">
        <f>IF(Таблица5[[#This Row],[11]]=0,,MONTH(Таблица5[[#This Row],[11]]))</f>
        <v>8</v>
      </c>
    </row>
    <row r="1217" spans="1:43" ht="102.75" thickBot="1" x14ac:dyDescent="0.3">
      <c r="A1217" s="233" t="str">
        <f t="shared" si="19"/>
        <v>1004-2017-01202</v>
      </c>
      <c r="B1217" s="959" t="str">
        <f>РПЗ!$D1217</f>
        <v>1004-2017-01202 Поставка Микросборки ЕОМ-202 КЯАФ.433739.013, ТУ РБ 100428401.140-2003, код ТН ВЭД ЕАЭС 8542 39 909 0;Микросборки ОЕМ-210М КЯАФ.432234.033, ТУ РБ 100428401.141-2003, код ТН ВЭД ЕАЭС 8542 39 909 0;</v>
      </c>
      <c r="C1217" s="233" t="str">
        <f>РПЗ!$AA1217</f>
        <v>АО "НИИ "Полюс" им. М.Ф. Стельмаха" тел. отдела закупок 8-495-333-05-02</v>
      </c>
      <c r="D1217" s="633" t="str">
        <f>РПЗ!$AB1217</f>
        <v>Заказчик</v>
      </c>
      <c r="E1217" s="510" t="s">
        <v>62</v>
      </c>
      <c r="F1217" s="233" t="str">
        <f>РПЗ!Q1217</f>
        <v>ЕП</v>
      </c>
      <c r="G1217" s="237" t="str">
        <f>Таблица5[[#This Row],[6]]</f>
        <v>ЕП</v>
      </c>
      <c r="H1217" s="237" t="str">
        <f>РПЗ!R1217</f>
        <v>Нет</v>
      </c>
      <c r="I1217" s="15" t="str">
        <f>РПЗ!W1217</f>
        <v>6.6.2(11)</v>
      </c>
      <c r="J1217" s="233" t="str">
        <f>РПЗ!X1217</f>
        <v>100428401</v>
      </c>
      <c r="K1217" s="283">
        <f>РПЗ!Z1217</f>
        <v>8667000</v>
      </c>
      <c r="L1217" s="17">
        <v>42944</v>
      </c>
      <c r="M1217" s="18">
        <f>РПЗ!O1217</f>
        <v>42948</v>
      </c>
      <c r="N1217" s="238">
        <f>Таблица5[[#This Row],[10]]</f>
        <v>42948</v>
      </c>
      <c r="O1217" s="17"/>
      <c r="P1217" s="17"/>
      <c r="Q1217" s="17"/>
      <c r="R1217" s="17"/>
      <c r="S1217" s="17"/>
      <c r="T1217" s="686">
        <v>42956</v>
      </c>
      <c r="U1217" s="18">
        <f>РПЗ!P1217</f>
        <v>42948</v>
      </c>
      <c r="V1217" s="686">
        <v>43252</v>
      </c>
      <c r="W1217" s="236">
        <f>РПЗ!L1217</f>
        <v>8667000</v>
      </c>
      <c r="X1217" s="689">
        <v>1</v>
      </c>
      <c r="Y1217" s="689">
        <v>0</v>
      </c>
      <c r="Z1217" s="691">
        <v>100428401</v>
      </c>
      <c r="AA1217" s="691" t="s">
        <v>6413</v>
      </c>
      <c r="AB1217" s="111">
        <v>8667000</v>
      </c>
      <c r="AC1217" s="17">
        <v>43252</v>
      </c>
      <c r="AD1217" s="690" t="s">
        <v>6409</v>
      </c>
      <c r="AE1217" s="686" t="s">
        <v>6414</v>
      </c>
      <c r="AF1217" s="474"/>
      <c r="AG1217" s="692">
        <v>8667000</v>
      </c>
      <c r="AH1217" s="236">
        <f>IF(Таблица5[[#This Row],[30]]=0,"НД",Таблица5[[#This Row],[20]]-Таблица5[[#This Row],[30]])</f>
        <v>0</v>
      </c>
      <c r="AI1217" s="511">
        <f>IF(((1-Таблица5[[#This Row],[30]]/Таблица5[[#This Row],[20]])=1),"НД",(1-Таблица5[[#This Row],[30]]/Таблица5[[#This Row],[20]]))</f>
        <v>0</v>
      </c>
      <c r="AJ1217" s="111"/>
      <c r="AK1217" s="111"/>
      <c r="AL1217" s="512"/>
      <c r="AM1217" s="513" t="s">
        <v>113</v>
      </c>
      <c r="AN1217" s="801">
        <v>31705405819</v>
      </c>
      <c r="AO1217" s="468" t="str">
        <f>РПЗ!AD1217</f>
        <v>Нет</v>
      </c>
      <c r="AP1217" s="472">
        <f>РПЗ!V1217</f>
        <v>0</v>
      </c>
      <c r="AQ1217" s="470">
        <f>IF(Таблица5[[#This Row],[11]]=0,,MONTH(Таблица5[[#This Row],[11]]))</f>
        <v>8</v>
      </c>
    </row>
    <row r="1218" spans="1:43" ht="63.75" x14ac:dyDescent="0.25">
      <c r="A1218" s="233" t="str">
        <f t="shared" si="19"/>
        <v>1004-2017-01203</v>
      </c>
      <c r="B1218" s="959" t="str">
        <f>РПЗ!$D1218</f>
        <v>1004-2017-01203 Поставка Микросборки ОЕМ-210М КЯАФ.432234.033, ТУ РБ 100428401.141-2003, код ТН ВЭД ЕАЭС 8542 39 909 0;</v>
      </c>
      <c r="C1218" s="233" t="str">
        <f>РПЗ!$AA1218</f>
        <v>АО "НИИ "Полюс" им. М.Ф. Стельмаха" тел. отдела закупок 8-495-333-05-02</v>
      </c>
      <c r="D1218" s="633" t="str">
        <f>РПЗ!$AB1218</f>
        <v>Заказчик</v>
      </c>
      <c r="E1218" s="96" t="s">
        <v>46</v>
      </c>
      <c r="F1218" s="233" t="str">
        <f>РПЗ!Q1218</f>
        <v>ЕП</v>
      </c>
      <c r="G1218" s="237"/>
      <c r="H1218" s="237" t="str">
        <f>РПЗ!R1218</f>
        <v>Нет</v>
      </c>
      <c r="I1218" s="15">
        <f>РПЗ!W1218</f>
        <v>0</v>
      </c>
      <c r="J1218" s="233">
        <f>РПЗ!X1218</f>
        <v>0</v>
      </c>
      <c r="K1218" s="283">
        <f>РПЗ!Z1218</f>
        <v>0</v>
      </c>
      <c r="L1218" s="17"/>
      <c r="M1218" s="18">
        <f>РПЗ!O1357</f>
        <v>43009.625</v>
      </c>
      <c r="N1218" s="238">
        <f>Таблица5[[#This Row],[10]]</f>
        <v>43009.625</v>
      </c>
      <c r="O1218" s="17"/>
      <c r="P1218" s="17"/>
      <c r="Q1218" s="17"/>
      <c r="R1218" s="17"/>
      <c r="S1218" s="17"/>
      <c r="T1218" s="686"/>
      <c r="U1218" s="18">
        <f>РПЗ!P1357</f>
        <v>43070.625</v>
      </c>
      <c r="V1218" s="686"/>
      <c r="W1218" s="236">
        <f>РПЗ!L1357</f>
        <v>296298</v>
      </c>
      <c r="X1218" s="689"/>
      <c r="Y1218" s="689"/>
      <c r="Z1218" s="690"/>
      <c r="AA1218" s="691"/>
      <c r="AB1218" s="111"/>
      <c r="AC1218" s="17"/>
      <c r="AD1218" s="690"/>
      <c r="AE1218" s="686"/>
      <c r="AF1218" s="474"/>
      <c r="AG1218" s="692"/>
      <c r="AH1218" s="236" t="str">
        <f>IF(Таблица5[[#This Row],[30]]=0,"НД",Таблица5[[#This Row],[20]]-Таблица5[[#This Row],[30]])</f>
        <v>НД</v>
      </c>
      <c r="AI1218" s="511" t="str">
        <f>IF(((1-Таблица5[[#This Row],[30]]/Таблица5[[#This Row],[20]])=1),"НД",(1-Таблица5[[#This Row],[30]]/Таблица5[[#This Row],[20]]))</f>
        <v>НД</v>
      </c>
      <c r="AJ1218" s="111"/>
      <c r="AK1218" s="111"/>
      <c r="AL1218" s="512"/>
      <c r="AM1218" s="513"/>
      <c r="AN1218" s="465"/>
      <c r="AO1218" s="468" t="str">
        <f>РПЗ!AD1357</f>
        <v>Нет</v>
      </c>
      <c r="AP1218" s="472" t="str">
        <f>РПЗ!V1357</f>
        <v>ГОЗ</v>
      </c>
      <c r="AQ1218" s="470">
        <f>IF(Таблица5[[#This Row],[11]]=0,,MONTH(Таблица5[[#This Row],[11]]))</f>
        <v>10</v>
      </c>
    </row>
    <row r="1219" spans="1:43" ht="38.25" x14ac:dyDescent="0.25">
      <c r="A1219" s="233" t="str">
        <f t="shared" si="19"/>
        <v>1004-2017-01204</v>
      </c>
      <c r="B1219" s="959" t="str">
        <f>РПЗ!$D1219</f>
        <v>1004-2017-01204 Предоставление услуг по поручительству</v>
      </c>
      <c r="C1219" s="233" t="str">
        <f>РПЗ!$AA1219</f>
        <v>АО "НИИ "Полюс" им. М.Ф. Стельмаха" тел. отдела закупок 8-495-333-05-02</v>
      </c>
      <c r="D1219" s="633" t="str">
        <f>РПЗ!$AB1219</f>
        <v>Заказчик</v>
      </c>
      <c r="E1219" s="510" t="s">
        <v>62</v>
      </c>
      <c r="F1219" s="233" t="str">
        <f>РПЗ!Q1219</f>
        <v>ЕП</v>
      </c>
      <c r="G1219" s="237" t="str">
        <f>Таблица5[[#This Row],[6]]</f>
        <v>ЕП</v>
      </c>
      <c r="H1219" s="237" t="str">
        <f>РПЗ!R1219</f>
        <v>Нет</v>
      </c>
      <c r="I1219" s="15" t="str">
        <f>РПЗ!W1219</f>
        <v>6.6.2(37)</v>
      </c>
      <c r="J1219" s="233" t="str">
        <f>РПЗ!X1219</f>
        <v>7717671799</v>
      </c>
      <c r="K1219" s="283">
        <f>РПЗ!Z1219</f>
        <v>2775684.04</v>
      </c>
      <c r="L1219" s="17">
        <v>42948</v>
      </c>
      <c r="M1219" s="18">
        <f>РПЗ!O1219</f>
        <v>42948</v>
      </c>
      <c r="N1219" s="238">
        <f>Таблица5[[#This Row],[10]]</f>
        <v>42948</v>
      </c>
      <c r="O1219" s="17"/>
      <c r="P1219" s="17"/>
      <c r="Q1219" s="17"/>
      <c r="R1219" s="17"/>
      <c r="S1219" s="17"/>
      <c r="T1219" s="686">
        <v>42978</v>
      </c>
      <c r="U1219" s="18">
        <f>РПЗ!P1219</f>
        <v>42948</v>
      </c>
      <c r="V1219" s="686">
        <v>42978</v>
      </c>
      <c r="W1219" s="236">
        <f>РПЗ!L1219</f>
        <v>2775684.04</v>
      </c>
      <c r="X1219" s="689">
        <v>1</v>
      </c>
      <c r="Y1219" s="689">
        <v>0</v>
      </c>
      <c r="Z1219" s="691">
        <v>7717671799</v>
      </c>
      <c r="AA1219" s="691" t="s">
        <v>2354</v>
      </c>
      <c r="AB1219" s="111">
        <v>2775684.04</v>
      </c>
      <c r="AC1219" s="17">
        <v>42978</v>
      </c>
      <c r="AD1219" s="690" t="s">
        <v>119</v>
      </c>
      <c r="AE1219" s="686">
        <v>42978</v>
      </c>
      <c r="AF1219" s="474"/>
      <c r="AG1219" s="692">
        <v>2775684.04</v>
      </c>
      <c r="AH1219" s="236">
        <f>IF(Таблица5[[#This Row],[30]]=0,"НД",Таблица5[[#This Row],[20]]-Таблица5[[#This Row],[30]])</f>
        <v>0</v>
      </c>
      <c r="AI1219" s="511">
        <f>IF(((1-Таблица5[[#This Row],[30]]/Таблица5[[#This Row],[20]])=1),"НД",(1-Таблица5[[#This Row],[30]]/Таблица5[[#This Row],[20]]))</f>
        <v>0</v>
      </c>
      <c r="AJ1219" s="111"/>
      <c r="AK1219" s="111"/>
      <c r="AL1219" s="512"/>
      <c r="AM1219" s="513" t="s">
        <v>113</v>
      </c>
      <c r="AN1219" s="801">
        <v>31705407864</v>
      </c>
      <c r="AO1219" s="468" t="str">
        <f>РПЗ!AD1358</f>
        <v>Нет</v>
      </c>
      <c r="AP1219" s="472">
        <f>РПЗ!V1358</f>
        <v>0</v>
      </c>
      <c r="AQ1219" s="470">
        <f>IF(Таблица5[[#This Row],[11]]=0,,MONTH(Таблица5[[#This Row],[11]]))</f>
        <v>8</v>
      </c>
    </row>
    <row r="1220" spans="1:43" ht="127.5" x14ac:dyDescent="0.25">
      <c r="A1220" s="233" t="str">
        <f t="shared" si="19"/>
        <v>1004-2017-01205</v>
      </c>
      <c r="B1220" s="959" t="str">
        <f>РПЗ!$D1220</f>
        <v>1004-2017-01205 выполнение строительно-монтажных работ  по реализации проектных решений в разделах архитектурные решения, конструктивные и планировочные решения; узлы усиления с целью создания производственного участка в Производственном корпусе в АО "НИИ "Полюс" им. М.Ф. Стельмаха"</v>
      </c>
      <c r="C1220" s="233" t="str">
        <f>РПЗ!$AA1220</f>
        <v>АО "НИИ "Полюс" им. М.Ф. Стельмаха" тел. отдела закупок 8-495-333-05-02</v>
      </c>
      <c r="D1220" s="633" t="str">
        <f>РПЗ!$AB1220</f>
        <v>Заказчик</v>
      </c>
      <c r="E1220" s="510" t="s">
        <v>62</v>
      </c>
      <c r="F1220" s="233" t="str">
        <f>РПЗ!Q1220</f>
        <v>ОК</v>
      </c>
      <c r="G1220" s="237" t="str">
        <f>Таблица5[[#This Row],[6]]</f>
        <v>ОК</v>
      </c>
      <c r="H1220" s="237" t="str">
        <f>РПЗ!R1220</f>
        <v>Да</v>
      </c>
      <c r="I1220" s="15">
        <f>РПЗ!W1220</f>
        <v>0</v>
      </c>
      <c r="J1220" s="233">
        <f>РПЗ!X1220</f>
        <v>0</v>
      </c>
      <c r="K1220" s="283">
        <f>РПЗ!Z1220</f>
        <v>0</v>
      </c>
      <c r="L1220" s="17">
        <v>42956</v>
      </c>
      <c r="M1220" s="18">
        <f>РПЗ!O1220</f>
        <v>42948</v>
      </c>
      <c r="N1220" s="238">
        <f>Таблица5[[#This Row],[10]]</f>
        <v>42948</v>
      </c>
      <c r="O1220" s="17">
        <v>42984</v>
      </c>
      <c r="P1220" s="17">
        <v>42989</v>
      </c>
      <c r="Q1220" s="17">
        <v>42989</v>
      </c>
      <c r="R1220" s="17">
        <v>42992</v>
      </c>
      <c r="S1220" s="17">
        <v>42992</v>
      </c>
      <c r="T1220" s="686">
        <v>43010</v>
      </c>
      <c r="U1220" s="18">
        <f>РПЗ!P1220</f>
        <v>43100.5</v>
      </c>
      <c r="V1220" s="686">
        <v>43132</v>
      </c>
      <c r="W1220" s="236">
        <f>РПЗ!L1220</f>
        <v>33000000</v>
      </c>
      <c r="X1220" s="689">
        <v>2</v>
      </c>
      <c r="Y1220" s="689">
        <v>0</v>
      </c>
      <c r="Z1220" s="691">
        <v>7719746947</v>
      </c>
      <c r="AA1220" s="691" t="s">
        <v>6486</v>
      </c>
      <c r="AB1220" s="111">
        <v>28544301.359999999</v>
      </c>
      <c r="AC1220" s="17">
        <v>43132</v>
      </c>
      <c r="AD1220" s="690" t="s">
        <v>7193</v>
      </c>
      <c r="AE1220" s="686">
        <v>43010</v>
      </c>
      <c r="AF1220" s="474"/>
      <c r="AG1220" s="692">
        <v>28544301.359999999</v>
      </c>
      <c r="AH1220" s="236">
        <f>IF(Таблица5[[#This Row],[30]]=0,"НД",Таблица5[[#This Row],[20]]-Таблица5[[#This Row],[30]])</f>
        <v>4455698.6400000006</v>
      </c>
      <c r="AI1220" s="511">
        <f>IF(((1-Таблица5[[#This Row],[30]]/Таблица5[[#This Row],[20]])=1),"НД",(1-Таблица5[[#This Row],[30]]/Таблица5[[#This Row],[20]]))</f>
        <v>0.13502117090909094</v>
      </c>
      <c r="AJ1220" s="111">
        <v>28544301.359999999</v>
      </c>
      <c r="AK1220" s="111"/>
      <c r="AL1220" s="512"/>
      <c r="AM1220" s="513" t="s">
        <v>113</v>
      </c>
      <c r="AN1220" s="801">
        <v>31705406433</v>
      </c>
      <c r="AO1220" s="468" t="str">
        <f>РПЗ!AD1220</f>
        <v>Нет</v>
      </c>
      <c r="AP1220" s="472">
        <f>РПЗ!V1220</f>
        <v>0</v>
      </c>
      <c r="AQ1220" s="470">
        <f>IF(Таблица5[[#This Row],[11]]=0,,MONTH(Таблица5[[#This Row],[11]]))</f>
        <v>8</v>
      </c>
    </row>
    <row r="1221" spans="1:43" ht="242.25" x14ac:dyDescent="0.25">
      <c r="A1221" s="233" t="str">
        <f t="shared" si="19"/>
        <v>1004-2017-01206</v>
      </c>
      <c r="B1221" s="959" t="str">
        <f>РПЗ!$D1221</f>
        <v>1004-2017-01206 выполнение строительно-монтажных работ  по реализации проектных решений в разделах силовое электроснабжение, электроосвещение; система водоснабжения и водоотведения; отопление, вентиляция и кондиционирование, тепловые сети; автоматизация систем вентиляции и кондиционирования; технологические газы, технические и специальные; СКС; СКУД; автоматическая установка пожарной сигнализации; пусколадочные работы  с целью создания производственного участка в Производственном корпусе в АО "НИИ "Полюс" им. М.Ф. Стельмаха"</v>
      </c>
      <c r="C1221" s="233" t="str">
        <f>РПЗ!$AA1221</f>
        <v>АО "НИИ "Полюс" им. М.Ф. Стельмаха" тел. отдела закупок 8-495-333-05-02</v>
      </c>
      <c r="D1221" s="633" t="str">
        <f>РПЗ!$AB1221</f>
        <v>Заказчик</v>
      </c>
      <c r="E1221" s="510" t="s">
        <v>62</v>
      </c>
      <c r="F1221" s="233" t="str">
        <f>РПЗ!Q1221</f>
        <v>ОК</v>
      </c>
      <c r="G1221" s="237" t="str">
        <f>Таблица5[[#This Row],[6]]</f>
        <v>ОК</v>
      </c>
      <c r="H1221" s="237" t="str">
        <f>РПЗ!R1221</f>
        <v>Да</v>
      </c>
      <c r="I1221" s="15">
        <f>РПЗ!W1221</f>
        <v>0</v>
      </c>
      <c r="J1221" s="233">
        <f>РПЗ!X1221</f>
        <v>0</v>
      </c>
      <c r="K1221" s="283">
        <f>РПЗ!Z1221</f>
        <v>0</v>
      </c>
      <c r="L1221" s="17">
        <v>42956</v>
      </c>
      <c r="M1221" s="18">
        <f>РПЗ!O1221</f>
        <v>42948</v>
      </c>
      <c r="N1221" s="238">
        <f>Таблица5[[#This Row],[10]]</f>
        <v>42948</v>
      </c>
      <c r="O1221" s="17">
        <v>42984</v>
      </c>
      <c r="P1221" s="17">
        <v>42989</v>
      </c>
      <c r="Q1221" s="17">
        <v>42989</v>
      </c>
      <c r="R1221" s="17">
        <v>42992</v>
      </c>
      <c r="S1221" s="17">
        <v>42992</v>
      </c>
      <c r="T1221" s="686">
        <v>43010</v>
      </c>
      <c r="U1221" s="18">
        <f>РПЗ!P1221</f>
        <v>43100.5</v>
      </c>
      <c r="V1221" s="686">
        <v>43132</v>
      </c>
      <c r="W1221" s="236">
        <f>РПЗ!L1221</f>
        <v>40500000</v>
      </c>
      <c r="X1221" s="689">
        <v>2</v>
      </c>
      <c r="Y1221" s="689">
        <v>0</v>
      </c>
      <c r="Z1221" s="691">
        <v>7719746947</v>
      </c>
      <c r="AA1221" s="691" t="s">
        <v>6486</v>
      </c>
      <c r="AB1221" s="111">
        <v>35030320.5</v>
      </c>
      <c r="AC1221" s="17">
        <v>43132</v>
      </c>
      <c r="AD1221" s="690" t="s">
        <v>7194</v>
      </c>
      <c r="AE1221" s="686">
        <v>43010</v>
      </c>
      <c r="AF1221" s="474"/>
      <c r="AG1221" s="692">
        <v>35030320.5</v>
      </c>
      <c r="AH1221" s="236">
        <f>IF(Таблица5[[#This Row],[30]]=0,"НД",Таблица5[[#This Row],[20]]-Таблица5[[#This Row],[30]])</f>
        <v>5469679.5</v>
      </c>
      <c r="AI1221" s="511">
        <f>IF(((1-Таблица5[[#This Row],[30]]/Таблица5[[#This Row],[20]])=1),"НД",(1-Таблица5[[#This Row],[30]]/Таблица5[[#This Row],[20]]))</f>
        <v>0.13505381481481482</v>
      </c>
      <c r="AJ1221" s="111"/>
      <c r="AK1221" s="111"/>
      <c r="AL1221" s="512"/>
      <c r="AM1221" s="513" t="s">
        <v>113</v>
      </c>
      <c r="AN1221" s="801">
        <v>31705406486</v>
      </c>
      <c r="AO1221" s="468" t="str">
        <f>РПЗ!AD1221</f>
        <v>Нет</v>
      </c>
      <c r="AP1221" s="472">
        <f>РПЗ!V1221</f>
        <v>0</v>
      </c>
      <c r="AQ1221" s="470">
        <f>IF(Таблица5[[#This Row],[11]]=0,,MONTH(Таблица5[[#This Row],[11]]))</f>
        <v>8</v>
      </c>
    </row>
    <row r="1222" spans="1:43" ht="26.25" customHeight="1" x14ac:dyDescent="0.25">
      <c r="A1222" s="978" t="str">
        <f t="shared" si="19"/>
        <v>1004-2017-01207</v>
      </c>
      <c r="B1222" s="233" t="str">
        <f>РПЗ!$D1222</f>
        <v>1004-2017-01207 Поставка ШОС-FC/UFC-FC/UPC-MM-0,9MM/SIMPEX/2,2M ТУ 3570-002-45944796-02</v>
      </c>
      <c r="C1222" s="233" t="str">
        <f>РПЗ!$AA1222</f>
        <v>АО "НИИ "Полюс" им. М.Ф. Стельмаха" тел. отдела закупок 8-495-333-05-02</v>
      </c>
      <c r="D1222" s="633" t="str">
        <f>РПЗ!$AB1222</f>
        <v>Заказчик</v>
      </c>
      <c r="E1222" s="510" t="s">
        <v>62</v>
      </c>
      <c r="F1222" s="233" t="str">
        <f>РПЗ!Q1222</f>
        <v>ЕП</v>
      </c>
      <c r="G1222" s="237" t="str">
        <f>Таблица5[[#This Row],[6]]</f>
        <v>ЕП</v>
      </c>
      <c r="H1222" s="237" t="str">
        <f>РПЗ!R1222</f>
        <v>Нет</v>
      </c>
      <c r="I1222" s="15" t="str">
        <f>РПЗ!W1222</f>
        <v>6.6.2(11)</v>
      </c>
      <c r="J1222" s="233" t="str">
        <f>РПЗ!X1222</f>
        <v>7710233002</v>
      </c>
      <c r="K1222" s="283">
        <f>РПЗ!Z1222</f>
        <v>312483.20000000001</v>
      </c>
      <c r="L1222" s="17">
        <v>42963</v>
      </c>
      <c r="M1222" s="18">
        <f>РПЗ!O1222</f>
        <v>42948.5</v>
      </c>
      <c r="N1222" s="238">
        <f>Таблица5[[#This Row],[10]]</f>
        <v>42948.5</v>
      </c>
      <c r="O1222" s="17"/>
      <c r="P1222" s="17"/>
      <c r="Q1222" s="17"/>
      <c r="R1222" s="17"/>
      <c r="S1222" s="17"/>
      <c r="T1222" s="686">
        <v>42968</v>
      </c>
      <c r="U1222" s="18">
        <f>РПЗ!P1222</f>
        <v>42948.5</v>
      </c>
      <c r="V1222" s="686" t="s">
        <v>6854</v>
      </c>
      <c r="W1222" s="236">
        <f>РПЗ!L1222</f>
        <v>312483.20000000001</v>
      </c>
      <c r="X1222" s="689">
        <v>1</v>
      </c>
      <c r="Y1222" s="689">
        <v>0</v>
      </c>
      <c r="Z1222" s="691">
        <v>7710233002</v>
      </c>
      <c r="AA1222" s="691" t="s">
        <v>6853</v>
      </c>
      <c r="AB1222" s="111">
        <v>312483.20000000001</v>
      </c>
      <c r="AC1222" s="17">
        <v>42979</v>
      </c>
      <c r="AD1222" s="690" t="s">
        <v>6855</v>
      </c>
      <c r="AE1222" s="686">
        <v>42968</v>
      </c>
      <c r="AF1222" s="474"/>
      <c r="AG1222" s="692">
        <v>312483.20000000001</v>
      </c>
      <c r="AH1222" s="236">
        <f>IF(Таблица5[[#This Row],[30]]=0,"НД",Таблица5[[#This Row],[20]]-Таблица5[[#This Row],[30]])</f>
        <v>0</v>
      </c>
      <c r="AI1222" s="511">
        <f>IF(((1-Таблица5[[#This Row],[30]]/Таблица5[[#This Row],[20]])=1),"НД",(1-Таблица5[[#This Row],[30]]/Таблица5[[#This Row],[20]]))</f>
        <v>0</v>
      </c>
      <c r="AJ1222" s="111">
        <v>312483.20000000001</v>
      </c>
      <c r="AK1222" s="111"/>
      <c r="AL1222" s="512"/>
      <c r="AM1222" s="513" t="s">
        <v>113</v>
      </c>
      <c r="AN1222" s="801">
        <v>31705437749</v>
      </c>
      <c r="AO1222" s="468" t="str">
        <f>РПЗ!AD1222</f>
        <v>Нет</v>
      </c>
      <c r="AP1222" s="472">
        <f>РПЗ!V1222</f>
        <v>0</v>
      </c>
      <c r="AQ1222" s="470">
        <f>IF(Таблица5[[#This Row],[11]]=0,,MONTH(Таблица5[[#This Row],[11]]))</f>
        <v>8</v>
      </c>
    </row>
    <row r="1223" spans="1:43" ht="38.25" x14ac:dyDescent="0.25">
      <c r="A1223" s="978" t="str">
        <f t="shared" si="19"/>
        <v>1004-2017-1208</v>
      </c>
      <c r="B1223" s="233" t="str">
        <f>РПЗ!$D1223</f>
        <v>1004-2017-1208 Выполнение работ по Нанесение металло-диэлектрических покрытий</v>
      </c>
      <c r="C1223" s="233" t="str">
        <f>РПЗ!$AA1223</f>
        <v>АО "НИИ "Полюс" им. М.Ф. Стельмаха" тел. отдела закупок 8-495-333-05-02</v>
      </c>
      <c r="D1223" s="633" t="str">
        <f>РПЗ!$AB1223</f>
        <v>Заказчик</v>
      </c>
      <c r="E1223" s="510" t="s">
        <v>62</v>
      </c>
      <c r="F1223" s="233" t="str">
        <f>РПЗ!Q1223</f>
        <v>ЕП</v>
      </c>
      <c r="G1223" s="237" t="str">
        <f>Таблица5[[#This Row],[6]]</f>
        <v>ЕП</v>
      </c>
      <c r="H1223" s="237" t="str">
        <f>РПЗ!R1223</f>
        <v>Нет</v>
      </c>
      <c r="I1223" s="15" t="str">
        <f>РПЗ!W1223</f>
        <v>6.6.2(9)</v>
      </c>
      <c r="J1223" s="233" t="str">
        <f>РПЗ!X1223</f>
        <v>7743073940</v>
      </c>
      <c r="K1223" s="283">
        <f>РПЗ!Z1223</f>
        <v>177000</v>
      </c>
      <c r="L1223" s="17">
        <v>42991</v>
      </c>
      <c r="M1223" s="18">
        <f>РПЗ!O1223</f>
        <v>42979.5</v>
      </c>
      <c r="N1223" s="238">
        <f>Таблица5[[#This Row],[10]]</f>
        <v>42979.5</v>
      </c>
      <c r="O1223" s="17"/>
      <c r="P1223" s="17"/>
      <c r="Q1223" s="17"/>
      <c r="R1223" s="17"/>
      <c r="S1223" s="17"/>
      <c r="T1223" s="686">
        <v>42996</v>
      </c>
      <c r="U1223" s="18">
        <f>РПЗ!P1223</f>
        <v>42979.5</v>
      </c>
      <c r="V1223" s="686">
        <v>43009</v>
      </c>
      <c r="W1223" s="236">
        <f>РПЗ!L1223</f>
        <v>177000</v>
      </c>
      <c r="X1223" s="689">
        <v>1</v>
      </c>
      <c r="Y1223" s="689">
        <v>0</v>
      </c>
      <c r="Z1223" s="691">
        <v>7743073940</v>
      </c>
      <c r="AA1223" s="691" t="s">
        <v>6824</v>
      </c>
      <c r="AB1223" s="111">
        <v>177000</v>
      </c>
      <c r="AC1223" s="17">
        <v>43009</v>
      </c>
      <c r="AD1223" s="690" t="s">
        <v>6825</v>
      </c>
      <c r="AE1223" s="686">
        <v>42996</v>
      </c>
      <c r="AF1223" s="474"/>
      <c r="AG1223" s="692">
        <v>177000</v>
      </c>
      <c r="AH1223" s="236">
        <f>IF(Таблица5[[#This Row],[30]]=0,"НД",Таблица5[[#This Row],[20]]-Таблица5[[#This Row],[30]])</f>
        <v>0</v>
      </c>
      <c r="AI1223" s="511">
        <f>IF(((1-Таблица5[[#This Row],[30]]/Таблица5[[#This Row],[20]])=1),"НД",(1-Таблица5[[#This Row],[30]]/Таблица5[[#This Row],[20]]))</f>
        <v>0</v>
      </c>
      <c r="AJ1223" s="111">
        <v>177000</v>
      </c>
      <c r="AK1223" s="111"/>
      <c r="AL1223" s="512"/>
      <c r="AM1223" s="513" t="s">
        <v>113</v>
      </c>
      <c r="AN1223" s="801">
        <v>31705527505</v>
      </c>
      <c r="AO1223" s="468" t="str">
        <f>РПЗ!AD1223</f>
        <v>Нет</v>
      </c>
      <c r="AP1223" s="472">
        <f>РПЗ!V1223</f>
        <v>0</v>
      </c>
      <c r="AQ1223" s="470">
        <f>IF(Таблица5[[#This Row],[11]]=0,,MONTH(Таблица5[[#This Row],[11]]))</f>
        <v>9</v>
      </c>
    </row>
    <row r="1224" spans="1:43" ht="38.25" x14ac:dyDescent="0.25">
      <c r="A1224" s="978" t="str">
        <f t="shared" si="19"/>
        <v>1004-2017-1209</v>
      </c>
      <c r="B1224" s="233" t="str">
        <f>РПЗ!$D1224</f>
        <v>1004-2017-1209 Поставка зеркало ЖГДК.755132.016</v>
      </c>
      <c r="C1224" s="233" t="str">
        <f>РПЗ!$AA1224</f>
        <v>АО "НИИ "Полюс" им. М.Ф. Стельмаха" тел. отдела закупок 8-495-333-05-02</v>
      </c>
      <c r="D1224" s="633" t="str">
        <f>РПЗ!$AB1224</f>
        <v>Заказчик</v>
      </c>
      <c r="E1224" s="510" t="s">
        <v>62</v>
      </c>
      <c r="F1224" s="233" t="str">
        <f>РПЗ!Q1224</f>
        <v>ЕП</v>
      </c>
      <c r="G1224" s="237" t="str">
        <f>Таблица5[[#This Row],[6]]</f>
        <v>ЕП</v>
      </c>
      <c r="H1224" s="237" t="str">
        <f>РПЗ!R1224</f>
        <v>Нет</v>
      </c>
      <c r="I1224" s="15" t="str">
        <f>РПЗ!W1224</f>
        <v>6.6.2(9)</v>
      </c>
      <c r="J1224" s="233" t="str">
        <f>РПЗ!X1224</f>
        <v>7727768951</v>
      </c>
      <c r="K1224" s="283">
        <f>РПЗ!Z1224</f>
        <v>265500</v>
      </c>
      <c r="L1224" s="17">
        <v>42989</v>
      </c>
      <c r="M1224" s="18">
        <f>РПЗ!O1224</f>
        <v>42979.5</v>
      </c>
      <c r="N1224" s="238">
        <f>Таблица5[[#This Row],[10]]</f>
        <v>42979.5</v>
      </c>
      <c r="O1224" s="17"/>
      <c r="P1224" s="17"/>
      <c r="Q1224" s="17"/>
      <c r="R1224" s="17"/>
      <c r="S1224" s="17"/>
      <c r="T1224" s="686">
        <v>42991</v>
      </c>
      <c r="U1224" s="18">
        <f>РПЗ!P1224</f>
        <v>42979.5</v>
      </c>
      <c r="V1224" s="686">
        <v>43070</v>
      </c>
      <c r="W1224" s="236">
        <f>РПЗ!L1224</f>
        <v>265500</v>
      </c>
      <c r="X1224" s="689">
        <v>1</v>
      </c>
      <c r="Y1224" s="689">
        <v>0</v>
      </c>
      <c r="Z1224" s="691">
        <v>7727768951</v>
      </c>
      <c r="AA1224" s="691" t="s">
        <v>2370</v>
      </c>
      <c r="AB1224" s="111">
        <v>265500</v>
      </c>
      <c r="AC1224" s="17">
        <v>43070</v>
      </c>
      <c r="AD1224" s="690" t="s">
        <v>6826</v>
      </c>
      <c r="AE1224" s="686">
        <v>42991</v>
      </c>
      <c r="AF1224" s="474"/>
      <c r="AG1224" s="692">
        <v>265500</v>
      </c>
      <c r="AH1224" s="236">
        <f>IF(Таблица5[[#This Row],[30]]=0,"НД",Таблица5[[#This Row],[20]]-Таблица5[[#This Row],[30]])</f>
        <v>0</v>
      </c>
      <c r="AI1224" s="511">
        <f>IF(((1-Таблица5[[#This Row],[30]]/Таблица5[[#This Row],[20]])=1),"НД",(1-Таблица5[[#This Row],[30]]/Таблица5[[#This Row],[20]]))</f>
        <v>0</v>
      </c>
      <c r="AJ1224" s="111"/>
      <c r="AK1224" s="111"/>
      <c r="AL1224" s="512"/>
      <c r="AM1224" s="513" t="s">
        <v>113</v>
      </c>
      <c r="AN1224" s="801">
        <v>31705514747</v>
      </c>
      <c r="AO1224" s="468" t="str">
        <f>РПЗ!AD1224</f>
        <v>Нет</v>
      </c>
      <c r="AP1224" s="472" t="str">
        <f>РПЗ!V1224</f>
        <v>ГОЗ</v>
      </c>
      <c r="AQ1224" s="470">
        <f>IF(Таблица5[[#This Row],[11]]=0,,MONTH(Таблица5[[#This Row],[11]]))</f>
        <v>9</v>
      </c>
    </row>
    <row r="1225" spans="1:43" ht="38.25" x14ac:dyDescent="0.25">
      <c r="A1225" s="978" t="str">
        <f t="shared" si="19"/>
        <v>1004-2017-1210</v>
      </c>
      <c r="B1225" s="233" t="str">
        <f>РПЗ!$D1225</f>
        <v>1004-2017-1210 Поставка зеркало ЖГДК.755132.016</v>
      </c>
      <c r="C1225" s="233" t="str">
        <f>РПЗ!$AA1225</f>
        <v>АО "НИИ "Полюс" им. М.Ф. Стельмаха" тел. отдела закупок 8-495-333-05-02</v>
      </c>
      <c r="D1225" s="633" t="str">
        <f>РПЗ!$AB1225</f>
        <v>Заказчик</v>
      </c>
      <c r="E1225" s="510" t="s">
        <v>62</v>
      </c>
      <c r="F1225" s="233" t="str">
        <f>РПЗ!Q1225</f>
        <v>ОЗК</v>
      </c>
      <c r="G1225" s="237" t="s">
        <v>108</v>
      </c>
      <c r="H1225" s="237" t="str">
        <f>РПЗ!R1225</f>
        <v>Да</v>
      </c>
      <c r="I1225" s="15">
        <f>РПЗ!W1225</f>
        <v>0</v>
      </c>
      <c r="J1225" s="233">
        <f>РПЗ!X1225</f>
        <v>0</v>
      </c>
      <c r="K1225" s="283">
        <f>РПЗ!Z1225</f>
        <v>0</v>
      </c>
      <c r="L1225" s="17">
        <v>43087</v>
      </c>
      <c r="M1225" s="18">
        <f>РПЗ!O1225</f>
        <v>43070.625</v>
      </c>
      <c r="N1225" s="238">
        <f>Таблица5[[#This Row],[10]]</f>
        <v>43070.625</v>
      </c>
      <c r="O1225" s="17">
        <v>43094</v>
      </c>
      <c r="P1225" s="17">
        <v>43097</v>
      </c>
      <c r="Q1225" s="17">
        <v>43097</v>
      </c>
      <c r="R1225" s="17">
        <v>43095</v>
      </c>
      <c r="S1225" s="17">
        <v>43095</v>
      </c>
      <c r="T1225" s="686">
        <v>43109</v>
      </c>
      <c r="U1225" s="18">
        <f>РПЗ!P1225</f>
        <v>43101.625</v>
      </c>
      <c r="V1225" s="686">
        <v>43266</v>
      </c>
      <c r="W1225" s="236">
        <f>РПЗ!L1225</f>
        <v>2056266.64</v>
      </c>
      <c r="X1225" s="689">
        <v>1</v>
      </c>
      <c r="Y1225" s="689">
        <v>0</v>
      </c>
      <c r="Z1225" s="691">
        <v>7727768951</v>
      </c>
      <c r="AA1225" s="691" t="s">
        <v>2370</v>
      </c>
      <c r="AB1225" s="111">
        <v>2056000</v>
      </c>
      <c r="AC1225" s="17">
        <v>43266</v>
      </c>
      <c r="AD1225" s="690" t="s">
        <v>8279</v>
      </c>
      <c r="AE1225" s="686">
        <v>43109</v>
      </c>
      <c r="AF1225" s="474"/>
      <c r="AG1225" s="692">
        <v>2056000</v>
      </c>
      <c r="AH1225" s="236">
        <f>IF(Таблица5[[#This Row],[30]]=0,"НД",Таблица5[[#This Row],[20]]-Таблица5[[#This Row],[30]])</f>
        <v>266.63999999989755</v>
      </c>
      <c r="AI1225" s="511">
        <f>IF(((1-Таблица5[[#This Row],[30]]/Таблица5[[#This Row],[20]])=1),"НД",(1-Таблица5[[#This Row],[30]]/Таблица5[[#This Row],[20]]))</f>
        <v>1.2967189897117315E-4</v>
      </c>
      <c r="AJ1225" s="111">
        <v>2056000</v>
      </c>
      <c r="AK1225" s="111"/>
      <c r="AL1225" s="512"/>
      <c r="AM1225" s="513" t="s">
        <v>113</v>
      </c>
      <c r="AN1225" s="801">
        <v>31705901690</v>
      </c>
      <c r="AO1225" s="468" t="str">
        <f>РПЗ!AD1225</f>
        <v>Нет</v>
      </c>
      <c r="AP1225" s="472">
        <f>РПЗ!V1225</f>
        <v>0</v>
      </c>
      <c r="AQ1225" s="470">
        <f>IF(Таблица5[[#This Row],[11]]=0,,MONTH(Таблица5[[#This Row],[11]]))</f>
        <v>12</v>
      </c>
    </row>
    <row r="1226" spans="1:43" ht="39" thickBot="1" x14ac:dyDescent="0.3">
      <c r="A1226" s="978" t="str">
        <f t="shared" si="19"/>
        <v>1004-2017-1211</v>
      </c>
      <c r="B1226" s="233" t="str">
        <f>РПЗ!$D1226</f>
        <v>1004-2017-1211 Поставка Комплект тары и оснастки</v>
      </c>
      <c r="C1226" s="233" t="str">
        <f>РПЗ!$AA1226</f>
        <v>АО "НИИ "Полюс" им. М.Ф. Стельмаха" тел. отдела закупок 8-495-333-05-02</v>
      </c>
      <c r="D1226" s="633" t="str">
        <f>РПЗ!$AB1226</f>
        <v>Заказчик</v>
      </c>
      <c r="E1226" s="510" t="s">
        <v>62</v>
      </c>
      <c r="F1226" s="233" t="str">
        <f>РПЗ!Q1226</f>
        <v>ЕП</v>
      </c>
      <c r="G1226" s="237" t="str">
        <f>Таблица5[[#This Row],[6]]</f>
        <v>ЕП</v>
      </c>
      <c r="H1226" s="237" t="str">
        <f>РПЗ!R1226</f>
        <v>Нет</v>
      </c>
      <c r="I1226" s="15" t="str">
        <f>РПЗ!W1226</f>
        <v>6.6.2(11)</v>
      </c>
      <c r="J1226" s="233" t="str">
        <f>РПЗ!X1226</f>
        <v>7729746311</v>
      </c>
      <c r="K1226" s="283">
        <f>РПЗ!Z1226</f>
        <v>0</v>
      </c>
      <c r="L1226" s="17">
        <v>42969</v>
      </c>
      <c r="M1226" s="18">
        <f>РПЗ!O1226</f>
        <v>42948.5</v>
      </c>
      <c r="N1226" s="238">
        <f>Таблица5[[#This Row],[10]]</f>
        <v>42948.5</v>
      </c>
      <c r="O1226" s="17"/>
      <c r="P1226" s="17"/>
      <c r="Q1226" s="17"/>
      <c r="R1226" s="17"/>
      <c r="S1226" s="17"/>
      <c r="T1226" s="686">
        <v>42970</v>
      </c>
      <c r="U1226" s="18">
        <f>РПЗ!P1226</f>
        <v>42986.5</v>
      </c>
      <c r="V1226" s="686">
        <v>43009</v>
      </c>
      <c r="W1226" s="236">
        <f>РПЗ!L1226</f>
        <v>558320</v>
      </c>
      <c r="X1226" s="689">
        <v>1</v>
      </c>
      <c r="Y1226" s="689">
        <v>0</v>
      </c>
      <c r="Z1226" s="691">
        <v>7729746311</v>
      </c>
      <c r="AA1226" s="691" t="s">
        <v>3305</v>
      </c>
      <c r="AB1226" s="111">
        <v>558320</v>
      </c>
      <c r="AC1226" s="17">
        <v>43009</v>
      </c>
      <c r="AD1226" s="690" t="s">
        <v>485</v>
      </c>
      <c r="AE1226" s="686">
        <v>42970</v>
      </c>
      <c r="AF1226" s="474"/>
      <c r="AG1226" s="692">
        <v>558320</v>
      </c>
      <c r="AH1226" s="236">
        <f>IF(Таблица5[[#This Row],[30]]=0,"НД",Таблица5[[#This Row],[20]]-Таблица5[[#This Row],[30]])</f>
        <v>0</v>
      </c>
      <c r="AI1226" s="511">
        <f>IF(((1-Таблица5[[#This Row],[30]]/Таблица5[[#This Row],[20]])=1),"НД",(1-Таблица5[[#This Row],[30]]/Таблица5[[#This Row],[20]]))</f>
        <v>0</v>
      </c>
      <c r="AJ1226" s="111"/>
      <c r="AK1226" s="111"/>
      <c r="AL1226" s="512"/>
      <c r="AM1226" s="513" t="s">
        <v>113</v>
      </c>
      <c r="AN1226" s="801">
        <v>31705447620</v>
      </c>
      <c r="AO1226" s="468" t="str">
        <f>РПЗ!AD1226</f>
        <v>Нет</v>
      </c>
      <c r="AP1226" s="472" t="str">
        <f>РПЗ!V1226</f>
        <v>ГОЗ</v>
      </c>
      <c r="AQ1226" s="470">
        <f>IF(Таблица5[[#This Row],[11]]=0,,MONTH(Таблица5[[#This Row],[11]]))</f>
        <v>8</v>
      </c>
    </row>
    <row r="1227" spans="1:43" ht="38.25" x14ac:dyDescent="0.25">
      <c r="A1227" s="978" t="str">
        <f t="shared" si="19"/>
        <v>1004-2017-1212</v>
      </c>
      <c r="B1227" s="233" t="str">
        <f>РПЗ!$D1227</f>
        <v>1004-2017-1212 Поставка лампы ИНП 2-3/35</v>
      </c>
      <c r="C1227" s="233" t="str">
        <f>РПЗ!$AA1227</f>
        <v>АО "НИИ "Полюс" им. М.Ф. Стельмаха" тел. отдела закупок 8-495-333-05-02</v>
      </c>
      <c r="D1227" s="633" t="str">
        <f>РПЗ!$AB1227</f>
        <v>Заказчик</v>
      </c>
      <c r="E1227" s="96" t="s">
        <v>46</v>
      </c>
      <c r="F1227" s="233" t="str">
        <f>РПЗ!Q1227</f>
        <v>ЕП</v>
      </c>
      <c r="G1227" s="237"/>
      <c r="H1227" s="237" t="str">
        <f>РПЗ!R1227</f>
        <v>Нет</v>
      </c>
      <c r="I1227" s="15">
        <f>РПЗ!W1227</f>
        <v>0</v>
      </c>
      <c r="J1227" s="233">
        <f>РПЗ!X1227</f>
        <v>0</v>
      </c>
      <c r="K1227" s="283">
        <f>РПЗ!Z1227</f>
        <v>0</v>
      </c>
      <c r="L1227" s="17"/>
      <c r="M1227" s="18">
        <f>РПЗ!O1227</f>
        <v>42948.5</v>
      </c>
      <c r="N1227" s="238">
        <f>Таблица5[[#This Row],[10]]</f>
        <v>42948.5</v>
      </c>
      <c r="O1227" s="17"/>
      <c r="P1227" s="17"/>
      <c r="Q1227" s="17"/>
      <c r="R1227" s="17"/>
      <c r="S1227" s="17"/>
      <c r="T1227" s="686"/>
      <c r="U1227" s="18">
        <f>РПЗ!P1227</f>
        <v>43100.5</v>
      </c>
      <c r="V1227" s="686"/>
      <c r="W1227" s="236">
        <f>РПЗ!L1227</f>
        <v>252589.62</v>
      </c>
      <c r="X1227" s="689"/>
      <c r="Y1227" s="689"/>
      <c r="Z1227" s="690"/>
      <c r="AA1227" s="691"/>
      <c r="AB1227" s="111"/>
      <c r="AC1227" s="17"/>
      <c r="AD1227" s="690"/>
      <c r="AE1227" s="686"/>
      <c r="AF1227" s="474"/>
      <c r="AG1227" s="692"/>
      <c r="AH1227" s="236" t="str">
        <f>IF(Таблица5[[#This Row],[30]]=0,"НД",Таблица5[[#This Row],[20]]-Таблица5[[#This Row],[30]])</f>
        <v>НД</v>
      </c>
      <c r="AI1227" s="511" t="str">
        <f>IF(((1-Таблица5[[#This Row],[30]]/Таблица5[[#This Row],[20]])=1),"НД",(1-Таблица5[[#This Row],[30]]/Таблица5[[#This Row],[20]]))</f>
        <v>НД</v>
      </c>
      <c r="AJ1227" s="111"/>
      <c r="AK1227" s="111"/>
      <c r="AL1227" s="512"/>
      <c r="AM1227" s="513"/>
      <c r="AN1227" s="465"/>
      <c r="AO1227" s="468" t="str">
        <f>РПЗ!AD1227</f>
        <v>Нет</v>
      </c>
      <c r="AP1227" s="472">
        <f>РПЗ!V1227</f>
        <v>0</v>
      </c>
      <c r="AQ1227" s="470">
        <f>IF(Таблица5[[#This Row],[11]]=0,,MONTH(Таблица5[[#This Row],[11]]))</f>
        <v>8</v>
      </c>
    </row>
    <row r="1228" spans="1:43" ht="51.75" thickBot="1" x14ac:dyDescent="0.3">
      <c r="A1228" s="978" t="str">
        <f t="shared" si="19"/>
        <v>1004-2017-1213</v>
      </c>
      <c r="B1228" s="233" t="str">
        <f>РПЗ!$D1228</f>
        <v>1004-2017-1213 Поставка Электротехнические изделия</v>
      </c>
      <c r="C1228" s="233" t="str">
        <f>РПЗ!$AA1228</f>
        <v>АО "НИИ "Полюс" им. М.Ф. Стельмаха" тел. отдела закупок 8-495-333-05-02</v>
      </c>
      <c r="D1228" s="633" t="str">
        <f>РПЗ!$AB1228</f>
        <v>Заказчик</v>
      </c>
      <c r="E1228" s="510" t="s">
        <v>62</v>
      </c>
      <c r="F1228" s="233" t="str">
        <f>РПЗ!Q1228</f>
        <v>ОЗК</v>
      </c>
      <c r="G1228" s="237" t="str">
        <f>Таблица5[[#This Row],[6]]</f>
        <v>ОЗК</v>
      </c>
      <c r="H1228" s="237" t="str">
        <f>РПЗ!R1228</f>
        <v>Да</v>
      </c>
      <c r="I1228" s="15">
        <f>РПЗ!W1228</f>
        <v>0</v>
      </c>
      <c r="J1228" s="233">
        <f>РПЗ!X1228</f>
        <v>0</v>
      </c>
      <c r="K1228" s="283">
        <f>РПЗ!Z1228</f>
        <v>0</v>
      </c>
      <c r="L1228" s="17">
        <v>42961</v>
      </c>
      <c r="M1228" s="18">
        <f>РПЗ!O1228</f>
        <v>42948.5</v>
      </c>
      <c r="N1228" s="238">
        <f>Таблица5[[#This Row],[10]]</f>
        <v>42948.5</v>
      </c>
      <c r="O1228" s="17">
        <v>42969</v>
      </c>
      <c r="P1228" s="17">
        <v>42976</v>
      </c>
      <c r="Q1228" s="17">
        <v>42976</v>
      </c>
      <c r="R1228" s="17">
        <v>42975</v>
      </c>
      <c r="S1228" s="17">
        <v>42975</v>
      </c>
      <c r="T1228" s="686">
        <v>42993</v>
      </c>
      <c r="U1228" s="18">
        <f>РПЗ!P1228</f>
        <v>42979.5</v>
      </c>
      <c r="V1228" s="686">
        <v>43070</v>
      </c>
      <c r="W1228" s="236">
        <f>РПЗ!L1228</f>
        <v>1573514.22</v>
      </c>
      <c r="X1228" s="689">
        <v>7</v>
      </c>
      <c r="Y1228" s="689">
        <v>0</v>
      </c>
      <c r="Z1228" s="691">
        <v>7720248167</v>
      </c>
      <c r="AA1228" s="691" t="s">
        <v>6820</v>
      </c>
      <c r="AB1228" s="111">
        <v>857717.99</v>
      </c>
      <c r="AC1228" s="17">
        <v>43070</v>
      </c>
      <c r="AD1228" s="690" t="s">
        <v>7195</v>
      </c>
      <c r="AE1228" s="686">
        <v>42993</v>
      </c>
      <c r="AF1228" s="474"/>
      <c r="AG1228" s="692">
        <v>857717.99</v>
      </c>
      <c r="AH1228" s="236">
        <f>IF(Таблица5[[#This Row],[30]]=0,"НД",Таблица5[[#This Row],[20]]-Таблица5[[#This Row],[30]])</f>
        <v>715796.23</v>
      </c>
      <c r="AI1228" s="511">
        <f>IF(((1-Таблица5[[#This Row],[30]]/Таблица5[[#This Row],[20]])=1),"НД",(1-Таблица5[[#This Row],[30]]/Таблица5[[#This Row],[20]]))</f>
        <v>0.4549029305880693</v>
      </c>
      <c r="AJ1228" s="111">
        <v>857717.99</v>
      </c>
      <c r="AK1228" s="111"/>
      <c r="AL1228" s="512"/>
      <c r="AM1228" s="513" t="s">
        <v>113</v>
      </c>
      <c r="AN1228" s="801">
        <v>31705419368</v>
      </c>
      <c r="AO1228" s="468" t="str">
        <f>РПЗ!AD1228</f>
        <v>Нет</v>
      </c>
      <c r="AP1228" s="472">
        <f>РПЗ!V1228</f>
        <v>0</v>
      </c>
      <c r="AQ1228" s="470">
        <f>IF(Таблица5[[#This Row],[11]]=0,,MONTH(Таблица5[[#This Row],[11]]))</f>
        <v>8</v>
      </c>
    </row>
    <row r="1229" spans="1:43" ht="39" thickBot="1" x14ac:dyDescent="0.3">
      <c r="A1229" s="978" t="str">
        <f t="shared" si="19"/>
        <v>1004-2017-1214</v>
      </c>
      <c r="B1229" s="233" t="str">
        <f>РПЗ!$D1229</f>
        <v>1004-2017-1214 Поставка Металлические сплавы</v>
      </c>
      <c r="C1229" s="233" t="str">
        <f>РПЗ!$AA1229</f>
        <v>АО "НИИ "Полюс" им. М.Ф. Стельмаха" тел. отдела закупок 8-495-333-05-02</v>
      </c>
      <c r="D1229" s="633" t="str">
        <f>РПЗ!$AB1229</f>
        <v>Заказчик</v>
      </c>
      <c r="E1229" s="96" t="s">
        <v>46</v>
      </c>
      <c r="F1229" s="233" t="str">
        <f>РПЗ!Q1229</f>
        <v>ОЗК</v>
      </c>
      <c r="G1229" s="237"/>
      <c r="H1229" s="237" t="str">
        <f>РПЗ!R1229</f>
        <v>Да</v>
      </c>
      <c r="I1229" s="15">
        <f>РПЗ!W1229</f>
        <v>0</v>
      </c>
      <c r="J1229" s="233">
        <f>РПЗ!X1229</f>
        <v>0</v>
      </c>
      <c r="K1229" s="283">
        <f>РПЗ!Z1229</f>
        <v>0</v>
      </c>
      <c r="L1229" s="17"/>
      <c r="M1229" s="18">
        <f>РПЗ!O1229</f>
        <v>42948.5</v>
      </c>
      <c r="N1229" s="238">
        <f>Таблица5[[#This Row],[10]]</f>
        <v>42948.5</v>
      </c>
      <c r="O1229" s="17"/>
      <c r="P1229" s="17"/>
      <c r="Q1229" s="17"/>
      <c r="R1229" s="17"/>
      <c r="S1229" s="17"/>
      <c r="T1229" s="686"/>
      <c r="U1229" s="18">
        <f>РПЗ!P1229</f>
        <v>42979.5</v>
      </c>
      <c r="V1229" s="686"/>
      <c r="W1229" s="236">
        <f>РПЗ!L1229</f>
        <v>44562.78</v>
      </c>
      <c r="X1229" s="689"/>
      <c r="Y1229" s="689"/>
      <c r="Z1229" s="690"/>
      <c r="AA1229" s="691"/>
      <c r="AB1229" s="111"/>
      <c r="AC1229" s="17"/>
      <c r="AD1229" s="690"/>
      <c r="AE1229" s="686"/>
      <c r="AF1229" s="474"/>
      <c r="AG1229" s="692"/>
      <c r="AH1229" s="236" t="str">
        <f>IF(Таблица5[[#This Row],[30]]=0,"НД",Таблица5[[#This Row],[20]]-Таблица5[[#This Row],[30]])</f>
        <v>НД</v>
      </c>
      <c r="AI1229" s="511" t="str">
        <f>IF(((1-Таблица5[[#This Row],[30]]/Таблица5[[#This Row],[20]])=1),"НД",(1-Таблица5[[#This Row],[30]]/Таблица5[[#This Row],[20]]))</f>
        <v>НД</v>
      </c>
      <c r="AJ1229" s="111"/>
      <c r="AK1229" s="111"/>
      <c r="AL1229" s="512"/>
      <c r="AM1229" s="513"/>
      <c r="AN1229" s="465"/>
      <c r="AO1229" s="468" t="str">
        <f>РПЗ!AD1229</f>
        <v>Нет</v>
      </c>
      <c r="AP1229" s="472">
        <f>РПЗ!V1229</f>
        <v>0</v>
      </c>
      <c r="AQ1229" s="470">
        <f>IF(Таблица5[[#This Row],[11]]=0,,MONTH(Таблица5[[#This Row],[11]]))</f>
        <v>8</v>
      </c>
    </row>
    <row r="1230" spans="1:43" ht="39" thickBot="1" x14ac:dyDescent="0.3">
      <c r="A1230" s="978" t="str">
        <f t="shared" si="19"/>
        <v>1004-2017-1215</v>
      </c>
      <c r="B1230" s="233" t="str">
        <f>РПЗ!$D1230</f>
        <v>1004-2017-1215 Поставка Электротехнические изделия</v>
      </c>
      <c r="C1230" s="233" t="str">
        <f>РПЗ!$AA1230</f>
        <v>АО "НИИ "Полюс" им. М.Ф. Стельмаха" тел. отдела закупок 8-495-333-05-02</v>
      </c>
      <c r="D1230" s="633" t="str">
        <f>РПЗ!$AB1230</f>
        <v>Заказчик</v>
      </c>
      <c r="E1230" s="96" t="s">
        <v>46</v>
      </c>
      <c r="F1230" s="233" t="str">
        <f>РПЗ!Q1230</f>
        <v>ОЗК</v>
      </c>
      <c r="G1230" s="237"/>
      <c r="H1230" s="237" t="str">
        <f>РПЗ!R1230</f>
        <v>Да</v>
      </c>
      <c r="I1230" s="15">
        <f>РПЗ!W1230</f>
        <v>0</v>
      </c>
      <c r="J1230" s="233">
        <f>РПЗ!X1230</f>
        <v>0</v>
      </c>
      <c r="K1230" s="283">
        <f>РПЗ!Z1230</f>
        <v>0</v>
      </c>
      <c r="L1230" s="17"/>
      <c r="M1230" s="18">
        <f>РПЗ!O1230</f>
        <v>42948.5</v>
      </c>
      <c r="N1230" s="238">
        <f>Таблица5[[#This Row],[10]]</f>
        <v>42948.5</v>
      </c>
      <c r="O1230" s="17"/>
      <c r="P1230" s="17"/>
      <c r="Q1230" s="17"/>
      <c r="R1230" s="17"/>
      <c r="S1230" s="17"/>
      <c r="T1230" s="686"/>
      <c r="U1230" s="18">
        <f>РПЗ!P1230</f>
        <v>42979.5</v>
      </c>
      <c r="V1230" s="686"/>
      <c r="W1230" s="236">
        <f>РПЗ!L1230</f>
        <v>210329.18</v>
      </c>
      <c r="X1230" s="689"/>
      <c r="Y1230" s="689"/>
      <c r="Z1230" s="690"/>
      <c r="AA1230" s="691"/>
      <c r="AB1230" s="111"/>
      <c r="AC1230" s="17"/>
      <c r="AD1230" s="690"/>
      <c r="AE1230" s="686"/>
      <c r="AF1230" s="474"/>
      <c r="AG1230" s="692"/>
      <c r="AH1230" s="236" t="str">
        <f>IF(Таблица5[[#This Row],[30]]=0,"НД",Таблица5[[#This Row],[20]]-Таблица5[[#This Row],[30]])</f>
        <v>НД</v>
      </c>
      <c r="AI1230" s="511" t="str">
        <f>IF(((1-Таблица5[[#This Row],[30]]/Таблица5[[#This Row],[20]])=1),"НД",(1-Таблица5[[#This Row],[30]]/Таблица5[[#This Row],[20]]))</f>
        <v>НД</v>
      </c>
      <c r="AJ1230" s="111"/>
      <c r="AK1230" s="111"/>
      <c r="AL1230" s="512"/>
      <c r="AM1230" s="513"/>
      <c r="AN1230" s="465"/>
      <c r="AO1230" s="468" t="str">
        <f>РПЗ!AD1230</f>
        <v>Нет</v>
      </c>
      <c r="AP1230" s="472">
        <f>РПЗ!V1230</f>
        <v>0</v>
      </c>
      <c r="AQ1230" s="470">
        <f>IF(Таблица5[[#This Row],[11]]=0,,MONTH(Таблица5[[#This Row],[11]]))</f>
        <v>8</v>
      </c>
    </row>
    <row r="1231" spans="1:43" ht="38.25" x14ac:dyDescent="0.25">
      <c r="A1231" s="978" t="str">
        <f t="shared" si="19"/>
        <v>1004-2017-1216</v>
      </c>
      <c r="B1231" s="233" t="str">
        <f>РПЗ!$D1231</f>
        <v>1004-2017-1216 Поставка Электротехнические изделия</v>
      </c>
      <c r="C1231" s="233" t="str">
        <f>РПЗ!$AA1231</f>
        <v>АО "НИИ "Полюс" им. М.Ф. Стельмаха" тел. отдела закупок 8-495-333-05-02</v>
      </c>
      <c r="D1231" s="633" t="str">
        <f>РПЗ!$AB1231</f>
        <v>Заказчик</v>
      </c>
      <c r="E1231" s="96" t="s">
        <v>46</v>
      </c>
      <c r="F1231" s="233" t="str">
        <f>РПЗ!Q1231</f>
        <v>ОЗК</v>
      </c>
      <c r="G1231" s="237"/>
      <c r="H1231" s="237" t="str">
        <f>РПЗ!R1231</f>
        <v>Да</v>
      </c>
      <c r="I1231" s="15">
        <f>РПЗ!W1231</f>
        <v>0</v>
      </c>
      <c r="J1231" s="233">
        <f>РПЗ!X1231</f>
        <v>0</v>
      </c>
      <c r="K1231" s="283">
        <f>РПЗ!Z1231</f>
        <v>0</v>
      </c>
      <c r="L1231" s="17"/>
      <c r="M1231" s="18">
        <f>РПЗ!O1231</f>
        <v>42948.5</v>
      </c>
      <c r="N1231" s="238">
        <f>Таблица5[[#This Row],[10]]</f>
        <v>42948.5</v>
      </c>
      <c r="O1231" s="17"/>
      <c r="P1231" s="17"/>
      <c r="Q1231" s="17"/>
      <c r="R1231" s="17"/>
      <c r="S1231" s="17"/>
      <c r="T1231" s="686"/>
      <c r="U1231" s="18">
        <f>РПЗ!P1231</f>
        <v>42979.5</v>
      </c>
      <c r="V1231" s="686"/>
      <c r="W1231" s="236">
        <f>РПЗ!L1231</f>
        <v>172082.91</v>
      </c>
      <c r="X1231" s="689"/>
      <c r="Y1231" s="689"/>
      <c r="Z1231" s="690"/>
      <c r="AA1231" s="691"/>
      <c r="AB1231" s="111"/>
      <c r="AC1231" s="17"/>
      <c r="AD1231" s="690"/>
      <c r="AE1231" s="686"/>
      <c r="AF1231" s="474"/>
      <c r="AG1231" s="692"/>
      <c r="AH1231" s="236" t="str">
        <f>IF(Таблица5[[#This Row],[30]]=0,"НД",Таблица5[[#This Row],[20]]-Таблица5[[#This Row],[30]])</f>
        <v>НД</v>
      </c>
      <c r="AI1231" s="511" t="str">
        <f>IF(((1-Таблица5[[#This Row],[30]]/Таблица5[[#This Row],[20]])=1),"НД",(1-Таблица5[[#This Row],[30]]/Таблица5[[#This Row],[20]]))</f>
        <v>НД</v>
      </c>
      <c r="AJ1231" s="111"/>
      <c r="AK1231" s="111"/>
      <c r="AL1231" s="512"/>
      <c r="AM1231" s="513"/>
      <c r="AN1231" s="465"/>
      <c r="AO1231" s="468" t="str">
        <f>РПЗ!AD1231</f>
        <v>Нет</v>
      </c>
      <c r="AP1231" s="472">
        <f>РПЗ!V1231</f>
        <v>0</v>
      </c>
      <c r="AQ1231" s="470">
        <f>IF(Таблица5[[#This Row],[11]]=0,,MONTH(Таблица5[[#This Row],[11]]))</f>
        <v>8</v>
      </c>
    </row>
    <row r="1232" spans="1:43" ht="38.25" x14ac:dyDescent="0.25">
      <c r="A1232" s="978" t="str">
        <f t="shared" si="19"/>
        <v>1004-2017-1217</v>
      </c>
      <c r="B1232" s="233" t="str">
        <f>РПЗ!$D1232</f>
        <v>1004-2017-1217 Поставка Светотехнические изделия</v>
      </c>
      <c r="C1232" s="233" t="str">
        <f>РПЗ!$AA1232</f>
        <v>АО "НИИ "Полюс" им. М.Ф. Стельмаха" тел. отдела закупок 8-495-333-05-02</v>
      </c>
      <c r="D1232" s="633" t="str">
        <f>РПЗ!$AB1232</f>
        <v>Заказчик</v>
      </c>
      <c r="E1232" s="510" t="s">
        <v>62</v>
      </c>
      <c r="F1232" s="233" t="str">
        <f>РПЗ!Q1232</f>
        <v>ОЗК</v>
      </c>
      <c r="G1232" s="237" t="str">
        <f>Таблица5[[#This Row],[6]]</f>
        <v>ОЗК</v>
      </c>
      <c r="H1232" s="237" t="str">
        <f>РПЗ!R1232</f>
        <v>Да</v>
      </c>
      <c r="I1232" s="15">
        <f>РПЗ!W1232</f>
        <v>0</v>
      </c>
      <c r="J1232" s="233">
        <f>РПЗ!X1232</f>
        <v>0</v>
      </c>
      <c r="K1232" s="283">
        <f>РПЗ!Z1232</f>
        <v>0</v>
      </c>
      <c r="L1232" s="17">
        <v>42969</v>
      </c>
      <c r="M1232" s="18">
        <f>РПЗ!O1232</f>
        <v>42948.5</v>
      </c>
      <c r="N1232" s="238">
        <f>Таблица5[[#This Row],[10]]</f>
        <v>42948.5</v>
      </c>
      <c r="O1232" s="17">
        <v>42976</v>
      </c>
      <c r="P1232" s="17">
        <v>42982</v>
      </c>
      <c r="Q1232" s="17">
        <v>42982</v>
      </c>
      <c r="R1232" s="17">
        <v>42977</v>
      </c>
      <c r="S1232" s="17">
        <v>42977</v>
      </c>
      <c r="T1232" s="686">
        <v>42989</v>
      </c>
      <c r="U1232" s="18">
        <f>РПЗ!P1232</f>
        <v>42979.5</v>
      </c>
      <c r="V1232" s="686">
        <v>42998</v>
      </c>
      <c r="W1232" s="236">
        <f>РПЗ!L1232</f>
        <v>174635.99</v>
      </c>
      <c r="X1232" s="689">
        <v>5</v>
      </c>
      <c r="Y1232" s="689">
        <v>0</v>
      </c>
      <c r="Z1232" s="691">
        <v>5036033168</v>
      </c>
      <c r="AA1232" s="691" t="s">
        <v>7196</v>
      </c>
      <c r="AB1232" s="111">
        <v>112616.84</v>
      </c>
      <c r="AC1232" s="17">
        <v>42998</v>
      </c>
      <c r="AD1232" s="690" t="s">
        <v>7197</v>
      </c>
      <c r="AE1232" s="686">
        <v>42989</v>
      </c>
      <c r="AF1232" s="474"/>
      <c r="AG1232" s="692">
        <v>112616.84</v>
      </c>
      <c r="AH1232" s="236">
        <f>IF(Таблица5[[#This Row],[30]]=0,"НД",Таблица5[[#This Row],[20]]-Таблица5[[#This Row],[30]])</f>
        <v>62019.149999999994</v>
      </c>
      <c r="AI1232" s="511">
        <f>IF(((1-Таблица5[[#This Row],[30]]/Таблица5[[#This Row],[20]])=1),"НД",(1-Таблица5[[#This Row],[30]]/Таблица5[[#This Row],[20]]))</f>
        <v>0.35513384154091032</v>
      </c>
      <c r="AJ1232" s="111"/>
      <c r="AK1232" s="111"/>
      <c r="AL1232" s="512"/>
      <c r="AM1232" s="513" t="s">
        <v>113</v>
      </c>
      <c r="AN1232" s="801">
        <v>31705445192</v>
      </c>
      <c r="AO1232" s="468" t="str">
        <f>РПЗ!AD1232</f>
        <v>Нет</v>
      </c>
      <c r="AP1232" s="472">
        <f>РПЗ!V1232</f>
        <v>0</v>
      </c>
      <c r="AQ1232" s="470">
        <f>IF(Таблица5[[#This Row],[11]]=0,,MONTH(Таблица5[[#This Row],[11]]))</f>
        <v>8</v>
      </c>
    </row>
    <row r="1233" spans="1:43" ht="39" thickBot="1" x14ac:dyDescent="0.3">
      <c r="A1233" s="978" t="str">
        <f t="shared" si="19"/>
        <v>1004-2017-1218</v>
      </c>
      <c r="B1233" s="233" t="str">
        <f>РПЗ!$D1233</f>
        <v>1004-2017-1218 Поставка Расходные материалы для монтажа сплит-систем</v>
      </c>
      <c r="C1233" s="233" t="str">
        <f>РПЗ!$AA1233</f>
        <v>АО "НИИ "Полюс" им. М.Ф. Стельмаха" тел. отдела закупок 8-495-333-05-02</v>
      </c>
      <c r="D1233" s="633" t="str">
        <f>РПЗ!$AB1233</f>
        <v>Заказчик</v>
      </c>
      <c r="E1233" s="510" t="s">
        <v>62</v>
      </c>
      <c r="F1233" s="233" t="str">
        <f>РПЗ!Q1233</f>
        <v>ОЗК</v>
      </c>
      <c r="G1233" s="237" t="str">
        <f>Таблица5[[#This Row],[6]]</f>
        <v>ОЗК</v>
      </c>
      <c r="H1233" s="237" t="str">
        <f>РПЗ!R1233</f>
        <v>Да</v>
      </c>
      <c r="I1233" s="15">
        <f>РПЗ!W1233</f>
        <v>0</v>
      </c>
      <c r="J1233" s="233">
        <f>РПЗ!X1233</f>
        <v>0</v>
      </c>
      <c r="K1233" s="283">
        <f>РПЗ!Z1233</f>
        <v>0</v>
      </c>
      <c r="L1233" s="17">
        <v>42969</v>
      </c>
      <c r="M1233" s="18">
        <f>РПЗ!O1233</f>
        <v>42948.5</v>
      </c>
      <c r="N1233" s="238">
        <f>Таблица5[[#This Row],[10]]</f>
        <v>42948.5</v>
      </c>
      <c r="O1233" s="17">
        <v>42976</v>
      </c>
      <c r="P1233" s="17">
        <v>42982</v>
      </c>
      <c r="Q1233" s="17">
        <v>42982</v>
      </c>
      <c r="R1233" s="17">
        <v>42976</v>
      </c>
      <c r="S1233" s="17">
        <v>42976</v>
      </c>
      <c r="T1233" s="686">
        <v>42996</v>
      </c>
      <c r="U1233" s="18">
        <f>РПЗ!P1233</f>
        <v>42979.5</v>
      </c>
      <c r="V1233" s="686">
        <v>43070</v>
      </c>
      <c r="W1233" s="236">
        <f>РПЗ!L1233</f>
        <v>99188.19</v>
      </c>
      <c r="X1233" s="689">
        <v>1</v>
      </c>
      <c r="Y1233" s="689">
        <v>0</v>
      </c>
      <c r="Z1233" s="691">
        <v>7705579703</v>
      </c>
      <c r="AA1233" s="691" t="s">
        <v>3287</v>
      </c>
      <c r="AB1233" s="111">
        <v>98705.84</v>
      </c>
      <c r="AC1233" s="17">
        <v>43070</v>
      </c>
      <c r="AD1233" s="690" t="s">
        <v>7198</v>
      </c>
      <c r="AE1233" s="686">
        <v>42996</v>
      </c>
      <c r="AF1233" s="474"/>
      <c r="AG1233" s="692">
        <v>98705.84</v>
      </c>
      <c r="AH1233" s="236">
        <f>IF(Таблица5[[#This Row],[30]]=0,"НД",Таблица5[[#This Row],[20]]-Таблица5[[#This Row],[30]])</f>
        <v>482.35000000000582</v>
      </c>
      <c r="AI1233" s="511">
        <f>IF(((1-Таблица5[[#This Row],[30]]/Таблица5[[#This Row],[20]])=1),"НД",(1-Таблица5[[#This Row],[30]]/Таблица5[[#This Row],[20]]))</f>
        <v>4.8629781428616292E-3</v>
      </c>
      <c r="AJ1233" s="111">
        <v>98705.84</v>
      </c>
      <c r="AK1233" s="111"/>
      <c r="AL1233" s="512"/>
      <c r="AM1233" s="513" t="s">
        <v>113</v>
      </c>
      <c r="AN1233" s="801">
        <v>31705445203</v>
      </c>
      <c r="AO1233" s="468" t="str">
        <f>РПЗ!AD1233</f>
        <v>Нет</v>
      </c>
      <c r="AP1233" s="472">
        <f>РПЗ!V1233</f>
        <v>0</v>
      </c>
      <c r="AQ1233" s="470">
        <f>IF(Таблица5[[#This Row],[11]]=0,,MONTH(Таблица5[[#This Row],[11]]))</f>
        <v>8</v>
      </c>
    </row>
    <row r="1234" spans="1:43" ht="63.75" x14ac:dyDescent="0.25">
      <c r="A1234" s="978" t="str">
        <f t="shared" si="19"/>
        <v>1004-2017-1219</v>
      </c>
      <c r="B1234" s="233" t="str">
        <f>РПЗ!$D1234</f>
        <v>1004-2017-1219 Выполнение услуг по Сервисному обслуживанию  и поставке запасных частей на безмаслянном компрессоре Calllisto 46</v>
      </c>
      <c r="C1234" s="233" t="str">
        <f>РПЗ!$AA1234</f>
        <v>АО "НИИ "Полюс" им. М.Ф. Стельмаха" тел. отдела закупок 8-495-333-05-02</v>
      </c>
      <c r="D1234" s="633" t="str">
        <f>РПЗ!$AB1234</f>
        <v>Заказчик</v>
      </c>
      <c r="E1234" s="96" t="s">
        <v>46</v>
      </c>
      <c r="F1234" s="233" t="str">
        <f>РПЗ!Q1234</f>
        <v>ОЗК</v>
      </c>
      <c r="G1234" s="237"/>
      <c r="H1234" s="237" t="str">
        <f>РПЗ!R1234</f>
        <v>Да</v>
      </c>
      <c r="I1234" s="15">
        <f>РПЗ!W1234</f>
        <v>0</v>
      </c>
      <c r="J1234" s="233">
        <f>РПЗ!X1234</f>
        <v>0</v>
      </c>
      <c r="K1234" s="283">
        <f>РПЗ!Z1234</f>
        <v>0</v>
      </c>
      <c r="L1234" s="17"/>
      <c r="M1234" s="18">
        <f>РПЗ!O1234</f>
        <v>42948.5</v>
      </c>
      <c r="N1234" s="238">
        <f>Таблица5[[#This Row],[10]]</f>
        <v>42948.5</v>
      </c>
      <c r="O1234" s="17"/>
      <c r="P1234" s="17"/>
      <c r="Q1234" s="17"/>
      <c r="R1234" s="17"/>
      <c r="S1234" s="17"/>
      <c r="T1234" s="686"/>
      <c r="U1234" s="18">
        <f>РПЗ!P1234</f>
        <v>42948.5</v>
      </c>
      <c r="V1234" s="686"/>
      <c r="W1234" s="236">
        <f>РПЗ!L1234</f>
        <v>396035</v>
      </c>
      <c r="X1234" s="689"/>
      <c r="Y1234" s="689"/>
      <c r="Z1234" s="690"/>
      <c r="AA1234" s="691"/>
      <c r="AB1234" s="111"/>
      <c r="AC1234" s="17"/>
      <c r="AD1234" s="690"/>
      <c r="AE1234" s="686"/>
      <c r="AF1234" s="474"/>
      <c r="AG1234" s="692"/>
      <c r="AH1234" s="236" t="str">
        <f>IF(Таблица5[[#This Row],[30]]=0,"НД",Таблица5[[#This Row],[20]]-Таблица5[[#This Row],[30]])</f>
        <v>НД</v>
      </c>
      <c r="AI1234" s="511" t="str">
        <f>IF(((1-Таблица5[[#This Row],[30]]/Таблица5[[#This Row],[20]])=1),"НД",(1-Таблица5[[#This Row],[30]]/Таблица5[[#This Row],[20]]))</f>
        <v>НД</v>
      </c>
      <c r="AJ1234" s="111"/>
      <c r="AK1234" s="111"/>
      <c r="AL1234" s="512"/>
      <c r="AM1234" s="513"/>
      <c r="AN1234" s="465"/>
      <c r="AO1234" s="468" t="str">
        <f>РПЗ!AD1234</f>
        <v>Нет</v>
      </c>
      <c r="AP1234" s="472">
        <f>РПЗ!V1234</f>
        <v>0</v>
      </c>
      <c r="AQ1234" s="470">
        <f>IF(Таблица5[[#This Row],[11]]=0,,MONTH(Таблица5[[#This Row],[11]]))</f>
        <v>8</v>
      </c>
    </row>
    <row r="1235" spans="1:43" ht="229.5" x14ac:dyDescent="0.25">
      <c r="A1235" s="978" t="str">
        <f t="shared" si="19"/>
        <v>1004-2017-1220</v>
      </c>
      <c r="B1235" s="233" t="str">
        <f>РПЗ!$D1235</f>
        <v>1004-2017-1220 Выполнение комплекса демонтажных и монтажных общестроительных, электромонтажных, измерительных и испытательных, а также пуско-наладочных работ в ходе устройства декоративных подвесных потолков, капитальный ремонт систем рабочего/дежурного/аварийного электроосвещения в общепроходных коридорах, лестничных клетках и маршах расположенных в строительных объемах этажей 1,2 здания Энергетического корпуса (ЭК)., расположенного по адресу: г.Москва, ул.Введенского, д.3, корп.1.</v>
      </c>
      <c r="C1235" s="233" t="str">
        <f>РПЗ!$AA1235</f>
        <v>АО "НИИ "Полюс" им. М.Ф. Стельмаха" тел. отдела закупок 8-495-333-05-02</v>
      </c>
      <c r="D1235" s="633" t="str">
        <f>РПЗ!$AB1235</f>
        <v>Заказчик</v>
      </c>
      <c r="E1235" s="510" t="s">
        <v>62</v>
      </c>
      <c r="F1235" s="233" t="str">
        <f>РПЗ!Q1235</f>
        <v>ОЗК</v>
      </c>
      <c r="G1235" s="237" t="str">
        <f>Таблица5[[#This Row],[6]]</f>
        <v>ОЗК</v>
      </c>
      <c r="H1235" s="237" t="str">
        <f>РПЗ!R1235</f>
        <v>Да</v>
      </c>
      <c r="I1235" s="15">
        <f>РПЗ!W1235</f>
        <v>0</v>
      </c>
      <c r="J1235" s="233">
        <f>РПЗ!X1235</f>
        <v>0</v>
      </c>
      <c r="K1235" s="283">
        <f>РПЗ!Z1235</f>
        <v>0</v>
      </c>
      <c r="L1235" s="17">
        <v>42969</v>
      </c>
      <c r="M1235" s="18">
        <f>РПЗ!O1235</f>
        <v>42948.5</v>
      </c>
      <c r="N1235" s="238">
        <f>Таблица5[[#This Row],[10]]</f>
        <v>42948.5</v>
      </c>
      <c r="O1235" s="17">
        <v>42976</v>
      </c>
      <c r="P1235" s="17">
        <v>42982</v>
      </c>
      <c r="Q1235" s="17">
        <v>42982</v>
      </c>
      <c r="R1235" s="17">
        <v>42976</v>
      </c>
      <c r="S1235" s="17">
        <v>42976</v>
      </c>
      <c r="T1235" s="686">
        <v>42996</v>
      </c>
      <c r="U1235" s="18">
        <f>РПЗ!P1235</f>
        <v>43009.5</v>
      </c>
      <c r="V1235" s="686">
        <v>43009</v>
      </c>
      <c r="W1235" s="236">
        <f>РПЗ!L1235</f>
        <v>4961895.79</v>
      </c>
      <c r="X1235" s="689">
        <v>4</v>
      </c>
      <c r="Y1235" s="689">
        <v>0</v>
      </c>
      <c r="Z1235" s="691">
        <v>7743710050</v>
      </c>
      <c r="AA1235" s="691" t="s">
        <v>7199</v>
      </c>
      <c r="AB1235" s="111">
        <v>3567652.08</v>
      </c>
      <c r="AC1235" s="17">
        <v>43009</v>
      </c>
      <c r="AD1235" s="690" t="s">
        <v>7200</v>
      </c>
      <c r="AE1235" s="686">
        <v>42996</v>
      </c>
      <c r="AF1235" s="474"/>
      <c r="AG1235" s="692">
        <v>3567652.08</v>
      </c>
      <c r="AH1235" s="236">
        <f>IF(Таблица5[[#This Row],[30]]=0,"НД",Таблица5[[#This Row],[20]]-Таблица5[[#This Row],[30]])</f>
        <v>1394243.71</v>
      </c>
      <c r="AI1235" s="511">
        <f>IF(((1-Таблица5[[#This Row],[30]]/Таблица5[[#This Row],[20]])=1),"НД",(1-Таблица5[[#This Row],[30]]/Таблица5[[#This Row],[20]]))</f>
        <v>0.28099012333348494</v>
      </c>
      <c r="AJ1235" s="111">
        <v>3567652.08</v>
      </c>
      <c r="AK1235" s="111"/>
      <c r="AL1235" s="512"/>
      <c r="AM1235" s="513" t="s">
        <v>113</v>
      </c>
      <c r="AN1235" s="801">
        <v>31705445153</v>
      </c>
      <c r="AO1235" s="468" t="str">
        <f>РПЗ!AD1235</f>
        <v>Нет</v>
      </c>
      <c r="AP1235" s="472">
        <f>РПЗ!V1235</f>
        <v>0</v>
      </c>
      <c r="AQ1235" s="470">
        <f>IF(Таблица5[[#This Row],[11]]=0,,MONTH(Таблица5[[#This Row],[11]]))</f>
        <v>8</v>
      </c>
    </row>
    <row r="1236" spans="1:43" ht="39" thickBot="1" x14ac:dyDescent="0.3">
      <c r="A1236" s="978" t="str">
        <f t="shared" si="19"/>
        <v>1004-2017-1221</v>
      </c>
      <c r="B1236" s="233" t="str">
        <f>РПЗ!$D1236</f>
        <v>1004-2017-1221 Поставка изотопов гелия и неона</v>
      </c>
      <c r="C1236" s="233" t="str">
        <f>РПЗ!$AA1236</f>
        <v>АО "НИИ "Полюс" им. М.Ф. Стельмаха" тел. отдела закупок 8-495-333-05-02</v>
      </c>
      <c r="D1236" s="633" t="str">
        <f>РПЗ!$AB1236</f>
        <v>Заказчик</v>
      </c>
      <c r="E1236" s="510" t="s">
        <v>62</v>
      </c>
      <c r="F1236" s="233" t="str">
        <f>РПЗ!Q1236</f>
        <v>ЕП</v>
      </c>
      <c r="G1236" s="237" t="str">
        <f>Таблица5[[#This Row],[6]]</f>
        <v>ЕП</v>
      </c>
      <c r="H1236" s="237" t="str">
        <f>РПЗ!R1236</f>
        <v>Нет</v>
      </c>
      <c r="I1236" s="15" t="str">
        <f>РПЗ!W1236</f>
        <v>6.6.2(30)</v>
      </c>
      <c r="J1236" s="233" t="str">
        <f>РПЗ!X1236</f>
        <v>7714652967</v>
      </c>
      <c r="K1236" s="283">
        <f>РПЗ!Z1236</f>
        <v>278527.2</v>
      </c>
      <c r="L1236" s="17">
        <v>42948</v>
      </c>
      <c r="M1236" s="18">
        <f>РПЗ!O1236</f>
        <v>42948.5</v>
      </c>
      <c r="N1236" s="238">
        <f>Таблица5[[#This Row],[10]]</f>
        <v>42948.5</v>
      </c>
      <c r="O1236" s="17"/>
      <c r="P1236" s="17"/>
      <c r="Q1236" s="17"/>
      <c r="R1236" s="17"/>
      <c r="S1236" s="17"/>
      <c r="T1236" s="686">
        <v>43013</v>
      </c>
      <c r="U1236" s="18">
        <f>РПЗ!P1236</f>
        <v>42979.5</v>
      </c>
      <c r="V1236" s="686">
        <v>43070</v>
      </c>
      <c r="W1236" s="236">
        <f>РПЗ!L1236</f>
        <v>278527.2</v>
      </c>
      <c r="X1236" s="689">
        <v>1</v>
      </c>
      <c r="Y1236" s="689">
        <v>0</v>
      </c>
      <c r="Z1236" s="691">
        <v>7714652967</v>
      </c>
      <c r="AA1236" s="691" t="s">
        <v>7238</v>
      </c>
      <c r="AB1236" s="111">
        <v>278527.2</v>
      </c>
      <c r="AC1236" s="17">
        <v>43070</v>
      </c>
      <c r="AD1236" s="690" t="s">
        <v>7239</v>
      </c>
      <c r="AE1236" s="686">
        <v>43013</v>
      </c>
      <c r="AF1236" s="474"/>
      <c r="AG1236" s="692">
        <v>278527.2</v>
      </c>
      <c r="AH1236" s="236">
        <f>IF(Таблица5[[#This Row],[30]]=0,"НД",Таблица5[[#This Row],[20]]-Таблица5[[#This Row],[30]])</f>
        <v>0</v>
      </c>
      <c r="AI1236" s="511">
        <f>IF(((1-Таблица5[[#This Row],[30]]/Таблица5[[#This Row],[20]])=1),"НД",(1-Таблица5[[#This Row],[30]]/Таблица5[[#This Row],[20]]))</f>
        <v>0</v>
      </c>
      <c r="AJ1236" s="111">
        <v>278527.2</v>
      </c>
      <c r="AK1236" s="111"/>
      <c r="AL1236" s="512"/>
      <c r="AM1236" s="513" t="s">
        <v>113</v>
      </c>
      <c r="AN1236" s="801">
        <v>31705450806</v>
      </c>
      <c r="AO1236" s="468" t="str">
        <f>РПЗ!AD1236</f>
        <v>Нет</v>
      </c>
      <c r="AP1236" s="472">
        <f>РПЗ!V1236</f>
        <v>0</v>
      </c>
      <c r="AQ1236" s="470">
        <f>IF(Таблица5[[#This Row],[11]]=0,,MONTH(Таблица5[[#This Row],[11]]))</f>
        <v>8</v>
      </c>
    </row>
    <row r="1237" spans="1:43" ht="102" x14ac:dyDescent="0.25">
      <c r="A1237" s="978" t="str">
        <f t="shared" si="19"/>
        <v>1004-2017-1222</v>
      </c>
      <c r="B1237" s="233" t="str">
        <f>РПЗ!$D1237</f>
        <v>1004-2017-1222 «Разработка материалов  оценки воздействия на окружающую среду новой техники и технологий «Мобильная установка для обезвреживания сточных вод МО-1000/10000-СВ-02»по адресу: г. Москва, ЮЗАО, улица Введенского, д.3, кор.1.</v>
      </c>
      <c r="C1237" s="233" t="str">
        <f>РПЗ!$AA1237</f>
        <v>АО "НИИ "Полюс" им. М.Ф. Стельмаха" тел. отдела закупок 8-495-333-05-02</v>
      </c>
      <c r="D1237" s="633" t="str">
        <f>РПЗ!$AB1237</f>
        <v>Заказчик</v>
      </c>
      <c r="E1237" s="96" t="s">
        <v>46</v>
      </c>
      <c r="F1237" s="233" t="str">
        <f>РПЗ!Q1237</f>
        <v>ОЗК</v>
      </c>
      <c r="G1237" s="237"/>
      <c r="H1237" s="237" t="str">
        <f>РПЗ!R1237</f>
        <v>Да</v>
      </c>
      <c r="I1237" s="15">
        <f>РПЗ!W1237</f>
        <v>0</v>
      </c>
      <c r="J1237" s="233">
        <f>РПЗ!X1237</f>
        <v>0</v>
      </c>
      <c r="K1237" s="283">
        <f>РПЗ!Z1237</f>
        <v>0</v>
      </c>
      <c r="L1237" s="17"/>
      <c r="M1237" s="18">
        <f>РПЗ!O1237</f>
        <v>42979.5</v>
      </c>
      <c r="N1237" s="238">
        <f>Таблица5[[#This Row],[10]]</f>
        <v>42979.5</v>
      </c>
      <c r="O1237" s="17"/>
      <c r="P1237" s="17"/>
      <c r="Q1237" s="17"/>
      <c r="R1237" s="17"/>
      <c r="S1237" s="17"/>
      <c r="T1237" s="686"/>
      <c r="U1237" s="18">
        <f>РПЗ!P1237</f>
        <v>43040.5</v>
      </c>
      <c r="V1237" s="686"/>
      <c r="W1237" s="236">
        <f>РПЗ!L1237</f>
        <v>590000</v>
      </c>
      <c r="X1237" s="689"/>
      <c r="Y1237" s="689"/>
      <c r="Z1237" s="690"/>
      <c r="AA1237" s="691"/>
      <c r="AB1237" s="111"/>
      <c r="AC1237" s="17"/>
      <c r="AD1237" s="690"/>
      <c r="AE1237" s="686"/>
      <c r="AF1237" s="474"/>
      <c r="AG1237" s="692"/>
      <c r="AH1237" s="236" t="str">
        <f>IF(Таблица5[[#This Row],[30]]=0,"НД",Таблица5[[#This Row],[20]]-Таблица5[[#This Row],[30]])</f>
        <v>НД</v>
      </c>
      <c r="AI1237" s="511" t="str">
        <f>IF(((1-Таблица5[[#This Row],[30]]/Таблица5[[#This Row],[20]])=1),"НД",(1-Таблица5[[#This Row],[30]]/Таблица5[[#This Row],[20]]))</f>
        <v>НД</v>
      </c>
      <c r="AJ1237" s="111"/>
      <c r="AK1237" s="111"/>
      <c r="AL1237" s="512"/>
      <c r="AM1237" s="513"/>
      <c r="AN1237" s="465"/>
      <c r="AO1237" s="468" t="str">
        <f>РПЗ!AD1237</f>
        <v>Нет</v>
      </c>
      <c r="AP1237" s="472">
        <f>РПЗ!V1237</f>
        <v>0</v>
      </c>
      <c r="AQ1237" s="470">
        <f>IF(Таблица5[[#This Row],[11]]=0,,MONTH(Таблица5[[#This Row],[11]]))</f>
        <v>9</v>
      </c>
    </row>
    <row r="1238" spans="1:43" ht="39" thickBot="1" x14ac:dyDescent="0.3">
      <c r="A1238" s="978" t="str">
        <f t="shared" si="19"/>
        <v>1004-2017-1223</v>
      </c>
      <c r="B1238" s="233" t="str">
        <f>РПЗ!$D1238</f>
        <v>1004-2017-1223 Поставка Структура эпитаксиальная германиевая ЭГС-39-1а</v>
      </c>
      <c r="C1238" s="233" t="str">
        <f>РПЗ!$AA1238</f>
        <v>АО "НИИ "Полюс" им. М.Ф. Стельмаха" тел. отдела закупок 8-495-333-05-02</v>
      </c>
      <c r="D1238" s="633" t="str">
        <f>РПЗ!$AB1238</f>
        <v>Заказчик</v>
      </c>
      <c r="E1238" s="510" t="s">
        <v>62</v>
      </c>
      <c r="F1238" s="233" t="str">
        <f>РПЗ!Q1238</f>
        <v>ЕП</v>
      </c>
      <c r="G1238" s="237" t="str">
        <f>Таблица5[[#This Row],[6]]</f>
        <v>ЕП</v>
      </c>
      <c r="H1238" s="237" t="str">
        <f>РПЗ!R1238</f>
        <v>Нет</v>
      </c>
      <c r="I1238" s="15" t="str">
        <f>РПЗ!W1238</f>
        <v>6.6.2(11)</v>
      </c>
      <c r="J1238" s="233" t="str">
        <f>РПЗ!X1238</f>
        <v>5003005609</v>
      </c>
      <c r="K1238" s="283">
        <f>РПЗ!Z1238</f>
        <v>283200</v>
      </c>
      <c r="L1238" s="17">
        <v>42978</v>
      </c>
      <c r="M1238" s="18">
        <f>РПЗ!O1238</f>
        <v>42979.5</v>
      </c>
      <c r="N1238" s="238">
        <f>Таблица5[[#This Row],[10]]</f>
        <v>42979.5</v>
      </c>
      <c r="O1238" s="17"/>
      <c r="P1238" s="17"/>
      <c r="Q1238" s="17"/>
      <c r="R1238" s="17"/>
      <c r="S1238" s="17"/>
      <c r="T1238" s="686">
        <v>42983</v>
      </c>
      <c r="U1238" s="18">
        <f>РПЗ!P1238</f>
        <v>43100.5</v>
      </c>
      <c r="V1238" s="686">
        <v>42979</v>
      </c>
      <c r="W1238" s="236">
        <f>РПЗ!L1238</f>
        <v>283200</v>
      </c>
      <c r="X1238" s="689">
        <v>1</v>
      </c>
      <c r="Y1238" s="689">
        <v>0</v>
      </c>
      <c r="Z1238" s="691">
        <v>5003005609</v>
      </c>
      <c r="AA1238" s="691" t="s">
        <v>6833</v>
      </c>
      <c r="AB1238" s="111">
        <v>283200</v>
      </c>
      <c r="AC1238" s="17">
        <v>42979</v>
      </c>
      <c r="AD1238" s="690" t="s">
        <v>132</v>
      </c>
      <c r="AE1238" s="686">
        <v>42983</v>
      </c>
      <c r="AF1238" s="474"/>
      <c r="AG1238" s="692">
        <v>283200</v>
      </c>
      <c r="AH1238" s="236">
        <f>IF(Таблица5[[#This Row],[30]]=0,"НД",Таблица5[[#This Row],[20]]-Таблица5[[#This Row],[30]])</f>
        <v>0</v>
      </c>
      <c r="AI1238" s="511">
        <f>IF(((1-Таблица5[[#This Row],[30]]/Таблица5[[#This Row],[20]])=1),"НД",(1-Таблица5[[#This Row],[30]]/Таблица5[[#This Row],[20]]))</f>
        <v>0</v>
      </c>
      <c r="AJ1238" s="111">
        <v>283200</v>
      </c>
      <c r="AK1238" s="111"/>
      <c r="AL1238" s="512"/>
      <c r="AM1238" s="513" t="s">
        <v>113</v>
      </c>
      <c r="AN1238" s="801">
        <v>31705489926</v>
      </c>
      <c r="AO1238" s="468" t="str">
        <f>РПЗ!AD1238</f>
        <v>Нет</v>
      </c>
      <c r="AP1238" s="472" t="str">
        <f>РПЗ!V1238</f>
        <v>ГОЗ</v>
      </c>
      <c r="AQ1238" s="470">
        <f>IF(Таблица5[[#This Row],[11]]=0,,MONTH(Таблица5[[#This Row],[11]]))</f>
        <v>9</v>
      </c>
    </row>
    <row r="1239" spans="1:43" ht="38.25" x14ac:dyDescent="0.25">
      <c r="A1239" s="978" t="str">
        <f t="shared" si="19"/>
        <v>1004-2017-1224</v>
      </c>
      <c r="B1239" s="233" t="str">
        <f>РПЗ!$D1239</f>
        <v>1004-2017-1224 Поставка Транзисторы 2Т354Б1-2</v>
      </c>
      <c r="C1239" s="233" t="str">
        <f>РПЗ!$AA1239</f>
        <v>АО "НИИ "Полюс" им. М.Ф. Стельмаха" тел. отдела закупок 8-495-333-05-02</v>
      </c>
      <c r="D1239" s="633" t="str">
        <f>РПЗ!$AB1239</f>
        <v>Заказчик</v>
      </c>
      <c r="E1239" s="96" t="s">
        <v>46</v>
      </c>
      <c r="F1239" s="233" t="str">
        <f>РПЗ!Q1239</f>
        <v>ЕП</v>
      </c>
      <c r="G1239" s="237"/>
      <c r="H1239" s="237" t="str">
        <f>РПЗ!R1239</f>
        <v>Нет</v>
      </c>
      <c r="I1239" s="15">
        <f>РПЗ!W1239</f>
        <v>0</v>
      </c>
      <c r="J1239" s="233">
        <f>РПЗ!X1239</f>
        <v>0</v>
      </c>
      <c r="K1239" s="283">
        <f>РПЗ!Z1239</f>
        <v>0</v>
      </c>
      <c r="L1239" s="17"/>
      <c r="M1239" s="18">
        <f>РПЗ!O1239</f>
        <v>42979.5</v>
      </c>
      <c r="N1239" s="238">
        <f>Таблица5[[#This Row],[10]]</f>
        <v>42979.5</v>
      </c>
      <c r="O1239" s="17"/>
      <c r="P1239" s="17"/>
      <c r="Q1239" s="17"/>
      <c r="R1239" s="17"/>
      <c r="S1239" s="17"/>
      <c r="T1239" s="686"/>
      <c r="U1239" s="18">
        <f>РПЗ!P1239</f>
        <v>43100.5</v>
      </c>
      <c r="V1239" s="686"/>
      <c r="W1239" s="236">
        <f>РПЗ!L1239</f>
        <v>1102157.76</v>
      </c>
      <c r="X1239" s="689"/>
      <c r="Y1239" s="689"/>
      <c r="Z1239" s="690"/>
      <c r="AA1239" s="691"/>
      <c r="AB1239" s="111"/>
      <c r="AC1239" s="17"/>
      <c r="AD1239" s="690"/>
      <c r="AE1239" s="686"/>
      <c r="AF1239" s="474"/>
      <c r="AG1239" s="692"/>
      <c r="AH1239" s="236" t="str">
        <f>IF(Таблица5[[#This Row],[30]]=0,"НД",Таблица5[[#This Row],[20]]-Таблица5[[#This Row],[30]])</f>
        <v>НД</v>
      </c>
      <c r="AI1239" s="511" t="str">
        <f>IF(((1-Таблица5[[#This Row],[30]]/Таблица5[[#This Row],[20]])=1),"НД",(1-Таблица5[[#This Row],[30]]/Таблица5[[#This Row],[20]]))</f>
        <v>НД</v>
      </c>
      <c r="AJ1239" s="111"/>
      <c r="AK1239" s="111"/>
      <c r="AL1239" s="512"/>
      <c r="AM1239" s="513"/>
      <c r="AN1239" s="465"/>
      <c r="AO1239" s="468" t="str">
        <f>РПЗ!AD1239</f>
        <v>Нет</v>
      </c>
      <c r="AP1239" s="472">
        <f>РПЗ!V1239</f>
        <v>0</v>
      </c>
      <c r="AQ1239" s="470">
        <f>IF(Таблица5[[#This Row],[11]]=0,,MONTH(Таблица5[[#This Row],[11]]))</f>
        <v>9</v>
      </c>
    </row>
    <row r="1240" spans="1:43" ht="38.25" x14ac:dyDescent="0.25">
      <c r="A1240" s="978" t="str">
        <f t="shared" si="19"/>
        <v>1004-2017-1225</v>
      </c>
      <c r="B1240" s="233" t="str">
        <f>РПЗ!$D1240</f>
        <v>1004-2017-1225 Поставка рабочего места 1VIS10W-06-09-77</v>
      </c>
      <c r="C1240" s="233" t="str">
        <f>РПЗ!$AA1240</f>
        <v>АО "НИИ "Полюс" им. М.Ф. Стельмаха" тел. отдела закупок 8-495-333-05-02</v>
      </c>
      <c r="D1240" s="633" t="str">
        <f>РПЗ!$AB1240</f>
        <v>Заказчик</v>
      </c>
      <c r="E1240" s="510" t="s">
        <v>62</v>
      </c>
      <c r="F1240" s="233" t="str">
        <f>РПЗ!Q1240</f>
        <v>ЕП</v>
      </c>
      <c r="G1240" s="237" t="str">
        <f>Таблица5[[#This Row],[6]]</f>
        <v>ЕП</v>
      </c>
      <c r="H1240" s="237" t="str">
        <f>РПЗ!R1240</f>
        <v>Нет</v>
      </c>
      <c r="I1240" s="15" t="str">
        <f>РПЗ!W1240</f>
        <v>6.6.2(11)</v>
      </c>
      <c r="J1240" s="233" t="str">
        <f>РПЗ!X1240</f>
        <v>6829000109</v>
      </c>
      <c r="K1240" s="283">
        <f>РПЗ!Z1240</f>
        <v>425904.48</v>
      </c>
      <c r="L1240" s="17">
        <v>42997</v>
      </c>
      <c r="M1240" s="18">
        <f>РПЗ!O1240</f>
        <v>42979</v>
      </c>
      <c r="N1240" s="238">
        <f>Таблица5[[#This Row],[10]]</f>
        <v>42979</v>
      </c>
      <c r="O1240" s="17"/>
      <c r="P1240" s="17"/>
      <c r="Q1240" s="17"/>
      <c r="R1240" s="17"/>
      <c r="S1240" s="17"/>
      <c r="T1240" s="686">
        <v>43004</v>
      </c>
      <c r="U1240" s="18">
        <f>РПЗ!P1240</f>
        <v>43100.5</v>
      </c>
      <c r="V1240" s="686">
        <v>43040</v>
      </c>
      <c r="W1240" s="236">
        <f>РПЗ!L1240</f>
        <v>425904.48</v>
      </c>
      <c r="X1240" s="689">
        <v>1</v>
      </c>
      <c r="Y1240" s="689">
        <v>0</v>
      </c>
      <c r="Z1240" s="691">
        <v>7801039309</v>
      </c>
      <c r="AA1240" s="691" t="s">
        <v>6860</v>
      </c>
      <c r="AB1240" s="111">
        <v>425904.48</v>
      </c>
      <c r="AC1240" s="17">
        <v>43040</v>
      </c>
      <c r="AD1240" s="690" t="s">
        <v>6861</v>
      </c>
      <c r="AE1240" s="686">
        <v>43004</v>
      </c>
      <c r="AF1240" s="474"/>
      <c r="AG1240" s="692">
        <v>425904.48</v>
      </c>
      <c r="AH1240" s="236">
        <f>IF(Таблица5[[#This Row],[30]]=0,"НД",Таблица5[[#This Row],[20]]-Таблица5[[#This Row],[30]])</f>
        <v>0</v>
      </c>
      <c r="AI1240" s="511">
        <f>IF(((1-Таблица5[[#This Row],[30]]/Таблица5[[#This Row],[20]])=1),"НД",(1-Таблица5[[#This Row],[30]]/Таблица5[[#This Row],[20]]))</f>
        <v>0</v>
      </c>
      <c r="AJ1240" s="111"/>
      <c r="AK1240" s="111"/>
      <c r="AL1240" s="512"/>
      <c r="AM1240" s="513" t="s">
        <v>113</v>
      </c>
      <c r="AN1240" s="801">
        <v>31705551220</v>
      </c>
      <c r="AO1240" s="468" t="str">
        <f>РПЗ!AD1240</f>
        <v>Нет</v>
      </c>
      <c r="AP1240" s="472">
        <f>РПЗ!V1240</f>
        <v>0</v>
      </c>
      <c r="AQ1240" s="470">
        <f>IF(Таблица5[[#This Row],[11]]=0,,MONTH(Таблица5[[#This Row],[11]]))</f>
        <v>9</v>
      </c>
    </row>
    <row r="1241" spans="1:43" ht="77.25" thickBot="1" x14ac:dyDescent="0.3">
      <c r="A1241" s="978" t="str">
        <f t="shared" si="19"/>
        <v>1004-2017-1226</v>
      </c>
      <c r="B1241" s="233" t="str">
        <f>РПЗ!$D1241</f>
        <v>1004-2017-1226 Выполнение комплекса клининговых услуг по уборке помещений, прилегающей территории и очистке кровли  для АО "НИИ "Полюс" им. М.Ф. Стельмаха".</v>
      </c>
      <c r="C1241" s="233" t="str">
        <f>РПЗ!$AA1241</f>
        <v>АО "НИИ "Полюс" им. М.Ф. Стельмаха" тел. отдела закупок 8-495-333-05-02</v>
      </c>
      <c r="D1241" s="633" t="str">
        <f>РПЗ!$AB1241</f>
        <v>Заказчик</v>
      </c>
      <c r="E1241" s="510" t="s">
        <v>62</v>
      </c>
      <c r="F1241" s="233" t="str">
        <f>РПЗ!Q1241</f>
        <v>ОК</v>
      </c>
      <c r="G1241" s="237" t="str">
        <f>Таблица5[[#This Row],[6]]</f>
        <v>ОК</v>
      </c>
      <c r="H1241" s="237" t="str">
        <f>РПЗ!R1241</f>
        <v>Да</v>
      </c>
      <c r="I1241" s="15">
        <f>РПЗ!W1241</f>
        <v>0</v>
      </c>
      <c r="J1241" s="233">
        <f>РПЗ!X1241</f>
        <v>0</v>
      </c>
      <c r="K1241" s="283">
        <f>РПЗ!Z1241</f>
        <v>0</v>
      </c>
      <c r="L1241" s="17">
        <v>43013</v>
      </c>
      <c r="M1241" s="18">
        <f>РПЗ!O1241</f>
        <v>43009.5</v>
      </c>
      <c r="N1241" s="238">
        <f>Таблица5[[#This Row],[10]]</f>
        <v>43009.5</v>
      </c>
      <c r="O1241" s="17">
        <v>43034</v>
      </c>
      <c r="P1241" s="17">
        <v>43039</v>
      </c>
      <c r="Q1241" s="17">
        <v>43039</v>
      </c>
      <c r="R1241" s="17">
        <v>43045</v>
      </c>
      <c r="S1241" s="17">
        <v>43045</v>
      </c>
      <c r="T1241" s="686">
        <v>43046</v>
      </c>
      <c r="U1241" s="18">
        <f>РПЗ!P1241</f>
        <v>43100.5</v>
      </c>
      <c r="V1241" s="686">
        <v>43252</v>
      </c>
      <c r="W1241" s="236">
        <f>РПЗ!L1241</f>
        <v>20000000</v>
      </c>
      <c r="X1241" s="689">
        <v>3</v>
      </c>
      <c r="Y1241" s="689">
        <v>0</v>
      </c>
      <c r="Z1241" s="691">
        <v>7720522275</v>
      </c>
      <c r="AA1241" s="691" t="s">
        <v>8198</v>
      </c>
      <c r="AB1241" s="111">
        <v>16024056.49</v>
      </c>
      <c r="AC1241" s="17">
        <v>43252</v>
      </c>
      <c r="AD1241" s="690" t="s">
        <v>8199</v>
      </c>
      <c r="AE1241" s="686">
        <v>43046</v>
      </c>
      <c r="AF1241" s="474"/>
      <c r="AG1241" s="692">
        <v>16024056.49</v>
      </c>
      <c r="AH1241" s="236">
        <f>IF(Таблица5[[#This Row],[30]]=0,"НД",Таблица5[[#This Row],[20]]-Таблица5[[#This Row],[30]])</f>
        <v>3975943.51</v>
      </c>
      <c r="AI1241" s="511">
        <f>IF(((1-Таблица5[[#This Row],[30]]/Таблица5[[#This Row],[20]])=1),"НД",(1-Таблица5[[#This Row],[30]]/Таблица5[[#This Row],[20]]))</f>
        <v>0.19879717549999998</v>
      </c>
      <c r="AJ1241" s="111"/>
      <c r="AK1241" s="111"/>
      <c r="AL1241" s="512"/>
      <c r="AM1241" s="513" t="s">
        <v>113</v>
      </c>
      <c r="AN1241" s="801">
        <v>31705593837</v>
      </c>
      <c r="AO1241" s="468" t="str">
        <f>РПЗ!AD1241</f>
        <v>Нет</v>
      </c>
      <c r="AP1241" s="472">
        <f>РПЗ!V1241</f>
        <v>0</v>
      </c>
      <c r="AQ1241" s="470">
        <f>IF(Таблица5[[#This Row],[11]]=0,,MONTH(Таблица5[[#This Row],[11]]))</f>
        <v>10</v>
      </c>
    </row>
    <row r="1242" spans="1:43" ht="76.5" x14ac:dyDescent="0.25">
      <c r="A1242" s="978" t="str">
        <f t="shared" si="19"/>
        <v>1004-2017-1227</v>
      </c>
      <c r="B1242" s="233" t="str">
        <f>РПЗ!$D1242</f>
        <v>1004-2017-1227 Выполнение работ по  замена канатоведущего шкива и тяговых канатов на пассажирском лифте грузоподъёмностью 1000 кг (112 чел), скоростью 1м/сек и высотой подъёма 60 м</v>
      </c>
      <c r="C1242" s="233" t="str">
        <f>РПЗ!$AA1242</f>
        <v>АО "НИИ "Полюс" им. М.Ф. Стельмаха" тел. отдела закупок 8-495-333-05-02</v>
      </c>
      <c r="D1242" s="633" t="str">
        <f>РПЗ!$AB1242</f>
        <v>Заказчик</v>
      </c>
      <c r="E1242" s="96" t="s">
        <v>46</v>
      </c>
      <c r="F1242" s="233" t="str">
        <f>РПЗ!Q1242</f>
        <v>ОЗК</v>
      </c>
      <c r="G1242" s="237"/>
      <c r="H1242" s="237" t="str">
        <f>РПЗ!R1242</f>
        <v>Да</v>
      </c>
      <c r="I1242" s="15">
        <f>РПЗ!W1242</f>
        <v>0</v>
      </c>
      <c r="J1242" s="233">
        <f>РПЗ!X1242</f>
        <v>0</v>
      </c>
      <c r="K1242" s="283">
        <f>РПЗ!Z1242</f>
        <v>0</v>
      </c>
      <c r="L1242" s="17"/>
      <c r="M1242" s="18">
        <f>РПЗ!O1242</f>
        <v>42979.5</v>
      </c>
      <c r="N1242" s="238">
        <f>Таблица5[[#This Row],[10]]</f>
        <v>42979.5</v>
      </c>
      <c r="O1242" s="17"/>
      <c r="P1242" s="17"/>
      <c r="Q1242" s="17"/>
      <c r="R1242" s="17"/>
      <c r="S1242" s="17"/>
      <c r="T1242" s="686"/>
      <c r="U1242" s="18">
        <f>РПЗ!P1242</f>
        <v>43100.5</v>
      </c>
      <c r="V1242" s="686"/>
      <c r="W1242" s="236">
        <f>РПЗ!L1242</f>
        <v>178658.32</v>
      </c>
      <c r="X1242" s="689"/>
      <c r="Y1242" s="689"/>
      <c r="Z1242" s="690"/>
      <c r="AA1242" s="691"/>
      <c r="AB1242" s="111"/>
      <c r="AC1242" s="17"/>
      <c r="AD1242" s="690"/>
      <c r="AE1242" s="686"/>
      <c r="AF1242" s="474"/>
      <c r="AG1242" s="692"/>
      <c r="AH1242" s="236" t="str">
        <f>IF(Таблица5[[#This Row],[30]]=0,"НД",Таблица5[[#This Row],[20]]-Таблица5[[#This Row],[30]])</f>
        <v>НД</v>
      </c>
      <c r="AI1242" s="511" t="str">
        <f>IF(((1-Таблица5[[#This Row],[30]]/Таблица5[[#This Row],[20]])=1),"НД",(1-Таблица5[[#This Row],[30]]/Таблица5[[#This Row],[20]]))</f>
        <v>НД</v>
      </c>
      <c r="AJ1242" s="111"/>
      <c r="AK1242" s="111"/>
      <c r="AL1242" s="512"/>
      <c r="AM1242" s="513"/>
      <c r="AN1242" s="465"/>
      <c r="AO1242" s="468" t="str">
        <f>РПЗ!AD1242</f>
        <v>Нет</v>
      </c>
      <c r="AP1242" s="472">
        <f>РПЗ!V1242</f>
        <v>0</v>
      </c>
      <c r="AQ1242" s="470">
        <f>IF(Таблица5[[#This Row],[11]]=0,,MONTH(Таблица5[[#This Row],[11]]))</f>
        <v>9</v>
      </c>
    </row>
    <row r="1243" spans="1:43" ht="39" thickBot="1" x14ac:dyDescent="0.3">
      <c r="A1243" s="978" t="str">
        <f t="shared" si="19"/>
        <v>1004-2017-1228</v>
      </c>
      <c r="B1243" s="233" t="str">
        <f>РПЗ!$D1243</f>
        <v>1004-2017-1228 Поставка Крышка ет.8.050.477</v>
      </c>
      <c r="C1243" s="233" t="str">
        <f>РПЗ!$AA1243</f>
        <v>АО "НИИ "Полюс" им. М.Ф. Стельмаха" тел. отдела закупок 8-495-333-05-02</v>
      </c>
      <c r="D1243" s="633" t="str">
        <f>РПЗ!$AB1243</f>
        <v>Заказчик</v>
      </c>
      <c r="E1243" s="510" t="s">
        <v>62</v>
      </c>
      <c r="F1243" s="233" t="str">
        <f>РПЗ!Q1243</f>
        <v>ЕП</v>
      </c>
      <c r="G1243" s="237" t="str">
        <f>Таблица5[[#This Row],[6]]</f>
        <v>ЕП</v>
      </c>
      <c r="H1243" s="237" t="str">
        <f>РПЗ!R1243</f>
        <v>Нет</v>
      </c>
      <c r="I1243" s="15" t="str">
        <f>РПЗ!W1243</f>
        <v>6.6.2(11)</v>
      </c>
      <c r="J1243" s="233" t="str">
        <f>РПЗ!X1243</f>
        <v>7729746311</v>
      </c>
      <c r="K1243" s="283">
        <f>РПЗ!Z1243</f>
        <v>187200</v>
      </c>
      <c r="L1243" s="17">
        <v>42985</v>
      </c>
      <c r="M1243" s="18">
        <f>РПЗ!O1243</f>
        <v>42979.5</v>
      </c>
      <c r="N1243" s="238">
        <f>Таблица5[[#This Row],[10]]</f>
        <v>42979.5</v>
      </c>
      <c r="O1243" s="17"/>
      <c r="P1243" s="17"/>
      <c r="Q1243" s="17"/>
      <c r="R1243" s="17"/>
      <c r="S1243" s="17"/>
      <c r="T1243" s="686">
        <v>42997</v>
      </c>
      <c r="U1243" s="18">
        <f>РПЗ!P1243</f>
        <v>43100.5</v>
      </c>
      <c r="V1243" s="686">
        <v>43070</v>
      </c>
      <c r="W1243" s="236">
        <f>РПЗ!L1243</f>
        <v>187200</v>
      </c>
      <c r="X1243" s="689">
        <v>1</v>
      </c>
      <c r="Y1243" s="689">
        <v>0</v>
      </c>
      <c r="Z1243" s="691">
        <v>7729746311</v>
      </c>
      <c r="AA1243" s="691" t="s">
        <v>3305</v>
      </c>
      <c r="AB1243" s="111">
        <v>187200</v>
      </c>
      <c r="AC1243" s="17">
        <v>43070</v>
      </c>
      <c r="AD1243" s="690" t="s">
        <v>6822</v>
      </c>
      <c r="AE1243" s="686">
        <v>42997</v>
      </c>
      <c r="AF1243" s="474"/>
      <c r="AG1243" s="692">
        <v>187200</v>
      </c>
      <c r="AH1243" s="236">
        <f>IF(Таблица5[[#This Row],[30]]=0,"НД",Таблица5[[#This Row],[20]]-Таблица5[[#This Row],[30]])</f>
        <v>0</v>
      </c>
      <c r="AI1243" s="511">
        <f>IF(((1-Таблица5[[#This Row],[30]]/Таблица5[[#This Row],[20]])=1),"НД",(1-Таблица5[[#This Row],[30]]/Таблица5[[#This Row],[20]]))</f>
        <v>0</v>
      </c>
      <c r="AJ1243" s="111">
        <v>187200</v>
      </c>
      <c r="AK1243" s="111"/>
      <c r="AL1243" s="512"/>
      <c r="AM1243" s="513" t="s">
        <v>113</v>
      </c>
      <c r="AN1243" s="801">
        <v>31705518828</v>
      </c>
      <c r="AO1243" s="468" t="str">
        <f>РПЗ!AD1243</f>
        <v>Нет</v>
      </c>
      <c r="AP1243" s="472">
        <f>РПЗ!V1243</f>
        <v>0</v>
      </c>
      <c r="AQ1243" s="470">
        <f>IF(Таблица5[[#This Row],[11]]=0,,MONTH(Таблица5[[#This Row],[11]]))</f>
        <v>9</v>
      </c>
    </row>
    <row r="1244" spans="1:43" ht="38.25" x14ac:dyDescent="0.25">
      <c r="A1244" s="978" t="str">
        <f t="shared" si="19"/>
        <v>1004-2017-1229</v>
      </c>
      <c r="B1244" s="233" t="str">
        <f>РПЗ!$D1244</f>
        <v>1004-2017-1229 Выполнение Информационно-консультационных услуг</v>
      </c>
      <c r="C1244" s="233" t="str">
        <f>РПЗ!$AA1244</f>
        <v>АО "НИИ "Полюс" им. М.Ф. Стельмаха" тел. отдела закупок 8-495-333-05-02</v>
      </c>
      <c r="D1244" s="633" t="str">
        <f>РПЗ!$AB1244</f>
        <v>Заказчик</v>
      </c>
      <c r="E1244" s="96" t="s">
        <v>46</v>
      </c>
      <c r="F1244" s="233" t="str">
        <f>РПЗ!Q1244</f>
        <v>ЕП</v>
      </c>
      <c r="G1244" s="237"/>
      <c r="H1244" s="237" t="str">
        <f>РПЗ!R1244</f>
        <v>Нет</v>
      </c>
      <c r="I1244" s="15">
        <f>РПЗ!W1244</f>
        <v>0</v>
      </c>
      <c r="J1244" s="233">
        <f>РПЗ!X1244</f>
        <v>0</v>
      </c>
      <c r="K1244" s="283">
        <f>РПЗ!Z1244</f>
        <v>0</v>
      </c>
      <c r="L1244" s="17"/>
      <c r="M1244" s="18">
        <f>РПЗ!O1244</f>
        <v>42979.5</v>
      </c>
      <c r="N1244" s="238">
        <f>Таблица5[[#This Row],[10]]</f>
        <v>42979.5</v>
      </c>
      <c r="O1244" s="17"/>
      <c r="P1244" s="17"/>
      <c r="Q1244" s="17"/>
      <c r="R1244" s="17"/>
      <c r="S1244" s="17"/>
      <c r="T1244" s="686"/>
      <c r="U1244" s="18">
        <f>РПЗ!P1244</f>
        <v>43009.5</v>
      </c>
      <c r="V1244" s="686"/>
      <c r="W1244" s="236">
        <f>РПЗ!L1244</f>
        <v>104000</v>
      </c>
      <c r="X1244" s="689"/>
      <c r="Y1244" s="689"/>
      <c r="Z1244" s="690"/>
      <c r="AA1244" s="691"/>
      <c r="AB1244" s="111"/>
      <c r="AC1244" s="17"/>
      <c r="AD1244" s="690"/>
      <c r="AE1244" s="686"/>
      <c r="AF1244" s="474"/>
      <c r="AG1244" s="692"/>
      <c r="AH1244" s="236" t="str">
        <f>IF(Таблица5[[#This Row],[30]]=0,"НД",Таблица5[[#This Row],[20]]-Таблица5[[#This Row],[30]])</f>
        <v>НД</v>
      </c>
      <c r="AI1244" s="511" t="str">
        <f>IF(((1-Таблица5[[#This Row],[30]]/Таблица5[[#This Row],[20]])=1),"НД",(1-Таблица5[[#This Row],[30]]/Таблица5[[#This Row],[20]]))</f>
        <v>НД</v>
      </c>
      <c r="AJ1244" s="111"/>
      <c r="AK1244" s="111"/>
      <c r="AL1244" s="512"/>
      <c r="AM1244" s="513"/>
      <c r="AN1244" s="465"/>
      <c r="AO1244" s="468" t="str">
        <f>РПЗ!AD1244</f>
        <v>Нет</v>
      </c>
      <c r="AP1244" s="472">
        <f>РПЗ!V1244</f>
        <v>0</v>
      </c>
      <c r="AQ1244" s="470">
        <f>IF(Таблица5[[#This Row],[11]]=0,,MONTH(Таблица5[[#This Row],[11]]))</f>
        <v>9</v>
      </c>
    </row>
    <row r="1245" spans="1:43" ht="39" thickBot="1" x14ac:dyDescent="0.3">
      <c r="A1245" s="978" t="str">
        <f t="shared" si="19"/>
        <v>1004-2017-1230</v>
      </c>
      <c r="B1245" s="233" t="str">
        <f>РПЗ!$D1245</f>
        <v>1004-2017-1230 Поставка Оптические детали</v>
      </c>
      <c r="C1245" s="233" t="str">
        <f>РПЗ!$AA1245</f>
        <v>АО "НИИ "Полюс" им. М.Ф. Стельмаха" тел. отдела закупок 8-495-333-05-02</v>
      </c>
      <c r="D1245" s="633" t="str">
        <f>РПЗ!$AB1245</f>
        <v>Заказчик</v>
      </c>
      <c r="E1245" s="510" t="s">
        <v>62</v>
      </c>
      <c r="F1245" s="233" t="str">
        <f>РПЗ!Q1245</f>
        <v>ЕП</v>
      </c>
      <c r="G1245" s="237" t="str">
        <f>Таблица5[[#This Row],[6]]</f>
        <v>ЕП</v>
      </c>
      <c r="H1245" s="237" t="str">
        <f>РПЗ!R1245</f>
        <v>Нет</v>
      </c>
      <c r="I1245" s="15" t="str">
        <f>РПЗ!W1245</f>
        <v>6.6.2(11)</v>
      </c>
      <c r="J1245" s="233" t="str">
        <f>РПЗ!X1245</f>
        <v>5033007610</v>
      </c>
      <c r="K1245" s="283">
        <f>РПЗ!Z1245</f>
        <v>5290052.8099999996</v>
      </c>
      <c r="L1245" s="17">
        <v>42993</v>
      </c>
      <c r="M1245" s="18">
        <f>РПЗ!O1245</f>
        <v>42979.5</v>
      </c>
      <c r="N1245" s="238">
        <f>Таблица5[[#This Row],[10]]</f>
        <v>42979.5</v>
      </c>
      <c r="O1245" s="17"/>
      <c r="P1245" s="17"/>
      <c r="Q1245" s="17"/>
      <c r="R1245" s="17"/>
      <c r="S1245" s="17"/>
      <c r="T1245" s="686">
        <v>43003</v>
      </c>
      <c r="U1245" s="18">
        <f>РПЗ!P1245</f>
        <v>43100.5</v>
      </c>
      <c r="V1245" s="686">
        <v>43070</v>
      </c>
      <c r="W1245" s="236">
        <f>РПЗ!L1245</f>
        <v>5290052.8099999996</v>
      </c>
      <c r="X1245" s="689">
        <v>1</v>
      </c>
      <c r="Y1245" s="689">
        <v>0</v>
      </c>
      <c r="Z1245" s="691">
        <v>5033007610</v>
      </c>
      <c r="AA1245" s="691" t="s">
        <v>2401</v>
      </c>
      <c r="AB1245" s="111">
        <v>5290052.8099999996</v>
      </c>
      <c r="AC1245" s="17">
        <v>43070</v>
      </c>
      <c r="AD1245" s="690" t="s">
        <v>6863</v>
      </c>
      <c r="AE1245" s="686">
        <v>43003</v>
      </c>
      <c r="AF1245" s="474"/>
      <c r="AG1245" s="692">
        <v>5290052.8099999996</v>
      </c>
      <c r="AH1245" s="236">
        <f>IF(Таблица5[[#This Row],[30]]=0,"НД",Таблица5[[#This Row],[20]]-Таблица5[[#This Row],[30]])</f>
        <v>0</v>
      </c>
      <c r="AI1245" s="511">
        <f>IF(((1-Таблица5[[#This Row],[30]]/Таблица5[[#This Row],[20]])=1),"НД",(1-Таблица5[[#This Row],[30]]/Таблица5[[#This Row],[20]]))</f>
        <v>0</v>
      </c>
      <c r="AJ1245" s="111"/>
      <c r="AK1245" s="111"/>
      <c r="AL1245" s="512"/>
      <c r="AM1245" s="513" t="s">
        <v>113</v>
      </c>
      <c r="AN1245" s="801">
        <v>31705536645</v>
      </c>
      <c r="AO1245" s="468" t="str">
        <f>РПЗ!AD1245</f>
        <v>Нет</v>
      </c>
      <c r="AP1245" s="472">
        <f>РПЗ!V1245</f>
        <v>0</v>
      </c>
      <c r="AQ1245" s="470">
        <f>IF(Таблица5[[#This Row],[11]]=0,,MONTH(Таблица5[[#This Row],[11]]))</f>
        <v>9</v>
      </c>
    </row>
    <row r="1246" spans="1:43" ht="38.25" x14ac:dyDescent="0.25">
      <c r="A1246" s="978" t="str">
        <f t="shared" si="19"/>
        <v>1004-2017-1231</v>
      </c>
      <c r="B1246" s="233" t="str">
        <f>РПЗ!$D1246</f>
        <v>1004-2017-1231 Поставка Оптические детали</v>
      </c>
      <c r="C1246" s="233" t="str">
        <f>РПЗ!$AA1246</f>
        <v>АО "НИИ "Полюс" им. М.Ф. Стельмаха" тел. отдела закупок 8-495-333-05-02</v>
      </c>
      <c r="D1246" s="633" t="str">
        <f>РПЗ!$AB1246</f>
        <v>Заказчик</v>
      </c>
      <c r="E1246" s="96" t="s">
        <v>46</v>
      </c>
      <c r="F1246" s="233" t="str">
        <f>РПЗ!Q1246</f>
        <v>ЕП</v>
      </c>
      <c r="G1246" s="237"/>
      <c r="H1246" s="237" t="str">
        <f>РПЗ!R1246</f>
        <v>Нет</v>
      </c>
      <c r="I1246" s="15">
        <f>РПЗ!W1246</f>
        <v>0</v>
      </c>
      <c r="J1246" s="233">
        <f>РПЗ!X1246</f>
        <v>0</v>
      </c>
      <c r="K1246" s="283">
        <f>РПЗ!Z1246</f>
        <v>0</v>
      </c>
      <c r="L1246" s="17"/>
      <c r="M1246" s="18">
        <f>РПЗ!O1246</f>
        <v>42979.5</v>
      </c>
      <c r="N1246" s="238">
        <f>Таблица5[[#This Row],[10]]</f>
        <v>42979.5</v>
      </c>
      <c r="O1246" s="17"/>
      <c r="P1246" s="17"/>
      <c r="Q1246" s="17"/>
      <c r="R1246" s="17"/>
      <c r="S1246" s="17"/>
      <c r="T1246" s="686"/>
      <c r="U1246" s="18">
        <f>РПЗ!P1246</f>
        <v>43313.5</v>
      </c>
      <c r="V1246" s="686"/>
      <c r="W1246" s="236">
        <f>РПЗ!L1246</f>
        <v>13639318.859999999</v>
      </c>
      <c r="X1246" s="689"/>
      <c r="Y1246" s="689"/>
      <c r="Z1246" s="690"/>
      <c r="AA1246" s="691"/>
      <c r="AB1246" s="111"/>
      <c r="AC1246" s="17"/>
      <c r="AD1246" s="690"/>
      <c r="AE1246" s="686"/>
      <c r="AF1246" s="474"/>
      <c r="AG1246" s="692"/>
      <c r="AH1246" s="236" t="str">
        <f>IF(Таблица5[[#This Row],[30]]=0,"НД",Таблица5[[#This Row],[20]]-Таблица5[[#This Row],[30]])</f>
        <v>НД</v>
      </c>
      <c r="AI1246" s="511" t="str">
        <f>IF(((1-Таблица5[[#This Row],[30]]/Таблица5[[#This Row],[20]])=1),"НД",(1-Таблица5[[#This Row],[30]]/Таблица5[[#This Row],[20]]))</f>
        <v>НД</v>
      </c>
      <c r="AJ1246" s="111"/>
      <c r="AK1246" s="111"/>
      <c r="AL1246" s="512"/>
      <c r="AM1246" s="513"/>
      <c r="AN1246" s="465"/>
      <c r="AO1246" s="468" t="str">
        <f>РПЗ!AD1246</f>
        <v>Нет</v>
      </c>
      <c r="AP1246" s="472">
        <f>РПЗ!V1246</f>
        <v>0</v>
      </c>
      <c r="AQ1246" s="470">
        <f>IF(Таблица5[[#This Row],[11]]=0,,MONTH(Таблица5[[#This Row],[11]]))</f>
        <v>9</v>
      </c>
    </row>
    <row r="1247" spans="1:43" ht="39" thickBot="1" x14ac:dyDescent="0.3">
      <c r="A1247" s="978" t="str">
        <f t="shared" si="19"/>
        <v>1004-2017-1232</v>
      </c>
      <c r="B1247" s="233" t="str">
        <f>РПЗ!$D1247</f>
        <v>1004-2017-1232Поставка Комплект экранов МТ-401</v>
      </c>
      <c r="C1247" s="233" t="str">
        <f>РПЗ!$AA1247</f>
        <v>АО "НИИ "Полюс" им. М.Ф. Стельмаха" тел. отдела закупок 8-495-333-05-02</v>
      </c>
      <c r="D1247" s="633" t="str">
        <f>РПЗ!$AB1247</f>
        <v>Заказчик</v>
      </c>
      <c r="E1247" s="510" t="s">
        <v>62</v>
      </c>
      <c r="F1247" s="233" t="str">
        <f>РПЗ!Q1247</f>
        <v>ЕП</v>
      </c>
      <c r="G1247" s="237" t="str">
        <f>Таблица5[[#This Row],[6]]</f>
        <v>ЕП</v>
      </c>
      <c r="H1247" s="237" t="str">
        <f>РПЗ!R1247</f>
        <v>Нет</v>
      </c>
      <c r="I1247" s="15" t="str">
        <f>РПЗ!W1247</f>
        <v>6.6.2(11)</v>
      </c>
      <c r="J1247" s="233" t="str">
        <f>РПЗ!X1247</f>
        <v>5010025170</v>
      </c>
      <c r="K1247" s="283">
        <f>РПЗ!Z1247</f>
        <v>489564</v>
      </c>
      <c r="L1247" s="17">
        <v>42996</v>
      </c>
      <c r="M1247" s="18">
        <f>РПЗ!O1247</f>
        <v>42979.5</v>
      </c>
      <c r="N1247" s="238">
        <f>Таблица5[[#This Row],[10]]</f>
        <v>42979.5</v>
      </c>
      <c r="O1247" s="17"/>
      <c r="P1247" s="17"/>
      <c r="Q1247" s="17"/>
      <c r="R1247" s="17"/>
      <c r="S1247" s="17"/>
      <c r="T1247" s="686">
        <v>43005</v>
      </c>
      <c r="U1247" s="18">
        <f>РПЗ!P1247</f>
        <v>43313.5</v>
      </c>
      <c r="V1247" s="686">
        <v>43070</v>
      </c>
      <c r="W1247" s="236">
        <f>РПЗ!L1247</f>
        <v>489564</v>
      </c>
      <c r="X1247" s="689">
        <v>1</v>
      </c>
      <c r="Y1247" s="689">
        <v>0</v>
      </c>
      <c r="Z1247" s="691">
        <v>5010025170</v>
      </c>
      <c r="AA1247" s="691" t="s">
        <v>5112</v>
      </c>
      <c r="AB1247" s="111">
        <v>489564</v>
      </c>
      <c r="AC1247" s="17">
        <v>43070</v>
      </c>
      <c r="AD1247" s="690" t="s">
        <v>6858</v>
      </c>
      <c r="AE1247" s="686">
        <v>43005</v>
      </c>
      <c r="AF1247" s="474"/>
      <c r="AG1247" s="692">
        <v>489564</v>
      </c>
      <c r="AH1247" s="236">
        <f>IF(Таблица5[[#This Row],[30]]=0,"НД",Таблица5[[#This Row],[20]]-Таблица5[[#This Row],[30]])</f>
        <v>0</v>
      </c>
      <c r="AI1247" s="511">
        <f>IF(((1-Таблица5[[#This Row],[30]]/Таблица5[[#This Row],[20]])=1),"НД",(1-Таблица5[[#This Row],[30]]/Таблица5[[#This Row],[20]]))</f>
        <v>0</v>
      </c>
      <c r="AJ1247" s="111">
        <v>489564</v>
      </c>
      <c r="AK1247" s="111"/>
      <c r="AL1247" s="512"/>
      <c r="AM1247" s="513" t="s">
        <v>113</v>
      </c>
      <c r="AN1247" s="801">
        <v>31705545163</v>
      </c>
      <c r="AO1247" s="468" t="str">
        <f>РПЗ!AD1247</f>
        <v>Нет</v>
      </c>
      <c r="AP1247" s="472">
        <f>РПЗ!V1247</f>
        <v>0</v>
      </c>
      <c r="AQ1247" s="470">
        <f>IF(Таблица5[[#This Row],[11]]=0,,MONTH(Таблица5[[#This Row],[11]]))</f>
        <v>9</v>
      </c>
    </row>
    <row r="1248" spans="1:43" ht="39" thickBot="1" x14ac:dyDescent="0.3">
      <c r="A1248" s="978" t="str">
        <f t="shared" si="19"/>
        <v>1004-2017-1233</v>
      </c>
      <c r="B1248" s="233" t="str">
        <f>РПЗ!$D1248</f>
        <v>1004-2017-1233Поставка  вилки, розетки</v>
      </c>
      <c r="C1248" s="233" t="str">
        <f>РПЗ!$AA1248</f>
        <v>АО "НИИ "Полюс" им. М.Ф. Стельмаха" тел. отдела закупок 8-495-333-05-02</v>
      </c>
      <c r="D1248" s="633" t="str">
        <f>РПЗ!$AB1248</f>
        <v>Заказчик</v>
      </c>
      <c r="E1248" s="96" t="s">
        <v>46</v>
      </c>
      <c r="F1248" s="233" t="str">
        <f>РПЗ!Q1248</f>
        <v>ЕП</v>
      </c>
      <c r="G1248" s="237"/>
      <c r="H1248" s="237" t="str">
        <f>РПЗ!R1248</f>
        <v>Нет</v>
      </c>
      <c r="I1248" s="15">
        <f>РПЗ!W1248</f>
        <v>0</v>
      </c>
      <c r="J1248" s="233">
        <f>РПЗ!X1248</f>
        <v>0</v>
      </c>
      <c r="K1248" s="283">
        <f>РПЗ!Z1248</f>
        <v>0</v>
      </c>
      <c r="L1248" s="17"/>
      <c r="M1248" s="18">
        <f>РПЗ!O1248</f>
        <v>42979.5</v>
      </c>
      <c r="N1248" s="238">
        <f>Таблица5[[#This Row],[10]]</f>
        <v>42979.5</v>
      </c>
      <c r="O1248" s="17"/>
      <c r="P1248" s="17"/>
      <c r="Q1248" s="17"/>
      <c r="R1248" s="17"/>
      <c r="S1248" s="17"/>
      <c r="T1248" s="686"/>
      <c r="U1248" s="18">
        <f>РПЗ!P1248</f>
        <v>43009.5</v>
      </c>
      <c r="V1248" s="686"/>
      <c r="W1248" s="236">
        <f>РПЗ!L1248</f>
        <v>353000</v>
      </c>
      <c r="X1248" s="689"/>
      <c r="Y1248" s="689"/>
      <c r="Z1248" s="690"/>
      <c r="AA1248" s="691"/>
      <c r="AB1248" s="111"/>
      <c r="AC1248" s="17"/>
      <c r="AD1248" s="690"/>
      <c r="AE1248" s="686"/>
      <c r="AF1248" s="474"/>
      <c r="AG1248" s="692"/>
      <c r="AH1248" s="236" t="str">
        <f>IF(Таблица5[[#This Row],[30]]=0,"НД",Таблица5[[#This Row],[20]]-Таблица5[[#This Row],[30]])</f>
        <v>НД</v>
      </c>
      <c r="AI1248" s="511" t="str">
        <f>IF(((1-Таблица5[[#This Row],[30]]/Таблица5[[#This Row],[20]])=1),"НД",(1-Таблица5[[#This Row],[30]]/Таблица5[[#This Row],[20]]))</f>
        <v>НД</v>
      </c>
      <c r="AJ1248" s="111"/>
      <c r="AK1248" s="111"/>
      <c r="AL1248" s="512"/>
      <c r="AM1248" s="513"/>
      <c r="AN1248" s="465"/>
      <c r="AO1248" s="468" t="str">
        <f>РПЗ!AD1248</f>
        <v>Нет</v>
      </c>
      <c r="AP1248" s="472">
        <f>РПЗ!V1248</f>
        <v>0</v>
      </c>
      <c r="AQ1248" s="470">
        <f>IF(Таблица5[[#This Row],[11]]=0,,MONTH(Таблица5[[#This Row],[11]]))</f>
        <v>9</v>
      </c>
    </row>
    <row r="1249" spans="1:43" ht="39" thickBot="1" x14ac:dyDescent="0.3">
      <c r="A1249" s="978" t="str">
        <f t="shared" si="19"/>
        <v>1004-2017-1234</v>
      </c>
      <c r="B1249" s="233" t="str">
        <f>РПЗ!$D1249</f>
        <v>1004-2017-1234 Поставка амортизаторы АПН</v>
      </c>
      <c r="C1249" s="233" t="str">
        <f>РПЗ!$AA1249</f>
        <v>АО "НИИ "Полюс" им. М.Ф. Стельмаха" тел. отдела закупок 8-495-333-05-02</v>
      </c>
      <c r="D1249" s="633" t="str">
        <f>РПЗ!$AB1249</f>
        <v>Заказчик</v>
      </c>
      <c r="E1249" s="96" t="s">
        <v>46</v>
      </c>
      <c r="F1249" s="233" t="str">
        <f>РПЗ!Q1249</f>
        <v>ЕП</v>
      </c>
      <c r="G1249" s="237"/>
      <c r="H1249" s="237" t="str">
        <f>РПЗ!R1249</f>
        <v>Нет</v>
      </c>
      <c r="I1249" s="15">
        <f>РПЗ!W1249</f>
        <v>0</v>
      </c>
      <c r="J1249" s="233">
        <f>РПЗ!X1249</f>
        <v>0</v>
      </c>
      <c r="K1249" s="283">
        <f>РПЗ!Z1249</f>
        <v>0</v>
      </c>
      <c r="L1249" s="17"/>
      <c r="M1249" s="18">
        <f>РПЗ!O1249</f>
        <v>42979.5</v>
      </c>
      <c r="N1249" s="238">
        <f>Таблица5[[#This Row],[10]]</f>
        <v>42979.5</v>
      </c>
      <c r="O1249" s="17"/>
      <c r="P1249" s="17"/>
      <c r="Q1249" s="17"/>
      <c r="R1249" s="17"/>
      <c r="S1249" s="17"/>
      <c r="T1249" s="686"/>
      <c r="U1249" s="18">
        <f>РПЗ!P1249</f>
        <v>43009.5</v>
      </c>
      <c r="V1249" s="686"/>
      <c r="W1249" s="236">
        <f>РПЗ!L1249</f>
        <v>205000</v>
      </c>
      <c r="X1249" s="689"/>
      <c r="Y1249" s="689"/>
      <c r="Z1249" s="690"/>
      <c r="AA1249" s="691"/>
      <c r="AB1249" s="111"/>
      <c r="AC1249" s="17"/>
      <c r="AD1249" s="690"/>
      <c r="AE1249" s="686"/>
      <c r="AF1249" s="474"/>
      <c r="AG1249" s="692"/>
      <c r="AH1249" s="236" t="str">
        <f>IF(Таблица5[[#This Row],[30]]=0,"НД",Таблица5[[#This Row],[20]]-Таблица5[[#This Row],[30]])</f>
        <v>НД</v>
      </c>
      <c r="AI1249" s="511" t="str">
        <f>IF(((1-Таблица5[[#This Row],[30]]/Таблица5[[#This Row],[20]])=1),"НД",(1-Таблица5[[#This Row],[30]]/Таблица5[[#This Row],[20]]))</f>
        <v>НД</v>
      </c>
      <c r="AJ1249" s="111"/>
      <c r="AK1249" s="111"/>
      <c r="AL1249" s="512"/>
      <c r="AM1249" s="513"/>
      <c r="AN1249" s="465"/>
      <c r="AO1249" s="468" t="str">
        <f>РПЗ!AD1249</f>
        <v>Нет</v>
      </c>
      <c r="AP1249" s="472">
        <f>РПЗ!V1249</f>
        <v>0</v>
      </c>
      <c r="AQ1249" s="470">
        <f>IF(Таблица5[[#This Row],[11]]=0,,MONTH(Таблица5[[#This Row],[11]]))</f>
        <v>9</v>
      </c>
    </row>
    <row r="1250" spans="1:43" ht="38.25" x14ac:dyDescent="0.25">
      <c r="A1250" s="978" t="str">
        <f t="shared" si="19"/>
        <v>1004-2017-1235</v>
      </c>
      <c r="B1250" s="233" t="str">
        <f>РПЗ!$D1250</f>
        <v>1004-2017-1235 Поставка модули питания  МДМ8-2Е0512ВП</v>
      </c>
      <c r="C1250" s="233" t="str">
        <f>РПЗ!$AA1250</f>
        <v>АО "НИИ "Полюс" им. М.Ф. Стельмаха" тел. отдела закупок 8-495-333-05-02</v>
      </c>
      <c r="D1250" s="633" t="str">
        <f>РПЗ!$AB1250</f>
        <v>Заказчик</v>
      </c>
      <c r="E1250" s="96" t="s">
        <v>46</v>
      </c>
      <c r="F1250" s="233" t="str">
        <f>РПЗ!Q1250</f>
        <v>ЕП</v>
      </c>
      <c r="G1250" s="237"/>
      <c r="H1250" s="237" t="str">
        <f>РПЗ!R1250</f>
        <v>Нет</v>
      </c>
      <c r="I1250" s="15">
        <f>РПЗ!W1250</f>
        <v>0</v>
      </c>
      <c r="J1250" s="233">
        <f>РПЗ!X1250</f>
        <v>0</v>
      </c>
      <c r="K1250" s="283">
        <f>РПЗ!Z1250</f>
        <v>0</v>
      </c>
      <c r="L1250" s="17"/>
      <c r="M1250" s="18">
        <f>РПЗ!O1250</f>
        <v>42979.5</v>
      </c>
      <c r="N1250" s="238">
        <f>Таблица5[[#This Row],[10]]</f>
        <v>42979.5</v>
      </c>
      <c r="O1250" s="17"/>
      <c r="P1250" s="17"/>
      <c r="Q1250" s="17"/>
      <c r="R1250" s="17"/>
      <c r="S1250" s="17"/>
      <c r="T1250" s="686"/>
      <c r="U1250" s="18">
        <f>РПЗ!P1250</f>
        <v>43009.5</v>
      </c>
      <c r="V1250" s="686"/>
      <c r="W1250" s="236">
        <f>РПЗ!L1250</f>
        <v>310277.81</v>
      </c>
      <c r="X1250" s="689"/>
      <c r="Y1250" s="689"/>
      <c r="Z1250" s="690"/>
      <c r="AA1250" s="691"/>
      <c r="AB1250" s="111"/>
      <c r="AC1250" s="17"/>
      <c r="AD1250" s="690"/>
      <c r="AE1250" s="686"/>
      <c r="AF1250" s="474"/>
      <c r="AG1250" s="692"/>
      <c r="AH1250" s="236" t="str">
        <f>IF(Таблица5[[#This Row],[30]]=0,"НД",Таблица5[[#This Row],[20]]-Таблица5[[#This Row],[30]])</f>
        <v>НД</v>
      </c>
      <c r="AI1250" s="511" t="str">
        <f>IF(((1-Таблица5[[#This Row],[30]]/Таблица5[[#This Row],[20]])=1),"НД",(1-Таблица5[[#This Row],[30]]/Таблица5[[#This Row],[20]]))</f>
        <v>НД</v>
      </c>
      <c r="AJ1250" s="111"/>
      <c r="AK1250" s="111"/>
      <c r="AL1250" s="512"/>
      <c r="AM1250" s="513"/>
      <c r="AN1250" s="465"/>
      <c r="AO1250" s="468" t="str">
        <f>РПЗ!AD1250</f>
        <v>Нет</v>
      </c>
      <c r="AP1250" s="472">
        <f>РПЗ!V1250</f>
        <v>0</v>
      </c>
      <c r="AQ1250" s="470">
        <f>IF(Таблица5[[#This Row],[11]]=0,,MONTH(Таблица5[[#This Row],[11]]))</f>
        <v>9</v>
      </c>
    </row>
    <row r="1251" spans="1:43" ht="39" thickBot="1" x14ac:dyDescent="0.3">
      <c r="A1251" s="978" t="str">
        <f t="shared" si="19"/>
        <v>1004-2017-1236</v>
      </c>
      <c r="B1251" s="233" t="str">
        <f>РПЗ!$D1251</f>
        <v>1004-2017-1236Поставка микросхемы</v>
      </c>
      <c r="C1251" s="233" t="str">
        <f>РПЗ!$AA1251</f>
        <v>АО "НИИ "Полюс" им. М.Ф. Стельмаха" тел. отдела закупок 8-495-333-05-02</v>
      </c>
      <c r="D1251" s="633" t="str">
        <f>РПЗ!$AB1251</f>
        <v>Заказчик</v>
      </c>
      <c r="E1251" s="510" t="s">
        <v>62</v>
      </c>
      <c r="F1251" s="233" t="str">
        <f>РПЗ!Q1251</f>
        <v>ЕП</v>
      </c>
      <c r="G1251" s="237" t="str">
        <f>Таблица5[[#This Row],[6]]</f>
        <v>ЕП</v>
      </c>
      <c r="H1251" s="237" t="str">
        <f>РПЗ!R1251</f>
        <v>Нет</v>
      </c>
      <c r="I1251" s="15" t="str">
        <f>РПЗ!W1251</f>
        <v>6.6.2(10)</v>
      </c>
      <c r="J1251" s="233" t="str">
        <f>РПЗ!X1251</f>
        <v>7719846490</v>
      </c>
      <c r="K1251" s="283">
        <f>РПЗ!Z1251</f>
        <v>221578</v>
      </c>
      <c r="L1251" s="17">
        <v>42985</v>
      </c>
      <c r="M1251" s="18">
        <f>РПЗ!O1251</f>
        <v>42979.5</v>
      </c>
      <c r="N1251" s="238">
        <f>Таблица5[[#This Row],[10]]</f>
        <v>42979.5</v>
      </c>
      <c r="O1251" s="17"/>
      <c r="P1251" s="17"/>
      <c r="Q1251" s="17"/>
      <c r="R1251" s="17"/>
      <c r="S1251" s="17"/>
      <c r="T1251" s="686">
        <v>42999</v>
      </c>
      <c r="U1251" s="18">
        <f>РПЗ!P1251</f>
        <v>43009.5</v>
      </c>
      <c r="V1251" s="686">
        <v>43009</v>
      </c>
      <c r="W1251" s="236">
        <f>РПЗ!L1251</f>
        <v>221578</v>
      </c>
      <c r="X1251" s="689">
        <v>1</v>
      </c>
      <c r="Y1251" s="689">
        <v>0</v>
      </c>
      <c r="Z1251" s="691">
        <v>7719846490</v>
      </c>
      <c r="AA1251" s="691" t="s">
        <v>6866</v>
      </c>
      <c r="AB1251" s="111">
        <v>221578</v>
      </c>
      <c r="AC1251" s="17">
        <v>43009</v>
      </c>
      <c r="AD1251" s="690" t="s">
        <v>6867</v>
      </c>
      <c r="AE1251" s="686">
        <v>42999</v>
      </c>
      <c r="AF1251" s="474"/>
      <c r="AG1251" s="692">
        <v>221578</v>
      </c>
      <c r="AH1251" s="236">
        <f>IF(Таблица5[[#This Row],[30]]=0,"НД",Таблица5[[#This Row],[20]]-Таблица5[[#This Row],[30]])</f>
        <v>0</v>
      </c>
      <c r="AI1251" s="511">
        <f>IF(((1-Таблица5[[#This Row],[30]]/Таблица5[[#This Row],[20]])=1),"НД",(1-Таблица5[[#This Row],[30]]/Таблица5[[#This Row],[20]]))</f>
        <v>0</v>
      </c>
      <c r="AJ1251" s="111"/>
      <c r="AK1251" s="111"/>
      <c r="AL1251" s="512"/>
      <c r="AM1251" s="513" t="s">
        <v>113</v>
      </c>
      <c r="AN1251" s="801">
        <v>31705519000</v>
      </c>
      <c r="AO1251" s="468" t="str">
        <f>РПЗ!AD1251</f>
        <v>Нет</v>
      </c>
      <c r="AP1251" s="472">
        <f>РПЗ!V1251</f>
        <v>0</v>
      </c>
      <c r="AQ1251" s="470">
        <f>IF(Таблица5[[#This Row],[11]]=0,,MONTH(Таблица5[[#This Row],[11]]))</f>
        <v>9</v>
      </c>
    </row>
    <row r="1252" spans="1:43" ht="38.25" x14ac:dyDescent="0.25">
      <c r="A1252" s="978" t="str">
        <f t="shared" si="19"/>
        <v>1004-2017-1237</v>
      </c>
      <c r="B1252" s="233" t="str">
        <f>РПЗ!$D1252</f>
        <v>1004-2017-1237 Поставка диодная сборка с прижимом</v>
      </c>
      <c r="C1252" s="233" t="str">
        <f>РПЗ!$AA1252</f>
        <v>АО "НИИ "Полюс" им. М.Ф. Стельмаха" тел. отдела закупок 8-495-333-05-02</v>
      </c>
      <c r="D1252" s="633" t="str">
        <f>РПЗ!$AB1252</f>
        <v>Заказчик</v>
      </c>
      <c r="E1252" s="96" t="s">
        <v>46</v>
      </c>
      <c r="F1252" s="233" t="str">
        <f>РПЗ!Q1252</f>
        <v>ЕП</v>
      </c>
      <c r="G1252" s="237"/>
      <c r="H1252" s="237" t="str">
        <f>РПЗ!R1252</f>
        <v>Нет</v>
      </c>
      <c r="I1252" s="15">
        <f>РПЗ!W1252</f>
        <v>0</v>
      </c>
      <c r="J1252" s="233">
        <f>РПЗ!X1252</f>
        <v>0</v>
      </c>
      <c r="K1252" s="283">
        <f>РПЗ!Z1252</f>
        <v>0</v>
      </c>
      <c r="L1252" s="17"/>
      <c r="M1252" s="18">
        <f>РПЗ!O1252</f>
        <v>42979.5</v>
      </c>
      <c r="N1252" s="238">
        <f>Таблица5[[#This Row],[10]]</f>
        <v>42979.5</v>
      </c>
      <c r="O1252" s="17"/>
      <c r="P1252" s="17"/>
      <c r="Q1252" s="17"/>
      <c r="R1252" s="17"/>
      <c r="S1252" s="17"/>
      <c r="T1252" s="686"/>
      <c r="U1252" s="18">
        <f>РПЗ!P1252</f>
        <v>43010.5</v>
      </c>
      <c r="V1252" s="686"/>
      <c r="W1252" s="236">
        <f>РПЗ!L1252</f>
        <v>453061</v>
      </c>
      <c r="X1252" s="689"/>
      <c r="Y1252" s="689"/>
      <c r="Z1252" s="690"/>
      <c r="AA1252" s="691"/>
      <c r="AB1252" s="111"/>
      <c r="AC1252" s="17"/>
      <c r="AD1252" s="690"/>
      <c r="AE1252" s="686"/>
      <c r="AF1252" s="474"/>
      <c r="AG1252" s="692"/>
      <c r="AH1252" s="236" t="str">
        <f>IF(Таблица5[[#This Row],[30]]=0,"НД",Таблица5[[#This Row],[20]]-Таблица5[[#This Row],[30]])</f>
        <v>НД</v>
      </c>
      <c r="AI1252" s="511" t="str">
        <f>IF(((1-Таблица5[[#This Row],[30]]/Таблица5[[#This Row],[20]])=1),"НД",(1-Таблица5[[#This Row],[30]]/Таблица5[[#This Row],[20]]))</f>
        <v>НД</v>
      </c>
      <c r="AJ1252" s="111"/>
      <c r="AK1252" s="111"/>
      <c r="AL1252" s="512"/>
      <c r="AM1252" s="513"/>
      <c r="AN1252" s="465"/>
      <c r="AO1252" s="468" t="str">
        <f>РПЗ!AD1252</f>
        <v>Нет</v>
      </c>
      <c r="AP1252" s="472">
        <f>РПЗ!V1252</f>
        <v>0</v>
      </c>
      <c r="AQ1252" s="470">
        <f>IF(Таблица5[[#This Row],[11]]=0,,MONTH(Таблица5[[#This Row],[11]]))</f>
        <v>9</v>
      </c>
    </row>
    <row r="1253" spans="1:43" ht="38.25" x14ac:dyDescent="0.25">
      <c r="A1253" s="978" t="str">
        <f t="shared" si="19"/>
        <v>1004-2017-1238</v>
      </c>
      <c r="B1253" s="233" t="str">
        <f>РПЗ!$D1253</f>
        <v>1004-2017-1238 Поставка  транзисторы</v>
      </c>
      <c r="C1253" s="233" t="str">
        <f>РПЗ!$AA1253</f>
        <v>АО "НИИ "Полюс" им. М.Ф. Стельмаха" тел. отдела закупок 8-495-333-05-02</v>
      </c>
      <c r="D1253" s="633" t="str">
        <f>РПЗ!$AB1253</f>
        <v>Заказчик</v>
      </c>
      <c r="E1253" s="510" t="s">
        <v>62</v>
      </c>
      <c r="F1253" s="233" t="str">
        <f>РПЗ!Q1253</f>
        <v>ЕП</v>
      </c>
      <c r="G1253" s="237" t="str">
        <f>Таблица5[[#This Row],[6]]</f>
        <v>ЕП</v>
      </c>
      <c r="H1253" s="237" t="str">
        <f>РПЗ!R1253</f>
        <v>Нет</v>
      </c>
      <c r="I1253" s="15" t="str">
        <f>РПЗ!W1253</f>
        <v>6.6.2(10)</v>
      </c>
      <c r="J1253" s="233" t="str">
        <f>РПЗ!X1253</f>
        <v>3661033635</v>
      </c>
      <c r="K1253" s="283">
        <f>РПЗ!Z1253</f>
        <v>809236.16</v>
      </c>
      <c r="L1253" s="17">
        <v>42984</v>
      </c>
      <c r="M1253" s="18">
        <f>РПЗ!O1253</f>
        <v>42979.5</v>
      </c>
      <c r="N1253" s="238">
        <f>Таблица5[[#This Row],[10]]</f>
        <v>42979.5</v>
      </c>
      <c r="O1253" s="17"/>
      <c r="P1253" s="17"/>
      <c r="Q1253" s="17"/>
      <c r="R1253" s="17"/>
      <c r="S1253" s="17"/>
      <c r="T1253" s="686">
        <v>43026</v>
      </c>
      <c r="U1253" s="18">
        <f>РПЗ!P1253</f>
        <v>43011.5</v>
      </c>
      <c r="V1253" s="686">
        <v>43070</v>
      </c>
      <c r="W1253" s="236">
        <f>РПЗ!L1253</f>
        <v>809236.16</v>
      </c>
      <c r="X1253" s="689">
        <v>1</v>
      </c>
      <c r="Y1253" s="689">
        <v>0</v>
      </c>
      <c r="Z1253" s="691">
        <v>3661033635</v>
      </c>
      <c r="AA1253" s="691" t="s">
        <v>1717</v>
      </c>
      <c r="AB1253" s="111">
        <v>809236.16</v>
      </c>
      <c r="AC1253" s="17">
        <v>43070</v>
      </c>
      <c r="AD1253" s="690" t="s">
        <v>5104</v>
      </c>
      <c r="AE1253" s="686">
        <v>43026</v>
      </c>
      <c r="AF1253" s="474"/>
      <c r="AG1253" s="692">
        <v>809236.16</v>
      </c>
      <c r="AH1253" s="236">
        <f>IF(Таблица5[[#This Row],[30]]=0,"НД",Таблица5[[#This Row],[20]]-Таблица5[[#This Row],[30]])</f>
        <v>0</v>
      </c>
      <c r="AI1253" s="511">
        <f>IF(((1-Таблица5[[#This Row],[30]]/Таблица5[[#This Row],[20]])=1),"НД",(1-Таблица5[[#This Row],[30]]/Таблица5[[#This Row],[20]]))</f>
        <v>0</v>
      </c>
      <c r="AJ1253" s="111"/>
      <c r="AK1253" s="111"/>
      <c r="AL1253" s="512"/>
      <c r="AM1253" s="513" t="s">
        <v>113</v>
      </c>
      <c r="AN1253" s="801">
        <v>31705507187</v>
      </c>
      <c r="AO1253" s="468" t="str">
        <f>РПЗ!AD1253</f>
        <v>Нет</v>
      </c>
      <c r="AP1253" s="472" t="str">
        <f>РПЗ!V1253</f>
        <v>ГОЗ</v>
      </c>
      <c r="AQ1253" s="470">
        <f>IF(Таблица5[[#This Row],[11]]=0,,MONTH(Таблица5[[#This Row],[11]]))</f>
        <v>9</v>
      </c>
    </row>
    <row r="1254" spans="1:43" ht="39" thickBot="1" x14ac:dyDescent="0.3">
      <c r="A1254" s="978" t="str">
        <f t="shared" si="19"/>
        <v>1004-2017-1239</v>
      </c>
      <c r="B1254" s="233" t="str">
        <f>РПЗ!$D1254</f>
        <v>1004-2017-1239 Поставка транзисторы, диоды</v>
      </c>
      <c r="C1254" s="233" t="str">
        <f>РПЗ!$AA1254</f>
        <v>АО "НИИ "Полюс" им. М.Ф. Стельмаха" тел. отдела закупок 8-495-333-05-02</v>
      </c>
      <c r="D1254" s="633" t="str">
        <f>РПЗ!$AB1254</f>
        <v>Заказчик</v>
      </c>
      <c r="E1254" s="510" t="s">
        <v>62</v>
      </c>
      <c r="F1254" s="233" t="str">
        <f>РПЗ!Q1254</f>
        <v>ЕП</v>
      </c>
      <c r="G1254" s="237" t="str">
        <f>Таблица5[[#This Row],[6]]</f>
        <v>ЕП</v>
      </c>
      <c r="H1254" s="237" t="str">
        <f>РПЗ!R1254</f>
        <v>Нет</v>
      </c>
      <c r="I1254" s="15" t="str">
        <f>РПЗ!W1254</f>
        <v>6.6.2(11)</v>
      </c>
      <c r="J1254" s="233" t="str">
        <f>РПЗ!X1254</f>
        <v>3661033635</v>
      </c>
      <c r="K1254" s="283">
        <f>РПЗ!Z1254</f>
        <v>198190.45</v>
      </c>
      <c r="L1254" s="17">
        <v>42985</v>
      </c>
      <c r="M1254" s="18">
        <f>РПЗ!O1254</f>
        <v>42979.5</v>
      </c>
      <c r="N1254" s="238">
        <f>Таблица5[[#This Row],[10]]</f>
        <v>42979.5</v>
      </c>
      <c r="O1254" s="17"/>
      <c r="P1254" s="17"/>
      <c r="Q1254" s="17"/>
      <c r="R1254" s="17"/>
      <c r="S1254" s="17"/>
      <c r="T1254" s="686">
        <v>42986</v>
      </c>
      <c r="U1254" s="18">
        <f>РПЗ!P1254</f>
        <v>43012.5</v>
      </c>
      <c r="V1254" s="686">
        <v>43070</v>
      </c>
      <c r="W1254" s="236">
        <f>РПЗ!L1254</f>
        <v>198190.45</v>
      </c>
      <c r="X1254" s="689">
        <v>1</v>
      </c>
      <c r="Y1254" s="689">
        <v>0</v>
      </c>
      <c r="Z1254" s="691">
        <v>3661033635</v>
      </c>
      <c r="AA1254" s="691" t="s">
        <v>1717</v>
      </c>
      <c r="AB1254" s="111">
        <v>198190.45</v>
      </c>
      <c r="AC1254" s="17">
        <v>43070</v>
      </c>
      <c r="AD1254" s="690" t="s">
        <v>119</v>
      </c>
      <c r="AE1254" s="686">
        <v>42986</v>
      </c>
      <c r="AF1254" s="474"/>
      <c r="AG1254" s="692">
        <v>198190.45</v>
      </c>
      <c r="AH1254" s="236">
        <f>IF(Таблица5[[#This Row],[30]]=0,"НД",Таблица5[[#This Row],[20]]-Таблица5[[#This Row],[30]])</f>
        <v>0</v>
      </c>
      <c r="AI1254" s="511">
        <f>IF(((1-Таблица5[[#This Row],[30]]/Таблица5[[#This Row],[20]])=1),"НД",(1-Таблица5[[#This Row],[30]]/Таблица5[[#This Row],[20]]))</f>
        <v>0</v>
      </c>
      <c r="AJ1254" s="111"/>
      <c r="AK1254" s="111"/>
      <c r="AL1254" s="512"/>
      <c r="AM1254" s="513" t="s">
        <v>113</v>
      </c>
      <c r="AN1254" s="801">
        <v>31705504879</v>
      </c>
      <c r="AO1254" s="468" t="str">
        <f>РПЗ!AD1254</f>
        <v>Нет</v>
      </c>
      <c r="AP1254" s="472">
        <f>РПЗ!V1254</f>
        <v>0</v>
      </c>
      <c r="AQ1254" s="470">
        <f>IF(Таблица5[[#This Row],[11]]=0,,MONTH(Таблица5[[#This Row],[11]]))</f>
        <v>9</v>
      </c>
    </row>
    <row r="1255" spans="1:43" ht="39" thickBot="1" x14ac:dyDescent="0.3">
      <c r="A1255" s="978" t="str">
        <f t="shared" si="19"/>
        <v>1004-2017-1240</v>
      </c>
      <c r="B1255" s="233" t="str">
        <f>РПЗ!$D1255</f>
        <v>1004-2017-1240 Поставка Кварцевые генераторы</v>
      </c>
      <c r="C1255" s="233" t="str">
        <f>РПЗ!$AA1255</f>
        <v>АО "НИИ "Полюс" им. М.Ф. Стельмаха" тел. отдела закупок 8-495-333-05-02</v>
      </c>
      <c r="D1255" s="633" t="str">
        <f>РПЗ!$AB1255</f>
        <v>Заказчик</v>
      </c>
      <c r="E1255" s="96" t="s">
        <v>46</v>
      </c>
      <c r="F1255" s="233" t="str">
        <f>РПЗ!Q1255</f>
        <v>ЕП</v>
      </c>
      <c r="G1255" s="237"/>
      <c r="H1255" s="237" t="str">
        <f>РПЗ!R1255</f>
        <v>Нет</v>
      </c>
      <c r="I1255" s="15">
        <f>РПЗ!W1255</f>
        <v>0</v>
      </c>
      <c r="J1255" s="233">
        <f>РПЗ!X1255</f>
        <v>0</v>
      </c>
      <c r="K1255" s="283">
        <f>РПЗ!Z1255</f>
        <v>0</v>
      </c>
      <c r="L1255" s="17"/>
      <c r="M1255" s="18">
        <f>РПЗ!O1255</f>
        <v>42979.5</v>
      </c>
      <c r="N1255" s="238">
        <f>Таблица5[[#This Row],[10]]</f>
        <v>42979.5</v>
      </c>
      <c r="O1255" s="17"/>
      <c r="P1255" s="17"/>
      <c r="Q1255" s="17"/>
      <c r="R1255" s="17"/>
      <c r="S1255" s="17"/>
      <c r="T1255" s="686"/>
      <c r="U1255" s="18">
        <f>РПЗ!P1255</f>
        <v>43013.5</v>
      </c>
      <c r="V1255" s="686"/>
      <c r="W1255" s="236">
        <f>РПЗ!L1255</f>
        <v>114838.49</v>
      </c>
      <c r="X1255" s="689"/>
      <c r="Y1255" s="689"/>
      <c r="Z1255" s="690"/>
      <c r="AA1255" s="691"/>
      <c r="AB1255" s="111"/>
      <c r="AC1255" s="17"/>
      <c r="AD1255" s="690"/>
      <c r="AE1255" s="686"/>
      <c r="AF1255" s="474"/>
      <c r="AG1255" s="692"/>
      <c r="AH1255" s="236" t="str">
        <f>IF(Таблица5[[#This Row],[30]]=0,"НД",Таблица5[[#This Row],[20]]-Таблица5[[#This Row],[30]])</f>
        <v>НД</v>
      </c>
      <c r="AI1255" s="511" t="str">
        <f>IF(((1-Таблица5[[#This Row],[30]]/Таблица5[[#This Row],[20]])=1),"НД",(1-Таблица5[[#This Row],[30]]/Таблица5[[#This Row],[20]]))</f>
        <v>НД</v>
      </c>
      <c r="AJ1255" s="111"/>
      <c r="AK1255" s="111"/>
      <c r="AL1255" s="512"/>
      <c r="AM1255" s="513"/>
      <c r="AN1255" s="465"/>
      <c r="AO1255" s="468" t="str">
        <f>РПЗ!AD1255</f>
        <v>Нет</v>
      </c>
      <c r="AP1255" s="472">
        <f>РПЗ!V1255</f>
        <v>0</v>
      </c>
      <c r="AQ1255" s="470">
        <f>IF(Таблица5[[#This Row],[11]]=0,,MONTH(Таблица5[[#This Row],[11]]))</f>
        <v>9</v>
      </c>
    </row>
    <row r="1256" spans="1:43" ht="39" thickBot="1" x14ac:dyDescent="0.3">
      <c r="A1256" s="978" t="str">
        <f t="shared" si="19"/>
        <v>1004-2017-1241</v>
      </c>
      <c r="B1256" s="233" t="str">
        <f>РПЗ!$D1256</f>
        <v>1004-2017-1241 Поставка конденсаторы</v>
      </c>
      <c r="C1256" s="233" t="str">
        <f>РПЗ!$AA1256</f>
        <v>АО "НИИ "Полюс" им. М.Ф. Стельмаха" тел. отдела закупок 8-495-333-05-02</v>
      </c>
      <c r="D1256" s="633" t="str">
        <f>РПЗ!$AB1256</f>
        <v>Заказчик</v>
      </c>
      <c r="E1256" s="96" t="s">
        <v>46</v>
      </c>
      <c r="F1256" s="233" t="str">
        <f>РПЗ!Q1256</f>
        <v>ЕП</v>
      </c>
      <c r="G1256" s="237"/>
      <c r="H1256" s="237" t="str">
        <f>РПЗ!R1256</f>
        <v>Нет</v>
      </c>
      <c r="I1256" s="15">
        <f>РПЗ!W1256</f>
        <v>0</v>
      </c>
      <c r="J1256" s="233">
        <f>РПЗ!X1256</f>
        <v>0</v>
      </c>
      <c r="K1256" s="283">
        <f>РПЗ!Z1256</f>
        <v>0</v>
      </c>
      <c r="L1256" s="17"/>
      <c r="M1256" s="18">
        <f>РПЗ!O1256</f>
        <v>42983.5</v>
      </c>
      <c r="N1256" s="238">
        <f>Таблица5[[#This Row],[10]]</f>
        <v>42983.5</v>
      </c>
      <c r="O1256" s="17"/>
      <c r="P1256" s="17"/>
      <c r="Q1256" s="17"/>
      <c r="R1256" s="17"/>
      <c r="S1256" s="17"/>
      <c r="T1256" s="686"/>
      <c r="U1256" s="18">
        <f>РПЗ!P1256</f>
        <v>43011.5</v>
      </c>
      <c r="V1256" s="686"/>
      <c r="W1256" s="236">
        <f>РПЗ!L1256</f>
        <v>594000.4</v>
      </c>
      <c r="X1256" s="689"/>
      <c r="Y1256" s="689"/>
      <c r="Z1256" s="690"/>
      <c r="AA1256" s="691"/>
      <c r="AB1256" s="111"/>
      <c r="AC1256" s="17"/>
      <c r="AD1256" s="690"/>
      <c r="AE1256" s="686"/>
      <c r="AF1256" s="474"/>
      <c r="AG1256" s="692"/>
      <c r="AH1256" s="236" t="str">
        <f>IF(Таблица5[[#This Row],[30]]=0,"НД",Таблица5[[#This Row],[20]]-Таблица5[[#This Row],[30]])</f>
        <v>НД</v>
      </c>
      <c r="AI1256" s="511" t="str">
        <f>IF(((1-Таблица5[[#This Row],[30]]/Таблица5[[#This Row],[20]])=1),"НД",(1-Таблица5[[#This Row],[30]]/Таблица5[[#This Row],[20]]))</f>
        <v>НД</v>
      </c>
      <c r="AJ1256" s="111"/>
      <c r="AK1256" s="111"/>
      <c r="AL1256" s="512"/>
      <c r="AM1256" s="513"/>
      <c r="AN1256" s="465"/>
      <c r="AO1256" s="468" t="str">
        <f>РПЗ!AD1256</f>
        <v>Нет</v>
      </c>
      <c r="AP1256" s="472">
        <f>РПЗ!V1256</f>
        <v>0</v>
      </c>
      <c r="AQ1256" s="470">
        <f>IF(Таблица5[[#This Row],[11]]=0,,MONTH(Таблица5[[#This Row],[11]]))</f>
        <v>9</v>
      </c>
    </row>
    <row r="1257" spans="1:43" ht="39" thickBot="1" x14ac:dyDescent="0.3">
      <c r="A1257" s="978" t="str">
        <f t="shared" si="19"/>
        <v>1004-2017-1242</v>
      </c>
      <c r="B1257" s="233" t="str">
        <f>РПЗ!$D1257</f>
        <v>1004-2017-1242 Поставка электродвигатели</v>
      </c>
      <c r="C1257" s="233" t="str">
        <f>РПЗ!$AA1257</f>
        <v>АО "НИИ "Полюс" им. М.Ф. Стельмаха" тел. отдела закупок 8-495-333-05-02</v>
      </c>
      <c r="D1257" s="633" t="str">
        <f>РПЗ!$AB1257</f>
        <v>Заказчик</v>
      </c>
      <c r="E1257" s="96" t="s">
        <v>46</v>
      </c>
      <c r="F1257" s="233" t="str">
        <f>РПЗ!Q1257</f>
        <v>ЕП</v>
      </c>
      <c r="G1257" s="237"/>
      <c r="H1257" s="237" t="str">
        <f>РПЗ!R1257</f>
        <v>Нет</v>
      </c>
      <c r="I1257" s="15">
        <f>РПЗ!W1257</f>
        <v>0</v>
      </c>
      <c r="J1257" s="233">
        <f>РПЗ!X1257</f>
        <v>0</v>
      </c>
      <c r="K1257" s="283">
        <f>РПЗ!Z1257</f>
        <v>0</v>
      </c>
      <c r="L1257" s="17"/>
      <c r="M1257" s="18">
        <f>РПЗ!O1257</f>
        <v>42983.5</v>
      </c>
      <c r="N1257" s="238">
        <f>Таблица5[[#This Row],[10]]</f>
        <v>42983.5</v>
      </c>
      <c r="O1257" s="17"/>
      <c r="P1257" s="17"/>
      <c r="Q1257" s="17"/>
      <c r="R1257" s="17"/>
      <c r="S1257" s="17"/>
      <c r="T1257" s="686"/>
      <c r="U1257" s="18">
        <f>РПЗ!P1257</f>
        <v>43011.5</v>
      </c>
      <c r="V1257" s="686"/>
      <c r="W1257" s="236">
        <f>РПЗ!L1257</f>
        <v>350000</v>
      </c>
      <c r="X1257" s="689"/>
      <c r="Y1257" s="689"/>
      <c r="Z1257" s="690"/>
      <c r="AA1257" s="691"/>
      <c r="AB1257" s="111"/>
      <c r="AC1257" s="17"/>
      <c r="AD1257" s="690"/>
      <c r="AE1257" s="686"/>
      <c r="AF1257" s="474"/>
      <c r="AG1257" s="692"/>
      <c r="AH1257" s="236" t="str">
        <f>IF(Таблица5[[#This Row],[30]]=0,"НД",Таблица5[[#This Row],[20]]-Таблица5[[#This Row],[30]])</f>
        <v>НД</v>
      </c>
      <c r="AI1257" s="511" t="str">
        <f>IF(((1-Таблица5[[#This Row],[30]]/Таблица5[[#This Row],[20]])=1),"НД",(1-Таблица5[[#This Row],[30]]/Таблица5[[#This Row],[20]]))</f>
        <v>НД</v>
      </c>
      <c r="AJ1257" s="111"/>
      <c r="AK1257" s="111"/>
      <c r="AL1257" s="512"/>
      <c r="AM1257" s="513"/>
      <c r="AN1257" s="465"/>
      <c r="AO1257" s="468" t="str">
        <f>РПЗ!AD1257</f>
        <v>Нет</v>
      </c>
      <c r="AP1257" s="472">
        <f>РПЗ!V1257</f>
        <v>0</v>
      </c>
      <c r="AQ1257" s="470">
        <f>IF(Таблица5[[#This Row],[11]]=0,,MONTH(Таблица5[[#This Row],[11]]))</f>
        <v>9</v>
      </c>
    </row>
    <row r="1258" spans="1:43" ht="39" thickBot="1" x14ac:dyDescent="0.3">
      <c r="A1258" s="978" t="str">
        <f t="shared" si="19"/>
        <v>1004-2017-1243</v>
      </c>
      <c r="B1258" s="233" t="str">
        <f>РПЗ!$D1258</f>
        <v>1004-2017-1243 Поставка конденсаторы</v>
      </c>
      <c r="C1258" s="233" t="str">
        <f>РПЗ!$AA1258</f>
        <v>АО "НИИ "Полюс" им. М.Ф. Стельмаха" тел. отдела закупок 8-495-333-05-02</v>
      </c>
      <c r="D1258" s="633" t="str">
        <f>РПЗ!$AB1258</f>
        <v>Заказчик</v>
      </c>
      <c r="E1258" s="96" t="s">
        <v>46</v>
      </c>
      <c r="F1258" s="233" t="str">
        <f>РПЗ!Q1258</f>
        <v>ЕП</v>
      </c>
      <c r="G1258" s="237"/>
      <c r="H1258" s="237" t="str">
        <f>РПЗ!R1258</f>
        <v>Нет</v>
      </c>
      <c r="I1258" s="15">
        <f>РПЗ!W1258</f>
        <v>0</v>
      </c>
      <c r="J1258" s="233">
        <f>РПЗ!X1258</f>
        <v>0</v>
      </c>
      <c r="K1258" s="283">
        <f>РПЗ!Z1258</f>
        <v>0</v>
      </c>
      <c r="L1258" s="17"/>
      <c r="M1258" s="18">
        <f>РПЗ!O1258</f>
        <v>42984.5</v>
      </c>
      <c r="N1258" s="238">
        <f>Таблица5[[#This Row],[10]]</f>
        <v>42984.5</v>
      </c>
      <c r="O1258" s="17"/>
      <c r="P1258" s="17"/>
      <c r="Q1258" s="17"/>
      <c r="R1258" s="17"/>
      <c r="S1258" s="17"/>
      <c r="T1258" s="686"/>
      <c r="U1258" s="18">
        <f>РПЗ!P1258</f>
        <v>43012.5</v>
      </c>
      <c r="V1258" s="686"/>
      <c r="W1258" s="236">
        <f>РПЗ!L1258</f>
        <v>250840.15</v>
      </c>
      <c r="X1258" s="689"/>
      <c r="Y1258" s="689"/>
      <c r="Z1258" s="690"/>
      <c r="AA1258" s="691"/>
      <c r="AB1258" s="111"/>
      <c r="AC1258" s="17"/>
      <c r="AD1258" s="690"/>
      <c r="AE1258" s="686"/>
      <c r="AF1258" s="474"/>
      <c r="AG1258" s="692"/>
      <c r="AH1258" s="236" t="str">
        <f>IF(Таблица5[[#This Row],[30]]=0,"НД",Таблица5[[#This Row],[20]]-Таблица5[[#This Row],[30]])</f>
        <v>НД</v>
      </c>
      <c r="AI1258" s="511" t="str">
        <f>IF(((1-Таблица5[[#This Row],[30]]/Таблица5[[#This Row],[20]])=1),"НД",(1-Таблица5[[#This Row],[30]]/Таблица5[[#This Row],[20]]))</f>
        <v>НД</v>
      </c>
      <c r="AJ1258" s="111"/>
      <c r="AK1258" s="111"/>
      <c r="AL1258" s="512"/>
      <c r="AM1258" s="513"/>
      <c r="AN1258" s="465"/>
      <c r="AO1258" s="468" t="str">
        <f>РПЗ!AD1258</f>
        <v>Нет</v>
      </c>
      <c r="AP1258" s="472">
        <f>РПЗ!V1258</f>
        <v>0</v>
      </c>
      <c r="AQ1258" s="470">
        <f>IF(Таблица5[[#This Row],[11]]=0,,MONTH(Таблица5[[#This Row],[11]]))</f>
        <v>9</v>
      </c>
    </row>
    <row r="1259" spans="1:43" ht="38.25" x14ac:dyDescent="0.25">
      <c r="A1259" s="978" t="str">
        <f t="shared" si="19"/>
        <v>1004-2017-1244</v>
      </c>
      <c r="B1259" s="233" t="str">
        <f>РПЗ!$D1259</f>
        <v>1004-2017-1244 Выполнение услуг по  Перевозке спирта</v>
      </c>
      <c r="C1259" s="233" t="str">
        <f>РПЗ!$AA1259</f>
        <v>АО "НИИ "Полюс" им. М.Ф. Стельмаха" тел. отдела закупок 8-495-333-05-02</v>
      </c>
      <c r="D1259" s="633" t="str">
        <f>РПЗ!$AB1259</f>
        <v>Заказчик</v>
      </c>
      <c r="E1259" s="96" t="s">
        <v>46</v>
      </c>
      <c r="F1259" s="233" t="str">
        <f>РПЗ!Q1259</f>
        <v>ОЗК</v>
      </c>
      <c r="G1259" s="237"/>
      <c r="H1259" s="237" t="str">
        <f>РПЗ!R1259</f>
        <v>Да</v>
      </c>
      <c r="I1259" s="15">
        <f>РПЗ!W1259</f>
        <v>0</v>
      </c>
      <c r="J1259" s="233">
        <f>РПЗ!X1259</f>
        <v>0</v>
      </c>
      <c r="K1259" s="283">
        <f>РПЗ!Z1259</f>
        <v>0</v>
      </c>
      <c r="L1259" s="17"/>
      <c r="M1259" s="18">
        <f>РПЗ!O1259</f>
        <v>42983.5</v>
      </c>
      <c r="N1259" s="238">
        <f>Таблица5[[#This Row],[10]]</f>
        <v>42983.5</v>
      </c>
      <c r="O1259" s="17"/>
      <c r="P1259" s="17"/>
      <c r="Q1259" s="17"/>
      <c r="R1259" s="17"/>
      <c r="S1259" s="17"/>
      <c r="T1259" s="686"/>
      <c r="U1259" s="18">
        <f>РПЗ!P1259</f>
        <v>43011.5</v>
      </c>
      <c r="V1259" s="686"/>
      <c r="W1259" s="236">
        <f>РПЗ!L1259</f>
        <v>80000</v>
      </c>
      <c r="X1259" s="689"/>
      <c r="Y1259" s="689"/>
      <c r="Z1259" s="690"/>
      <c r="AA1259" s="691"/>
      <c r="AB1259" s="111"/>
      <c r="AC1259" s="17"/>
      <c r="AD1259" s="690"/>
      <c r="AE1259" s="686"/>
      <c r="AF1259" s="474"/>
      <c r="AG1259" s="692"/>
      <c r="AH1259" s="236" t="str">
        <f>IF(Таблица5[[#This Row],[30]]=0,"НД",Таблица5[[#This Row],[20]]-Таблица5[[#This Row],[30]])</f>
        <v>НД</v>
      </c>
      <c r="AI1259" s="511" t="str">
        <f>IF(((1-Таблица5[[#This Row],[30]]/Таблица5[[#This Row],[20]])=1),"НД",(1-Таблица5[[#This Row],[30]]/Таблица5[[#This Row],[20]]))</f>
        <v>НД</v>
      </c>
      <c r="AJ1259" s="111"/>
      <c r="AK1259" s="111"/>
      <c r="AL1259" s="512"/>
      <c r="AM1259" s="513"/>
      <c r="AN1259" s="465"/>
      <c r="AO1259" s="468" t="str">
        <f>РПЗ!AD1259</f>
        <v>Нет</v>
      </c>
      <c r="AP1259" s="472">
        <f>РПЗ!V1259</f>
        <v>0</v>
      </c>
      <c r="AQ1259" s="470">
        <f>IF(Таблица5[[#This Row],[11]]=0,,MONTH(Таблица5[[#This Row],[11]]))</f>
        <v>9</v>
      </c>
    </row>
    <row r="1260" spans="1:43" ht="38.25" x14ac:dyDescent="0.25">
      <c r="A1260" s="978" t="str">
        <f t="shared" si="19"/>
        <v>1004-2017-1245</v>
      </c>
      <c r="B1260" s="233" t="str">
        <f>РПЗ!$D1260</f>
        <v>1004-2017-1245 Поставка фторопластовых изделий</v>
      </c>
      <c r="C1260" s="233" t="str">
        <f>РПЗ!$AA1260</f>
        <v>АО "НИИ "Полюс" им. М.Ф. Стельмаха" тел. отдела закупок 8-495-333-05-02</v>
      </c>
      <c r="D1260" s="633" t="str">
        <f>РПЗ!$AB1260</f>
        <v>Заказчик</v>
      </c>
      <c r="E1260" s="510" t="s">
        <v>62</v>
      </c>
      <c r="F1260" s="233" t="str">
        <f>РПЗ!Q1260</f>
        <v>ЕП</v>
      </c>
      <c r="G1260" s="237" t="str">
        <f>Таблица5[[#This Row],[6]]</f>
        <v>ЕП</v>
      </c>
      <c r="H1260" s="237" t="str">
        <f>РПЗ!R1260</f>
        <v>Нет</v>
      </c>
      <c r="I1260" s="15" t="str">
        <f>РПЗ!W1260</f>
        <v>6.6.2(9)</v>
      </c>
      <c r="J1260" s="233" t="str">
        <f>РПЗ!X1260</f>
        <v>7716699093</v>
      </c>
      <c r="K1260" s="283">
        <f>РПЗ!Z1260</f>
        <v>141057.20000000001</v>
      </c>
      <c r="L1260" s="17">
        <v>42993</v>
      </c>
      <c r="M1260" s="18">
        <f>РПЗ!O1260</f>
        <v>42984.5</v>
      </c>
      <c r="N1260" s="238">
        <f>Таблица5[[#This Row],[10]]</f>
        <v>42984.5</v>
      </c>
      <c r="O1260" s="17"/>
      <c r="P1260" s="17"/>
      <c r="Q1260" s="17"/>
      <c r="R1260" s="17"/>
      <c r="S1260" s="17"/>
      <c r="T1260" s="686">
        <v>43014</v>
      </c>
      <c r="U1260" s="18">
        <f>РПЗ!P1260</f>
        <v>43012.5</v>
      </c>
      <c r="V1260" s="686">
        <v>43016</v>
      </c>
      <c r="W1260" s="236">
        <f>РПЗ!L1260</f>
        <v>141057.20000000001</v>
      </c>
      <c r="X1260" s="689">
        <v>1</v>
      </c>
      <c r="Y1260" s="689">
        <v>0</v>
      </c>
      <c r="Z1260" s="691">
        <v>7716699093</v>
      </c>
      <c r="AA1260" s="691" t="s">
        <v>7224</v>
      </c>
      <c r="AB1260" s="111">
        <v>141057.20000000001</v>
      </c>
      <c r="AC1260" s="17">
        <v>43016</v>
      </c>
      <c r="AD1260" s="690" t="s">
        <v>7226</v>
      </c>
      <c r="AE1260" s="686">
        <v>43014</v>
      </c>
      <c r="AF1260" s="474"/>
      <c r="AG1260" s="692">
        <v>141057.20000000001</v>
      </c>
      <c r="AH1260" s="236">
        <f>IF(Таблица5[[#This Row],[30]]=0,"НД",Таблица5[[#This Row],[20]]-Таблица5[[#This Row],[30]])</f>
        <v>0</v>
      </c>
      <c r="AI1260" s="511">
        <f>IF(((1-Таблица5[[#This Row],[30]]/Таблица5[[#This Row],[20]])=1),"НД",(1-Таблица5[[#This Row],[30]]/Таблица5[[#This Row],[20]]))</f>
        <v>0</v>
      </c>
      <c r="AJ1260" s="111">
        <v>141057.20000000001</v>
      </c>
      <c r="AK1260" s="111"/>
      <c r="AL1260" s="512"/>
      <c r="AM1260" s="513" t="s">
        <v>113</v>
      </c>
      <c r="AN1260" s="801">
        <v>31705550640</v>
      </c>
      <c r="AO1260" s="468" t="str">
        <f>РПЗ!AD1260</f>
        <v>Нет</v>
      </c>
      <c r="AP1260" s="472" t="str">
        <f>РПЗ!V1260</f>
        <v>ГОЗ</v>
      </c>
      <c r="AQ1260" s="470">
        <f>IF(Таблица5[[#This Row],[11]]=0,,MONTH(Таблица5[[#This Row],[11]]))</f>
        <v>9</v>
      </c>
    </row>
    <row r="1261" spans="1:43" ht="39" thickBot="1" x14ac:dyDescent="0.3">
      <c r="A1261" s="978" t="str">
        <f t="shared" si="19"/>
        <v>1004-2017-1246</v>
      </c>
      <c r="B1261" s="233" t="str">
        <f>РПЗ!$D1261</f>
        <v>1004-2017-1246 Поставка крепежных изделий</v>
      </c>
      <c r="C1261" s="233" t="str">
        <f>РПЗ!$AA1261</f>
        <v>АО "НИИ "Полюс" им. М.Ф. Стельмаха" тел. отдела закупок 8-495-333-05-02</v>
      </c>
      <c r="D1261" s="633" t="str">
        <f>РПЗ!$AB1261</f>
        <v>Заказчик</v>
      </c>
      <c r="E1261" s="510" t="s">
        <v>62</v>
      </c>
      <c r="F1261" s="233" t="str">
        <f>РПЗ!Q1261</f>
        <v>ОЗК</v>
      </c>
      <c r="G1261" s="237" t="str">
        <f>Таблица5[[#This Row],[6]]</f>
        <v>ОЗК</v>
      </c>
      <c r="H1261" s="237" t="str">
        <f>РПЗ!R1261</f>
        <v>Да</v>
      </c>
      <c r="I1261" s="15">
        <f>РПЗ!W1261</f>
        <v>0</v>
      </c>
      <c r="J1261" s="233">
        <f>РПЗ!X1261</f>
        <v>0</v>
      </c>
      <c r="K1261" s="283">
        <f>РПЗ!Z1261</f>
        <v>0</v>
      </c>
      <c r="L1261" s="17">
        <v>43006</v>
      </c>
      <c r="M1261" s="18">
        <f>РПЗ!O1261</f>
        <v>42985.5</v>
      </c>
      <c r="N1261" s="238">
        <f>Таблица5[[#This Row],[10]]</f>
        <v>42985.5</v>
      </c>
      <c r="O1261" s="17">
        <v>43012</v>
      </c>
      <c r="P1261" s="17">
        <v>43014</v>
      </c>
      <c r="Q1261" s="17">
        <v>43014</v>
      </c>
      <c r="R1261" s="17">
        <v>43014</v>
      </c>
      <c r="S1261" s="17">
        <v>43014</v>
      </c>
      <c r="T1261" s="686">
        <v>43028</v>
      </c>
      <c r="U1261" s="18">
        <f>РПЗ!P1261</f>
        <v>43013.5</v>
      </c>
      <c r="V1261" s="686">
        <v>43035</v>
      </c>
      <c r="W1261" s="236">
        <f>РПЗ!L1261</f>
        <v>105201.28</v>
      </c>
      <c r="X1261" s="689">
        <v>4</v>
      </c>
      <c r="Y1261" s="689">
        <v>1</v>
      </c>
      <c r="Z1261" s="691">
        <v>5835113606</v>
      </c>
      <c r="AA1261" s="691" t="s">
        <v>6871</v>
      </c>
      <c r="AB1261" s="111">
        <v>93213.1</v>
      </c>
      <c r="AC1261" s="17">
        <v>43035</v>
      </c>
      <c r="AD1261" s="690" t="s">
        <v>7701</v>
      </c>
      <c r="AE1261" s="686">
        <v>43028</v>
      </c>
      <c r="AF1261" s="474"/>
      <c r="AG1261" s="692">
        <v>93213.1</v>
      </c>
      <c r="AH1261" s="236">
        <f>IF(Таблица5[[#This Row],[30]]=0,"НД",Таблица5[[#This Row],[20]]-Таблица5[[#This Row],[30]])</f>
        <v>11988.179999999993</v>
      </c>
      <c r="AI1261" s="511">
        <f>IF(((1-Таблица5[[#This Row],[30]]/Таблица5[[#This Row],[20]])=1),"НД",(1-Таблица5[[#This Row],[30]]/Таблица5[[#This Row],[20]]))</f>
        <v>0.11395469712916029</v>
      </c>
      <c r="AJ1261" s="111"/>
      <c r="AK1261" s="111">
        <v>93213.1</v>
      </c>
      <c r="AL1261" s="512"/>
      <c r="AM1261" s="513" t="s">
        <v>113</v>
      </c>
      <c r="AN1261" s="801">
        <v>31705568055</v>
      </c>
      <c r="AO1261" s="468" t="str">
        <f>РПЗ!AD1261</f>
        <v>Нет</v>
      </c>
      <c r="AP1261" s="472">
        <f>РПЗ!V1261</f>
        <v>0</v>
      </c>
      <c r="AQ1261" s="470">
        <f>IF(Таблица5[[#This Row],[11]]=0,,MONTH(Таблица5[[#This Row],[11]]))</f>
        <v>9</v>
      </c>
    </row>
    <row r="1262" spans="1:43" ht="39" thickBot="1" x14ac:dyDescent="0.3">
      <c r="A1262" s="978" t="str">
        <f t="shared" si="19"/>
        <v>1004-2017-1247</v>
      </c>
      <c r="B1262" s="233" t="str">
        <f>РПЗ!$D1262</f>
        <v>1004-2017-1247 Поставка крепежных изделий</v>
      </c>
      <c r="C1262" s="233" t="str">
        <f>РПЗ!$AA1262</f>
        <v>АО "НИИ "Полюс" им. М.Ф. Стельмаха" тел. отдела закупок 8-495-333-05-02</v>
      </c>
      <c r="D1262" s="633" t="str">
        <f>РПЗ!$AB1262</f>
        <v>Заказчик</v>
      </c>
      <c r="E1262" s="96" t="s">
        <v>46</v>
      </c>
      <c r="F1262" s="233" t="str">
        <f>РПЗ!Q1262</f>
        <v>ОЗК</v>
      </c>
      <c r="G1262" s="237"/>
      <c r="H1262" s="237" t="str">
        <f>РПЗ!R1262</f>
        <v>Да</v>
      </c>
      <c r="I1262" s="15">
        <f>РПЗ!W1262</f>
        <v>0</v>
      </c>
      <c r="J1262" s="233">
        <f>РПЗ!X1262</f>
        <v>0</v>
      </c>
      <c r="K1262" s="283">
        <f>РПЗ!Z1262</f>
        <v>0</v>
      </c>
      <c r="L1262" s="17"/>
      <c r="M1262" s="18">
        <f>РПЗ!O1262</f>
        <v>42985.5</v>
      </c>
      <c r="N1262" s="238">
        <f>Таблица5[[#This Row],[10]]</f>
        <v>42985.5</v>
      </c>
      <c r="O1262" s="17"/>
      <c r="P1262" s="17"/>
      <c r="Q1262" s="17"/>
      <c r="R1262" s="17"/>
      <c r="S1262" s="17"/>
      <c r="T1262" s="686"/>
      <c r="U1262" s="18">
        <f>РПЗ!P1262</f>
        <v>43013.5</v>
      </c>
      <c r="V1262" s="686"/>
      <c r="W1262" s="236">
        <f>РПЗ!L1262</f>
        <v>120000</v>
      </c>
      <c r="X1262" s="689"/>
      <c r="Y1262" s="689"/>
      <c r="Z1262" s="690"/>
      <c r="AA1262" s="691"/>
      <c r="AB1262" s="111"/>
      <c r="AC1262" s="17"/>
      <c r="AD1262" s="690"/>
      <c r="AE1262" s="686"/>
      <c r="AF1262" s="474"/>
      <c r="AG1262" s="692"/>
      <c r="AH1262" s="236" t="str">
        <f>IF(Таблица5[[#This Row],[30]]=0,"НД",Таблица5[[#This Row],[20]]-Таблица5[[#This Row],[30]])</f>
        <v>НД</v>
      </c>
      <c r="AI1262" s="511" t="str">
        <f>IF(((1-Таблица5[[#This Row],[30]]/Таблица5[[#This Row],[20]])=1),"НД",(1-Таблица5[[#This Row],[30]]/Таблица5[[#This Row],[20]]))</f>
        <v>НД</v>
      </c>
      <c r="AJ1262" s="111"/>
      <c r="AK1262" s="111"/>
      <c r="AL1262" s="512"/>
      <c r="AM1262" s="513"/>
      <c r="AN1262" s="465"/>
      <c r="AO1262" s="468" t="str">
        <f>РПЗ!AD1262</f>
        <v>Нет</v>
      </c>
      <c r="AP1262" s="472">
        <f>РПЗ!V1262</f>
        <v>0</v>
      </c>
      <c r="AQ1262" s="470">
        <f>IF(Таблица5[[#This Row],[11]]=0,,MONTH(Таблица5[[#This Row],[11]]))</f>
        <v>9</v>
      </c>
    </row>
    <row r="1263" spans="1:43" ht="39" thickBot="1" x14ac:dyDescent="0.3">
      <c r="A1263" s="978" t="str">
        <f t="shared" si="19"/>
        <v>1004-2017-1248</v>
      </c>
      <c r="B1263" s="233" t="str">
        <f>РПЗ!$D1263</f>
        <v>1004-2017-1248 Поставка импортных ЭРИ с сертификацией</v>
      </c>
      <c r="C1263" s="233" t="str">
        <f>РПЗ!$AA1263</f>
        <v>АО "НИИ "Полюс" им. М.Ф. Стельмаха" тел. отдела закупок 8-495-333-05-02</v>
      </c>
      <c r="D1263" s="633" t="str">
        <f>РПЗ!$AB1263</f>
        <v>Заказчик</v>
      </c>
      <c r="E1263" s="96" t="s">
        <v>46</v>
      </c>
      <c r="F1263" s="233" t="str">
        <f>РПЗ!Q1263</f>
        <v>ОЗК</v>
      </c>
      <c r="G1263" s="237"/>
      <c r="H1263" s="237" t="str">
        <f>РПЗ!R1263</f>
        <v>Да</v>
      </c>
      <c r="I1263" s="15">
        <f>РПЗ!W1263</f>
        <v>0</v>
      </c>
      <c r="J1263" s="233">
        <f>РПЗ!X1263</f>
        <v>0</v>
      </c>
      <c r="K1263" s="283">
        <f>РПЗ!Z1263</f>
        <v>0</v>
      </c>
      <c r="L1263" s="17"/>
      <c r="M1263" s="18">
        <f>РПЗ!O1263</f>
        <v>42979.5</v>
      </c>
      <c r="N1263" s="238">
        <f>Таблица5[[#This Row],[10]]</f>
        <v>42979.5</v>
      </c>
      <c r="O1263" s="17"/>
      <c r="P1263" s="17"/>
      <c r="Q1263" s="17"/>
      <c r="R1263" s="17"/>
      <c r="S1263" s="17"/>
      <c r="T1263" s="686"/>
      <c r="U1263" s="18">
        <f>РПЗ!P1263</f>
        <v>43097.5</v>
      </c>
      <c r="V1263" s="686"/>
      <c r="W1263" s="236">
        <f>РПЗ!L1263</f>
        <v>1500000</v>
      </c>
      <c r="X1263" s="689"/>
      <c r="Y1263" s="689"/>
      <c r="Z1263" s="690"/>
      <c r="AA1263" s="691"/>
      <c r="AB1263" s="111"/>
      <c r="AC1263" s="17"/>
      <c r="AD1263" s="690"/>
      <c r="AE1263" s="686"/>
      <c r="AF1263" s="474"/>
      <c r="AG1263" s="692"/>
      <c r="AH1263" s="236" t="str">
        <f>IF(Таблица5[[#This Row],[30]]=0,"НД",Таблица5[[#This Row],[20]]-Таблица5[[#This Row],[30]])</f>
        <v>НД</v>
      </c>
      <c r="AI1263" s="511" t="str">
        <f>IF(((1-Таблица5[[#This Row],[30]]/Таблица5[[#This Row],[20]])=1),"НД",(1-Таблица5[[#This Row],[30]]/Таблица5[[#This Row],[20]]))</f>
        <v>НД</v>
      </c>
      <c r="AJ1263" s="111"/>
      <c r="AK1263" s="111"/>
      <c r="AL1263" s="512"/>
      <c r="AM1263" s="513"/>
      <c r="AN1263" s="465"/>
      <c r="AO1263" s="468" t="str">
        <f>РПЗ!AD1263</f>
        <v>Нет</v>
      </c>
      <c r="AP1263" s="472">
        <f>РПЗ!V1263</f>
        <v>0</v>
      </c>
      <c r="AQ1263" s="470">
        <f>IF(Таблица5[[#This Row],[11]]=0,,MONTH(Таблица5[[#This Row],[11]]))</f>
        <v>9</v>
      </c>
    </row>
    <row r="1264" spans="1:43" ht="38.25" x14ac:dyDescent="0.25">
      <c r="A1264" s="978" t="str">
        <f t="shared" si="19"/>
        <v>1004-2017-1249</v>
      </c>
      <c r="B1264" s="233" t="str">
        <f>РПЗ!$D1264</f>
        <v>1004-2017-1249 Поставка Изделия оптические из кристаллов ниобата лития 6.3х14.1х26.3 мм</v>
      </c>
      <c r="C1264" s="233" t="str">
        <f>РПЗ!$AA1264</f>
        <v>АО "НИИ "Полюс" им. М.Ф. Стельмаха" тел. отдела закупок 8-495-333-05-02</v>
      </c>
      <c r="D1264" s="633" t="str">
        <f>РПЗ!$AB1264</f>
        <v>Заказчик</v>
      </c>
      <c r="E1264" s="96" t="s">
        <v>46</v>
      </c>
      <c r="F1264" s="233" t="str">
        <f>РПЗ!Q1264</f>
        <v>ОЗК</v>
      </c>
      <c r="G1264" s="237"/>
      <c r="H1264" s="237" t="str">
        <f>РПЗ!R1264</f>
        <v>Да</v>
      </c>
      <c r="I1264" s="15">
        <f>РПЗ!W1264</f>
        <v>0</v>
      </c>
      <c r="J1264" s="233">
        <f>РПЗ!X1264</f>
        <v>0</v>
      </c>
      <c r="K1264" s="283">
        <f>РПЗ!Z1264</f>
        <v>0</v>
      </c>
      <c r="L1264" s="17"/>
      <c r="M1264" s="18">
        <f>РПЗ!O1264</f>
        <v>42979.5</v>
      </c>
      <c r="N1264" s="238">
        <f>Таблица5[[#This Row],[10]]</f>
        <v>42979.5</v>
      </c>
      <c r="O1264" s="17"/>
      <c r="P1264" s="17"/>
      <c r="Q1264" s="17"/>
      <c r="R1264" s="17"/>
      <c r="S1264" s="17"/>
      <c r="T1264" s="686"/>
      <c r="U1264" s="18">
        <f>РПЗ!P1264</f>
        <v>43097.5</v>
      </c>
      <c r="V1264" s="686"/>
      <c r="W1264" s="236">
        <f>РПЗ!L1264</f>
        <v>1478835</v>
      </c>
      <c r="X1264" s="689"/>
      <c r="Y1264" s="689"/>
      <c r="Z1264" s="690"/>
      <c r="AA1264" s="691"/>
      <c r="AB1264" s="111"/>
      <c r="AC1264" s="17"/>
      <c r="AD1264" s="690"/>
      <c r="AE1264" s="686"/>
      <c r="AF1264" s="474"/>
      <c r="AG1264" s="692"/>
      <c r="AH1264" s="236" t="str">
        <f>IF(Таблица5[[#This Row],[30]]=0,"НД",Таблица5[[#This Row],[20]]-Таблица5[[#This Row],[30]])</f>
        <v>НД</v>
      </c>
      <c r="AI1264" s="511" t="str">
        <f>IF(((1-Таблица5[[#This Row],[30]]/Таблица5[[#This Row],[20]])=1),"НД",(1-Таблица5[[#This Row],[30]]/Таблица5[[#This Row],[20]]))</f>
        <v>НД</v>
      </c>
      <c r="AJ1264" s="111"/>
      <c r="AK1264" s="111"/>
      <c r="AL1264" s="512"/>
      <c r="AM1264" s="513"/>
      <c r="AN1264" s="465"/>
      <c r="AO1264" s="468" t="str">
        <f>РПЗ!AD1264</f>
        <v>Нет</v>
      </c>
      <c r="AP1264" s="472">
        <f>РПЗ!V1264</f>
        <v>0</v>
      </c>
      <c r="AQ1264" s="470">
        <f>IF(Таблица5[[#This Row],[11]]=0,,MONTH(Таблица5[[#This Row],[11]]))</f>
        <v>9</v>
      </c>
    </row>
    <row r="1265" spans="1:43" ht="38.25" x14ac:dyDescent="0.25">
      <c r="A1265" s="978" t="str">
        <f t="shared" si="19"/>
        <v>1004-2017-1250</v>
      </c>
      <c r="B1265" s="233" t="str">
        <f>РПЗ!$D1265</f>
        <v>1004-2017-1250 Поставка аквадисстиляторы</v>
      </c>
      <c r="C1265" s="233" t="str">
        <f>РПЗ!$AA1265</f>
        <v>АО "НИИ "Полюс" им. М.Ф. Стельмаха" тел. отдела закупок 8-495-333-05-02</v>
      </c>
      <c r="D1265" s="633" t="str">
        <f>РПЗ!$AB1265</f>
        <v>Заказчик</v>
      </c>
      <c r="E1265" s="510" t="s">
        <v>59</v>
      </c>
      <c r="F1265" s="233" t="str">
        <f>РПЗ!Q1265</f>
        <v>ОЗК</v>
      </c>
      <c r="G1265" s="237" t="str">
        <f>Таблица5[[#This Row],[6]]</f>
        <v>ОЗК</v>
      </c>
      <c r="H1265" s="237" t="str">
        <f>РПЗ!R1265</f>
        <v>Да</v>
      </c>
      <c r="I1265" s="15">
        <f>РПЗ!W1265</f>
        <v>0</v>
      </c>
      <c r="J1265" s="233">
        <f>РПЗ!X1265</f>
        <v>0</v>
      </c>
      <c r="K1265" s="283">
        <f>РПЗ!Z1265</f>
        <v>0</v>
      </c>
      <c r="L1265" s="17">
        <v>43019</v>
      </c>
      <c r="M1265" s="18">
        <f>РПЗ!O1265</f>
        <v>43009</v>
      </c>
      <c r="N1265" s="238">
        <f>Таблица5[[#This Row],[10]]</f>
        <v>43009</v>
      </c>
      <c r="O1265" s="17">
        <v>43026</v>
      </c>
      <c r="P1265" s="17">
        <v>43031</v>
      </c>
      <c r="Q1265" s="17">
        <v>43031</v>
      </c>
      <c r="R1265" s="17">
        <v>43031</v>
      </c>
      <c r="S1265" s="17">
        <v>43031</v>
      </c>
      <c r="T1265" s="686"/>
      <c r="U1265" s="18">
        <f>РПЗ!P1265</f>
        <v>43009</v>
      </c>
      <c r="V1265" s="686"/>
      <c r="W1265" s="236">
        <f>РПЗ!L1265</f>
        <v>106192.58</v>
      </c>
      <c r="X1265" s="689">
        <v>0</v>
      </c>
      <c r="Y1265" s="689">
        <v>0</v>
      </c>
      <c r="Z1265" s="690"/>
      <c r="AA1265" s="691"/>
      <c r="AB1265" s="111"/>
      <c r="AC1265" s="17"/>
      <c r="AD1265" s="690"/>
      <c r="AE1265" s="686"/>
      <c r="AF1265" s="474"/>
      <c r="AG1265" s="692"/>
      <c r="AH1265" s="236" t="str">
        <f>IF(Таблица5[[#This Row],[30]]=0,"НД",Таблица5[[#This Row],[20]]-Таблица5[[#This Row],[30]])</f>
        <v>НД</v>
      </c>
      <c r="AI1265" s="511" t="str">
        <f>IF(((1-Таблица5[[#This Row],[30]]/Таблица5[[#This Row],[20]])=1),"НД",(1-Таблица5[[#This Row],[30]]/Таблица5[[#This Row],[20]]))</f>
        <v>НД</v>
      </c>
      <c r="AJ1265" s="111"/>
      <c r="AK1265" s="111"/>
      <c r="AL1265" s="512"/>
      <c r="AM1265" s="513" t="s">
        <v>113</v>
      </c>
      <c r="AN1265" s="801">
        <v>31705611952</v>
      </c>
      <c r="AO1265" s="468" t="str">
        <f>РПЗ!AD1265</f>
        <v>Нет</v>
      </c>
      <c r="AP1265" s="472">
        <f>РПЗ!V1265</f>
        <v>0</v>
      </c>
      <c r="AQ1265" s="470">
        <f>IF(Таблица5[[#This Row],[11]]=0,,MONTH(Таблица5[[#This Row],[11]]))</f>
        <v>10</v>
      </c>
    </row>
    <row r="1266" spans="1:43" ht="38.25" x14ac:dyDescent="0.25">
      <c r="A1266" s="978" t="str">
        <f t="shared" si="19"/>
        <v>1004-2017-1251</v>
      </c>
      <c r="B1266" s="233" t="str">
        <f>РПЗ!$D1266</f>
        <v>1004-2017-1251Поставка  установка вентиляционная пылеулавливающая</v>
      </c>
      <c r="C1266" s="233" t="str">
        <f>РПЗ!$AA1266</f>
        <v>АО "НИИ "Полюс" им. М.Ф. Стельмаха" тел. отдела закупок 8-495-333-05-02</v>
      </c>
      <c r="D1266" s="633" t="str">
        <f>РПЗ!$AB1266</f>
        <v>Заказчик</v>
      </c>
      <c r="E1266" s="510" t="s">
        <v>59</v>
      </c>
      <c r="F1266" s="233" t="str">
        <f>РПЗ!Q1266</f>
        <v>ОЗК</v>
      </c>
      <c r="G1266" s="237" t="s">
        <v>108</v>
      </c>
      <c r="H1266" s="237" t="str">
        <f>РПЗ!R1266</f>
        <v>Да</v>
      </c>
      <c r="I1266" s="15">
        <f>РПЗ!W1266</f>
        <v>0</v>
      </c>
      <c r="J1266" s="233">
        <f>РПЗ!X1266</f>
        <v>0</v>
      </c>
      <c r="K1266" s="283">
        <f>РПЗ!Z1266</f>
        <v>0</v>
      </c>
      <c r="L1266" s="17">
        <v>43039</v>
      </c>
      <c r="M1266" s="18">
        <f>РПЗ!O1266</f>
        <v>43009</v>
      </c>
      <c r="N1266" s="238">
        <f>Таблица5[[#This Row],[10]]</f>
        <v>43009</v>
      </c>
      <c r="O1266" s="17">
        <v>43046</v>
      </c>
      <c r="P1266" s="17">
        <v>43049</v>
      </c>
      <c r="Q1266" s="17">
        <v>43049</v>
      </c>
      <c r="R1266" s="17">
        <v>43049</v>
      </c>
      <c r="S1266" s="17">
        <v>43049</v>
      </c>
      <c r="T1266" s="686"/>
      <c r="U1266" s="18">
        <f>РПЗ!P1266</f>
        <v>43040.5</v>
      </c>
      <c r="V1266" s="686"/>
      <c r="W1266" s="236">
        <f>РПЗ!L1266</f>
        <v>69933.33</v>
      </c>
      <c r="X1266" s="689">
        <v>0</v>
      </c>
      <c r="Y1266" s="689">
        <v>0</v>
      </c>
      <c r="Z1266" s="690"/>
      <c r="AA1266" s="691"/>
      <c r="AB1266" s="111"/>
      <c r="AC1266" s="17"/>
      <c r="AD1266" s="690"/>
      <c r="AE1266" s="686"/>
      <c r="AF1266" s="474"/>
      <c r="AG1266" s="692"/>
      <c r="AH1266" s="236" t="str">
        <f>IF(Таблица5[[#This Row],[30]]=0,"НД",Таблица5[[#This Row],[20]]-Таблица5[[#This Row],[30]])</f>
        <v>НД</v>
      </c>
      <c r="AI1266" s="511" t="str">
        <f>IF(((1-Таблица5[[#This Row],[30]]/Таблица5[[#This Row],[20]])=1),"НД",(1-Таблица5[[#This Row],[30]]/Таблица5[[#This Row],[20]]))</f>
        <v>НД</v>
      </c>
      <c r="AJ1266" s="111"/>
      <c r="AK1266" s="111"/>
      <c r="AL1266" s="512"/>
      <c r="AM1266" s="513" t="s">
        <v>113</v>
      </c>
      <c r="AN1266" s="801">
        <v>31705684568</v>
      </c>
      <c r="AO1266" s="468" t="str">
        <f>РПЗ!AD1266</f>
        <v>Нет</v>
      </c>
      <c r="AP1266" s="472">
        <f>РПЗ!V1266</f>
        <v>0</v>
      </c>
      <c r="AQ1266" s="470">
        <f>IF(Таблица5[[#This Row],[11]]=0,,MONTH(Таблица5[[#This Row],[11]]))</f>
        <v>10</v>
      </c>
    </row>
    <row r="1267" spans="1:43" ht="38.25" x14ac:dyDescent="0.25">
      <c r="A1267" s="978" t="str">
        <f t="shared" si="19"/>
        <v>1004-2017-1252</v>
      </c>
      <c r="B1267" s="233" t="str">
        <f>РПЗ!$D1267</f>
        <v>1004-2017-1252 Поставка Комплект для системы считывания нанорешеток в стеклах</v>
      </c>
      <c r="C1267" s="233" t="str">
        <f>РПЗ!$AA1267</f>
        <v>АО "НИИ "Полюс" им. М.Ф. Стельмаха" тел. отдела закупок 8-495-333-05-02</v>
      </c>
      <c r="D1267" s="633" t="str">
        <f>РПЗ!$AB1267</f>
        <v>Заказчик</v>
      </c>
      <c r="E1267" s="510" t="s">
        <v>59</v>
      </c>
      <c r="F1267" s="233" t="str">
        <f>РПЗ!Q1267</f>
        <v>ОЗК</v>
      </c>
      <c r="G1267" s="237" t="str">
        <f>Таблица5[[#This Row],[6]]</f>
        <v>ОЗК</v>
      </c>
      <c r="H1267" s="237" t="str">
        <f>РПЗ!R1267</f>
        <v>Да</v>
      </c>
      <c r="I1267" s="15">
        <f>РПЗ!W1267</f>
        <v>0</v>
      </c>
      <c r="J1267" s="233">
        <f>РПЗ!X1267</f>
        <v>0</v>
      </c>
      <c r="K1267" s="283">
        <f>РПЗ!Z1267</f>
        <v>0</v>
      </c>
      <c r="L1267" s="17">
        <v>43005</v>
      </c>
      <c r="M1267" s="18">
        <f>РПЗ!O1267</f>
        <v>42979.5</v>
      </c>
      <c r="N1267" s="238">
        <f>Таблица5[[#This Row],[10]]</f>
        <v>42979.5</v>
      </c>
      <c r="O1267" s="17">
        <v>43011</v>
      </c>
      <c r="P1267" s="17">
        <v>43014</v>
      </c>
      <c r="Q1267" s="17">
        <v>43014</v>
      </c>
      <c r="R1267" s="17">
        <v>43014</v>
      </c>
      <c r="S1267" s="17">
        <v>43014</v>
      </c>
      <c r="T1267" s="686"/>
      <c r="U1267" s="18">
        <f>РПЗ!P1267</f>
        <v>43097.5</v>
      </c>
      <c r="V1267" s="686"/>
      <c r="W1267" s="236">
        <f>РПЗ!L1267</f>
        <v>745423.23</v>
      </c>
      <c r="X1267" s="689">
        <v>0</v>
      </c>
      <c r="Y1267" s="689">
        <v>0</v>
      </c>
      <c r="Z1267" s="690"/>
      <c r="AA1267" s="691"/>
      <c r="AB1267" s="111"/>
      <c r="AC1267" s="17"/>
      <c r="AD1267" s="690"/>
      <c r="AE1267" s="686"/>
      <c r="AF1267" s="474"/>
      <c r="AG1267" s="692"/>
      <c r="AH1267" s="236" t="str">
        <f>IF(Таблица5[[#This Row],[30]]=0,"НД",Таблица5[[#This Row],[20]]-Таблица5[[#This Row],[30]])</f>
        <v>НД</v>
      </c>
      <c r="AI1267" s="511" t="str">
        <f>IF(((1-Таблица5[[#This Row],[30]]/Таблица5[[#This Row],[20]])=1),"НД",(1-Таблица5[[#This Row],[30]]/Таблица5[[#This Row],[20]]))</f>
        <v>НД</v>
      </c>
      <c r="AJ1267" s="111"/>
      <c r="AK1267" s="111"/>
      <c r="AL1267" s="512"/>
      <c r="AM1267" s="513"/>
      <c r="AN1267" s="801">
        <v>31705563611</v>
      </c>
      <c r="AO1267" s="468" t="str">
        <f>РПЗ!AD1267</f>
        <v>Нет</v>
      </c>
      <c r="AP1267" s="472">
        <f>РПЗ!V1267</f>
        <v>0</v>
      </c>
      <c r="AQ1267" s="470">
        <f>IF(Таблица5[[#This Row],[11]]=0,,MONTH(Таблица5[[#This Row],[11]]))</f>
        <v>9</v>
      </c>
    </row>
    <row r="1268" spans="1:43" ht="39" thickBot="1" x14ac:dyDescent="0.3">
      <c r="A1268" s="978" t="str">
        <f t="shared" ref="A1268:A1331" si="20">INDEX(Диапазон1,ROW(), COLUMN())</f>
        <v>1004-2017-1253</v>
      </c>
      <c r="B1268" s="233" t="str">
        <f>РПЗ!$D1268</f>
        <v>1004-2017-1253Поставка  Кристалл фоточувствительный</v>
      </c>
      <c r="C1268" s="233" t="str">
        <f>РПЗ!$AA1268</f>
        <v>АО "НИИ "Полюс" им. М.Ф. Стельмаха" тел. отдела закупок 8-495-333-05-02</v>
      </c>
      <c r="D1268" s="633" t="str">
        <f>РПЗ!$AB1268</f>
        <v>Заказчик</v>
      </c>
      <c r="E1268" s="510" t="s">
        <v>59</v>
      </c>
      <c r="F1268" s="233" t="str">
        <f>РПЗ!Q1268</f>
        <v>ОЗК</v>
      </c>
      <c r="G1268" s="237" t="s">
        <v>108</v>
      </c>
      <c r="H1268" s="237" t="str">
        <f>РПЗ!R1268</f>
        <v>Да</v>
      </c>
      <c r="I1268" s="15">
        <f>РПЗ!W1268</f>
        <v>0</v>
      </c>
      <c r="J1268" s="233">
        <f>РПЗ!X1268</f>
        <v>0</v>
      </c>
      <c r="K1268" s="283">
        <f>РПЗ!Z1268</f>
        <v>0</v>
      </c>
      <c r="L1268" s="17">
        <v>43026</v>
      </c>
      <c r="M1268" s="18">
        <f>РПЗ!O1268</f>
        <v>42979.5</v>
      </c>
      <c r="N1268" s="238">
        <f>Таблица5[[#This Row],[10]]</f>
        <v>42979.5</v>
      </c>
      <c r="O1268" s="17">
        <v>43032</v>
      </c>
      <c r="P1268" s="17">
        <v>43038</v>
      </c>
      <c r="Q1268" s="17">
        <v>43038</v>
      </c>
      <c r="R1268" s="17">
        <v>43038</v>
      </c>
      <c r="S1268" s="17">
        <v>43038</v>
      </c>
      <c r="T1268" s="686"/>
      <c r="U1268" s="18">
        <f>РПЗ!P1268</f>
        <v>43070.5</v>
      </c>
      <c r="V1268" s="686"/>
      <c r="W1268" s="236">
        <f>РПЗ!L1268</f>
        <v>768750</v>
      </c>
      <c r="X1268" s="689">
        <v>0</v>
      </c>
      <c r="Y1268" s="689">
        <v>0</v>
      </c>
      <c r="Z1268" s="690"/>
      <c r="AA1268" s="691"/>
      <c r="AB1268" s="111"/>
      <c r="AC1268" s="17"/>
      <c r="AD1268" s="690"/>
      <c r="AE1268" s="686"/>
      <c r="AF1268" s="474"/>
      <c r="AG1268" s="692"/>
      <c r="AH1268" s="236" t="str">
        <f>IF(Таблица5[[#This Row],[30]]=0,"НД",Таблица5[[#This Row],[20]]-Таблица5[[#This Row],[30]])</f>
        <v>НД</v>
      </c>
      <c r="AI1268" s="511" t="str">
        <f>IF(((1-Таблица5[[#This Row],[30]]/Таблица5[[#This Row],[20]])=1),"НД",(1-Таблица5[[#This Row],[30]]/Таблица5[[#This Row],[20]]))</f>
        <v>НД</v>
      </c>
      <c r="AJ1268" s="111"/>
      <c r="AK1268" s="111"/>
      <c r="AL1268" s="512"/>
      <c r="AM1268" s="513" t="s">
        <v>113</v>
      </c>
      <c r="AN1268" s="465" t="s">
        <v>8180</v>
      </c>
      <c r="AO1268" s="468" t="str">
        <f>РПЗ!AD1268</f>
        <v>Нет</v>
      </c>
      <c r="AP1268" s="472">
        <f>РПЗ!V1268</f>
        <v>0</v>
      </c>
      <c r="AQ1268" s="470">
        <f>IF(Таблица5[[#This Row],[11]]=0,,MONTH(Таблица5[[#This Row],[11]]))</f>
        <v>9</v>
      </c>
    </row>
    <row r="1269" spans="1:43" ht="38.25" x14ac:dyDescent="0.25">
      <c r="A1269" s="978" t="str">
        <f t="shared" si="20"/>
        <v>1004-2017-1254</v>
      </c>
      <c r="B1269" s="233" t="str">
        <f>РПЗ!$D1269</f>
        <v>1004-2017-1254 Поставка Корпус ЖГДК.469333.005</v>
      </c>
      <c r="C1269" s="233" t="str">
        <f>РПЗ!$AA1269</f>
        <v>АО "НИИ "Полюс" им. М.Ф. Стельмаха" тел. отдела закупок 8-495-333-05-02</v>
      </c>
      <c r="D1269" s="633" t="str">
        <f>РПЗ!$AB1269</f>
        <v>Заказчик</v>
      </c>
      <c r="E1269" s="96" t="s">
        <v>46</v>
      </c>
      <c r="F1269" s="233" t="str">
        <f>РПЗ!Q1269</f>
        <v>ЕП</v>
      </c>
      <c r="G1269" s="237"/>
      <c r="H1269" s="237" t="str">
        <f>РПЗ!R1269</f>
        <v>Нет</v>
      </c>
      <c r="I1269" s="15">
        <f>РПЗ!W1269</f>
        <v>0</v>
      </c>
      <c r="J1269" s="233">
        <f>РПЗ!X1269</f>
        <v>0</v>
      </c>
      <c r="K1269" s="283">
        <f>РПЗ!Z1269</f>
        <v>0</v>
      </c>
      <c r="L1269" s="17"/>
      <c r="M1269" s="18">
        <f>РПЗ!O1269</f>
        <v>42979.5</v>
      </c>
      <c r="N1269" s="238">
        <f>Таблица5[[#This Row],[10]]</f>
        <v>42979.5</v>
      </c>
      <c r="O1269" s="17"/>
      <c r="P1269" s="17"/>
      <c r="Q1269" s="17"/>
      <c r="R1269" s="17"/>
      <c r="S1269" s="17"/>
      <c r="T1269" s="686"/>
      <c r="U1269" s="18">
        <f>РПЗ!P1269</f>
        <v>43070.5</v>
      </c>
      <c r="V1269" s="686"/>
      <c r="W1269" s="236">
        <f>РПЗ!L1269</f>
        <v>76452.2</v>
      </c>
      <c r="X1269" s="689"/>
      <c r="Y1269" s="689"/>
      <c r="Z1269" s="690"/>
      <c r="AA1269" s="691"/>
      <c r="AB1269" s="111"/>
      <c r="AC1269" s="17"/>
      <c r="AD1269" s="690"/>
      <c r="AE1269" s="686"/>
      <c r="AF1269" s="474"/>
      <c r="AG1269" s="692"/>
      <c r="AH1269" s="236" t="str">
        <f>IF(Таблица5[[#This Row],[30]]=0,"НД",Таблица5[[#This Row],[20]]-Таблица5[[#This Row],[30]])</f>
        <v>НД</v>
      </c>
      <c r="AI1269" s="511" t="str">
        <f>IF(((1-Таблица5[[#This Row],[30]]/Таблица5[[#This Row],[20]])=1),"НД",(1-Таблица5[[#This Row],[30]]/Таблица5[[#This Row],[20]]))</f>
        <v>НД</v>
      </c>
      <c r="AJ1269" s="111"/>
      <c r="AK1269" s="111"/>
      <c r="AL1269" s="512"/>
      <c r="AM1269" s="513"/>
      <c r="AN1269" s="465"/>
      <c r="AO1269" s="468" t="str">
        <f>РПЗ!AD1269</f>
        <v>Нет</v>
      </c>
      <c r="AP1269" s="472">
        <f>РПЗ!V1269</f>
        <v>0</v>
      </c>
      <c r="AQ1269" s="470">
        <f>IF(Таблица5[[#This Row],[11]]=0,,MONTH(Таблица5[[#This Row],[11]]))</f>
        <v>9</v>
      </c>
    </row>
    <row r="1270" spans="1:43" ht="39" thickBot="1" x14ac:dyDescent="0.3">
      <c r="A1270" s="978" t="str">
        <f t="shared" si="20"/>
        <v>1004-2017-1255</v>
      </c>
      <c r="B1270" s="233" t="str">
        <f>РПЗ!$D1270</f>
        <v>1004-2017-1255 Поставка Корпус ЖГДК.301172.013 и Кожух ЖГДК.305143.001 (без покрытия)</v>
      </c>
      <c r="C1270" s="233" t="str">
        <f>РПЗ!$AA1270</f>
        <v>АО "НИИ "Полюс" им. М.Ф. Стельмаха" тел. отдела закупок 8-495-333-05-02</v>
      </c>
      <c r="D1270" s="633" t="str">
        <f>РПЗ!$AB1270</f>
        <v>Заказчик</v>
      </c>
      <c r="E1270" s="510" t="s">
        <v>62</v>
      </c>
      <c r="F1270" s="233" t="str">
        <f>РПЗ!Q1270</f>
        <v>ЕП</v>
      </c>
      <c r="G1270" s="237" t="str">
        <f>Таблица5[[#This Row],[6]]</f>
        <v>ЕП</v>
      </c>
      <c r="H1270" s="237" t="str">
        <f>РПЗ!R1270</f>
        <v>Нет</v>
      </c>
      <c r="I1270" s="15" t="str">
        <f>РПЗ!W1270</f>
        <v>6.6.2(11)</v>
      </c>
      <c r="J1270" s="233" t="str">
        <f>РПЗ!X1270</f>
        <v>6829000109</v>
      </c>
      <c r="K1270" s="283">
        <f>РПЗ!Z1270</f>
        <v>775024</v>
      </c>
      <c r="L1270" s="17">
        <v>43025</v>
      </c>
      <c r="M1270" s="18">
        <f>РПЗ!O1270</f>
        <v>42979.5</v>
      </c>
      <c r="N1270" s="238">
        <f>Таблица5[[#This Row],[10]]</f>
        <v>42979.5</v>
      </c>
      <c r="O1270" s="17"/>
      <c r="P1270" s="17"/>
      <c r="Q1270" s="17"/>
      <c r="R1270" s="17"/>
      <c r="S1270" s="17"/>
      <c r="T1270" s="686">
        <v>43049</v>
      </c>
      <c r="U1270" s="18">
        <f>РПЗ!P1270</f>
        <v>43070.5</v>
      </c>
      <c r="V1270" s="686">
        <v>43100</v>
      </c>
      <c r="W1270" s="236">
        <f>РПЗ!L1270</f>
        <v>775024</v>
      </c>
      <c r="X1270" s="689">
        <v>1</v>
      </c>
      <c r="Y1270" s="689">
        <v>0</v>
      </c>
      <c r="Z1270" s="691">
        <v>6829000109</v>
      </c>
      <c r="AA1270" s="691" t="s">
        <v>2384</v>
      </c>
      <c r="AB1270" s="111">
        <v>775024</v>
      </c>
      <c r="AC1270" s="17">
        <v>43100</v>
      </c>
      <c r="AD1270" s="690" t="s">
        <v>7664</v>
      </c>
      <c r="AE1270" s="686">
        <v>43049</v>
      </c>
      <c r="AF1270" s="474"/>
      <c r="AG1270" s="692">
        <v>775024</v>
      </c>
      <c r="AH1270" s="236">
        <f>IF(Таблица5[[#This Row],[30]]=0,"НД",Таблица5[[#This Row],[20]]-Таблица5[[#This Row],[30]])</f>
        <v>0</v>
      </c>
      <c r="AI1270" s="511">
        <f>IF(((1-Таблица5[[#This Row],[30]]/Таблица5[[#This Row],[20]])=1),"НД",(1-Таблица5[[#This Row],[30]]/Таблица5[[#This Row],[20]]))</f>
        <v>0</v>
      </c>
      <c r="AJ1270" s="111"/>
      <c r="AK1270" s="111"/>
      <c r="AL1270" s="512"/>
      <c r="AM1270" s="513" t="s">
        <v>113</v>
      </c>
      <c r="AN1270" s="801">
        <v>31705660769</v>
      </c>
      <c r="AO1270" s="468" t="str">
        <f>РПЗ!AD1270</f>
        <v>Нет</v>
      </c>
      <c r="AP1270" s="472">
        <f>РПЗ!V1270</f>
        <v>0</v>
      </c>
      <c r="AQ1270" s="470">
        <f>IF(Таблица5[[#This Row],[11]]=0,,MONTH(Таблица5[[#This Row],[11]]))</f>
        <v>9</v>
      </c>
    </row>
    <row r="1271" spans="1:43" ht="38.25" x14ac:dyDescent="0.25">
      <c r="A1271" s="978" t="str">
        <f t="shared" si="20"/>
        <v>1004-2017-1256</v>
      </c>
      <c r="B1271" s="233" t="str">
        <f>РПЗ!$D1271</f>
        <v>1004-2017-1256 Поставка Комплекта отладочных плат</v>
      </c>
      <c r="C1271" s="233" t="str">
        <f>РПЗ!$AA1271</f>
        <v>АО "НИИ "Полюс" им. М.Ф. Стельмаха" тел. отдела закупок 8-495-333-05-02</v>
      </c>
      <c r="D1271" s="633" t="str">
        <f>РПЗ!$AB1271</f>
        <v>Заказчик</v>
      </c>
      <c r="E1271" s="96" t="s">
        <v>46</v>
      </c>
      <c r="F1271" s="233" t="str">
        <f>РПЗ!Q1271</f>
        <v>ЕП</v>
      </c>
      <c r="G1271" s="237"/>
      <c r="H1271" s="237" t="str">
        <f>РПЗ!R1271</f>
        <v>Да</v>
      </c>
      <c r="I1271" s="15">
        <f>РПЗ!W1271</f>
        <v>0</v>
      </c>
      <c r="J1271" s="233">
        <f>РПЗ!X1271</f>
        <v>0</v>
      </c>
      <c r="K1271" s="283">
        <f>РПЗ!Z1271</f>
        <v>0</v>
      </c>
      <c r="L1271" s="17"/>
      <c r="M1271" s="18">
        <f>РПЗ!O1271</f>
        <v>42979.5</v>
      </c>
      <c r="N1271" s="238">
        <f>Таблица5[[#This Row],[10]]</f>
        <v>42979.5</v>
      </c>
      <c r="O1271" s="17"/>
      <c r="P1271" s="17"/>
      <c r="Q1271" s="17"/>
      <c r="R1271" s="17"/>
      <c r="S1271" s="17"/>
      <c r="T1271" s="686"/>
      <c r="U1271" s="18">
        <f>РПЗ!P1271</f>
        <v>43070.5</v>
      </c>
      <c r="V1271" s="686"/>
      <c r="W1271" s="236">
        <f>РПЗ!L1271</f>
        <v>126904.67</v>
      </c>
      <c r="X1271" s="689"/>
      <c r="Y1271" s="689"/>
      <c r="Z1271" s="690"/>
      <c r="AA1271" s="691"/>
      <c r="AB1271" s="111"/>
      <c r="AC1271" s="17"/>
      <c r="AD1271" s="690"/>
      <c r="AE1271" s="686"/>
      <c r="AF1271" s="474"/>
      <c r="AG1271" s="692"/>
      <c r="AH1271" s="236" t="str">
        <f>IF(Таблица5[[#This Row],[30]]=0,"НД",Таблица5[[#This Row],[20]]-Таблица5[[#This Row],[30]])</f>
        <v>НД</v>
      </c>
      <c r="AI1271" s="511" t="str">
        <f>IF(((1-Таблица5[[#This Row],[30]]/Таблица5[[#This Row],[20]])=1),"НД",(1-Таблица5[[#This Row],[30]]/Таблица5[[#This Row],[20]]))</f>
        <v>НД</v>
      </c>
      <c r="AJ1271" s="111"/>
      <c r="AK1271" s="111"/>
      <c r="AL1271" s="512"/>
      <c r="AM1271" s="513"/>
      <c r="AN1271" s="465"/>
      <c r="AO1271" s="468" t="str">
        <f>РПЗ!AD1271</f>
        <v>Нет</v>
      </c>
      <c r="AP1271" s="472">
        <f>РПЗ!V1271</f>
        <v>0</v>
      </c>
      <c r="AQ1271" s="470">
        <f>IF(Таблица5[[#This Row],[11]]=0,,MONTH(Таблица5[[#This Row],[11]]))</f>
        <v>9</v>
      </c>
    </row>
    <row r="1272" spans="1:43" ht="38.25" x14ac:dyDescent="0.25">
      <c r="A1272" s="978" t="str">
        <f t="shared" si="20"/>
        <v>1004-2017-1257</v>
      </c>
      <c r="B1272" s="233" t="str">
        <f>РПЗ!$D1272</f>
        <v>1004-2017-1257 Поставка системных блоков, мониторов и периферийного оборудования</v>
      </c>
      <c r="C1272" s="233" t="str">
        <f>РПЗ!$AA1272</f>
        <v>АО "НИИ "Полюс" им. М.Ф. Стельмаха" тел. отдела закупок 8-495-333-05-02</v>
      </c>
      <c r="D1272" s="633" t="str">
        <f>РПЗ!$AB1272</f>
        <v>Заказчик</v>
      </c>
      <c r="E1272" s="510" t="s">
        <v>62</v>
      </c>
      <c r="F1272" s="233" t="str">
        <f>РПЗ!Q1272</f>
        <v>ОЗК</v>
      </c>
      <c r="G1272" s="237" t="str">
        <f>Таблица5[[#This Row],[6]]</f>
        <v>ОЗК</v>
      </c>
      <c r="H1272" s="237" t="str">
        <f>РПЗ!R1272</f>
        <v>Да</v>
      </c>
      <c r="I1272" s="15">
        <f>РПЗ!W1272</f>
        <v>0</v>
      </c>
      <c r="J1272" s="233">
        <f>РПЗ!X1272</f>
        <v>0</v>
      </c>
      <c r="K1272" s="283">
        <f>РПЗ!Z1272</f>
        <v>0</v>
      </c>
      <c r="L1272" s="17">
        <v>42992</v>
      </c>
      <c r="M1272" s="18">
        <f>РПЗ!O1272</f>
        <v>42979.5</v>
      </c>
      <c r="N1272" s="238">
        <f>Таблица5[[#This Row],[10]]</f>
        <v>42979.5</v>
      </c>
      <c r="O1272" s="17">
        <v>42998</v>
      </c>
      <c r="P1272" s="17">
        <v>43003</v>
      </c>
      <c r="Q1272" s="17">
        <v>43003</v>
      </c>
      <c r="R1272" s="17">
        <v>43000</v>
      </c>
      <c r="S1272" s="17">
        <v>43000</v>
      </c>
      <c r="T1272" s="686">
        <v>43014</v>
      </c>
      <c r="U1272" s="18">
        <f>РПЗ!P1272</f>
        <v>43040</v>
      </c>
      <c r="V1272" s="686">
        <v>43036</v>
      </c>
      <c r="W1272" s="236">
        <f>РПЗ!L1272</f>
        <v>272183.81</v>
      </c>
      <c r="X1272" s="689">
        <v>10</v>
      </c>
      <c r="Y1272" s="689">
        <v>1</v>
      </c>
      <c r="Z1272" s="691">
        <v>7106035616</v>
      </c>
      <c r="AA1272" s="691" t="s">
        <v>6878</v>
      </c>
      <c r="AB1272" s="111">
        <v>222142</v>
      </c>
      <c r="AC1272" s="17">
        <v>43036</v>
      </c>
      <c r="AD1272" s="690" t="s">
        <v>6879</v>
      </c>
      <c r="AE1272" s="686">
        <v>43014</v>
      </c>
      <c r="AF1272" s="474"/>
      <c r="AG1272" s="692">
        <v>222142</v>
      </c>
      <c r="AH1272" s="236">
        <f>IF(Таблица5[[#This Row],[30]]=0,"НД",Таблица5[[#This Row],[20]]-Таблица5[[#This Row],[30]])</f>
        <v>50041.81</v>
      </c>
      <c r="AI1272" s="511">
        <f>IF(((1-Таблица5[[#This Row],[30]]/Таблица5[[#This Row],[20]])=1),"НД",(1-Таблица5[[#This Row],[30]]/Таблица5[[#This Row],[20]]))</f>
        <v>0.18385299992677739</v>
      </c>
      <c r="AJ1272" s="111">
        <v>222142</v>
      </c>
      <c r="AK1272" s="111"/>
      <c r="AL1272" s="512"/>
      <c r="AM1272" s="513" t="s">
        <v>113</v>
      </c>
      <c r="AN1272" s="801">
        <v>31705520447</v>
      </c>
      <c r="AO1272" s="468" t="str">
        <f>РПЗ!AD1272</f>
        <v>Нет</v>
      </c>
      <c r="AP1272" s="472">
        <f>РПЗ!V1272</f>
        <v>0</v>
      </c>
      <c r="AQ1272" s="470">
        <f>IF(Таблица5[[#This Row],[11]]=0,,MONTH(Таблица5[[#This Row],[11]]))</f>
        <v>9</v>
      </c>
    </row>
    <row r="1273" spans="1:43" ht="64.5" thickBot="1" x14ac:dyDescent="0.3">
      <c r="A1273" s="978" t="str">
        <f t="shared" si="20"/>
        <v>1004-2017-1258</v>
      </c>
      <c r="B1273" s="233" t="str">
        <f>РПЗ!$D1273</f>
        <v>1004-2017-1258 Поставка системных блоков, мониторов, периферийного оборудования, оргтехники, сетевого оборудования и расходных материалов</v>
      </c>
      <c r="C1273" s="233" t="str">
        <f>РПЗ!$AA1273</f>
        <v>АО "НИИ "Полюс" им. М.Ф. Стельмаха" тел. отдела закупок 8-495-333-05-02</v>
      </c>
      <c r="D1273" s="633" t="str">
        <f>РПЗ!$AB1273</f>
        <v>Заказчик</v>
      </c>
      <c r="E1273" s="510" t="s">
        <v>62</v>
      </c>
      <c r="F1273" s="233" t="str">
        <f>РПЗ!Q1273</f>
        <v>ОЗК</v>
      </c>
      <c r="G1273" s="237" t="str">
        <f>Таблица5[[#This Row],[6]]</f>
        <v>ОЗК</v>
      </c>
      <c r="H1273" s="237" t="str">
        <f>РПЗ!R1273</f>
        <v>Да</v>
      </c>
      <c r="I1273" s="15">
        <f>РПЗ!W1273</f>
        <v>0</v>
      </c>
      <c r="J1273" s="233">
        <f>РПЗ!X1273</f>
        <v>0</v>
      </c>
      <c r="K1273" s="283">
        <f>РПЗ!Z1273</f>
        <v>0</v>
      </c>
      <c r="L1273" s="17">
        <v>42992</v>
      </c>
      <c r="M1273" s="18">
        <f>РПЗ!O1273</f>
        <v>42979.5</v>
      </c>
      <c r="N1273" s="238">
        <f>Таблица5[[#This Row],[10]]</f>
        <v>42979.5</v>
      </c>
      <c r="O1273" s="17">
        <v>42998</v>
      </c>
      <c r="P1273" s="17">
        <v>43003</v>
      </c>
      <c r="Q1273" s="17">
        <v>43003</v>
      </c>
      <c r="R1273" s="17">
        <v>43000</v>
      </c>
      <c r="S1273" s="17">
        <v>43000</v>
      </c>
      <c r="T1273" s="686">
        <v>43017</v>
      </c>
      <c r="U1273" s="18">
        <f>РПЗ!P1273</f>
        <v>43040</v>
      </c>
      <c r="V1273" s="686">
        <v>43031</v>
      </c>
      <c r="W1273" s="236">
        <f>РПЗ!L1273</f>
        <v>233544</v>
      </c>
      <c r="X1273" s="689">
        <v>9</v>
      </c>
      <c r="Y1273" s="689">
        <v>1</v>
      </c>
      <c r="Z1273" s="691">
        <v>7724682569</v>
      </c>
      <c r="AA1273" s="691" t="s">
        <v>6875</v>
      </c>
      <c r="AB1273" s="111">
        <v>202229</v>
      </c>
      <c r="AC1273" s="17">
        <v>43031</v>
      </c>
      <c r="AD1273" s="690" t="s">
        <v>6876</v>
      </c>
      <c r="AE1273" s="686">
        <v>43017</v>
      </c>
      <c r="AF1273" s="474"/>
      <c r="AG1273" s="692">
        <v>202229</v>
      </c>
      <c r="AH1273" s="236">
        <f>IF(Таблица5[[#This Row],[30]]=0,"НД",Таблица5[[#This Row],[20]]-Таблица5[[#This Row],[30]])</f>
        <v>31315</v>
      </c>
      <c r="AI1273" s="511">
        <f>IF(((1-Таблица5[[#This Row],[30]]/Таблица5[[#This Row],[20]])=1),"НД",(1-Таблица5[[#This Row],[30]]/Таблица5[[#This Row],[20]]))</f>
        <v>0.13408608227999863</v>
      </c>
      <c r="AJ1273" s="111">
        <v>202229</v>
      </c>
      <c r="AK1273" s="111"/>
      <c r="AL1273" s="512"/>
      <c r="AM1273" s="513" t="s">
        <v>113</v>
      </c>
      <c r="AN1273" s="801">
        <v>31705520448</v>
      </c>
      <c r="AO1273" s="468" t="str">
        <f>РПЗ!AD1273</f>
        <v>Нет</v>
      </c>
      <c r="AP1273" s="472">
        <f>РПЗ!V1273</f>
        <v>0</v>
      </c>
      <c r="AQ1273" s="470">
        <f>IF(Таблица5[[#This Row],[11]]=0,,MONTH(Таблица5[[#This Row],[11]]))</f>
        <v>9</v>
      </c>
    </row>
    <row r="1274" spans="1:43" ht="38.25" x14ac:dyDescent="0.25">
      <c r="A1274" s="233" t="str">
        <f t="shared" si="20"/>
        <v>1004-2017-1259</v>
      </c>
      <c r="B1274" s="233" t="str">
        <f>РПЗ!$D1274</f>
        <v>1004-2017-1259 Поставка  Автомобиль легковой</v>
      </c>
      <c r="C1274" s="233" t="str">
        <f>РПЗ!$AA1274</f>
        <v>АО "НИИ "Полюс" им. М.Ф. Стельмаха" тел. отдела закупок 8-495-333-05-02</v>
      </c>
      <c r="D1274" s="633" t="str">
        <f>РПЗ!$AB1274</f>
        <v>Заказчик</v>
      </c>
      <c r="E1274" s="96" t="s">
        <v>46</v>
      </c>
      <c r="F1274" s="233" t="str">
        <f>РПЗ!Q1274</f>
        <v>ОЗК</v>
      </c>
      <c r="G1274" s="237"/>
      <c r="H1274" s="237" t="str">
        <f>РПЗ!R1274</f>
        <v>Да</v>
      </c>
      <c r="I1274" s="15">
        <f>РПЗ!W1274</f>
        <v>0</v>
      </c>
      <c r="J1274" s="233">
        <f>РПЗ!X1274</f>
        <v>0</v>
      </c>
      <c r="K1274" s="283">
        <f>РПЗ!Z1274</f>
        <v>0</v>
      </c>
      <c r="L1274" s="17"/>
      <c r="M1274" s="18">
        <f>РПЗ!O1274</f>
        <v>42979.625</v>
      </c>
      <c r="N1274" s="238">
        <f>Таблица5[[#This Row],[10]]</f>
        <v>42979.625</v>
      </c>
      <c r="O1274" s="17"/>
      <c r="P1274" s="17"/>
      <c r="Q1274" s="17"/>
      <c r="R1274" s="17"/>
      <c r="S1274" s="17"/>
      <c r="T1274" s="686"/>
      <c r="U1274" s="18">
        <f>РПЗ!P1274</f>
        <v>43070.625</v>
      </c>
      <c r="V1274" s="686"/>
      <c r="W1274" s="236">
        <f>РПЗ!L1274</f>
        <v>2310000</v>
      </c>
      <c r="X1274" s="689"/>
      <c r="Y1274" s="689"/>
      <c r="Z1274" s="690"/>
      <c r="AA1274" s="691"/>
      <c r="AB1274" s="111"/>
      <c r="AC1274" s="17"/>
      <c r="AD1274" s="690"/>
      <c r="AE1274" s="686"/>
      <c r="AF1274" s="474"/>
      <c r="AG1274" s="692"/>
      <c r="AH1274" s="236" t="str">
        <f>IF(Таблица5[[#This Row],[30]]=0,"НД",Таблица5[[#This Row],[20]]-Таблица5[[#This Row],[30]])</f>
        <v>НД</v>
      </c>
      <c r="AI1274" s="511" t="str">
        <f>IF(((1-Таблица5[[#This Row],[30]]/Таблица5[[#This Row],[20]])=1),"НД",(1-Таблица5[[#This Row],[30]]/Таблица5[[#This Row],[20]]))</f>
        <v>НД</v>
      </c>
      <c r="AJ1274" s="111"/>
      <c r="AK1274" s="111"/>
      <c r="AL1274" s="512"/>
      <c r="AM1274" s="513"/>
      <c r="AN1274" s="465"/>
      <c r="AO1274" s="468" t="str">
        <f>РПЗ!AD1274</f>
        <v>Нет</v>
      </c>
      <c r="AP1274" s="472">
        <f>РПЗ!V1274</f>
        <v>0</v>
      </c>
      <c r="AQ1274" s="470">
        <f>IF(Таблица5[[#This Row],[11]]=0,,MONTH(Таблица5[[#This Row],[11]]))</f>
        <v>9</v>
      </c>
    </row>
    <row r="1275" spans="1:43" ht="39" thickBot="1" x14ac:dyDescent="0.3">
      <c r="A1275" s="233" t="str">
        <f t="shared" si="20"/>
        <v>1004-2017-1260</v>
      </c>
      <c r="B1275" s="233" t="str">
        <f>РПЗ!$D1275</f>
        <v>1004-2017-1260 Поставка Оптические детали Фазотрон</v>
      </c>
      <c r="C1275" s="233" t="str">
        <f>РПЗ!$AA1275</f>
        <v>АО "НИИ "Полюс" им. М.Ф. Стельмаха" тел. отдела закупок 8-495-333-05-02</v>
      </c>
      <c r="D1275" s="633" t="str">
        <f>РПЗ!$AB1275</f>
        <v>Заказчик</v>
      </c>
      <c r="E1275" s="510" t="s">
        <v>62</v>
      </c>
      <c r="F1275" s="233" t="str">
        <f>РПЗ!Q1275</f>
        <v>ЕП</v>
      </c>
      <c r="G1275" s="237" t="str">
        <f>Таблица5[[#This Row],[6]]</f>
        <v>ЕП</v>
      </c>
      <c r="H1275" s="237" t="str">
        <f>РПЗ!R1275</f>
        <v>Нет</v>
      </c>
      <c r="I1275" s="15" t="str">
        <f>РПЗ!W1275</f>
        <v>6.6.2(11)</v>
      </c>
      <c r="J1275" s="233" t="str">
        <f>РПЗ!X1275</f>
        <v>7713297251</v>
      </c>
      <c r="K1275" s="283">
        <f>РПЗ!Z1275</f>
        <v>19737756.640000001</v>
      </c>
      <c r="L1275" s="17">
        <v>42993</v>
      </c>
      <c r="M1275" s="18">
        <f>РПЗ!O1275</f>
        <v>42979.625</v>
      </c>
      <c r="N1275" s="238">
        <f>Таблица5[[#This Row],[10]]</f>
        <v>42979.625</v>
      </c>
      <c r="O1275" s="17"/>
      <c r="P1275" s="17"/>
      <c r="Q1275" s="17"/>
      <c r="R1275" s="17"/>
      <c r="S1275" s="17"/>
      <c r="T1275" s="686">
        <v>42997</v>
      </c>
      <c r="U1275" s="18">
        <f>РПЗ!P1275</f>
        <v>43070.625</v>
      </c>
      <c r="V1275" s="686">
        <v>43008</v>
      </c>
      <c r="W1275" s="236">
        <f>РПЗ!L1275</f>
        <v>19737756.640000001</v>
      </c>
      <c r="X1275" s="689">
        <v>1</v>
      </c>
      <c r="Y1275" s="689">
        <v>0</v>
      </c>
      <c r="Z1275" s="691">
        <v>7713297251</v>
      </c>
      <c r="AA1275" s="691" t="s">
        <v>3006</v>
      </c>
      <c r="AB1275" s="111">
        <v>19737756.640000001</v>
      </c>
      <c r="AC1275" s="17">
        <v>43008</v>
      </c>
      <c r="AD1275" s="690" t="s">
        <v>7208</v>
      </c>
      <c r="AE1275" s="686">
        <v>42997</v>
      </c>
      <c r="AF1275" s="474"/>
      <c r="AG1275" s="692">
        <v>19737756.640000001</v>
      </c>
      <c r="AH1275" s="236">
        <f>IF(Таблица5[[#This Row],[30]]=0,"НД",Таблица5[[#This Row],[20]]-Таблица5[[#This Row],[30]])</f>
        <v>0</v>
      </c>
      <c r="AI1275" s="511">
        <f>IF(((1-Таблица5[[#This Row],[30]]/Таблица5[[#This Row],[20]])=1),"НД",(1-Таблица5[[#This Row],[30]]/Таблица5[[#This Row],[20]]))</f>
        <v>0</v>
      </c>
      <c r="AJ1275" s="111"/>
      <c r="AK1275" s="111"/>
      <c r="AL1275" s="512"/>
      <c r="AM1275" s="513" t="s">
        <v>113</v>
      </c>
      <c r="AN1275" s="801">
        <v>31705532872</v>
      </c>
      <c r="AO1275" s="468" t="str">
        <f>РПЗ!AD1275</f>
        <v>Нет</v>
      </c>
      <c r="AP1275" s="472">
        <f>РПЗ!V1275</f>
        <v>0</v>
      </c>
      <c r="AQ1275" s="470">
        <f>IF(Таблица5[[#This Row],[11]]=0,,MONTH(Таблица5[[#This Row],[11]]))</f>
        <v>9</v>
      </c>
    </row>
    <row r="1276" spans="1:43" ht="39" thickBot="1" x14ac:dyDescent="0.3">
      <c r="A1276" s="233" t="str">
        <f t="shared" si="20"/>
        <v>1004-2017-1261</v>
      </c>
      <c r="B1276" s="233" t="str">
        <f>РПЗ!$D1276</f>
        <v>1004-2017-1261Поставка  Колпак для вакуумной печи "Tesla"</v>
      </c>
      <c r="C1276" s="233" t="str">
        <f>РПЗ!$AA1276</f>
        <v>АО "НИИ "Полюс" им. М.Ф. Стельмаха" тел. отдела закупок 8-495-333-05-02</v>
      </c>
      <c r="D1276" s="633" t="str">
        <f>РПЗ!$AB1276</f>
        <v>Заказчик</v>
      </c>
      <c r="E1276" s="96" t="s">
        <v>46</v>
      </c>
      <c r="F1276" s="233" t="str">
        <f>РПЗ!Q1276</f>
        <v>ОЗК</v>
      </c>
      <c r="G1276" s="237"/>
      <c r="H1276" s="237" t="str">
        <f>РПЗ!R1276</f>
        <v>Да</v>
      </c>
      <c r="I1276" s="15">
        <f>РПЗ!W1276</f>
        <v>0</v>
      </c>
      <c r="J1276" s="233">
        <f>РПЗ!X1276</f>
        <v>0</v>
      </c>
      <c r="K1276" s="283">
        <f>РПЗ!Z1276</f>
        <v>0</v>
      </c>
      <c r="L1276" s="17"/>
      <c r="M1276" s="18">
        <f>РПЗ!O1276</f>
        <v>42979.625</v>
      </c>
      <c r="N1276" s="238">
        <f>Таблица5[[#This Row],[10]]</f>
        <v>42979.625</v>
      </c>
      <c r="O1276" s="17"/>
      <c r="P1276" s="17"/>
      <c r="Q1276" s="17"/>
      <c r="R1276" s="17"/>
      <c r="S1276" s="17"/>
      <c r="T1276" s="686"/>
      <c r="U1276" s="18">
        <f>РПЗ!P1276</f>
        <v>43070.625</v>
      </c>
      <c r="V1276" s="686"/>
      <c r="W1276" s="236">
        <f>РПЗ!L1276</f>
        <v>306700</v>
      </c>
      <c r="X1276" s="689"/>
      <c r="Y1276" s="689"/>
      <c r="Z1276" s="690"/>
      <c r="AA1276" s="691"/>
      <c r="AB1276" s="111"/>
      <c r="AC1276" s="17"/>
      <c r="AD1276" s="690"/>
      <c r="AE1276" s="686"/>
      <c r="AF1276" s="474"/>
      <c r="AG1276" s="692"/>
      <c r="AH1276" s="236" t="str">
        <f>IF(Таблица5[[#This Row],[30]]=0,"НД",Таблица5[[#This Row],[20]]-Таблица5[[#This Row],[30]])</f>
        <v>НД</v>
      </c>
      <c r="AI1276" s="511" t="str">
        <f>IF(((1-Таблица5[[#This Row],[30]]/Таблица5[[#This Row],[20]])=1),"НД",(1-Таблица5[[#This Row],[30]]/Таблица5[[#This Row],[20]]))</f>
        <v>НД</v>
      </c>
      <c r="AJ1276" s="111"/>
      <c r="AK1276" s="111"/>
      <c r="AL1276" s="512"/>
      <c r="AM1276" s="513"/>
      <c r="AN1276" s="465"/>
      <c r="AO1276" s="468" t="str">
        <f>РПЗ!AD1276</f>
        <v>Нет</v>
      </c>
      <c r="AP1276" s="472">
        <f>РПЗ!V1276</f>
        <v>0</v>
      </c>
      <c r="AQ1276" s="470">
        <f>IF(Таблица5[[#This Row],[11]]=0,,MONTH(Таблица5[[#This Row],[11]]))</f>
        <v>9</v>
      </c>
    </row>
    <row r="1277" spans="1:43" ht="51" x14ac:dyDescent="0.25">
      <c r="A1277" s="233" t="str">
        <f t="shared" si="20"/>
        <v>1004-2017-1262</v>
      </c>
      <c r="B1277" s="233" t="str">
        <f>РПЗ!$D1277</f>
        <v>1004-2017-1262 Поставка  Микросхема 133АГЗ</v>
      </c>
      <c r="C1277" s="233" t="str">
        <f>РПЗ!$AA1277</f>
        <v>АО "НИИ "Полюс" им. М.Ф. Стельмаха" тел. отдела закупок 8-495-333-05-02</v>
      </c>
      <c r="D1277" s="633" t="str">
        <f>РПЗ!$AB1277</f>
        <v>Заказчик</v>
      </c>
      <c r="E1277" s="96" t="s">
        <v>62</v>
      </c>
      <c r="F1277" s="233" t="str">
        <f>РПЗ!Q1277</f>
        <v>ЕП</v>
      </c>
      <c r="G1277" s="237" t="s">
        <v>110</v>
      </c>
      <c r="H1277" s="237" t="str">
        <f>РПЗ!R1277</f>
        <v>Нет</v>
      </c>
      <c r="I1277" s="15" t="str">
        <f>РПЗ!W1277</f>
        <v>6.6.2(10)</v>
      </c>
      <c r="J1277" s="233" t="str">
        <f>РПЗ!X1277</f>
        <v>7735007358</v>
      </c>
      <c r="K1277" s="283">
        <f>РПЗ!Z1277</f>
        <v>381789</v>
      </c>
      <c r="L1277" s="17">
        <v>43000</v>
      </c>
      <c r="M1277" s="18">
        <f>РПЗ!O1277</f>
        <v>43009.625</v>
      </c>
      <c r="N1277" s="238">
        <f>Таблица5[[#This Row],[10]]</f>
        <v>43009.625</v>
      </c>
      <c r="O1277" s="17"/>
      <c r="P1277" s="17"/>
      <c r="Q1277" s="17"/>
      <c r="R1277" s="17"/>
      <c r="S1277" s="17"/>
      <c r="T1277" s="686">
        <v>43109</v>
      </c>
      <c r="U1277" s="18">
        <f>РПЗ!P1277</f>
        <v>43070.625</v>
      </c>
      <c r="V1277" s="686">
        <v>43100</v>
      </c>
      <c r="W1277" s="236">
        <f>РПЗ!L1277</f>
        <v>381789</v>
      </c>
      <c r="X1277" s="689">
        <v>1</v>
      </c>
      <c r="Y1277" s="689">
        <v>0</v>
      </c>
      <c r="Z1277" s="691">
        <v>7735007358</v>
      </c>
      <c r="AA1277" s="691" t="s">
        <v>8264</v>
      </c>
      <c r="AB1277" s="111">
        <v>381789</v>
      </c>
      <c r="AC1277" s="17">
        <v>43100</v>
      </c>
      <c r="AD1277" s="690" t="s">
        <v>8266</v>
      </c>
      <c r="AE1277" s="686">
        <v>43109</v>
      </c>
      <c r="AF1277" s="474"/>
      <c r="AG1277" s="692">
        <v>381789</v>
      </c>
      <c r="AH1277" s="236">
        <f>IF(Таблица5[[#This Row],[30]]=0,"НД",Таблица5[[#This Row],[20]]-Таблица5[[#This Row],[30]])</f>
        <v>0</v>
      </c>
      <c r="AI1277" s="511">
        <f>IF(((1-Таблица5[[#This Row],[30]]/Таблица5[[#This Row],[20]])=1),"НД",(1-Таблица5[[#This Row],[30]]/Таблица5[[#This Row],[20]]))</f>
        <v>0</v>
      </c>
      <c r="AJ1277" s="111"/>
      <c r="AK1277" s="111"/>
      <c r="AL1277" s="512"/>
      <c r="AM1277" s="513" t="s">
        <v>113</v>
      </c>
      <c r="AN1277" s="801">
        <v>31705604147</v>
      </c>
      <c r="AO1277" s="468" t="str">
        <f>РПЗ!AD1277</f>
        <v>Нет</v>
      </c>
      <c r="AP1277" s="472" t="str">
        <f>РПЗ!V1277</f>
        <v>ГОЗ</v>
      </c>
      <c r="AQ1277" s="470">
        <f>IF(Таблица5[[#This Row],[11]]=0,,MONTH(Таблица5[[#This Row],[11]]))</f>
        <v>10</v>
      </c>
    </row>
    <row r="1278" spans="1:43" ht="38.25" x14ac:dyDescent="0.25">
      <c r="A1278" s="233" t="str">
        <f t="shared" si="20"/>
        <v>1004-2017-1263</v>
      </c>
      <c r="B1278" s="233" t="str">
        <f>РПЗ!$D1278</f>
        <v>1004-2017-1263 Поставка  Реактор инжекционный МР-1800-1000-16-КС ТУ 4859.007. 27572664.16</v>
      </c>
      <c r="C1278" s="233" t="str">
        <f>РПЗ!$AA1278</f>
        <v>АО "НИИ "Полюс" им. М.Ф. Стельмаха" тел. отдела закупок 8-495-333-05-02</v>
      </c>
      <c r="D1278" s="633" t="str">
        <f>РПЗ!$AB1278</f>
        <v>Заказчик</v>
      </c>
      <c r="E1278" s="510" t="s">
        <v>62</v>
      </c>
      <c r="F1278" s="233" t="str">
        <f>РПЗ!Q1278</f>
        <v>ЕП</v>
      </c>
      <c r="G1278" s="237" t="str">
        <f>Таблица5[[#This Row],[6]]</f>
        <v>ЕП</v>
      </c>
      <c r="H1278" s="237" t="str">
        <f>РПЗ!R1278</f>
        <v>Нет</v>
      </c>
      <c r="I1278" s="15" t="str">
        <f>РПЗ!W1278</f>
        <v>6.6.2(11)</v>
      </c>
      <c r="J1278" s="233" t="str">
        <f>РПЗ!X1278</f>
        <v>7704855904</v>
      </c>
      <c r="K1278" s="283">
        <f>РПЗ!Z1278</f>
        <v>300900</v>
      </c>
      <c r="L1278" s="17">
        <v>42979</v>
      </c>
      <c r="M1278" s="18">
        <f>РПЗ!O1278</f>
        <v>42979.625</v>
      </c>
      <c r="N1278" s="238">
        <f>Таблица5[[#This Row],[10]]</f>
        <v>42979.625</v>
      </c>
      <c r="O1278" s="17"/>
      <c r="P1278" s="17"/>
      <c r="Q1278" s="17"/>
      <c r="R1278" s="17"/>
      <c r="S1278" s="17"/>
      <c r="T1278" s="686">
        <v>42998</v>
      </c>
      <c r="U1278" s="18">
        <f>РПЗ!P1278</f>
        <v>43040.625</v>
      </c>
      <c r="V1278" s="686">
        <v>43070</v>
      </c>
      <c r="W1278" s="236">
        <f>РПЗ!L1278</f>
        <v>300900</v>
      </c>
      <c r="X1278" s="689">
        <v>1</v>
      </c>
      <c r="Y1278" s="689">
        <v>0</v>
      </c>
      <c r="Z1278" s="691">
        <v>7704855904</v>
      </c>
      <c r="AA1278" s="691" t="s">
        <v>3044</v>
      </c>
      <c r="AB1278" s="111">
        <v>300900</v>
      </c>
      <c r="AC1278" s="17">
        <v>43070</v>
      </c>
      <c r="AD1278" s="690" t="s">
        <v>7202</v>
      </c>
      <c r="AE1278" s="686">
        <v>42998</v>
      </c>
      <c r="AF1278" s="474"/>
      <c r="AG1278" s="692">
        <v>300900</v>
      </c>
      <c r="AH1278" s="236">
        <f>IF(Таблица5[[#This Row],[30]]=0,"НД",Таблица5[[#This Row],[20]]-Таблица5[[#This Row],[30]])</f>
        <v>0</v>
      </c>
      <c r="AI1278" s="511">
        <f>IF(((1-Таблица5[[#This Row],[30]]/Таблица5[[#This Row],[20]])=1),"НД",(1-Таблица5[[#This Row],[30]]/Таблица5[[#This Row],[20]]))</f>
        <v>0</v>
      </c>
      <c r="AJ1278" s="111">
        <v>300900</v>
      </c>
      <c r="AK1278" s="111"/>
      <c r="AL1278" s="512"/>
      <c r="AM1278" s="513" t="s">
        <v>113</v>
      </c>
      <c r="AN1278" s="801">
        <v>31705528117</v>
      </c>
      <c r="AO1278" s="468" t="str">
        <f>РПЗ!AD1278</f>
        <v>Нет</v>
      </c>
      <c r="AP1278" s="472">
        <f>РПЗ!V1278</f>
        <v>0</v>
      </c>
      <c r="AQ1278" s="470">
        <f>IF(Таблица5[[#This Row],[11]]=0,,MONTH(Таблица5[[#This Row],[11]]))</f>
        <v>9</v>
      </c>
    </row>
    <row r="1279" spans="1:43" ht="64.5" thickBot="1" x14ac:dyDescent="0.3">
      <c r="A1279" s="233" t="str">
        <f t="shared" si="20"/>
        <v>1004-2017-1264</v>
      </c>
      <c r="B1279" s="233" t="str">
        <f>РПЗ!$D1279</f>
        <v>1004-2017-1264 Поставка  Узел мембранно-насосный с электромагнитным распределительным устройством ТУ.4859.006.27572664.16</v>
      </c>
      <c r="C1279" s="233" t="str">
        <f>РПЗ!$AA1279</f>
        <v>АО "НИИ "Полюс" им. М.Ф. Стельмаха" тел. отдела закупок 8-495-333-05-02</v>
      </c>
      <c r="D1279" s="633" t="str">
        <f>РПЗ!$AB1279</f>
        <v>Заказчик</v>
      </c>
      <c r="E1279" s="510" t="s">
        <v>62</v>
      </c>
      <c r="F1279" s="233" t="str">
        <f>РПЗ!Q1279</f>
        <v>ЕП</v>
      </c>
      <c r="G1279" s="237" t="str">
        <f>Таблица5[[#This Row],[6]]</f>
        <v>ЕП</v>
      </c>
      <c r="H1279" s="237" t="str">
        <f>РПЗ!R1279</f>
        <v>Нет</v>
      </c>
      <c r="I1279" s="15" t="str">
        <f>РПЗ!W1279</f>
        <v>6.6.2(11)</v>
      </c>
      <c r="J1279" s="233" t="str">
        <f>РПЗ!X1279</f>
        <v>7704855904</v>
      </c>
      <c r="K1279" s="283">
        <f>РПЗ!Z1279</f>
        <v>137234</v>
      </c>
      <c r="L1279" s="17">
        <v>42979</v>
      </c>
      <c r="M1279" s="18">
        <f>РПЗ!O1279</f>
        <v>42979.625</v>
      </c>
      <c r="N1279" s="238">
        <f>Таблица5[[#This Row],[10]]</f>
        <v>42979.625</v>
      </c>
      <c r="O1279" s="17"/>
      <c r="P1279" s="17"/>
      <c r="Q1279" s="17"/>
      <c r="R1279" s="17"/>
      <c r="S1279" s="17"/>
      <c r="T1279" s="686">
        <v>42998</v>
      </c>
      <c r="U1279" s="18">
        <f>РПЗ!P1279</f>
        <v>43040.625</v>
      </c>
      <c r="V1279" s="686">
        <v>43009</v>
      </c>
      <c r="W1279" s="236">
        <f>РПЗ!L1279</f>
        <v>137234</v>
      </c>
      <c r="X1279" s="689">
        <v>1</v>
      </c>
      <c r="Y1279" s="689">
        <v>0</v>
      </c>
      <c r="Z1279" s="691">
        <v>7704855904</v>
      </c>
      <c r="AA1279" s="691" t="s">
        <v>3044</v>
      </c>
      <c r="AB1279" s="111">
        <v>137234</v>
      </c>
      <c r="AC1279" s="17">
        <v>43009</v>
      </c>
      <c r="AD1279" s="690" t="s">
        <v>7201</v>
      </c>
      <c r="AE1279" s="686">
        <v>42998</v>
      </c>
      <c r="AF1279" s="474"/>
      <c r="AG1279" s="692">
        <v>137234</v>
      </c>
      <c r="AH1279" s="236">
        <f>IF(Таблица5[[#This Row],[30]]=0,"НД",Таблица5[[#This Row],[20]]-Таблица5[[#This Row],[30]])</f>
        <v>0</v>
      </c>
      <c r="AI1279" s="511">
        <f>IF(((1-Таблица5[[#This Row],[30]]/Таблица5[[#This Row],[20]])=1),"НД",(1-Таблица5[[#This Row],[30]]/Таблица5[[#This Row],[20]]))</f>
        <v>0</v>
      </c>
      <c r="AJ1279" s="111">
        <v>137234</v>
      </c>
      <c r="AK1279" s="111"/>
      <c r="AL1279" s="512"/>
      <c r="AM1279" s="513" t="s">
        <v>113</v>
      </c>
      <c r="AN1279" s="801">
        <v>31705527515</v>
      </c>
      <c r="AO1279" s="468" t="str">
        <f>РПЗ!AD1279</f>
        <v>Нет</v>
      </c>
      <c r="AP1279" s="472">
        <f>РПЗ!V1279</f>
        <v>0</v>
      </c>
      <c r="AQ1279" s="470">
        <f>IF(Таблица5[[#This Row],[11]]=0,,MONTH(Таблица5[[#This Row],[11]]))</f>
        <v>9</v>
      </c>
    </row>
    <row r="1280" spans="1:43" ht="38.25" x14ac:dyDescent="0.25">
      <c r="A1280" s="233" t="str">
        <f t="shared" si="20"/>
        <v>1004-2017-1265</v>
      </c>
      <c r="B1280" s="233" t="str">
        <f>РПЗ!$D1280</f>
        <v>1004-2017-1265 Поставка  Насос высокого давления Grundfos CRN 1-30</v>
      </c>
      <c r="C1280" s="233" t="str">
        <f>РПЗ!$AA1280</f>
        <v>АО "НИИ "Полюс" им. М.Ф. Стельмаха" тел. отдела закупок 8-495-333-05-02</v>
      </c>
      <c r="D1280" s="633" t="str">
        <f>РПЗ!$AB1280</f>
        <v>Заказчик</v>
      </c>
      <c r="E1280" s="96" t="s">
        <v>46</v>
      </c>
      <c r="F1280" s="233" t="str">
        <f>РПЗ!Q1280</f>
        <v>ЕП</v>
      </c>
      <c r="G1280" s="237"/>
      <c r="H1280" s="237" t="str">
        <f>РПЗ!R1280</f>
        <v>Нет</v>
      </c>
      <c r="I1280" s="15">
        <f>РПЗ!W1280</f>
        <v>0</v>
      </c>
      <c r="J1280" s="233">
        <f>РПЗ!X1280</f>
        <v>0</v>
      </c>
      <c r="K1280" s="283">
        <f>РПЗ!Z1280</f>
        <v>0</v>
      </c>
      <c r="L1280" s="17"/>
      <c r="M1280" s="18">
        <f>РПЗ!O1280</f>
        <v>42979.625</v>
      </c>
      <c r="N1280" s="238">
        <f>Таблица5[[#This Row],[10]]</f>
        <v>42979.625</v>
      </c>
      <c r="O1280" s="17"/>
      <c r="P1280" s="17"/>
      <c r="Q1280" s="17"/>
      <c r="R1280" s="17"/>
      <c r="S1280" s="17"/>
      <c r="T1280" s="686"/>
      <c r="U1280" s="18">
        <f>РПЗ!P1280</f>
        <v>43040.625</v>
      </c>
      <c r="V1280" s="686"/>
      <c r="W1280" s="236">
        <f>РПЗ!L1280</f>
        <v>97585</v>
      </c>
      <c r="X1280" s="689"/>
      <c r="Y1280" s="689"/>
      <c r="Z1280" s="690"/>
      <c r="AA1280" s="691"/>
      <c r="AB1280" s="111"/>
      <c r="AC1280" s="17"/>
      <c r="AD1280" s="690"/>
      <c r="AE1280" s="686"/>
      <c r="AF1280" s="474"/>
      <c r="AG1280" s="692"/>
      <c r="AH1280" s="236" t="str">
        <f>IF(Таблица5[[#This Row],[30]]=0,"НД",Таблица5[[#This Row],[20]]-Таблица5[[#This Row],[30]])</f>
        <v>НД</v>
      </c>
      <c r="AI1280" s="511" t="str">
        <f>IF(((1-Таблица5[[#This Row],[30]]/Таблица5[[#This Row],[20]])=1),"НД",(1-Таблица5[[#This Row],[30]]/Таблица5[[#This Row],[20]]))</f>
        <v>НД</v>
      </c>
      <c r="AJ1280" s="111"/>
      <c r="AK1280" s="111"/>
      <c r="AL1280" s="512"/>
      <c r="AM1280" s="513"/>
      <c r="AN1280" s="465"/>
      <c r="AO1280" s="468" t="str">
        <f>РПЗ!AD1280</f>
        <v>Нет</v>
      </c>
      <c r="AP1280" s="472">
        <f>РПЗ!V1280</f>
        <v>0</v>
      </c>
      <c r="AQ1280" s="470">
        <f>IF(Таблица5[[#This Row],[11]]=0,,MONTH(Таблица5[[#This Row],[11]]))</f>
        <v>9</v>
      </c>
    </row>
    <row r="1281" spans="1:43" ht="38.25" x14ac:dyDescent="0.25">
      <c r="A1281" s="233" t="str">
        <f t="shared" si="20"/>
        <v>1004-2017-1266</v>
      </c>
      <c r="B1281" s="233" t="str">
        <f>РПЗ!$D1281</f>
        <v>1004-2017-1266 Поставка  Дрель -  шуруповерт</v>
      </c>
      <c r="C1281" s="233" t="str">
        <f>РПЗ!$AA1281</f>
        <v>АО "НИИ "Полюс" им. М.Ф. Стельмаха" тел. отдела закупок 8-495-333-05-02</v>
      </c>
      <c r="D1281" s="633" t="str">
        <f>РПЗ!$AB1281</f>
        <v>Заказчик</v>
      </c>
      <c r="E1281" s="510" t="s">
        <v>59</v>
      </c>
      <c r="F1281" s="233" t="str">
        <f>РПЗ!Q1281</f>
        <v>ОЗК</v>
      </c>
      <c r="G1281" s="237" t="str">
        <f>Таблица5[[#This Row],[6]]</f>
        <v>ОЗК</v>
      </c>
      <c r="H1281" s="237" t="str">
        <f>РПЗ!R1281</f>
        <v>Да</v>
      </c>
      <c r="I1281" s="15">
        <f>РПЗ!W1281</f>
        <v>0</v>
      </c>
      <c r="J1281" s="233">
        <f>РПЗ!X1281</f>
        <v>0</v>
      </c>
      <c r="K1281" s="283">
        <f>РПЗ!Z1281</f>
        <v>0</v>
      </c>
      <c r="L1281" s="17">
        <v>43005</v>
      </c>
      <c r="M1281" s="18">
        <f>РПЗ!O1281</f>
        <v>42979.625</v>
      </c>
      <c r="N1281" s="238">
        <f>Таблица5[[#This Row],[10]]</f>
        <v>42979.625</v>
      </c>
      <c r="O1281" s="17">
        <v>43011</v>
      </c>
      <c r="P1281" s="17">
        <v>43014</v>
      </c>
      <c r="Q1281" s="17">
        <v>43014</v>
      </c>
      <c r="R1281" s="17">
        <v>43014</v>
      </c>
      <c r="S1281" s="17">
        <v>43014</v>
      </c>
      <c r="T1281" s="686"/>
      <c r="U1281" s="18">
        <f>РПЗ!P1281</f>
        <v>43040.625</v>
      </c>
      <c r="V1281" s="686"/>
      <c r="W1281" s="236">
        <f>РПЗ!L1281</f>
        <v>8000</v>
      </c>
      <c r="X1281" s="689">
        <v>0</v>
      </c>
      <c r="Y1281" s="689">
        <v>0</v>
      </c>
      <c r="Z1281" s="690"/>
      <c r="AA1281" s="691"/>
      <c r="AB1281" s="111"/>
      <c r="AC1281" s="17"/>
      <c r="AD1281" s="690"/>
      <c r="AE1281" s="686"/>
      <c r="AF1281" s="474"/>
      <c r="AG1281" s="692"/>
      <c r="AH1281" s="236" t="str">
        <f>IF(Таблица5[[#This Row],[30]]=0,"НД",Таблица5[[#This Row],[20]]-Таблица5[[#This Row],[30]])</f>
        <v>НД</v>
      </c>
      <c r="AI1281" s="511" t="str">
        <f>IF(((1-Таблица5[[#This Row],[30]]/Таблица5[[#This Row],[20]])=1),"НД",(1-Таблица5[[#This Row],[30]]/Таблица5[[#This Row],[20]]))</f>
        <v>НД</v>
      </c>
      <c r="AJ1281" s="111"/>
      <c r="AK1281" s="111"/>
      <c r="AL1281" s="512"/>
      <c r="AM1281" s="513"/>
      <c r="AN1281" s="801">
        <v>31705563020</v>
      </c>
      <c r="AO1281" s="468" t="str">
        <f>РПЗ!AD1281</f>
        <v>Нет</v>
      </c>
      <c r="AP1281" s="472">
        <f>РПЗ!V1281</f>
        <v>0</v>
      </c>
      <c r="AQ1281" s="470">
        <f>IF(Таблица5[[#This Row],[11]]=0,,MONTH(Таблица5[[#This Row],[11]]))</f>
        <v>9</v>
      </c>
    </row>
    <row r="1282" spans="1:43" ht="38.25" x14ac:dyDescent="0.25">
      <c r="A1282" s="233" t="str">
        <f t="shared" si="20"/>
        <v>1004-2017-1267</v>
      </c>
      <c r="B1282" s="233" t="str">
        <f>РПЗ!$D1282</f>
        <v>1004-2017-1267 Поставка  Инструмент</v>
      </c>
      <c r="C1282" s="233" t="str">
        <f>РПЗ!$AA1282</f>
        <v>АО "НИИ "Полюс" им. М.Ф. Стельмаха" тел. отдела закупок 8-495-333-05-02</v>
      </c>
      <c r="D1282" s="633" t="str">
        <f>РПЗ!$AB1282</f>
        <v>Заказчик</v>
      </c>
      <c r="E1282" s="510" t="s">
        <v>62</v>
      </c>
      <c r="F1282" s="233" t="str">
        <f>РПЗ!Q1282</f>
        <v>ОЗК</v>
      </c>
      <c r="G1282" s="237" t="s">
        <v>108</v>
      </c>
      <c r="H1282" s="237" t="str">
        <f>РПЗ!R1282</f>
        <v>Да</v>
      </c>
      <c r="I1282" s="15">
        <f>РПЗ!W1282</f>
        <v>0</v>
      </c>
      <c r="J1282" s="233">
        <f>РПЗ!X1282</f>
        <v>0</v>
      </c>
      <c r="K1282" s="283">
        <f>РПЗ!Z1282</f>
        <v>0</v>
      </c>
      <c r="L1282" s="17">
        <v>43039</v>
      </c>
      <c r="M1282" s="18">
        <f>РПЗ!O1282</f>
        <v>43009.625</v>
      </c>
      <c r="N1282" s="238">
        <f>Таблица5[[#This Row],[10]]</f>
        <v>43009.625</v>
      </c>
      <c r="O1282" s="17">
        <v>43046</v>
      </c>
      <c r="P1282" s="17">
        <v>43049</v>
      </c>
      <c r="Q1282" s="17">
        <v>43049</v>
      </c>
      <c r="R1282" s="17">
        <v>43046</v>
      </c>
      <c r="S1282" s="17">
        <v>43046</v>
      </c>
      <c r="T1282" s="686">
        <v>43059</v>
      </c>
      <c r="U1282" s="18">
        <f>РПЗ!P1282</f>
        <v>43070.625</v>
      </c>
      <c r="V1282" s="686">
        <v>43100</v>
      </c>
      <c r="W1282" s="236">
        <f>РПЗ!L1282</f>
        <v>318430.03000000003</v>
      </c>
      <c r="X1282" s="689">
        <v>4</v>
      </c>
      <c r="Y1282" s="689">
        <v>0</v>
      </c>
      <c r="Z1282" s="691">
        <v>5834062042</v>
      </c>
      <c r="AA1282" s="691" t="s">
        <v>8167</v>
      </c>
      <c r="AB1282" s="111">
        <v>273450.3</v>
      </c>
      <c r="AC1282" s="17">
        <v>43100</v>
      </c>
      <c r="AD1282" s="690" t="s">
        <v>8168</v>
      </c>
      <c r="AE1282" s="686">
        <v>43059</v>
      </c>
      <c r="AF1282" s="474"/>
      <c r="AG1282" s="692">
        <v>273450.3</v>
      </c>
      <c r="AH1282" s="236">
        <f>IF(Таблица5[[#This Row],[30]]=0,"НД",Таблица5[[#This Row],[20]]-Таблица5[[#This Row],[30]])</f>
        <v>44979.73000000004</v>
      </c>
      <c r="AI1282" s="511">
        <f>IF(((1-Таблица5[[#This Row],[30]]/Таблица5[[#This Row],[20]])=1),"НД",(1-Таблица5[[#This Row],[30]]/Таблица5[[#This Row],[20]]))</f>
        <v>0.14125467375046263</v>
      </c>
      <c r="AJ1282" s="111"/>
      <c r="AK1282" s="111">
        <v>273450.3</v>
      </c>
      <c r="AL1282" s="512"/>
      <c r="AM1282" s="513" t="s">
        <v>113</v>
      </c>
      <c r="AN1282" s="801">
        <v>31705684585</v>
      </c>
      <c r="AO1282" s="468" t="str">
        <f>РПЗ!AD1282</f>
        <v>Нет</v>
      </c>
      <c r="AP1282" s="472">
        <f>РПЗ!V1282</f>
        <v>0</v>
      </c>
      <c r="AQ1282" s="470">
        <f>IF(Таблица5[[#This Row],[11]]=0,,MONTH(Таблица5[[#This Row],[11]]))</f>
        <v>10</v>
      </c>
    </row>
    <row r="1283" spans="1:43" ht="38.25" x14ac:dyDescent="0.25">
      <c r="A1283" s="233" t="str">
        <f t="shared" si="20"/>
        <v>1004-2017-1268</v>
      </c>
      <c r="B1283" s="233" t="str">
        <f>РПЗ!$D1283</f>
        <v>1004-2017-1268 Поставка  Инструмент для проведения электромонтажных работ</v>
      </c>
      <c r="C1283" s="233" t="str">
        <f>РПЗ!$AA1283</f>
        <v>АО "НИИ "Полюс" им. М.Ф. Стельмаха" тел. отдела закупок 8-495-333-05-02</v>
      </c>
      <c r="D1283" s="633" t="str">
        <f>РПЗ!$AB1283</f>
        <v>Заказчик</v>
      </c>
      <c r="E1283" s="510" t="s">
        <v>62</v>
      </c>
      <c r="F1283" s="233" t="str">
        <f>РПЗ!Q1283</f>
        <v>ОЗК</v>
      </c>
      <c r="G1283" s="237" t="s">
        <v>108</v>
      </c>
      <c r="H1283" s="237" t="str">
        <f>РПЗ!R1283</f>
        <v>Да</v>
      </c>
      <c r="I1283" s="15">
        <f>РПЗ!W1283</f>
        <v>0</v>
      </c>
      <c r="J1283" s="233">
        <f>РПЗ!X1283</f>
        <v>0</v>
      </c>
      <c r="K1283" s="283">
        <f>РПЗ!Z1283</f>
        <v>0</v>
      </c>
      <c r="L1283" s="17">
        <v>43040</v>
      </c>
      <c r="M1283" s="18">
        <f>РПЗ!O1283</f>
        <v>43040</v>
      </c>
      <c r="N1283" s="238">
        <f>Таблица5[[#This Row],[10]]</f>
        <v>43040</v>
      </c>
      <c r="O1283" s="17">
        <v>43047</v>
      </c>
      <c r="P1283" s="17">
        <v>43052</v>
      </c>
      <c r="Q1283" s="17">
        <v>43052</v>
      </c>
      <c r="R1283" s="17">
        <v>43048</v>
      </c>
      <c r="S1283" s="17">
        <v>43048</v>
      </c>
      <c r="T1283" s="686">
        <v>43059</v>
      </c>
      <c r="U1283" s="18">
        <f>РПЗ!P1283</f>
        <v>43070.625</v>
      </c>
      <c r="V1283" s="686">
        <v>43100</v>
      </c>
      <c r="W1283" s="236">
        <f>РПЗ!L1283</f>
        <v>183428.91</v>
      </c>
      <c r="X1283" s="689">
        <v>2</v>
      </c>
      <c r="Y1283" s="689">
        <v>0</v>
      </c>
      <c r="Z1283" s="691">
        <v>7705579703</v>
      </c>
      <c r="AA1283" s="691" t="s">
        <v>3287</v>
      </c>
      <c r="AB1283" s="111">
        <v>170132.68</v>
      </c>
      <c r="AC1283" s="17">
        <v>43100</v>
      </c>
      <c r="AD1283" s="690" t="s">
        <v>8162</v>
      </c>
      <c r="AE1283" s="686">
        <v>43059</v>
      </c>
      <c r="AF1283" s="474"/>
      <c r="AG1283" s="692">
        <v>170132.68</v>
      </c>
      <c r="AH1283" s="236">
        <f>IF(Таблица5[[#This Row],[30]]=0,"НД",Таблица5[[#This Row],[20]]-Таблица5[[#This Row],[30]])</f>
        <v>13296.23000000001</v>
      </c>
      <c r="AI1283" s="511">
        <f>IF(((1-Таблица5[[#This Row],[30]]/Таблица5[[#This Row],[20]])=1),"НД",(1-Таблица5[[#This Row],[30]]/Таблица5[[#This Row],[20]]))</f>
        <v>7.2487101406206955E-2</v>
      </c>
      <c r="AJ1283" s="111"/>
      <c r="AK1283" s="111">
        <v>170132.68</v>
      </c>
      <c r="AL1283" s="512"/>
      <c r="AM1283" s="513" t="s">
        <v>113</v>
      </c>
      <c r="AN1283" s="801">
        <v>31705692000</v>
      </c>
      <c r="AO1283" s="468" t="str">
        <f>РПЗ!AD1283</f>
        <v>Нет</v>
      </c>
      <c r="AP1283" s="472">
        <f>РПЗ!V1283</f>
        <v>0</v>
      </c>
      <c r="AQ1283" s="470">
        <f>IF(Таблица5[[#This Row],[11]]=0,,MONTH(Таблица5[[#This Row],[11]]))</f>
        <v>11</v>
      </c>
    </row>
    <row r="1284" spans="1:43" ht="38.25" x14ac:dyDescent="0.25">
      <c r="A1284" s="233" t="str">
        <f t="shared" si="20"/>
        <v>1004-2017-1269</v>
      </c>
      <c r="B1284" s="233" t="str">
        <f>РПЗ!$D1284</f>
        <v>1004-2017-1269 Поставка  Металличиские шкафы для одежды</v>
      </c>
      <c r="C1284" s="233" t="str">
        <f>РПЗ!$AA1284</f>
        <v>АО "НИИ "Полюс" им. М.Ф. Стельмаха" тел. отдела закупок 8-495-333-05-02</v>
      </c>
      <c r="D1284" s="633" t="str">
        <f>РПЗ!$AB1284</f>
        <v>Заказчик</v>
      </c>
      <c r="E1284" s="510" t="s">
        <v>62</v>
      </c>
      <c r="F1284" s="233" t="str">
        <f>РПЗ!Q1284</f>
        <v>ОЗК</v>
      </c>
      <c r="G1284" s="237" t="s">
        <v>108</v>
      </c>
      <c r="H1284" s="237" t="str">
        <f>РПЗ!R1284</f>
        <v>Да</v>
      </c>
      <c r="I1284" s="15">
        <f>РПЗ!W1284</f>
        <v>0</v>
      </c>
      <c r="J1284" s="233">
        <f>РПЗ!X1284</f>
        <v>0</v>
      </c>
      <c r="K1284" s="283">
        <f>РПЗ!Z1284</f>
        <v>0</v>
      </c>
      <c r="L1284" s="17">
        <v>43048</v>
      </c>
      <c r="M1284" s="18">
        <f>РПЗ!O1284</f>
        <v>43040</v>
      </c>
      <c r="N1284" s="238">
        <f>Таблица5[[#This Row],[10]]</f>
        <v>43040</v>
      </c>
      <c r="O1284" s="17">
        <v>43055</v>
      </c>
      <c r="P1284" s="17">
        <v>43060</v>
      </c>
      <c r="Q1284" s="17">
        <v>43060</v>
      </c>
      <c r="R1284" s="17">
        <v>43055</v>
      </c>
      <c r="S1284" s="17">
        <v>43055</v>
      </c>
      <c r="T1284" s="686">
        <v>43074</v>
      </c>
      <c r="U1284" s="18">
        <f>РПЗ!P1284</f>
        <v>43070.625</v>
      </c>
      <c r="V1284" s="686">
        <v>43123</v>
      </c>
      <c r="W1284" s="236">
        <f>РПЗ!L1284</f>
        <v>93747</v>
      </c>
      <c r="X1284" s="689">
        <v>5</v>
      </c>
      <c r="Y1284" s="689">
        <v>0</v>
      </c>
      <c r="Z1284" s="691">
        <v>4401134640</v>
      </c>
      <c r="AA1284" s="691" t="s">
        <v>8131</v>
      </c>
      <c r="AB1284" s="111">
        <v>72120</v>
      </c>
      <c r="AC1284" s="17">
        <v>43123</v>
      </c>
      <c r="AD1284" s="690" t="s">
        <v>8132</v>
      </c>
      <c r="AE1284" s="686">
        <v>43074</v>
      </c>
      <c r="AF1284" s="474"/>
      <c r="AG1284" s="692">
        <v>72120</v>
      </c>
      <c r="AH1284" s="236">
        <f>IF(Таблица5[[#This Row],[30]]=0,"НД",Таблица5[[#This Row],[20]]-Таблица5[[#This Row],[30]])</f>
        <v>21627</v>
      </c>
      <c r="AI1284" s="511">
        <f>IF(((1-Таблица5[[#This Row],[30]]/Таблица5[[#This Row],[20]])=1),"НД",(1-Таблица5[[#This Row],[30]]/Таблица5[[#This Row],[20]]))</f>
        <v>0.23069538225223207</v>
      </c>
      <c r="AJ1284" s="111"/>
      <c r="AK1284" s="111">
        <v>72120</v>
      </c>
      <c r="AL1284" s="512"/>
      <c r="AM1284" s="513" t="s">
        <v>113</v>
      </c>
      <c r="AN1284" s="801">
        <v>31705717581</v>
      </c>
      <c r="AO1284" s="468" t="str">
        <f>РПЗ!AD1284</f>
        <v>Нет</v>
      </c>
      <c r="AP1284" s="472">
        <f>РПЗ!V1284</f>
        <v>0</v>
      </c>
      <c r="AQ1284" s="470">
        <f>IF(Таблица5[[#This Row],[11]]=0,,MONTH(Таблица5[[#This Row],[11]]))</f>
        <v>11</v>
      </c>
    </row>
    <row r="1285" spans="1:43" ht="39" thickBot="1" x14ac:dyDescent="0.3">
      <c r="A1285" s="233" t="str">
        <f t="shared" si="20"/>
        <v>1004-2017-1270</v>
      </c>
      <c r="B1285" s="233" t="str">
        <f>РПЗ!$D1285</f>
        <v>1004-2017-1270мПоставка  Электронные весы и весы напольные</v>
      </c>
      <c r="C1285" s="233" t="str">
        <f>РПЗ!$AA1285</f>
        <v>АО "НИИ "Полюс" им. М.Ф. Стельмаха" тел. отдела закупок 8-495-333-05-02</v>
      </c>
      <c r="D1285" s="633" t="str">
        <f>РПЗ!$AB1285</f>
        <v>Заказчик</v>
      </c>
      <c r="E1285" s="510" t="s">
        <v>59</v>
      </c>
      <c r="F1285" s="233" t="str">
        <f>РПЗ!Q1285</f>
        <v>ОЗК</v>
      </c>
      <c r="G1285" s="237" t="str">
        <f>Таблица5[[#This Row],[6]]</f>
        <v>ОЗК</v>
      </c>
      <c r="H1285" s="237" t="str">
        <f>РПЗ!R1285</f>
        <v>Да</v>
      </c>
      <c r="I1285" s="15">
        <f>РПЗ!W1285</f>
        <v>0</v>
      </c>
      <c r="J1285" s="233">
        <f>РПЗ!X1285</f>
        <v>0</v>
      </c>
      <c r="K1285" s="283">
        <f>РПЗ!Z1285</f>
        <v>0</v>
      </c>
      <c r="L1285" s="17">
        <v>42997</v>
      </c>
      <c r="M1285" s="18">
        <f>РПЗ!O1285</f>
        <v>42979.625</v>
      </c>
      <c r="N1285" s="238">
        <f>Таблица5[[#This Row],[10]]</f>
        <v>42979.625</v>
      </c>
      <c r="O1285" s="17">
        <v>43003</v>
      </c>
      <c r="P1285" s="17">
        <v>43007</v>
      </c>
      <c r="Q1285" s="17">
        <v>43007</v>
      </c>
      <c r="R1285" s="17">
        <v>43007</v>
      </c>
      <c r="S1285" s="17">
        <v>43007</v>
      </c>
      <c r="T1285" s="686"/>
      <c r="U1285" s="18">
        <f>РПЗ!P1285</f>
        <v>43040.625</v>
      </c>
      <c r="V1285" s="686"/>
      <c r="W1285" s="236">
        <f>РПЗ!L1285</f>
        <v>25000</v>
      </c>
      <c r="X1285" s="689">
        <v>0</v>
      </c>
      <c r="Y1285" s="689">
        <v>0</v>
      </c>
      <c r="Z1285" s="690"/>
      <c r="AA1285" s="691"/>
      <c r="AB1285" s="111"/>
      <c r="AC1285" s="17"/>
      <c r="AD1285" s="690"/>
      <c r="AE1285" s="686"/>
      <c r="AF1285" s="474"/>
      <c r="AG1285" s="692"/>
      <c r="AH1285" s="236" t="str">
        <f>IF(Таблица5[[#This Row],[30]]=0,"НД",Таблица5[[#This Row],[20]]-Таблица5[[#This Row],[30]])</f>
        <v>НД</v>
      </c>
      <c r="AI1285" s="511" t="str">
        <f>IF(((1-Таблица5[[#This Row],[30]]/Таблица5[[#This Row],[20]])=1),"НД",(1-Таблица5[[#This Row],[30]]/Таблица5[[#This Row],[20]]))</f>
        <v>НД</v>
      </c>
      <c r="AJ1285" s="111"/>
      <c r="AK1285" s="111"/>
      <c r="AL1285" s="512"/>
      <c r="AM1285" s="513"/>
      <c r="AN1285" s="801">
        <v>31705534475</v>
      </c>
      <c r="AO1285" s="468" t="str">
        <f>РПЗ!AD1285</f>
        <v>Нет</v>
      </c>
      <c r="AP1285" s="472">
        <f>РПЗ!V1285</f>
        <v>0</v>
      </c>
      <c r="AQ1285" s="470">
        <f>IF(Таблица5[[#This Row],[11]]=0,,MONTH(Таблица5[[#This Row],[11]]))</f>
        <v>9</v>
      </c>
    </row>
    <row r="1286" spans="1:43" ht="39" thickBot="1" x14ac:dyDescent="0.3">
      <c r="A1286" s="233" t="str">
        <f t="shared" si="20"/>
        <v>1004-2017-1271</v>
      </c>
      <c r="B1286" s="233" t="str">
        <f>РПЗ!$D1286</f>
        <v>1004-2017-1271 Поставка  Паяльные станции и инструмент</v>
      </c>
      <c r="C1286" s="233" t="str">
        <f>РПЗ!$AA1286</f>
        <v>АО "НИИ "Полюс" им. М.Ф. Стельмаха" тел. отдела закупок 8-495-333-05-02</v>
      </c>
      <c r="D1286" s="633" t="str">
        <f>РПЗ!$AB1286</f>
        <v>Заказчик</v>
      </c>
      <c r="E1286" s="96" t="s">
        <v>46</v>
      </c>
      <c r="F1286" s="233" t="str">
        <f>РПЗ!Q1286</f>
        <v>ОЗК</v>
      </c>
      <c r="G1286" s="237"/>
      <c r="H1286" s="237" t="str">
        <f>РПЗ!R1286</f>
        <v>Да</v>
      </c>
      <c r="I1286" s="15">
        <f>РПЗ!W1286</f>
        <v>0</v>
      </c>
      <c r="J1286" s="233">
        <f>РПЗ!X1286</f>
        <v>0</v>
      </c>
      <c r="K1286" s="283">
        <f>РПЗ!Z1286</f>
        <v>0</v>
      </c>
      <c r="L1286" s="17"/>
      <c r="M1286" s="18">
        <f>РПЗ!O1286</f>
        <v>43009.625</v>
      </c>
      <c r="N1286" s="238">
        <f>Таблица5[[#This Row],[10]]</f>
        <v>43009.625</v>
      </c>
      <c r="O1286" s="17"/>
      <c r="P1286" s="17"/>
      <c r="Q1286" s="17"/>
      <c r="R1286" s="17"/>
      <c r="S1286" s="17"/>
      <c r="T1286" s="686"/>
      <c r="U1286" s="18">
        <f>РПЗ!P1286</f>
        <v>43070.625</v>
      </c>
      <c r="V1286" s="686"/>
      <c r="W1286" s="236">
        <f>РПЗ!L1286</f>
        <v>140000</v>
      </c>
      <c r="X1286" s="689"/>
      <c r="Y1286" s="689"/>
      <c r="Z1286" s="690"/>
      <c r="AA1286" s="691"/>
      <c r="AB1286" s="111"/>
      <c r="AC1286" s="17"/>
      <c r="AD1286" s="690"/>
      <c r="AE1286" s="686"/>
      <c r="AF1286" s="474"/>
      <c r="AG1286" s="692"/>
      <c r="AH1286" s="236" t="str">
        <f>IF(Таблица5[[#This Row],[30]]=0,"НД",Таблица5[[#This Row],[20]]-Таблица5[[#This Row],[30]])</f>
        <v>НД</v>
      </c>
      <c r="AI1286" s="511" t="str">
        <f>IF(((1-Таблица5[[#This Row],[30]]/Таблица5[[#This Row],[20]])=1),"НД",(1-Таблица5[[#This Row],[30]]/Таблица5[[#This Row],[20]]))</f>
        <v>НД</v>
      </c>
      <c r="AJ1286" s="111"/>
      <c r="AK1286" s="111"/>
      <c r="AL1286" s="512"/>
      <c r="AM1286" s="513"/>
      <c r="AN1286" s="465"/>
      <c r="AO1286" s="468" t="str">
        <f>РПЗ!AD1286</f>
        <v>Нет</v>
      </c>
      <c r="AP1286" s="472">
        <f>РПЗ!V1286</f>
        <v>0</v>
      </c>
      <c r="AQ1286" s="470">
        <f>IF(Таблица5[[#This Row],[11]]=0,,MONTH(Таблица5[[#This Row],[11]]))</f>
        <v>10</v>
      </c>
    </row>
    <row r="1287" spans="1:43" ht="39" thickBot="1" x14ac:dyDescent="0.3">
      <c r="A1287" s="233" t="str">
        <f t="shared" si="20"/>
        <v>1004-2017-1272</v>
      </c>
      <c r="B1287" s="233" t="str">
        <f>РПЗ!$D1287</f>
        <v>1004-2017-1272 Поставка  Анализатор спектра</v>
      </c>
      <c r="C1287" s="233" t="str">
        <f>РПЗ!$AA1287</f>
        <v>АО "НИИ "Полюс" им. М.Ф. Стельмаха" тел. отдела закупок 8-495-333-05-02</v>
      </c>
      <c r="D1287" s="633" t="str">
        <f>РПЗ!$AB1287</f>
        <v>Заказчик</v>
      </c>
      <c r="E1287" s="96" t="s">
        <v>46</v>
      </c>
      <c r="F1287" s="233" t="str">
        <f>РПЗ!Q1287</f>
        <v>ОЗК</v>
      </c>
      <c r="G1287" s="237"/>
      <c r="H1287" s="237" t="str">
        <f>РПЗ!R1287</f>
        <v>Да</v>
      </c>
      <c r="I1287" s="15">
        <f>РПЗ!W1287</f>
        <v>0</v>
      </c>
      <c r="J1287" s="233">
        <f>РПЗ!X1287</f>
        <v>0</v>
      </c>
      <c r="K1287" s="283">
        <f>РПЗ!Z1287</f>
        <v>0</v>
      </c>
      <c r="L1287" s="17"/>
      <c r="M1287" s="18">
        <f>РПЗ!O1287</f>
        <v>42979.625</v>
      </c>
      <c r="N1287" s="238">
        <f>Таблица5[[#This Row],[10]]</f>
        <v>42979.625</v>
      </c>
      <c r="O1287" s="17"/>
      <c r="P1287" s="17"/>
      <c r="Q1287" s="17"/>
      <c r="R1287" s="17"/>
      <c r="S1287" s="17"/>
      <c r="T1287" s="686"/>
      <c r="U1287" s="18">
        <f>РПЗ!P1287</f>
        <v>43040.625</v>
      </c>
      <c r="V1287" s="686"/>
      <c r="W1287" s="236">
        <f>РПЗ!L1287</f>
        <v>1400000</v>
      </c>
      <c r="X1287" s="689"/>
      <c r="Y1287" s="689"/>
      <c r="Z1287" s="690"/>
      <c r="AA1287" s="691"/>
      <c r="AB1287" s="111"/>
      <c r="AC1287" s="17"/>
      <c r="AD1287" s="690"/>
      <c r="AE1287" s="686"/>
      <c r="AF1287" s="474"/>
      <c r="AG1287" s="692"/>
      <c r="AH1287" s="236" t="str">
        <f>IF(Таблица5[[#This Row],[30]]=0,"НД",Таблица5[[#This Row],[20]]-Таблица5[[#This Row],[30]])</f>
        <v>НД</v>
      </c>
      <c r="AI1287" s="511" t="str">
        <f>IF(((1-Таблица5[[#This Row],[30]]/Таблица5[[#This Row],[20]])=1),"НД",(1-Таблица5[[#This Row],[30]]/Таблица5[[#This Row],[20]]))</f>
        <v>НД</v>
      </c>
      <c r="AJ1287" s="111"/>
      <c r="AK1287" s="111"/>
      <c r="AL1287" s="512"/>
      <c r="AM1287" s="513"/>
      <c r="AN1287" s="465"/>
      <c r="AO1287" s="468" t="str">
        <f>РПЗ!AD1287</f>
        <v>Нет</v>
      </c>
      <c r="AP1287" s="472">
        <f>РПЗ!V1287</f>
        <v>0</v>
      </c>
      <c r="AQ1287" s="470">
        <f>IF(Таблица5[[#This Row],[11]]=0,,MONTH(Таблица5[[#This Row],[11]]))</f>
        <v>9</v>
      </c>
    </row>
    <row r="1288" spans="1:43" ht="38.25" x14ac:dyDescent="0.25">
      <c r="A1288" s="233" t="str">
        <f t="shared" si="20"/>
        <v>1004-2017-1273</v>
      </c>
      <c r="B1288" s="233" t="str">
        <f>РПЗ!$D1288</f>
        <v>1004-2017-1273 Поставка  Комплект измерителя оптической мощности</v>
      </c>
      <c r="C1288" s="233" t="str">
        <f>РПЗ!$AA1288</f>
        <v>АО "НИИ "Полюс" им. М.Ф. Стельмаха" тел. отдела закупок 8-495-333-05-02</v>
      </c>
      <c r="D1288" s="633" t="str">
        <f>РПЗ!$AB1288</f>
        <v>Заказчик</v>
      </c>
      <c r="E1288" s="96" t="s">
        <v>46</v>
      </c>
      <c r="F1288" s="233" t="str">
        <f>РПЗ!Q1288</f>
        <v>ОЗК</v>
      </c>
      <c r="G1288" s="237"/>
      <c r="H1288" s="237" t="str">
        <f>РПЗ!R1288</f>
        <v>Да</v>
      </c>
      <c r="I1288" s="15">
        <f>РПЗ!W1288</f>
        <v>0</v>
      </c>
      <c r="J1288" s="233">
        <f>РПЗ!X1288</f>
        <v>0</v>
      </c>
      <c r="K1288" s="283">
        <f>РПЗ!Z1288</f>
        <v>0</v>
      </c>
      <c r="L1288" s="17"/>
      <c r="M1288" s="18">
        <f>РПЗ!O1288</f>
        <v>42979.625</v>
      </c>
      <c r="N1288" s="238">
        <f>Таблица5[[#This Row],[10]]</f>
        <v>42979.625</v>
      </c>
      <c r="O1288" s="17"/>
      <c r="P1288" s="17"/>
      <c r="Q1288" s="17"/>
      <c r="R1288" s="17"/>
      <c r="S1288" s="17"/>
      <c r="T1288" s="686"/>
      <c r="U1288" s="18">
        <f>РПЗ!P1288</f>
        <v>43040.625</v>
      </c>
      <c r="V1288" s="686"/>
      <c r="W1288" s="236">
        <f>РПЗ!L1288</f>
        <v>500000</v>
      </c>
      <c r="X1288" s="689"/>
      <c r="Y1288" s="689"/>
      <c r="Z1288" s="690"/>
      <c r="AA1288" s="691"/>
      <c r="AB1288" s="111"/>
      <c r="AC1288" s="17"/>
      <c r="AD1288" s="690"/>
      <c r="AE1288" s="686"/>
      <c r="AF1288" s="474"/>
      <c r="AG1288" s="692"/>
      <c r="AH1288" s="236" t="str">
        <f>IF(Таблица5[[#This Row],[30]]=0,"НД",Таблица5[[#This Row],[20]]-Таблица5[[#This Row],[30]])</f>
        <v>НД</v>
      </c>
      <c r="AI1288" s="511" t="str">
        <f>IF(((1-Таблица5[[#This Row],[30]]/Таблица5[[#This Row],[20]])=1),"НД",(1-Таблица5[[#This Row],[30]]/Таблица5[[#This Row],[20]]))</f>
        <v>НД</v>
      </c>
      <c r="AJ1288" s="111"/>
      <c r="AK1288" s="111"/>
      <c r="AL1288" s="512"/>
      <c r="AM1288" s="513"/>
      <c r="AN1288" s="465"/>
      <c r="AO1288" s="468" t="str">
        <f>РПЗ!AD1288</f>
        <v>Нет</v>
      </c>
      <c r="AP1288" s="472">
        <f>РПЗ!V1288</f>
        <v>0</v>
      </c>
      <c r="AQ1288" s="470">
        <f>IF(Таблица5[[#This Row],[11]]=0,,MONTH(Таблица5[[#This Row],[11]]))</f>
        <v>9</v>
      </c>
    </row>
    <row r="1289" spans="1:43" ht="51" x14ac:dyDescent="0.25">
      <c r="A1289" s="233" t="str">
        <f t="shared" si="20"/>
        <v>1004-2017-1274</v>
      </c>
      <c r="B1289" s="233" t="str">
        <f>РПЗ!$D1289</f>
        <v>1004-2017-1274 Поставка  Характериограф</v>
      </c>
      <c r="C1289" s="233" t="str">
        <f>РПЗ!$AA1289</f>
        <v>АО "НИИ "Полюс" им. М.Ф. Стельмаха" тел. отдела закупок 8-495-333-05-02</v>
      </c>
      <c r="D1289" s="633" t="str">
        <f>РПЗ!$AB1289</f>
        <v>Заказчик</v>
      </c>
      <c r="E1289" s="510" t="s">
        <v>62</v>
      </c>
      <c r="F1289" s="233" t="str">
        <f>РПЗ!Q1289</f>
        <v>ОЗК</v>
      </c>
      <c r="G1289" s="237" t="s">
        <v>108</v>
      </c>
      <c r="H1289" s="237" t="str">
        <f>РПЗ!R1289</f>
        <v>Да</v>
      </c>
      <c r="I1289" s="15">
        <f>РПЗ!W1289</f>
        <v>0</v>
      </c>
      <c r="J1289" s="233">
        <f>РПЗ!X1289</f>
        <v>0</v>
      </c>
      <c r="K1289" s="283">
        <f>РПЗ!Z1289</f>
        <v>0</v>
      </c>
      <c r="L1289" s="17">
        <v>43074</v>
      </c>
      <c r="M1289" s="18">
        <f>РПЗ!O1289</f>
        <v>43070</v>
      </c>
      <c r="N1289" s="238">
        <f>Таблица5[[#This Row],[10]]</f>
        <v>43070</v>
      </c>
      <c r="O1289" s="17">
        <v>43081</v>
      </c>
      <c r="P1289" s="17">
        <v>43084</v>
      </c>
      <c r="Q1289" s="17">
        <v>43084</v>
      </c>
      <c r="R1289" s="17">
        <v>43080</v>
      </c>
      <c r="S1289" s="17">
        <v>43080</v>
      </c>
      <c r="T1289" s="686">
        <v>43094</v>
      </c>
      <c r="U1289" s="18">
        <f>РПЗ!P1289</f>
        <v>43070</v>
      </c>
      <c r="V1289" s="686">
        <v>43190</v>
      </c>
      <c r="W1289" s="236">
        <f>РПЗ!L1289</f>
        <v>418562.5</v>
      </c>
      <c r="X1289" s="689">
        <v>2</v>
      </c>
      <c r="Y1289" s="689">
        <v>0</v>
      </c>
      <c r="Z1289" s="691">
        <v>7733627211</v>
      </c>
      <c r="AA1289" s="691" t="s">
        <v>8077</v>
      </c>
      <c r="AB1289" s="111">
        <v>385000</v>
      </c>
      <c r="AC1289" s="17">
        <v>43190</v>
      </c>
      <c r="AD1289" s="690" t="s">
        <v>8078</v>
      </c>
      <c r="AE1289" s="686">
        <v>43094</v>
      </c>
      <c r="AF1289" s="474"/>
      <c r="AG1289" s="692">
        <v>385000</v>
      </c>
      <c r="AH1289" s="236">
        <f>IF(Таблица5[[#This Row],[30]]=0,"НД",Таблица5[[#This Row],[20]]-Таблица5[[#This Row],[30]])</f>
        <v>33562.5</v>
      </c>
      <c r="AI1289" s="511">
        <f>IF(((1-Таблица5[[#This Row],[30]]/Таблица5[[#This Row],[20]])=1),"НД",(1-Таблица5[[#This Row],[30]]/Таблица5[[#This Row],[20]]))</f>
        <v>8.0185157533223861E-2</v>
      </c>
      <c r="AJ1289" s="111"/>
      <c r="AK1289" s="111">
        <v>385000</v>
      </c>
      <c r="AL1289" s="512"/>
      <c r="AM1289" s="513" t="s">
        <v>113</v>
      </c>
      <c r="AN1289" s="801">
        <v>31705833189</v>
      </c>
      <c r="AO1289" s="468" t="str">
        <f>РПЗ!AD1289</f>
        <v>Нет</v>
      </c>
      <c r="AP1289" s="472">
        <f>РПЗ!V1289</f>
        <v>0</v>
      </c>
      <c r="AQ1289" s="470">
        <f>IF(Таблица5[[#This Row],[11]]=0,,MONTH(Таблица5[[#This Row],[11]]))</f>
        <v>12</v>
      </c>
    </row>
    <row r="1290" spans="1:43" ht="63.75" x14ac:dyDescent="0.25">
      <c r="A1290" s="233" t="str">
        <f t="shared" si="20"/>
        <v>1004-2017-1275</v>
      </c>
      <c r="B1290" s="233" t="str">
        <f>РПЗ!$D1290</f>
        <v>1004-2017-1275 Поставка Производственная мебель</v>
      </c>
      <c r="C1290" s="233" t="str">
        <f>РПЗ!$AA1290</f>
        <v>АО "НИИ "Полюс" им. М.Ф. Стельмаха" тел. отдела закупок 8-495-333-05-02</v>
      </c>
      <c r="D1290" s="633" t="str">
        <f>РПЗ!$AB1290</f>
        <v>Заказчик</v>
      </c>
      <c r="E1290" s="510" t="s">
        <v>62</v>
      </c>
      <c r="F1290" s="233" t="str">
        <f>РПЗ!Q1290</f>
        <v>ОЗК</v>
      </c>
      <c r="G1290" s="237" t="s">
        <v>108</v>
      </c>
      <c r="H1290" s="237" t="str">
        <f>РПЗ!R1290</f>
        <v>Да</v>
      </c>
      <c r="I1290" s="15">
        <f>РПЗ!W1290</f>
        <v>0</v>
      </c>
      <c r="J1290" s="233">
        <f>РПЗ!X1290</f>
        <v>0</v>
      </c>
      <c r="K1290" s="283">
        <f>РПЗ!Z1290</f>
        <v>0</v>
      </c>
      <c r="L1290" s="17">
        <v>43046</v>
      </c>
      <c r="M1290" s="18">
        <f>РПЗ!O1290</f>
        <v>43040</v>
      </c>
      <c r="N1290" s="238">
        <f>Таблица5[[#This Row],[10]]</f>
        <v>43040</v>
      </c>
      <c r="O1290" s="17">
        <v>43053</v>
      </c>
      <c r="P1290" s="17">
        <v>43056</v>
      </c>
      <c r="Q1290" s="17">
        <v>43056</v>
      </c>
      <c r="R1290" s="17">
        <v>43055</v>
      </c>
      <c r="S1290" s="17">
        <v>43055</v>
      </c>
      <c r="T1290" s="686">
        <v>43066</v>
      </c>
      <c r="U1290" s="18">
        <f>РПЗ!P1290</f>
        <v>43070.625</v>
      </c>
      <c r="V1290" s="686">
        <v>43098</v>
      </c>
      <c r="W1290" s="236">
        <f>РПЗ!L1290</f>
        <v>163631.9</v>
      </c>
      <c r="X1290" s="689">
        <v>2</v>
      </c>
      <c r="Y1290" s="689">
        <v>0</v>
      </c>
      <c r="Z1290" s="691">
        <v>7723924550</v>
      </c>
      <c r="AA1290" s="691" t="s">
        <v>8128</v>
      </c>
      <c r="AB1290" s="111">
        <v>154805</v>
      </c>
      <c r="AC1290" s="17">
        <v>43098</v>
      </c>
      <c r="AD1290" s="690" t="s">
        <v>8144</v>
      </c>
      <c r="AE1290" s="686">
        <v>43066</v>
      </c>
      <c r="AF1290" s="474"/>
      <c r="AG1290" s="692">
        <v>154805</v>
      </c>
      <c r="AH1290" s="236">
        <f>IF(Таблица5[[#This Row],[30]]=0,"НД",Таблица5[[#This Row],[20]]-Таблица5[[#This Row],[30]])</f>
        <v>8826.8999999999942</v>
      </c>
      <c r="AI1290" s="511">
        <f>IF(((1-Таблица5[[#This Row],[30]]/Таблица5[[#This Row],[20]])=1),"НД",(1-Таблица5[[#This Row],[30]]/Таблица5[[#This Row],[20]]))</f>
        <v>5.3943638129240079E-2</v>
      </c>
      <c r="AJ1290" s="111"/>
      <c r="AK1290" s="111">
        <v>154805</v>
      </c>
      <c r="AL1290" s="512"/>
      <c r="AM1290" s="513" t="s">
        <v>113</v>
      </c>
      <c r="AN1290" s="801">
        <v>31705710809</v>
      </c>
      <c r="AO1290" s="468" t="str">
        <f>РПЗ!AD1290</f>
        <v>Нет</v>
      </c>
      <c r="AP1290" s="472">
        <f>РПЗ!V1290</f>
        <v>0</v>
      </c>
      <c r="AQ1290" s="470">
        <f>IF(Таблица5[[#This Row],[11]]=0,,MONTH(Таблица5[[#This Row],[11]]))</f>
        <v>11</v>
      </c>
    </row>
    <row r="1291" spans="1:43" ht="39" thickBot="1" x14ac:dyDescent="0.3">
      <c r="A1291" s="233" t="str">
        <f t="shared" si="20"/>
        <v>1004-2017-1276</v>
      </c>
      <c r="B1291" s="233" t="str">
        <f>РПЗ!$D1291</f>
        <v>1004-2017-1276 Поставка  Комплект ручного электроинструмента и расходных материалов</v>
      </c>
      <c r="C1291" s="233" t="str">
        <f>РПЗ!$AA1291</f>
        <v>АО "НИИ "Полюс" им. М.Ф. Стельмаха" тел. отдела закупок 8-495-333-05-02</v>
      </c>
      <c r="D1291" s="633" t="str">
        <f>РПЗ!$AB1291</f>
        <v>Заказчик</v>
      </c>
      <c r="E1291" s="510" t="s">
        <v>62</v>
      </c>
      <c r="F1291" s="233" t="str">
        <f>РПЗ!Q1291</f>
        <v>ОЗК</v>
      </c>
      <c r="G1291" s="237" t="str">
        <f>Таблица5[[#This Row],[6]]</f>
        <v>ОЗК</v>
      </c>
      <c r="H1291" s="237" t="str">
        <f>РПЗ!R1291</f>
        <v>Да</v>
      </c>
      <c r="I1291" s="15">
        <f>РПЗ!W1291</f>
        <v>0</v>
      </c>
      <c r="J1291" s="233">
        <f>РПЗ!X1291</f>
        <v>0</v>
      </c>
      <c r="K1291" s="283">
        <f>РПЗ!Z1291</f>
        <v>0</v>
      </c>
      <c r="L1291" s="17">
        <v>43005</v>
      </c>
      <c r="M1291" s="18">
        <f>РПЗ!O1291</f>
        <v>42979.625</v>
      </c>
      <c r="N1291" s="238">
        <f>Таблица5[[#This Row],[10]]</f>
        <v>42979.625</v>
      </c>
      <c r="O1291" s="17">
        <v>43011</v>
      </c>
      <c r="P1291" s="17">
        <v>43014</v>
      </c>
      <c r="Q1291" s="17">
        <v>43014</v>
      </c>
      <c r="R1291" s="17">
        <v>43011</v>
      </c>
      <c r="S1291" s="17">
        <v>43011</v>
      </c>
      <c r="T1291" s="686">
        <v>43024</v>
      </c>
      <c r="U1291" s="18">
        <f>РПЗ!P1291</f>
        <v>43040.625</v>
      </c>
      <c r="V1291" s="686">
        <v>43100</v>
      </c>
      <c r="W1291" s="236">
        <f>РПЗ!L1291</f>
        <v>91403.199999999997</v>
      </c>
      <c r="X1291" s="689">
        <v>1</v>
      </c>
      <c r="Y1291" s="689">
        <v>0</v>
      </c>
      <c r="Z1291" s="691">
        <v>7705579703</v>
      </c>
      <c r="AA1291" s="691" t="s">
        <v>3287</v>
      </c>
      <c r="AB1291" s="111">
        <v>80544.800000000003</v>
      </c>
      <c r="AC1291" s="17">
        <v>43100</v>
      </c>
      <c r="AD1291" s="690" t="s">
        <v>7703</v>
      </c>
      <c r="AE1291" s="686">
        <v>43024</v>
      </c>
      <c r="AF1291" s="474"/>
      <c r="AG1291" s="692">
        <v>80544.800000000003</v>
      </c>
      <c r="AH1291" s="236">
        <f>IF(Таблица5[[#This Row],[30]]=0,"НД",Таблица5[[#This Row],[20]]-Таблица5[[#This Row],[30]])</f>
        <v>10858.399999999994</v>
      </c>
      <c r="AI1291" s="511">
        <f>IF(((1-Таблица5[[#This Row],[30]]/Таблица5[[#This Row],[20]])=1),"НД",(1-Таблица5[[#This Row],[30]]/Таблица5[[#This Row],[20]]))</f>
        <v>0.11879671608871456</v>
      </c>
      <c r="AJ1291" s="111"/>
      <c r="AK1291" s="111">
        <v>80544.800000000003</v>
      </c>
      <c r="AL1291" s="512"/>
      <c r="AM1291" s="513" t="s">
        <v>113</v>
      </c>
      <c r="AN1291" s="801">
        <v>31705563023</v>
      </c>
      <c r="AO1291" s="468" t="str">
        <f>РПЗ!AD1291</f>
        <v>Нет</v>
      </c>
      <c r="AP1291" s="472">
        <f>РПЗ!V1291</f>
        <v>0</v>
      </c>
      <c r="AQ1291" s="470">
        <f>IF(Таблица5[[#This Row],[11]]=0,,MONTH(Таблица5[[#This Row],[11]]))</f>
        <v>9</v>
      </c>
    </row>
    <row r="1292" spans="1:43" ht="39" thickBot="1" x14ac:dyDescent="0.3">
      <c r="A1292" s="233" t="str">
        <f t="shared" si="20"/>
        <v>1004-2017-1277</v>
      </c>
      <c r="B1292" s="233" t="str">
        <f>РПЗ!$D1292</f>
        <v>1004-2017-1277 Поставка  уктор привода оси "Z" и конактный модуль для КИМ Aberlink Axiom too 600 CNC</v>
      </c>
      <c r="C1292" s="233" t="str">
        <f>РПЗ!$AA1292</f>
        <v>АО "НИИ "Полюс" им. М.Ф. Стельмаха" тел. отдела закупок 8-495-333-05-02</v>
      </c>
      <c r="D1292" s="633" t="str">
        <f>РПЗ!$AB1292</f>
        <v>Заказчик</v>
      </c>
      <c r="E1292" s="96" t="s">
        <v>46</v>
      </c>
      <c r="F1292" s="233" t="str">
        <f>РПЗ!Q1292</f>
        <v>ОЗК</v>
      </c>
      <c r="G1292" s="237"/>
      <c r="H1292" s="237" t="str">
        <f>РПЗ!R1292</f>
        <v>Да</v>
      </c>
      <c r="I1292" s="15">
        <f>РПЗ!W1292</f>
        <v>0</v>
      </c>
      <c r="J1292" s="233">
        <f>РПЗ!X1292</f>
        <v>0</v>
      </c>
      <c r="K1292" s="283">
        <f>РПЗ!Z1292</f>
        <v>0</v>
      </c>
      <c r="L1292" s="17"/>
      <c r="M1292" s="18">
        <f>РПЗ!O1292</f>
        <v>42979.625</v>
      </c>
      <c r="N1292" s="238">
        <f>Таблица5[[#This Row],[10]]</f>
        <v>42979.625</v>
      </c>
      <c r="O1292" s="17"/>
      <c r="P1292" s="17"/>
      <c r="Q1292" s="17"/>
      <c r="R1292" s="17"/>
      <c r="S1292" s="17"/>
      <c r="T1292" s="686"/>
      <c r="U1292" s="18">
        <f>РПЗ!P1292</f>
        <v>43040.625</v>
      </c>
      <c r="V1292" s="686"/>
      <c r="W1292" s="236">
        <f>РПЗ!L1292</f>
        <v>100000</v>
      </c>
      <c r="X1292" s="689"/>
      <c r="Y1292" s="689"/>
      <c r="Z1292" s="690"/>
      <c r="AA1292" s="691"/>
      <c r="AB1292" s="111"/>
      <c r="AC1292" s="17"/>
      <c r="AD1292" s="690"/>
      <c r="AE1292" s="686"/>
      <c r="AF1292" s="474"/>
      <c r="AG1292" s="692"/>
      <c r="AH1292" s="236" t="str">
        <f>IF(Таблица5[[#This Row],[30]]=0,"НД",Таблица5[[#This Row],[20]]-Таблица5[[#This Row],[30]])</f>
        <v>НД</v>
      </c>
      <c r="AI1292" s="511" t="str">
        <f>IF(((1-Таблица5[[#This Row],[30]]/Таблица5[[#This Row],[20]])=1),"НД",(1-Таблица5[[#This Row],[30]]/Таблица5[[#This Row],[20]]))</f>
        <v>НД</v>
      </c>
      <c r="AJ1292" s="111"/>
      <c r="AK1292" s="111"/>
      <c r="AL1292" s="512"/>
      <c r="AM1292" s="513"/>
      <c r="AN1292" s="465"/>
      <c r="AO1292" s="468" t="str">
        <f>РПЗ!AD1292</f>
        <v>Нет</v>
      </c>
      <c r="AP1292" s="472">
        <f>РПЗ!V1292</f>
        <v>0</v>
      </c>
      <c r="AQ1292" s="470">
        <f>IF(Таблица5[[#This Row],[11]]=0,,MONTH(Таблица5[[#This Row],[11]]))</f>
        <v>9</v>
      </c>
    </row>
    <row r="1293" spans="1:43" ht="76.5" x14ac:dyDescent="0.25">
      <c r="A1293" s="233" t="str">
        <f t="shared" si="20"/>
        <v>1004-2017-1278</v>
      </c>
      <c r="B1293" s="233" t="str">
        <f>РПЗ!$D1293</f>
        <v xml:space="preserve">1004-2017-1278 Поставка  Электроды ЭК1 – 25 - 120 Я2М4.088.172, Электроды ЭК4 – 25 – 120 ПГАМ4.088.005, Электроды ЭК1 – 30 – 140 Я2М4.088.172, Электроды ЭК4 – 30 – 140 ПГАМ4.088.005 </v>
      </c>
      <c r="C1293" s="233" t="str">
        <f>РПЗ!$AA1293</f>
        <v>АО "НИИ "Полюс" им. М.Ф. Стельмаха" тел. отдела закупок 8-495-333-05-02</v>
      </c>
      <c r="D1293" s="633" t="str">
        <f>РПЗ!$AB1293</f>
        <v>Заказчик</v>
      </c>
      <c r="E1293" s="96" t="s">
        <v>46</v>
      </c>
      <c r="F1293" s="233" t="str">
        <f>РПЗ!Q1293</f>
        <v>ОЗК</v>
      </c>
      <c r="G1293" s="237"/>
      <c r="H1293" s="237" t="str">
        <f>РПЗ!R1293</f>
        <v>Да</v>
      </c>
      <c r="I1293" s="15">
        <f>РПЗ!W1293</f>
        <v>0</v>
      </c>
      <c r="J1293" s="233">
        <f>РПЗ!X1293</f>
        <v>0</v>
      </c>
      <c r="K1293" s="283">
        <f>РПЗ!Z1293</f>
        <v>0</v>
      </c>
      <c r="L1293" s="17"/>
      <c r="M1293" s="18">
        <f>РПЗ!O1293</f>
        <v>43009.625</v>
      </c>
      <c r="N1293" s="238">
        <f>Таблица5[[#This Row],[10]]</f>
        <v>43009.625</v>
      </c>
      <c r="O1293" s="17"/>
      <c r="P1293" s="17"/>
      <c r="Q1293" s="17"/>
      <c r="R1293" s="17"/>
      <c r="S1293" s="17"/>
      <c r="T1293" s="686"/>
      <c r="U1293" s="18">
        <f>РПЗ!P1293</f>
        <v>43070.625</v>
      </c>
      <c r="V1293" s="686"/>
      <c r="W1293" s="236">
        <f>РПЗ!L1293</f>
        <v>260000</v>
      </c>
      <c r="X1293" s="689"/>
      <c r="Y1293" s="689"/>
      <c r="Z1293" s="690"/>
      <c r="AA1293" s="691"/>
      <c r="AB1293" s="111"/>
      <c r="AC1293" s="17"/>
      <c r="AD1293" s="690"/>
      <c r="AE1293" s="686"/>
      <c r="AF1293" s="474"/>
      <c r="AG1293" s="692"/>
      <c r="AH1293" s="236" t="str">
        <f>IF(Таблица5[[#This Row],[30]]=0,"НД",Таблица5[[#This Row],[20]]-Таблица5[[#This Row],[30]])</f>
        <v>НД</v>
      </c>
      <c r="AI1293" s="511" t="str">
        <f>IF(((1-Таблица5[[#This Row],[30]]/Таблица5[[#This Row],[20]])=1),"НД",(1-Таблица5[[#This Row],[30]]/Таблица5[[#This Row],[20]]))</f>
        <v>НД</v>
      </c>
      <c r="AJ1293" s="111"/>
      <c r="AK1293" s="111"/>
      <c r="AL1293" s="512"/>
      <c r="AM1293" s="513"/>
      <c r="AN1293" s="465"/>
      <c r="AO1293" s="468" t="str">
        <f>РПЗ!AD1293</f>
        <v>Нет</v>
      </c>
      <c r="AP1293" s="472">
        <f>РПЗ!V1293</f>
        <v>0</v>
      </c>
      <c r="AQ1293" s="470">
        <f>IF(Таблица5[[#This Row],[11]]=0,,MONTH(Таблица5[[#This Row],[11]]))</f>
        <v>10</v>
      </c>
    </row>
    <row r="1294" spans="1:43" ht="63.75" x14ac:dyDescent="0.25">
      <c r="A1294" s="233" t="str">
        <f t="shared" si="20"/>
        <v>1004-2017-1279</v>
      </c>
      <c r="B1294" s="233" t="str">
        <f>РПЗ!$D1294</f>
        <v>1004-2017-1279 Поставка  вертикальный многоступенчатый центробежный насос с нормальным всасыванием типа «ин-лайн» для монтажа на плите- основании</v>
      </c>
      <c r="C1294" s="233" t="str">
        <f>РПЗ!$AA1294</f>
        <v>АО "НИИ "Полюс" им. М.Ф. Стельмаха" тел. отдела закупок 8-495-333-05-02</v>
      </c>
      <c r="D1294" s="633" t="str">
        <f>РПЗ!$AB1294</f>
        <v>Заказчик</v>
      </c>
      <c r="E1294" s="510" t="s">
        <v>59</v>
      </c>
      <c r="F1294" s="233" t="str">
        <f>РПЗ!Q1294</f>
        <v>ОЗК</v>
      </c>
      <c r="G1294" s="237" t="str">
        <f>Таблица5[[#This Row],[6]]</f>
        <v>ОЗК</v>
      </c>
      <c r="H1294" s="237" t="str">
        <f>РПЗ!R1294</f>
        <v>Да</v>
      </c>
      <c r="I1294" s="15">
        <f>РПЗ!W1294</f>
        <v>0</v>
      </c>
      <c r="J1294" s="233">
        <f>РПЗ!X1294</f>
        <v>0</v>
      </c>
      <c r="K1294" s="283">
        <f>РПЗ!Z1294</f>
        <v>0</v>
      </c>
      <c r="L1294" s="17">
        <v>43007</v>
      </c>
      <c r="M1294" s="18">
        <f>РПЗ!O1294</f>
        <v>42979.625</v>
      </c>
      <c r="N1294" s="238">
        <f>Таблица5[[#This Row],[10]]</f>
        <v>42979.625</v>
      </c>
      <c r="O1294" s="17">
        <v>43013</v>
      </c>
      <c r="P1294" s="17">
        <v>43018</v>
      </c>
      <c r="Q1294" s="17">
        <v>43018</v>
      </c>
      <c r="R1294" s="17">
        <v>43018</v>
      </c>
      <c r="S1294" s="17">
        <v>43018</v>
      </c>
      <c r="T1294" s="686"/>
      <c r="U1294" s="18">
        <f>РПЗ!P1294</f>
        <v>43040.625</v>
      </c>
      <c r="V1294" s="686"/>
      <c r="W1294" s="236">
        <f>РПЗ!L1294</f>
        <v>79980.259999999995</v>
      </c>
      <c r="X1294" s="689">
        <v>0</v>
      </c>
      <c r="Y1294" s="689">
        <v>0</v>
      </c>
      <c r="Z1294" s="690"/>
      <c r="AA1294" s="691"/>
      <c r="AB1294" s="111"/>
      <c r="AC1294" s="17"/>
      <c r="AD1294" s="690"/>
      <c r="AE1294" s="686"/>
      <c r="AF1294" s="474"/>
      <c r="AG1294" s="692"/>
      <c r="AH1294" s="236" t="str">
        <f>IF(Таблица5[[#This Row],[30]]=0,"НД",Таблица5[[#This Row],[20]]-Таблица5[[#This Row],[30]])</f>
        <v>НД</v>
      </c>
      <c r="AI1294" s="511" t="str">
        <f>IF(((1-Таблица5[[#This Row],[30]]/Таблица5[[#This Row],[20]])=1),"НД",(1-Таблица5[[#This Row],[30]]/Таблица5[[#This Row],[20]]))</f>
        <v>НД</v>
      </c>
      <c r="AJ1294" s="111"/>
      <c r="AK1294" s="111"/>
      <c r="AL1294" s="512"/>
      <c r="AM1294" s="513" t="s">
        <v>113</v>
      </c>
      <c r="AN1294" s="801">
        <v>31705576518</v>
      </c>
      <c r="AO1294" s="468" t="str">
        <f>РПЗ!AD1294</f>
        <v>Нет</v>
      </c>
      <c r="AP1294" s="472">
        <f>РПЗ!V1294</f>
        <v>0</v>
      </c>
      <c r="AQ1294" s="470">
        <f>IF(Таблица5[[#This Row],[11]]=0,,MONTH(Таблица5[[#This Row],[11]]))</f>
        <v>9</v>
      </c>
    </row>
    <row r="1295" spans="1:43" ht="38.25" x14ac:dyDescent="0.25">
      <c r="A1295" s="233" t="str">
        <f t="shared" si="20"/>
        <v>1004-2017-1280</v>
      </c>
      <c r="B1295" s="233" t="str">
        <f>РПЗ!$D1295</f>
        <v>1004-2017-1280 Поставка Инструмент для проведения ремонтно строительных работ</v>
      </c>
      <c r="C1295" s="233" t="str">
        <f>РПЗ!$AA1295</f>
        <v>АО "НИИ "Полюс" им. М.Ф. Стельмаха" тел. отдела закупок 8-495-333-05-02</v>
      </c>
      <c r="D1295" s="633" t="str">
        <f>РПЗ!$AB1295</f>
        <v>Заказчик</v>
      </c>
      <c r="E1295" s="510" t="s">
        <v>62</v>
      </c>
      <c r="F1295" s="233" t="str">
        <f>РПЗ!Q1295</f>
        <v>ОЗК</v>
      </c>
      <c r="G1295" s="237" t="s">
        <v>108</v>
      </c>
      <c r="H1295" s="237" t="str">
        <f>РПЗ!R1295</f>
        <v>Да</v>
      </c>
      <c r="I1295" s="15">
        <f>РПЗ!W1295</f>
        <v>0</v>
      </c>
      <c r="J1295" s="233">
        <f>РПЗ!X1295</f>
        <v>0</v>
      </c>
      <c r="K1295" s="283">
        <f>РПЗ!Z1295</f>
        <v>0</v>
      </c>
      <c r="L1295" s="17">
        <v>43033</v>
      </c>
      <c r="M1295" s="18">
        <f>РПЗ!O1295</f>
        <v>43009.625</v>
      </c>
      <c r="N1295" s="238">
        <f>Таблица5[[#This Row],[10]]</f>
        <v>43009.625</v>
      </c>
      <c r="O1295" s="17">
        <v>43039</v>
      </c>
      <c r="P1295" s="17">
        <v>43042</v>
      </c>
      <c r="Q1295" s="17">
        <v>43042</v>
      </c>
      <c r="R1295" s="17">
        <v>43039</v>
      </c>
      <c r="S1295" s="17">
        <v>43039</v>
      </c>
      <c r="T1295" s="686">
        <v>43053</v>
      </c>
      <c r="U1295" s="18">
        <f>РПЗ!P1295</f>
        <v>43070.625</v>
      </c>
      <c r="V1295" s="686">
        <v>43100</v>
      </c>
      <c r="W1295" s="236">
        <f>РПЗ!L1295</f>
        <v>65745.820000000007</v>
      </c>
      <c r="X1295" s="689">
        <v>1</v>
      </c>
      <c r="Y1295" s="689">
        <v>0</v>
      </c>
      <c r="Z1295" s="691">
        <v>7705579703</v>
      </c>
      <c r="AA1295" s="691" t="s">
        <v>3287</v>
      </c>
      <c r="AB1295" s="111">
        <v>63708.28</v>
      </c>
      <c r="AC1295" s="17">
        <v>43100</v>
      </c>
      <c r="AD1295" s="690" t="s">
        <v>8176</v>
      </c>
      <c r="AE1295" s="686">
        <v>43053</v>
      </c>
      <c r="AF1295" s="474"/>
      <c r="AG1295" s="692">
        <v>63708.28</v>
      </c>
      <c r="AH1295" s="236">
        <f>IF(Таблица5[[#This Row],[30]]=0,"НД",Таблица5[[#This Row],[20]]-Таблица5[[#This Row],[30]])</f>
        <v>2037.5400000000081</v>
      </c>
      <c r="AI1295" s="511">
        <f>IF(((1-Таблица5[[#This Row],[30]]/Таблица5[[#This Row],[20]])=1),"НД",(1-Таблица5[[#This Row],[30]]/Таблица5[[#This Row],[20]]))</f>
        <v>3.099117175814381E-2</v>
      </c>
      <c r="AJ1295" s="111"/>
      <c r="AK1295" s="111">
        <v>63708.28</v>
      </c>
      <c r="AL1295" s="512"/>
      <c r="AM1295" s="513" t="s">
        <v>113</v>
      </c>
      <c r="AN1295" s="801">
        <v>31705662440</v>
      </c>
      <c r="AO1295" s="468" t="str">
        <f>РПЗ!AD1295</f>
        <v>Нет</v>
      </c>
      <c r="AP1295" s="472">
        <f>РПЗ!V1295</f>
        <v>0</v>
      </c>
      <c r="AQ1295" s="470">
        <f>IF(Таблица5[[#This Row],[11]]=0,,MONTH(Таблица5[[#This Row],[11]]))</f>
        <v>10</v>
      </c>
    </row>
    <row r="1296" spans="1:43" ht="76.5" x14ac:dyDescent="0.25">
      <c r="A1296" s="233" t="str">
        <f t="shared" si="20"/>
        <v>1004-2017-1281</v>
      </c>
      <c r="B1296" s="233" t="str">
        <f>РПЗ!$D1296</f>
        <v>1004-2017-1281 Поставка  огнетушители порошковые ОП-5 ABCE -175 шт.,   огнетушители углекислотные ОУ-5 BCE – 100 шт. и огнетушители углекислотные ОУ-80 (ОУ-55) ВСЕ (передвижной) – 15 шт.</v>
      </c>
      <c r="C1296" s="233" t="str">
        <f>РПЗ!$AA1296</f>
        <v>АО "НИИ "Полюс" им. М.Ф. Стельмаха" тел. отдела закупок 8-495-333-05-02</v>
      </c>
      <c r="D1296" s="633" t="str">
        <f>РПЗ!$AB1296</f>
        <v>Заказчик</v>
      </c>
      <c r="E1296" s="510" t="s">
        <v>62</v>
      </c>
      <c r="F1296" s="233" t="str">
        <f>РПЗ!Q1296</f>
        <v>ОЗК</v>
      </c>
      <c r="G1296" s="237" t="str">
        <f>Таблица5[[#This Row],[6]]</f>
        <v>ОЗК</v>
      </c>
      <c r="H1296" s="237" t="str">
        <f>РПЗ!R1296</f>
        <v>Да</v>
      </c>
      <c r="I1296" s="15">
        <f>РПЗ!W1296</f>
        <v>0</v>
      </c>
      <c r="J1296" s="233">
        <f>РПЗ!X1296</f>
        <v>0</v>
      </c>
      <c r="K1296" s="283">
        <f>РПЗ!Z1296</f>
        <v>0</v>
      </c>
      <c r="L1296" s="17">
        <v>42996</v>
      </c>
      <c r="M1296" s="18">
        <f>РПЗ!O1296</f>
        <v>42979.625</v>
      </c>
      <c r="N1296" s="238">
        <f>Таблица5[[#This Row],[10]]</f>
        <v>42979.625</v>
      </c>
      <c r="O1296" s="17">
        <v>43003</v>
      </c>
      <c r="P1296" s="17">
        <v>43006</v>
      </c>
      <c r="Q1296" s="17">
        <v>43006</v>
      </c>
      <c r="R1296" s="17">
        <v>43004</v>
      </c>
      <c r="S1296" s="17">
        <v>43004</v>
      </c>
      <c r="T1296" s="686">
        <v>43018</v>
      </c>
      <c r="U1296" s="18">
        <f>РПЗ!P1296</f>
        <v>43040.625</v>
      </c>
      <c r="V1296" s="686">
        <v>43040</v>
      </c>
      <c r="W1296" s="236">
        <f>РПЗ!L1296</f>
        <v>384301.25</v>
      </c>
      <c r="X1296" s="689">
        <v>1</v>
      </c>
      <c r="Y1296" s="689">
        <v>0</v>
      </c>
      <c r="Z1296" s="691">
        <v>3525262386</v>
      </c>
      <c r="AA1296" s="691" t="s">
        <v>7180</v>
      </c>
      <c r="AB1296" s="111">
        <v>383875</v>
      </c>
      <c r="AC1296" s="17">
        <v>43040</v>
      </c>
      <c r="AD1296" s="690" t="s">
        <v>7179</v>
      </c>
      <c r="AE1296" s="686">
        <v>43018</v>
      </c>
      <c r="AF1296" s="474"/>
      <c r="AG1296" s="692">
        <v>383875</v>
      </c>
      <c r="AH1296" s="236">
        <f>IF(Таблица5[[#This Row],[30]]=0,"НД",Таблица5[[#This Row],[20]]-Таблица5[[#This Row],[30]])</f>
        <v>426.25</v>
      </c>
      <c r="AI1296" s="511">
        <f>IF(((1-Таблица5[[#This Row],[30]]/Таблица5[[#This Row],[20]])=1),"НД",(1-Таблица5[[#This Row],[30]]/Таблица5[[#This Row],[20]]))</f>
        <v>1.1091559030838027E-3</v>
      </c>
      <c r="AJ1296" s="111">
        <v>383875</v>
      </c>
      <c r="AK1296" s="111"/>
      <c r="AL1296" s="512"/>
      <c r="AM1296" s="513" t="s">
        <v>113</v>
      </c>
      <c r="AN1296" s="801">
        <v>31705531652</v>
      </c>
      <c r="AO1296" s="468" t="str">
        <f>РПЗ!AD1296</f>
        <v>Нет</v>
      </c>
      <c r="AP1296" s="472">
        <f>РПЗ!V1296</f>
        <v>0</v>
      </c>
      <c r="AQ1296" s="470">
        <f>IF(Таблица5[[#This Row],[11]]=0,,MONTH(Таблица5[[#This Row],[11]]))</f>
        <v>9</v>
      </c>
    </row>
    <row r="1297" spans="1:43" ht="64.5" thickBot="1" x14ac:dyDescent="0.3">
      <c r="A1297" s="233" t="str">
        <f t="shared" si="20"/>
        <v>1004-2017-1282</v>
      </c>
      <c r="B1297" s="233" t="str">
        <f>РПЗ!$D1297</f>
        <v>1004-2017-1282 Поставка  Источник питания ГИТП 500-30</v>
      </c>
      <c r="C1297" s="233" t="str">
        <f>РПЗ!$AA1297</f>
        <v>АО "НИИ "Полюс" им. М.Ф. Стельмаха" тел. отдела закупок 8-495-333-05-02</v>
      </c>
      <c r="D1297" s="633" t="str">
        <f>РПЗ!$AB1297</f>
        <v>Заказчик</v>
      </c>
      <c r="E1297" s="510" t="s">
        <v>62</v>
      </c>
      <c r="F1297" s="233" t="str">
        <f>РПЗ!Q1297</f>
        <v>ОЗК</v>
      </c>
      <c r="G1297" s="237" t="s">
        <v>108</v>
      </c>
      <c r="H1297" s="237" t="str">
        <f>РПЗ!R1297</f>
        <v>Да</v>
      </c>
      <c r="I1297" s="15">
        <f>РПЗ!W1297</f>
        <v>0</v>
      </c>
      <c r="J1297" s="233">
        <f>РПЗ!X1297</f>
        <v>0</v>
      </c>
      <c r="K1297" s="283">
        <f>РПЗ!Z1297</f>
        <v>0</v>
      </c>
      <c r="L1297" s="17">
        <v>43025</v>
      </c>
      <c r="M1297" s="18">
        <f>РПЗ!O1297</f>
        <v>43009</v>
      </c>
      <c r="N1297" s="238">
        <f>Таблица5[[#This Row],[10]]</f>
        <v>43009</v>
      </c>
      <c r="O1297" s="17">
        <v>43032</v>
      </c>
      <c r="P1297" s="17">
        <v>43038</v>
      </c>
      <c r="Q1297" s="17">
        <v>43038</v>
      </c>
      <c r="R1297" s="17">
        <v>43032</v>
      </c>
      <c r="S1297" s="17">
        <v>43032</v>
      </c>
      <c r="T1297" s="686">
        <v>43046</v>
      </c>
      <c r="U1297" s="18">
        <f>РПЗ!P1297</f>
        <v>43040.625</v>
      </c>
      <c r="V1297" s="686">
        <v>43069</v>
      </c>
      <c r="W1297" s="236">
        <f>РПЗ!L1297</f>
        <v>77566</v>
      </c>
      <c r="X1297" s="689">
        <v>2</v>
      </c>
      <c r="Y1297" s="689">
        <v>0</v>
      </c>
      <c r="Z1297" s="691">
        <v>7723924550</v>
      </c>
      <c r="AA1297" s="691" t="s">
        <v>8128</v>
      </c>
      <c r="AB1297" s="111">
        <v>72390</v>
      </c>
      <c r="AC1297" s="17">
        <v>43069</v>
      </c>
      <c r="AD1297" s="690" t="s">
        <v>8181</v>
      </c>
      <c r="AE1297" s="686">
        <v>43046</v>
      </c>
      <c r="AF1297" s="474"/>
      <c r="AG1297" s="692">
        <v>72390</v>
      </c>
      <c r="AH1297" s="236">
        <f>IF(Таблица5[[#This Row],[30]]=0,"НД",Таблица5[[#This Row],[20]]-Таблица5[[#This Row],[30]])</f>
        <v>5176</v>
      </c>
      <c r="AI1297" s="511">
        <f>IF(((1-Таблица5[[#This Row],[30]]/Таблица5[[#This Row],[20]])=1),"НД",(1-Таблица5[[#This Row],[30]]/Таблица5[[#This Row],[20]]))</f>
        <v>6.6730268416574257E-2</v>
      </c>
      <c r="AJ1297" s="111"/>
      <c r="AK1297" s="111">
        <v>72390</v>
      </c>
      <c r="AL1297" s="512"/>
      <c r="AM1297" s="513" t="s">
        <v>113</v>
      </c>
      <c r="AN1297" s="801">
        <v>31705633763</v>
      </c>
      <c r="AO1297" s="468" t="str">
        <f>РПЗ!AD1297</f>
        <v>Нет</v>
      </c>
      <c r="AP1297" s="472">
        <f>РПЗ!V1297</f>
        <v>0</v>
      </c>
      <c r="AQ1297" s="470">
        <f>IF(Таблица5[[#This Row],[11]]=0,,MONTH(Таблица5[[#This Row],[11]]))</f>
        <v>10</v>
      </c>
    </row>
    <row r="1298" spans="1:43" ht="39" thickBot="1" x14ac:dyDescent="0.3">
      <c r="A1298" s="233" t="str">
        <f t="shared" si="20"/>
        <v>1004-2017-1283</v>
      </c>
      <c r="B1298" s="233" t="str">
        <f>РПЗ!$D1298</f>
        <v>1004-2017-1283 Поставка  Комплект радиоизмерительных приборов</v>
      </c>
      <c r="C1298" s="233" t="str">
        <f>РПЗ!$AA1298</f>
        <v>АО "НИИ "Полюс" им. М.Ф. Стельмаха" тел. отдела закупок 8-495-333-05-02</v>
      </c>
      <c r="D1298" s="633" t="str">
        <f>РПЗ!$AB1298</f>
        <v>Заказчик</v>
      </c>
      <c r="E1298" s="96" t="s">
        <v>46</v>
      </c>
      <c r="F1298" s="233" t="str">
        <f>РПЗ!Q1298</f>
        <v>ОЗК</v>
      </c>
      <c r="G1298" s="237"/>
      <c r="H1298" s="237" t="str">
        <f>РПЗ!R1298</f>
        <v>Да</v>
      </c>
      <c r="I1298" s="15">
        <f>РПЗ!W1298</f>
        <v>0</v>
      </c>
      <c r="J1298" s="233">
        <f>РПЗ!X1298</f>
        <v>0</v>
      </c>
      <c r="K1298" s="283">
        <f>РПЗ!Z1298</f>
        <v>0</v>
      </c>
      <c r="L1298" s="17"/>
      <c r="M1298" s="18">
        <f>РПЗ!O1298</f>
        <v>42979.625</v>
      </c>
      <c r="N1298" s="238">
        <f>Таблица5[[#This Row],[10]]</f>
        <v>42979.625</v>
      </c>
      <c r="O1298" s="17"/>
      <c r="P1298" s="17"/>
      <c r="Q1298" s="17"/>
      <c r="R1298" s="17"/>
      <c r="S1298" s="17"/>
      <c r="T1298" s="686"/>
      <c r="U1298" s="18">
        <f>РПЗ!P1298</f>
        <v>43040.625</v>
      </c>
      <c r="V1298" s="686"/>
      <c r="W1298" s="236">
        <f>РПЗ!L1298</f>
        <v>485000</v>
      </c>
      <c r="X1298" s="689"/>
      <c r="Y1298" s="689"/>
      <c r="Z1298" s="690"/>
      <c r="AA1298" s="691"/>
      <c r="AB1298" s="111"/>
      <c r="AC1298" s="17"/>
      <c r="AD1298" s="690"/>
      <c r="AE1298" s="686"/>
      <c r="AF1298" s="474"/>
      <c r="AG1298" s="692"/>
      <c r="AH1298" s="236" t="str">
        <f>IF(Таблица5[[#This Row],[30]]=0,"НД",Таблица5[[#This Row],[20]]-Таблица5[[#This Row],[30]])</f>
        <v>НД</v>
      </c>
      <c r="AI1298" s="511" t="str">
        <f>IF(((1-Таблица5[[#This Row],[30]]/Таблица5[[#This Row],[20]])=1),"НД",(1-Таблица5[[#This Row],[30]]/Таблица5[[#This Row],[20]]))</f>
        <v>НД</v>
      </c>
      <c r="AJ1298" s="111"/>
      <c r="AK1298" s="111"/>
      <c r="AL1298" s="512"/>
      <c r="AM1298" s="513"/>
      <c r="AN1298" s="465"/>
      <c r="AO1298" s="468" t="str">
        <f>РПЗ!AD1298</f>
        <v>Нет</v>
      </c>
      <c r="AP1298" s="472">
        <f>РПЗ!V1298</f>
        <v>0</v>
      </c>
      <c r="AQ1298" s="470">
        <f>IF(Таблица5[[#This Row],[11]]=0,,MONTH(Таблица5[[#This Row],[11]]))</f>
        <v>9</v>
      </c>
    </row>
    <row r="1299" spans="1:43" ht="38.25" x14ac:dyDescent="0.25">
      <c r="A1299" s="233" t="str">
        <f t="shared" si="20"/>
        <v>1004-2017-1284</v>
      </c>
      <c r="B1299" s="233" t="str">
        <f>РПЗ!$D1299</f>
        <v>1004-2017-1284 Поставка Металлорежущий инструмент</v>
      </c>
      <c r="C1299" s="233" t="str">
        <f>РПЗ!$AA1299</f>
        <v>АО "НИИ "Полюс" им. М.Ф. Стельмаха" тел. отдела закупок 8-495-333-05-02</v>
      </c>
      <c r="D1299" s="633" t="str">
        <f>РПЗ!$AB1299</f>
        <v>Заказчик</v>
      </c>
      <c r="E1299" s="96" t="s">
        <v>46</v>
      </c>
      <c r="F1299" s="233" t="str">
        <f>РПЗ!Q1299</f>
        <v>ОЗК</v>
      </c>
      <c r="G1299" s="237"/>
      <c r="H1299" s="237" t="str">
        <f>РПЗ!R1299</f>
        <v>Да</v>
      </c>
      <c r="I1299" s="15">
        <f>РПЗ!W1299</f>
        <v>0</v>
      </c>
      <c r="J1299" s="233">
        <f>РПЗ!X1299</f>
        <v>0</v>
      </c>
      <c r="K1299" s="283">
        <f>РПЗ!Z1299</f>
        <v>0</v>
      </c>
      <c r="L1299" s="17"/>
      <c r="M1299" s="18">
        <f>РПЗ!O1299</f>
        <v>42979.625</v>
      </c>
      <c r="N1299" s="238">
        <f>Таблица5[[#This Row],[10]]</f>
        <v>42979.625</v>
      </c>
      <c r="O1299" s="17"/>
      <c r="P1299" s="17"/>
      <c r="Q1299" s="17"/>
      <c r="R1299" s="17"/>
      <c r="S1299" s="17"/>
      <c r="T1299" s="686"/>
      <c r="U1299" s="18">
        <f>РПЗ!P1299</f>
        <v>43040.625</v>
      </c>
      <c r="V1299" s="686"/>
      <c r="W1299" s="236">
        <f>РПЗ!L1299</f>
        <v>110000</v>
      </c>
      <c r="X1299" s="689"/>
      <c r="Y1299" s="689"/>
      <c r="Z1299" s="690"/>
      <c r="AA1299" s="691"/>
      <c r="AB1299" s="111"/>
      <c r="AC1299" s="17"/>
      <c r="AD1299" s="690"/>
      <c r="AE1299" s="686"/>
      <c r="AF1299" s="474"/>
      <c r="AG1299" s="692"/>
      <c r="AH1299" s="236" t="str">
        <f>IF(Таблица5[[#This Row],[30]]=0,"НД",Таблица5[[#This Row],[20]]-Таблица5[[#This Row],[30]])</f>
        <v>НД</v>
      </c>
      <c r="AI1299" s="511" t="str">
        <f>IF(((1-Таблица5[[#This Row],[30]]/Таблица5[[#This Row],[20]])=1),"НД",(1-Таблица5[[#This Row],[30]]/Таблица5[[#This Row],[20]]))</f>
        <v>НД</v>
      </c>
      <c r="AJ1299" s="111"/>
      <c r="AK1299" s="111"/>
      <c r="AL1299" s="512"/>
      <c r="AM1299" s="513"/>
      <c r="AN1299" s="465"/>
      <c r="AO1299" s="468" t="str">
        <f>РПЗ!AD1299</f>
        <v>Нет</v>
      </c>
      <c r="AP1299" s="472">
        <f>РПЗ!V1299</f>
        <v>0</v>
      </c>
      <c r="AQ1299" s="470">
        <f>IF(Таблица5[[#This Row],[11]]=0,,MONTH(Таблица5[[#This Row],[11]]))</f>
        <v>9</v>
      </c>
    </row>
    <row r="1300" spans="1:43" ht="39" thickBot="1" x14ac:dyDescent="0.3">
      <c r="A1300" s="233" t="str">
        <f t="shared" si="20"/>
        <v>1004-2017-1285</v>
      </c>
      <c r="B1300" s="233" t="str">
        <f>РПЗ!$D1300</f>
        <v>1004-2017-1285 выполнение работ по ремонту водопровода Ду219 и Ду 320</v>
      </c>
      <c r="C1300" s="233" t="str">
        <f>РПЗ!$AA1300</f>
        <v>АО "НИИ "Полюс" им. М.Ф. Стельмаха" тел. отдела закупок 8-495-333-05-02</v>
      </c>
      <c r="D1300" s="633" t="str">
        <f>РПЗ!$AB1300</f>
        <v>Заказчик</v>
      </c>
      <c r="E1300" s="510" t="s">
        <v>62</v>
      </c>
      <c r="F1300" s="233" t="str">
        <f>РПЗ!Q1300</f>
        <v>ОЗК</v>
      </c>
      <c r="G1300" s="237" t="s">
        <v>108</v>
      </c>
      <c r="H1300" s="237" t="str">
        <f>РПЗ!R1300</f>
        <v>Да</v>
      </c>
      <c r="I1300" s="15">
        <f>РПЗ!W1300</f>
        <v>0</v>
      </c>
      <c r="J1300" s="233">
        <f>РПЗ!X1300</f>
        <v>0</v>
      </c>
      <c r="K1300" s="283">
        <f>РПЗ!Z1300</f>
        <v>0</v>
      </c>
      <c r="L1300" s="17">
        <v>43041</v>
      </c>
      <c r="M1300" s="18">
        <f>РПЗ!O1300</f>
        <v>43040</v>
      </c>
      <c r="N1300" s="238">
        <f>Таблица5[[#This Row],[10]]</f>
        <v>43040</v>
      </c>
      <c r="O1300" s="17">
        <v>43048</v>
      </c>
      <c r="P1300" s="17">
        <v>43053</v>
      </c>
      <c r="Q1300" s="17">
        <v>43053</v>
      </c>
      <c r="R1300" s="17">
        <v>43049</v>
      </c>
      <c r="S1300" s="17">
        <v>43049</v>
      </c>
      <c r="T1300" s="686">
        <v>43075</v>
      </c>
      <c r="U1300" s="18">
        <f>РПЗ!P1300</f>
        <v>43040</v>
      </c>
      <c r="V1300" s="686">
        <v>43190</v>
      </c>
      <c r="W1300" s="236">
        <f>РПЗ!L1300</f>
        <v>3312561.14</v>
      </c>
      <c r="X1300" s="689">
        <v>1</v>
      </c>
      <c r="Y1300" s="689">
        <v>0</v>
      </c>
      <c r="Z1300" s="691">
        <v>7701364680</v>
      </c>
      <c r="AA1300" s="691" t="s">
        <v>3283</v>
      </c>
      <c r="AB1300" s="111">
        <v>2812519.33</v>
      </c>
      <c r="AC1300" s="17">
        <v>43190</v>
      </c>
      <c r="AD1300" s="690" t="s">
        <v>8150</v>
      </c>
      <c r="AE1300" s="686">
        <v>43075</v>
      </c>
      <c r="AF1300" s="474"/>
      <c r="AG1300" s="692">
        <v>2812519.33</v>
      </c>
      <c r="AH1300" s="236">
        <f>IF(Таблица5[[#This Row],[30]]=0,"НД",Таблица5[[#This Row],[20]]-Таблица5[[#This Row],[30]])</f>
        <v>500041.81000000006</v>
      </c>
      <c r="AI1300" s="511">
        <f>IF(((1-Таблица5[[#This Row],[30]]/Таблица5[[#This Row],[20]])=1),"НД",(1-Таблица5[[#This Row],[30]]/Таблица5[[#This Row],[20]]))</f>
        <v>0.15095323191529075</v>
      </c>
      <c r="AJ1300" s="111"/>
      <c r="AK1300" s="111">
        <v>2812519.33</v>
      </c>
      <c r="AL1300" s="512"/>
      <c r="AM1300" s="513" t="s">
        <v>113</v>
      </c>
      <c r="AN1300" s="801">
        <v>31705700428</v>
      </c>
      <c r="AO1300" s="468" t="str">
        <f>РПЗ!AD1300</f>
        <v>Нет</v>
      </c>
      <c r="AP1300" s="472">
        <f>РПЗ!V1300</f>
        <v>0</v>
      </c>
      <c r="AQ1300" s="470">
        <f>IF(Таблица5[[#This Row],[11]]=0,,MONTH(Таблица5[[#This Row],[11]]))</f>
        <v>11</v>
      </c>
    </row>
    <row r="1301" spans="1:43" ht="38.25" x14ac:dyDescent="0.25">
      <c r="A1301" s="233" t="str">
        <f t="shared" si="20"/>
        <v>1004-2017-1286</v>
      </c>
      <c r="B1301" s="233" t="str">
        <f>РПЗ!$D1301</f>
        <v>1004-2017-1286 выполнение работ по ремонту территории</v>
      </c>
      <c r="C1301" s="233" t="str">
        <f>РПЗ!$AA1301</f>
        <v>АО "НИИ "Полюс" им. М.Ф. Стельмаха" тел. отдела закупок 8-495-333-05-02</v>
      </c>
      <c r="D1301" s="633" t="str">
        <f>РПЗ!$AB1301</f>
        <v>Заказчик</v>
      </c>
      <c r="E1301" s="96" t="s">
        <v>46</v>
      </c>
      <c r="F1301" s="233" t="str">
        <f>РПЗ!Q1301</f>
        <v>ОЗК</v>
      </c>
      <c r="G1301" s="237"/>
      <c r="H1301" s="237" t="str">
        <f>РПЗ!R1301</f>
        <v>Да</v>
      </c>
      <c r="I1301" s="15">
        <f>РПЗ!W1301</f>
        <v>0</v>
      </c>
      <c r="J1301" s="233">
        <f>РПЗ!X1301</f>
        <v>0</v>
      </c>
      <c r="K1301" s="283">
        <f>РПЗ!Z1301</f>
        <v>0</v>
      </c>
      <c r="L1301" s="17"/>
      <c r="M1301" s="18">
        <f>РПЗ!O1301</f>
        <v>42979.625</v>
      </c>
      <c r="N1301" s="238">
        <f>Таблица5[[#This Row],[10]]</f>
        <v>42979.625</v>
      </c>
      <c r="O1301" s="17"/>
      <c r="P1301" s="17"/>
      <c r="Q1301" s="17"/>
      <c r="R1301" s="17"/>
      <c r="S1301" s="17"/>
      <c r="T1301" s="686"/>
      <c r="U1301" s="18">
        <f>РПЗ!P1301</f>
        <v>43009.625</v>
      </c>
      <c r="V1301" s="686"/>
      <c r="W1301" s="236">
        <f>РПЗ!L1301</f>
        <v>2762053.53</v>
      </c>
      <c r="X1301" s="689"/>
      <c r="Y1301" s="689"/>
      <c r="Z1301" s="690"/>
      <c r="AA1301" s="691"/>
      <c r="AB1301" s="111"/>
      <c r="AC1301" s="17"/>
      <c r="AD1301" s="690"/>
      <c r="AE1301" s="686"/>
      <c r="AF1301" s="474"/>
      <c r="AG1301" s="692"/>
      <c r="AH1301" s="236" t="str">
        <f>IF(Таблица5[[#This Row],[30]]=0,"НД",Таблица5[[#This Row],[20]]-Таблица5[[#This Row],[30]])</f>
        <v>НД</v>
      </c>
      <c r="AI1301" s="511" t="str">
        <f>IF(((1-Таблица5[[#This Row],[30]]/Таблица5[[#This Row],[20]])=1),"НД",(1-Таблица5[[#This Row],[30]]/Таблица5[[#This Row],[20]]))</f>
        <v>НД</v>
      </c>
      <c r="AJ1301" s="111"/>
      <c r="AK1301" s="111"/>
      <c r="AL1301" s="512"/>
      <c r="AM1301" s="513"/>
      <c r="AN1301" s="465"/>
      <c r="AO1301" s="468" t="str">
        <f>РПЗ!AD1301</f>
        <v>Нет</v>
      </c>
      <c r="AP1301" s="472">
        <f>РПЗ!V1301</f>
        <v>0</v>
      </c>
      <c r="AQ1301" s="470">
        <f>IF(Таблица5[[#This Row],[11]]=0,,MONTH(Таблица5[[#This Row],[11]]))</f>
        <v>9</v>
      </c>
    </row>
    <row r="1302" spans="1:43" ht="38.25" x14ac:dyDescent="0.25">
      <c r="A1302" s="233" t="str">
        <f t="shared" si="20"/>
        <v>1004-2017-1287</v>
      </c>
      <c r="B1302" s="233" t="str">
        <f>РПЗ!$D1302</f>
        <v>1004-2017-1287 Поставка Воздуховоды</v>
      </c>
      <c r="C1302" s="233" t="str">
        <f>РПЗ!$AA1302</f>
        <v>АО "НИИ "Полюс" им. М.Ф. Стельмаха" тел. отдела закупок 8-495-333-05-02</v>
      </c>
      <c r="D1302" s="633" t="str">
        <f>РПЗ!$AB1302</f>
        <v>Заказчик</v>
      </c>
      <c r="E1302" s="510" t="s">
        <v>62</v>
      </c>
      <c r="F1302" s="233" t="str">
        <f>РПЗ!Q1302</f>
        <v>ОЗК</v>
      </c>
      <c r="G1302" s="237" t="str">
        <f>Таблица5[[#This Row],[6]]</f>
        <v>ОЗК</v>
      </c>
      <c r="H1302" s="237" t="str">
        <f>РПЗ!R1302</f>
        <v>Да</v>
      </c>
      <c r="I1302" s="15">
        <f>РПЗ!W1302</f>
        <v>0</v>
      </c>
      <c r="J1302" s="233">
        <f>РПЗ!X1302</f>
        <v>0</v>
      </c>
      <c r="K1302" s="283">
        <f>РПЗ!Z1302</f>
        <v>0</v>
      </c>
      <c r="L1302" s="17">
        <v>43005</v>
      </c>
      <c r="M1302" s="18">
        <f>РПЗ!O1302</f>
        <v>42979.625</v>
      </c>
      <c r="N1302" s="238">
        <f>Таблица5[[#This Row],[10]]</f>
        <v>42979.625</v>
      </c>
      <c r="O1302" s="17">
        <v>43011</v>
      </c>
      <c r="P1302" s="17">
        <v>43014</v>
      </c>
      <c r="Q1302" s="17">
        <v>43014</v>
      </c>
      <c r="R1302" s="17">
        <v>43011</v>
      </c>
      <c r="S1302" s="17">
        <v>43011</v>
      </c>
      <c r="T1302" s="686">
        <v>43024</v>
      </c>
      <c r="U1302" s="18">
        <f>РПЗ!P1302</f>
        <v>43040.625</v>
      </c>
      <c r="V1302" s="686">
        <v>43039</v>
      </c>
      <c r="W1302" s="236">
        <f>РПЗ!L1302</f>
        <v>203905.99</v>
      </c>
      <c r="X1302" s="689">
        <v>1</v>
      </c>
      <c r="Y1302" s="689">
        <v>0</v>
      </c>
      <c r="Z1302" s="691">
        <v>7715950236</v>
      </c>
      <c r="AA1302" s="691" t="s">
        <v>7177</v>
      </c>
      <c r="AB1302" s="111">
        <v>194598.6</v>
      </c>
      <c r="AC1302" s="17">
        <v>43039</v>
      </c>
      <c r="AD1302" s="690" t="s">
        <v>7704</v>
      </c>
      <c r="AE1302" s="686">
        <v>43024</v>
      </c>
      <c r="AF1302" s="474"/>
      <c r="AG1302" s="692">
        <v>194598.6</v>
      </c>
      <c r="AH1302" s="236">
        <f>IF(Таблица5[[#This Row],[30]]=0,"НД",Таблица5[[#This Row],[20]]-Таблица5[[#This Row],[30]])</f>
        <v>9307.3899999999849</v>
      </c>
      <c r="AI1302" s="511">
        <f>IF(((1-Таблица5[[#This Row],[30]]/Таблица5[[#This Row],[20]])=1),"НД",(1-Таблица5[[#This Row],[30]]/Таблица5[[#This Row],[20]]))</f>
        <v>4.5645495750271881E-2</v>
      </c>
      <c r="AJ1302" s="111"/>
      <c r="AK1302" s="111">
        <v>194598.6</v>
      </c>
      <c r="AL1302" s="512"/>
      <c r="AM1302" s="513" t="s">
        <v>113</v>
      </c>
      <c r="AN1302" s="801">
        <v>31705563009</v>
      </c>
      <c r="AO1302" s="468" t="str">
        <f>РПЗ!AD1302</f>
        <v>Нет</v>
      </c>
      <c r="AP1302" s="472">
        <f>РПЗ!V1302</f>
        <v>0</v>
      </c>
      <c r="AQ1302" s="470">
        <f>IF(Таблица5[[#This Row],[11]]=0,,MONTH(Таблица5[[#This Row],[11]]))</f>
        <v>9</v>
      </c>
    </row>
    <row r="1303" spans="1:43" ht="39" thickBot="1" x14ac:dyDescent="0.3">
      <c r="A1303" s="233" t="str">
        <f t="shared" si="20"/>
        <v>1004-2017-1288</v>
      </c>
      <c r="B1303" s="233" t="str">
        <f>РПЗ!$D1303</f>
        <v>1004-2017-1288 Поставка Замки</v>
      </c>
      <c r="C1303" s="233" t="str">
        <f>РПЗ!$AA1303</f>
        <v>АО "НИИ "Полюс" им. М.Ф. Стельмаха" тел. отдела закупок 8-495-333-05-02</v>
      </c>
      <c r="D1303" s="633" t="str">
        <f>РПЗ!$AB1303</f>
        <v>Заказчик</v>
      </c>
      <c r="E1303" s="510" t="s">
        <v>62</v>
      </c>
      <c r="F1303" s="233" t="str">
        <f>РПЗ!Q1303</f>
        <v>ОЗК</v>
      </c>
      <c r="G1303" s="237" t="str">
        <f>Таблица5[[#This Row],[6]]</f>
        <v>ОЗК</v>
      </c>
      <c r="H1303" s="237" t="str">
        <f>РПЗ!R1303</f>
        <v>Да</v>
      </c>
      <c r="I1303" s="15">
        <f>РПЗ!W1303</f>
        <v>0</v>
      </c>
      <c r="J1303" s="233">
        <f>РПЗ!X1303</f>
        <v>0</v>
      </c>
      <c r="K1303" s="283">
        <f>РПЗ!Z1303</f>
        <v>0</v>
      </c>
      <c r="L1303" s="17">
        <v>43005</v>
      </c>
      <c r="M1303" s="18">
        <f>РПЗ!O1303</f>
        <v>42979.625</v>
      </c>
      <c r="N1303" s="238">
        <f>Таблица5[[#This Row],[10]]</f>
        <v>42979.625</v>
      </c>
      <c r="O1303" s="17">
        <v>43011</v>
      </c>
      <c r="P1303" s="17">
        <v>43014</v>
      </c>
      <c r="Q1303" s="17">
        <v>43014</v>
      </c>
      <c r="R1303" s="17">
        <v>43011</v>
      </c>
      <c r="S1303" s="17">
        <v>43011</v>
      </c>
      <c r="T1303" s="686">
        <v>43019</v>
      </c>
      <c r="U1303" s="18">
        <f>РПЗ!P1303</f>
        <v>43040.625</v>
      </c>
      <c r="V1303" s="686">
        <v>43039</v>
      </c>
      <c r="W1303" s="236">
        <f>РПЗ!L1303</f>
        <v>166821.70000000001</v>
      </c>
      <c r="X1303" s="689">
        <v>2</v>
      </c>
      <c r="Y1303" s="689">
        <v>0</v>
      </c>
      <c r="Z1303" s="691">
        <v>7810577328</v>
      </c>
      <c r="AA1303" s="691" t="s">
        <v>7178</v>
      </c>
      <c r="AB1303" s="111">
        <v>111925</v>
      </c>
      <c r="AC1303" s="17">
        <v>43039</v>
      </c>
      <c r="AD1303" s="690" t="s">
        <v>7705</v>
      </c>
      <c r="AE1303" s="686">
        <v>43019</v>
      </c>
      <c r="AF1303" s="474"/>
      <c r="AG1303" s="692">
        <v>111925</v>
      </c>
      <c r="AH1303" s="236">
        <f>IF(Таблица5[[#This Row],[30]]=0,"НД",Таблица5[[#This Row],[20]]-Таблица5[[#This Row],[30]])</f>
        <v>54896.700000000012</v>
      </c>
      <c r="AI1303" s="511">
        <f>IF(((1-Таблица5[[#This Row],[30]]/Таблица5[[#This Row],[20]])=1),"НД",(1-Таблица5[[#This Row],[30]]/Таблица5[[#This Row],[20]]))</f>
        <v>0.32907409527657383</v>
      </c>
      <c r="AJ1303" s="111"/>
      <c r="AK1303" s="111">
        <v>111925</v>
      </c>
      <c r="AL1303" s="512"/>
      <c r="AM1303" s="513" t="s">
        <v>113</v>
      </c>
      <c r="AN1303" s="801">
        <v>31705563010</v>
      </c>
      <c r="AO1303" s="468" t="str">
        <f>РПЗ!AD1303</f>
        <v>Нет</v>
      </c>
      <c r="AP1303" s="472">
        <f>РПЗ!V1303</f>
        <v>0</v>
      </c>
      <c r="AQ1303" s="470">
        <f>IF(Таблица5[[#This Row],[11]]=0,,MONTH(Таблица5[[#This Row],[11]]))</f>
        <v>9</v>
      </c>
    </row>
    <row r="1304" spans="1:43" ht="38.25" x14ac:dyDescent="0.25">
      <c r="A1304" s="233" t="str">
        <f t="shared" si="20"/>
        <v>1004-2017-1289</v>
      </c>
      <c r="B1304" s="233" t="str">
        <f>РПЗ!$D1304</f>
        <v>1004-2017-1289 Поставка Металлические сплавы</v>
      </c>
      <c r="C1304" s="233" t="str">
        <f>РПЗ!$AA1304</f>
        <v>АО "НИИ "Полюс" им. М.Ф. Стельмаха" тел. отдела закупок 8-495-333-05-02</v>
      </c>
      <c r="D1304" s="633" t="str">
        <f>РПЗ!$AB1304</f>
        <v>Заказчик</v>
      </c>
      <c r="E1304" s="96" t="s">
        <v>46</v>
      </c>
      <c r="F1304" s="233" t="str">
        <f>РПЗ!Q1304</f>
        <v>ОЗК</v>
      </c>
      <c r="G1304" s="237"/>
      <c r="H1304" s="237" t="str">
        <f>РПЗ!R1304</f>
        <v>Да</v>
      </c>
      <c r="I1304" s="15">
        <f>РПЗ!W1304</f>
        <v>0</v>
      </c>
      <c r="J1304" s="233">
        <f>РПЗ!X1304</f>
        <v>0</v>
      </c>
      <c r="K1304" s="283">
        <f>РПЗ!Z1304</f>
        <v>0</v>
      </c>
      <c r="L1304" s="17"/>
      <c r="M1304" s="18">
        <f>РПЗ!O1304</f>
        <v>42979.625</v>
      </c>
      <c r="N1304" s="238">
        <f>Таблица5[[#This Row],[10]]</f>
        <v>42979.625</v>
      </c>
      <c r="O1304" s="17"/>
      <c r="P1304" s="17"/>
      <c r="Q1304" s="17"/>
      <c r="R1304" s="17"/>
      <c r="S1304" s="17"/>
      <c r="T1304" s="686"/>
      <c r="U1304" s="18">
        <f>РПЗ!P1304</f>
        <v>43040.625</v>
      </c>
      <c r="V1304" s="686"/>
      <c r="W1304" s="236">
        <f>РПЗ!L1304</f>
        <v>567967.53</v>
      </c>
      <c r="X1304" s="689"/>
      <c r="Y1304" s="689"/>
      <c r="Z1304" s="690"/>
      <c r="AA1304" s="691"/>
      <c r="AB1304" s="111"/>
      <c r="AC1304" s="17"/>
      <c r="AD1304" s="690"/>
      <c r="AE1304" s="686"/>
      <c r="AF1304" s="474"/>
      <c r="AG1304" s="692"/>
      <c r="AH1304" s="236" t="str">
        <f>IF(Таблица5[[#This Row],[30]]=0,"НД",Таблица5[[#This Row],[20]]-Таблица5[[#This Row],[30]])</f>
        <v>НД</v>
      </c>
      <c r="AI1304" s="511" t="str">
        <f>IF(((1-Таблица5[[#This Row],[30]]/Таблица5[[#This Row],[20]])=1),"НД",(1-Таблица5[[#This Row],[30]]/Таблица5[[#This Row],[20]]))</f>
        <v>НД</v>
      </c>
      <c r="AJ1304" s="111"/>
      <c r="AK1304" s="111"/>
      <c r="AL1304" s="512"/>
      <c r="AM1304" s="513"/>
      <c r="AN1304" s="465"/>
      <c r="AO1304" s="468" t="str">
        <f>РПЗ!AD1304</f>
        <v>Нет</v>
      </c>
      <c r="AP1304" s="472">
        <f>РПЗ!V1304</f>
        <v>0</v>
      </c>
      <c r="AQ1304" s="470">
        <f>IF(Таблица5[[#This Row],[11]]=0,,MONTH(Таблица5[[#This Row],[11]]))</f>
        <v>9</v>
      </c>
    </row>
    <row r="1305" spans="1:43" ht="38.25" x14ac:dyDescent="0.25">
      <c r="A1305" s="233" t="str">
        <f t="shared" si="20"/>
        <v>1004-2017-1290</v>
      </c>
      <c r="B1305" s="233" t="str">
        <f>РПЗ!$D1305</f>
        <v>1004-2017-1290 Поставка Металлические сплавы</v>
      </c>
      <c r="C1305" s="233" t="str">
        <f>РПЗ!$AA1305</f>
        <v>АО "НИИ "Полюс" им. М.Ф. Стельмаха" тел. отдела закупок 8-495-333-05-02</v>
      </c>
      <c r="D1305" s="633" t="str">
        <f>РПЗ!$AB1305</f>
        <v>Заказчик</v>
      </c>
      <c r="E1305" s="510" t="s">
        <v>62</v>
      </c>
      <c r="F1305" s="233" t="str">
        <f>РПЗ!Q1305</f>
        <v>ЕП</v>
      </c>
      <c r="G1305" s="237" t="str">
        <f>Таблица5[[#This Row],[6]]</f>
        <v>ЕП</v>
      </c>
      <c r="H1305" s="237" t="str">
        <f>РПЗ!R1305</f>
        <v>Нет</v>
      </c>
      <c r="I1305" s="15" t="str">
        <f>РПЗ!W1305</f>
        <v>6.6.2(9)</v>
      </c>
      <c r="J1305" s="233" t="str">
        <f>РПЗ!X1305</f>
        <v>5027206569</v>
      </c>
      <c r="K1305" s="283">
        <f>РПЗ!Z1305</f>
        <v>239567.82</v>
      </c>
      <c r="L1305" s="17">
        <v>42807</v>
      </c>
      <c r="M1305" s="18">
        <f>РПЗ!O1305</f>
        <v>42979.625</v>
      </c>
      <c r="N1305" s="238">
        <f>Таблица5[[#This Row],[10]]</f>
        <v>42979.625</v>
      </c>
      <c r="O1305" s="17"/>
      <c r="P1305" s="17"/>
      <c r="Q1305" s="17"/>
      <c r="R1305" s="17"/>
      <c r="S1305" s="17"/>
      <c r="T1305" s="686">
        <v>43007</v>
      </c>
      <c r="U1305" s="18">
        <f>РПЗ!P1305</f>
        <v>43040.625</v>
      </c>
      <c r="V1305" s="686">
        <v>43039</v>
      </c>
      <c r="W1305" s="236">
        <f>РПЗ!L1305</f>
        <v>239567.82</v>
      </c>
      <c r="X1305" s="689">
        <v>1</v>
      </c>
      <c r="Y1305" s="689">
        <v>0</v>
      </c>
      <c r="Z1305" s="691">
        <v>5027206569</v>
      </c>
      <c r="AA1305" s="691" t="s">
        <v>6024</v>
      </c>
      <c r="AB1305" s="111">
        <v>239567.82</v>
      </c>
      <c r="AC1305" s="17">
        <v>43039</v>
      </c>
      <c r="AD1305" s="690" t="s">
        <v>7206</v>
      </c>
      <c r="AE1305" s="686">
        <v>43007</v>
      </c>
      <c r="AF1305" s="474"/>
      <c r="AG1305" s="692">
        <v>239567.82</v>
      </c>
      <c r="AH1305" s="236">
        <f>IF(Таблица5[[#This Row],[30]]=0,"НД",Таблица5[[#This Row],[20]]-Таблица5[[#This Row],[30]])</f>
        <v>0</v>
      </c>
      <c r="AI1305" s="511">
        <f>IF(((1-Таблица5[[#This Row],[30]]/Таблица5[[#This Row],[20]])=1),"НД",(1-Таблица5[[#This Row],[30]]/Таблица5[[#This Row],[20]]))</f>
        <v>0</v>
      </c>
      <c r="AJ1305" s="111">
        <v>239567.82</v>
      </c>
      <c r="AK1305" s="111"/>
      <c r="AL1305" s="512"/>
      <c r="AM1305" s="513" t="s">
        <v>113</v>
      </c>
      <c r="AN1305" s="801">
        <v>31705522899</v>
      </c>
      <c r="AO1305" s="468" t="str">
        <f>РПЗ!AD1305</f>
        <v>Нет</v>
      </c>
      <c r="AP1305" s="472" t="str">
        <f>РПЗ!V1305</f>
        <v>ГОЗ</v>
      </c>
      <c r="AQ1305" s="470">
        <f>IF(Таблица5[[#This Row],[11]]=0,,MONTH(Таблица5[[#This Row],[11]]))</f>
        <v>9</v>
      </c>
    </row>
    <row r="1306" spans="1:43" ht="51" x14ac:dyDescent="0.25">
      <c r="A1306" s="233" t="str">
        <f t="shared" si="20"/>
        <v>1004-2017-1291</v>
      </c>
      <c r="B1306" s="233" t="str">
        <f>РПЗ!$D1306</f>
        <v>1004-2017-1291 Поставка Электромонтажные материалы и изделия</v>
      </c>
      <c r="C1306" s="233" t="str">
        <f>РПЗ!$AA1306</f>
        <v>АО "НИИ "Полюс" им. М.Ф. Стельмаха" тел. отдела закупок 8-495-333-05-02</v>
      </c>
      <c r="D1306" s="633" t="str">
        <f>РПЗ!$AB1306</f>
        <v>Заказчик</v>
      </c>
      <c r="E1306" s="510" t="s">
        <v>62</v>
      </c>
      <c r="F1306" s="233" t="str">
        <f>РПЗ!Q1306</f>
        <v>ОЗК</v>
      </c>
      <c r="G1306" s="237" t="str">
        <f>Таблица5[[#This Row],[6]]</f>
        <v>ОЗК</v>
      </c>
      <c r="H1306" s="237" t="str">
        <f>РПЗ!R1306</f>
        <v>Да</v>
      </c>
      <c r="I1306" s="15">
        <f>РПЗ!W1306</f>
        <v>0</v>
      </c>
      <c r="J1306" s="233">
        <f>РПЗ!X1306</f>
        <v>0</v>
      </c>
      <c r="K1306" s="283">
        <f>РПЗ!Z1306</f>
        <v>0</v>
      </c>
      <c r="L1306" s="17">
        <v>42997</v>
      </c>
      <c r="M1306" s="18">
        <f>РПЗ!O1306</f>
        <v>42979.625</v>
      </c>
      <c r="N1306" s="238">
        <f>Таблица5[[#This Row],[10]]</f>
        <v>42979.625</v>
      </c>
      <c r="O1306" s="17">
        <v>43003</v>
      </c>
      <c r="P1306" s="17">
        <v>43007</v>
      </c>
      <c r="Q1306" s="17">
        <v>43007</v>
      </c>
      <c r="R1306" s="17">
        <v>43004</v>
      </c>
      <c r="S1306" s="17">
        <v>43004</v>
      </c>
      <c r="T1306" s="686">
        <v>43019</v>
      </c>
      <c r="U1306" s="18">
        <f>РПЗ!P1306</f>
        <v>43040.625</v>
      </c>
      <c r="V1306" s="686">
        <v>43100</v>
      </c>
      <c r="W1306" s="236">
        <f>РПЗ!L1306</f>
        <v>321614.83</v>
      </c>
      <c r="X1306" s="689">
        <v>1</v>
      </c>
      <c r="Y1306" s="689">
        <v>0</v>
      </c>
      <c r="Z1306" s="691">
        <v>7717154670</v>
      </c>
      <c r="AA1306" s="691" t="s">
        <v>6784</v>
      </c>
      <c r="AB1306" s="111">
        <v>321261.71999999997</v>
      </c>
      <c r="AC1306" s="17">
        <v>43100</v>
      </c>
      <c r="AD1306" s="690" t="s">
        <v>7706</v>
      </c>
      <c r="AE1306" s="686">
        <v>43019</v>
      </c>
      <c r="AF1306" s="474"/>
      <c r="AG1306" s="692">
        <v>321261.71999999997</v>
      </c>
      <c r="AH1306" s="236">
        <f>IF(Таблица5[[#This Row],[30]]=0,"НД",Таблица5[[#This Row],[20]]-Таблица5[[#This Row],[30]])</f>
        <v>353.11000000004424</v>
      </c>
      <c r="AI1306" s="511">
        <f>IF(((1-Таблица5[[#This Row],[30]]/Таблица5[[#This Row],[20]])=1),"НД",(1-Таблица5[[#This Row],[30]]/Таблица5[[#This Row],[20]]))</f>
        <v>1.0979282267551405E-3</v>
      </c>
      <c r="AJ1306" s="111"/>
      <c r="AK1306" s="111">
        <v>321261.71999999997</v>
      </c>
      <c r="AL1306" s="512"/>
      <c r="AM1306" s="513" t="s">
        <v>113</v>
      </c>
      <c r="AN1306" s="801">
        <v>31705535798</v>
      </c>
      <c r="AO1306" s="468" t="str">
        <f>РПЗ!AD1306</f>
        <v>Нет</v>
      </c>
      <c r="AP1306" s="472">
        <f>РПЗ!V1306</f>
        <v>0</v>
      </c>
      <c r="AQ1306" s="470">
        <f>IF(Таблица5[[#This Row],[11]]=0,,MONTH(Таблица5[[#This Row],[11]]))</f>
        <v>9</v>
      </c>
    </row>
    <row r="1307" spans="1:43" ht="39" thickBot="1" x14ac:dyDescent="0.3">
      <c r="A1307" s="233" t="str">
        <f t="shared" si="20"/>
        <v>1004-2017-1292</v>
      </c>
      <c r="B1307" s="233" t="str">
        <f>РПЗ!$D1307</f>
        <v>1004-2017-1292 Поставка Электромонтажные материалы и изделия</v>
      </c>
      <c r="C1307" s="233" t="str">
        <f>РПЗ!$AA1307</f>
        <v>АО "НИИ "Полюс" им. М.Ф. Стельмаха" тел. отдела закупок 8-495-333-05-02</v>
      </c>
      <c r="D1307" s="633" t="str">
        <f>РПЗ!$AB1307</f>
        <v>Заказчик</v>
      </c>
      <c r="E1307" s="510" t="s">
        <v>59</v>
      </c>
      <c r="F1307" s="233" t="str">
        <f>РПЗ!Q1307</f>
        <v>ОЗК</v>
      </c>
      <c r="G1307" s="237" t="str">
        <f>Таблица5[[#This Row],[6]]</f>
        <v>ОЗК</v>
      </c>
      <c r="H1307" s="237" t="str">
        <f>РПЗ!R1307</f>
        <v>Да</v>
      </c>
      <c r="I1307" s="15">
        <f>РПЗ!W1307</f>
        <v>0</v>
      </c>
      <c r="J1307" s="233">
        <f>РПЗ!X1307</f>
        <v>0</v>
      </c>
      <c r="K1307" s="283">
        <f>РПЗ!Z1307</f>
        <v>0</v>
      </c>
      <c r="L1307" s="17">
        <v>42997</v>
      </c>
      <c r="M1307" s="18">
        <f>РПЗ!O1307</f>
        <v>42979.625</v>
      </c>
      <c r="N1307" s="238">
        <f>Таблица5[[#This Row],[10]]</f>
        <v>42979.625</v>
      </c>
      <c r="O1307" s="17">
        <v>43003</v>
      </c>
      <c r="P1307" s="17">
        <v>43007</v>
      </c>
      <c r="Q1307" s="17">
        <v>43007</v>
      </c>
      <c r="R1307" s="17">
        <v>43007</v>
      </c>
      <c r="S1307" s="17">
        <v>43007</v>
      </c>
      <c r="T1307" s="686"/>
      <c r="U1307" s="18">
        <f>РПЗ!P1307</f>
        <v>43040.625</v>
      </c>
      <c r="V1307" s="686"/>
      <c r="W1307" s="236">
        <f>РПЗ!L1307</f>
        <v>273480.53000000003</v>
      </c>
      <c r="X1307" s="689">
        <v>0</v>
      </c>
      <c r="Y1307" s="689">
        <v>0</v>
      </c>
      <c r="Z1307" s="690"/>
      <c r="AA1307" s="691"/>
      <c r="AB1307" s="111"/>
      <c r="AC1307" s="17"/>
      <c r="AD1307" s="690"/>
      <c r="AE1307" s="686"/>
      <c r="AF1307" s="474"/>
      <c r="AG1307" s="692"/>
      <c r="AH1307" s="236" t="str">
        <f>IF(Таблица5[[#This Row],[30]]=0,"НД",Таблица5[[#This Row],[20]]-Таблица5[[#This Row],[30]])</f>
        <v>НД</v>
      </c>
      <c r="AI1307" s="511" t="str">
        <f>IF(((1-Таблица5[[#This Row],[30]]/Таблица5[[#This Row],[20]])=1),"НД",(1-Таблица5[[#This Row],[30]]/Таблица5[[#This Row],[20]]))</f>
        <v>НД</v>
      </c>
      <c r="AJ1307" s="111"/>
      <c r="AK1307" s="111"/>
      <c r="AL1307" s="512"/>
      <c r="AM1307" s="513"/>
      <c r="AN1307" s="801">
        <v>31705536046</v>
      </c>
      <c r="AO1307" s="468" t="str">
        <f>РПЗ!AD1307</f>
        <v>Нет</v>
      </c>
      <c r="AP1307" s="472">
        <f>РПЗ!V1307</f>
        <v>0</v>
      </c>
      <c r="AQ1307" s="470">
        <f>IF(Таблица5[[#This Row],[11]]=0,,MONTH(Таблица5[[#This Row],[11]]))</f>
        <v>9</v>
      </c>
    </row>
    <row r="1308" spans="1:43" ht="77.25" thickBot="1" x14ac:dyDescent="0.3">
      <c r="A1308" s="233" t="str">
        <f t="shared" si="20"/>
        <v>1004-2017-1293</v>
      </c>
      <c r="B1308" s="233" t="str">
        <f>РПЗ!$D1308</f>
        <v>1004-2017-1293 оказание услуг по оценке рыночной стоимости 1 (одной) обыкновенной акции в составе 100% пакета акций АО «НИИ «Полюс» им. М.Ф. Стельмаха»</v>
      </c>
      <c r="C1308" s="233" t="str">
        <f>РПЗ!$AA1308</f>
        <v>АО "НИИ "Полюс" им. М.Ф. Стельмаха" тел. отдела закупок 8-495-333-05-02</v>
      </c>
      <c r="D1308" s="633" t="str">
        <f>РПЗ!$AB1308</f>
        <v>Заказчик</v>
      </c>
      <c r="E1308" s="96" t="s">
        <v>46</v>
      </c>
      <c r="F1308" s="233" t="str">
        <f>РПЗ!Q1308</f>
        <v>ОЗК</v>
      </c>
      <c r="G1308" s="237"/>
      <c r="H1308" s="237" t="str">
        <f>РПЗ!R1308</f>
        <v>Да</v>
      </c>
      <c r="I1308" s="15">
        <f>РПЗ!W1308</f>
        <v>0</v>
      </c>
      <c r="J1308" s="233">
        <f>РПЗ!X1308</f>
        <v>0</v>
      </c>
      <c r="K1308" s="283">
        <f>РПЗ!Z1308</f>
        <v>0</v>
      </c>
      <c r="L1308" s="17"/>
      <c r="M1308" s="18">
        <f>РПЗ!O1308</f>
        <v>42979.625</v>
      </c>
      <c r="N1308" s="238">
        <f>Таблица5[[#This Row],[10]]</f>
        <v>42979.625</v>
      </c>
      <c r="O1308" s="17"/>
      <c r="P1308" s="17"/>
      <c r="Q1308" s="17"/>
      <c r="R1308" s="17"/>
      <c r="S1308" s="17"/>
      <c r="T1308" s="686"/>
      <c r="U1308" s="18">
        <f>РПЗ!P1308</f>
        <v>42979.625</v>
      </c>
      <c r="V1308" s="686"/>
      <c r="W1308" s="236">
        <f>РПЗ!L1308</f>
        <v>200000</v>
      </c>
      <c r="X1308" s="689"/>
      <c r="Y1308" s="689"/>
      <c r="Z1308" s="690"/>
      <c r="AA1308" s="691"/>
      <c r="AB1308" s="111"/>
      <c r="AC1308" s="17"/>
      <c r="AD1308" s="690"/>
      <c r="AE1308" s="686"/>
      <c r="AF1308" s="474"/>
      <c r="AG1308" s="692"/>
      <c r="AH1308" s="236" t="str">
        <f>IF(Таблица5[[#This Row],[30]]=0,"НД",Таблица5[[#This Row],[20]]-Таблица5[[#This Row],[30]])</f>
        <v>НД</v>
      </c>
      <c r="AI1308" s="511" t="str">
        <f>IF(((1-Таблица5[[#This Row],[30]]/Таблица5[[#This Row],[20]])=1),"НД",(1-Таблица5[[#This Row],[30]]/Таблица5[[#This Row],[20]]))</f>
        <v>НД</v>
      </c>
      <c r="AJ1308" s="111"/>
      <c r="AK1308" s="111"/>
      <c r="AL1308" s="512"/>
      <c r="AM1308" s="513"/>
      <c r="AN1308" s="465"/>
      <c r="AO1308" s="468" t="str">
        <f>РПЗ!AD1308</f>
        <v>Нет</v>
      </c>
      <c r="AP1308" s="472">
        <f>РПЗ!V1308</f>
        <v>0</v>
      </c>
      <c r="AQ1308" s="470">
        <f>IF(Таблица5[[#This Row],[11]]=0,,MONTH(Таблица5[[#This Row],[11]]))</f>
        <v>9</v>
      </c>
    </row>
    <row r="1309" spans="1:43" ht="51" x14ac:dyDescent="0.25">
      <c r="A1309" s="233" t="str">
        <f t="shared" si="20"/>
        <v>1004-2017-1294</v>
      </c>
      <c r="B1309" s="233" t="str">
        <f>РПЗ!$D1309</f>
        <v>1004-2017-1294 Сервисное обслуживание  и поставку запасных частей на безмаслянном компрессоре Calllisto 46</v>
      </c>
      <c r="C1309" s="233" t="str">
        <f>РПЗ!$AA1309</f>
        <v>АО "НИИ "Полюс" им. М.Ф. Стельмаха" тел. отдела закупок 8-495-333-05-02</v>
      </c>
      <c r="D1309" s="633" t="str">
        <f>РПЗ!$AB1309</f>
        <v>Заказчик</v>
      </c>
      <c r="E1309" s="96" t="s">
        <v>46</v>
      </c>
      <c r="F1309" s="233" t="str">
        <f>РПЗ!Q1309</f>
        <v>ОЗК</v>
      </c>
      <c r="G1309" s="237"/>
      <c r="H1309" s="237" t="str">
        <f>РПЗ!R1309</f>
        <v>Да</v>
      </c>
      <c r="I1309" s="15">
        <f>РПЗ!W1309</f>
        <v>0</v>
      </c>
      <c r="J1309" s="233">
        <f>РПЗ!X1309</f>
        <v>0</v>
      </c>
      <c r="K1309" s="283">
        <f>РПЗ!Z1309</f>
        <v>0</v>
      </c>
      <c r="L1309" s="17"/>
      <c r="M1309" s="18">
        <f>РПЗ!O1309</f>
        <v>42979.625</v>
      </c>
      <c r="N1309" s="238">
        <f>Таблица5[[#This Row],[10]]</f>
        <v>42979.625</v>
      </c>
      <c r="O1309" s="17"/>
      <c r="P1309" s="17"/>
      <c r="Q1309" s="17"/>
      <c r="R1309" s="17"/>
      <c r="S1309" s="17"/>
      <c r="T1309" s="686"/>
      <c r="U1309" s="18">
        <f>РПЗ!P1309</f>
        <v>42979.625</v>
      </c>
      <c r="V1309" s="686"/>
      <c r="W1309" s="236">
        <f>РПЗ!L1309</f>
        <v>396035</v>
      </c>
      <c r="X1309" s="689"/>
      <c r="Y1309" s="689"/>
      <c r="Z1309" s="690"/>
      <c r="AA1309" s="691"/>
      <c r="AB1309" s="111"/>
      <c r="AC1309" s="17"/>
      <c r="AD1309" s="690"/>
      <c r="AE1309" s="686"/>
      <c r="AF1309" s="474"/>
      <c r="AG1309" s="692"/>
      <c r="AH1309" s="236" t="str">
        <f>IF(Таблица5[[#This Row],[30]]=0,"НД",Таблица5[[#This Row],[20]]-Таблица5[[#This Row],[30]])</f>
        <v>НД</v>
      </c>
      <c r="AI1309" s="511" t="str">
        <f>IF(((1-Таблица5[[#This Row],[30]]/Таблица5[[#This Row],[20]])=1),"НД",(1-Таблица5[[#This Row],[30]]/Таблица5[[#This Row],[20]]))</f>
        <v>НД</v>
      </c>
      <c r="AJ1309" s="111"/>
      <c r="AK1309" s="111"/>
      <c r="AL1309" s="512"/>
      <c r="AM1309" s="513"/>
      <c r="AN1309" s="465"/>
      <c r="AO1309" s="468" t="str">
        <f>РПЗ!AD1309</f>
        <v>Нет</v>
      </c>
      <c r="AP1309" s="472">
        <f>РПЗ!V1309</f>
        <v>0</v>
      </c>
      <c r="AQ1309" s="470">
        <f>IF(Таблица5[[#This Row],[11]]=0,,MONTH(Таблица5[[#This Row],[11]]))</f>
        <v>9</v>
      </c>
    </row>
    <row r="1310" spans="1:43" ht="38.25" x14ac:dyDescent="0.25">
      <c r="A1310" s="233" t="str">
        <f t="shared" si="20"/>
        <v>1004-2017-1295</v>
      </c>
      <c r="B1310" s="233" t="str">
        <f>РПЗ!$D1310</f>
        <v>1004-2017-1295 Поставка подложек арсенида галлия</v>
      </c>
      <c r="C1310" s="233" t="str">
        <f>РПЗ!$AA1310</f>
        <v>АО "НИИ "Полюс" им. М.Ф. Стельмаха" тел. отдела закупок 8-495-333-05-02</v>
      </c>
      <c r="D1310" s="633" t="str">
        <f>РПЗ!$AB1310</f>
        <v>Заказчик</v>
      </c>
      <c r="E1310" s="510" t="s">
        <v>62</v>
      </c>
      <c r="F1310" s="233" t="str">
        <f>РПЗ!Q1310</f>
        <v>ОЗК</v>
      </c>
      <c r="G1310" s="237" t="str">
        <f>Таблица5[[#This Row],[6]]</f>
        <v>ОЗК</v>
      </c>
      <c r="H1310" s="237" t="str">
        <f>РПЗ!R1310</f>
        <v>Да</v>
      </c>
      <c r="I1310" s="15">
        <f>РПЗ!W1310</f>
        <v>0</v>
      </c>
      <c r="J1310" s="233">
        <f>РПЗ!X1310</f>
        <v>0</v>
      </c>
      <c r="K1310" s="283">
        <f>РПЗ!Z1310</f>
        <v>0</v>
      </c>
      <c r="L1310" s="17">
        <v>43007</v>
      </c>
      <c r="M1310" s="18">
        <f>РПЗ!O1310</f>
        <v>42979.625</v>
      </c>
      <c r="N1310" s="238">
        <f>Таблица5[[#This Row],[10]]</f>
        <v>42979.625</v>
      </c>
      <c r="O1310" s="17">
        <v>43013</v>
      </c>
      <c r="P1310" s="17">
        <v>43018</v>
      </c>
      <c r="Q1310" s="17">
        <v>43018</v>
      </c>
      <c r="R1310" s="17">
        <v>43017</v>
      </c>
      <c r="S1310" s="17">
        <v>43017</v>
      </c>
      <c r="T1310" s="686">
        <v>43028</v>
      </c>
      <c r="U1310" s="18">
        <f>РПЗ!P1310</f>
        <v>42979.625</v>
      </c>
      <c r="V1310" s="686">
        <v>43049</v>
      </c>
      <c r="W1310" s="236">
        <f>РПЗ!L1310</f>
        <v>1420000</v>
      </c>
      <c r="X1310" s="689">
        <v>1</v>
      </c>
      <c r="Y1310" s="689">
        <v>0</v>
      </c>
      <c r="Z1310" s="691">
        <v>7735029739</v>
      </c>
      <c r="AA1310" s="691" t="s">
        <v>3371</v>
      </c>
      <c r="AB1310" s="111">
        <v>1420000</v>
      </c>
      <c r="AC1310" s="17">
        <v>43049</v>
      </c>
      <c r="AD1310" s="690" t="s">
        <v>7707</v>
      </c>
      <c r="AE1310" s="686">
        <v>43028</v>
      </c>
      <c r="AF1310" s="474"/>
      <c r="AG1310" s="692">
        <v>1420000</v>
      </c>
      <c r="AH1310" s="236">
        <f>IF(Таблица5[[#This Row],[30]]=0,"НД",Таблица5[[#This Row],[20]]-Таблица5[[#This Row],[30]])</f>
        <v>0</v>
      </c>
      <c r="AI1310" s="511">
        <f>IF(((1-Таблица5[[#This Row],[30]]/Таблица5[[#This Row],[20]])=1),"НД",(1-Таблица5[[#This Row],[30]]/Таблица5[[#This Row],[20]]))</f>
        <v>0</v>
      </c>
      <c r="AJ1310" s="111">
        <v>1420000</v>
      </c>
      <c r="AK1310" s="111"/>
      <c r="AL1310" s="512"/>
      <c r="AM1310" s="513" t="s">
        <v>113</v>
      </c>
      <c r="AN1310" s="801">
        <v>31705575496</v>
      </c>
      <c r="AO1310" s="468" t="str">
        <f>РПЗ!AD1310</f>
        <v>Нет</v>
      </c>
      <c r="AP1310" s="472">
        <f>РПЗ!V1310</f>
        <v>0</v>
      </c>
      <c r="AQ1310" s="470">
        <f>IF(Таблица5[[#This Row],[11]]=0,,MONTH(Таблица5[[#This Row],[11]]))</f>
        <v>9</v>
      </c>
    </row>
    <row r="1311" spans="1:43" ht="38.25" x14ac:dyDescent="0.25">
      <c r="A1311" s="233" t="str">
        <f t="shared" si="20"/>
        <v>1004-2017-1296</v>
      </c>
      <c r="B1311" s="233" t="str">
        <f>РПЗ!$D1311</f>
        <v>1004-2017-1296 Поставка подложек фосфида индия</v>
      </c>
      <c r="C1311" s="233" t="str">
        <f>РПЗ!$AA1311</f>
        <v>АО "НИИ "Полюс" им. М.Ф. Стельмаха" тел. отдела закупок 8-495-333-05-02</v>
      </c>
      <c r="D1311" s="633" t="str">
        <f>РПЗ!$AB1311</f>
        <v>Заказчик</v>
      </c>
      <c r="E1311" s="510" t="s">
        <v>62</v>
      </c>
      <c r="F1311" s="233" t="str">
        <f>РПЗ!Q1311</f>
        <v>ЕП</v>
      </c>
      <c r="G1311" s="237" t="str">
        <f>Таблица5[[#This Row],[6]]</f>
        <v>ЕП</v>
      </c>
      <c r="H1311" s="237" t="str">
        <f>РПЗ!R1311</f>
        <v>Нет</v>
      </c>
      <c r="I1311" s="15" t="str">
        <f>РПЗ!W1311</f>
        <v>6.6.2(9)</v>
      </c>
      <c r="J1311" s="233" t="str">
        <f>РПЗ!X1311</f>
        <v>7735029739</v>
      </c>
      <c r="K1311" s="283">
        <f>РПЗ!Z1311</f>
        <v>948000</v>
      </c>
      <c r="L1311" s="17">
        <v>42991</v>
      </c>
      <c r="M1311" s="18">
        <f>РПЗ!O1311</f>
        <v>42979.625</v>
      </c>
      <c r="N1311" s="238">
        <f>Таблица5[[#This Row],[10]]</f>
        <v>42979.625</v>
      </c>
      <c r="O1311" s="17"/>
      <c r="P1311" s="17"/>
      <c r="Q1311" s="17"/>
      <c r="R1311" s="17"/>
      <c r="S1311" s="17"/>
      <c r="T1311" s="686">
        <v>42999</v>
      </c>
      <c r="U1311" s="18">
        <f>РПЗ!P1311</f>
        <v>42979.625</v>
      </c>
      <c r="V1311" s="686">
        <v>43039</v>
      </c>
      <c r="W1311" s="236">
        <f>РПЗ!L1311</f>
        <v>948000</v>
      </c>
      <c r="X1311" s="689">
        <v>1</v>
      </c>
      <c r="Y1311" s="689">
        <v>0</v>
      </c>
      <c r="Z1311" s="691">
        <v>7735029739</v>
      </c>
      <c r="AA1311" s="691" t="s">
        <v>3371</v>
      </c>
      <c r="AB1311" s="111">
        <v>948000</v>
      </c>
      <c r="AC1311" s="17">
        <v>43039</v>
      </c>
      <c r="AD1311" s="690" t="s">
        <v>7203</v>
      </c>
      <c r="AE1311" s="686">
        <v>42999</v>
      </c>
      <c r="AF1311" s="474"/>
      <c r="AG1311" s="692">
        <v>948000</v>
      </c>
      <c r="AH1311" s="236">
        <f>IF(Таблица5[[#This Row],[30]]=0,"НД",Таблица5[[#This Row],[20]]-Таблица5[[#This Row],[30]])</f>
        <v>0</v>
      </c>
      <c r="AI1311" s="511">
        <f>IF(((1-Таблица5[[#This Row],[30]]/Таблица5[[#This Row],[20]])=1),"НД",(1-Таблица5[[#This Row],[30]]/Таблица5[[#This Row],[20]]))</f>
        <v>0</v>
      </c>
      <c r="AJ1311" s="111">
        <v>948000</v>
      </c>
      <c r="AK1311" s="111"/>
      <c r="AL1311" s="512"/>
      <c r="AM1311" s="513" t="s">
        <v>113</v>
      </c>
      <c r="AN1311" s="801">
        <v>31705532347</v>
      </c>
      <c r="AO1311" s="468" t="str">
        <f>РПЗ!AD1311</f>
        <v>Нет</v>
      </c>
      <c r="AP1311" s="472" t="str">
        <f>РПЗ!V1311</f>
        <v>ГОЗ</v>
      </c>
      <c r="AQ1311" s="470">
        <f>IF(Таблица5[[#This Row],[11]]=0,,MONTH(Таблица5[[#This Row],[11]]))</f>
        <v>9</v>
      </c>
    </row>
    <row r="1312" spans="1:43" ht="38.25" x14ac:dyDescent="0.25">
      <c r="A1312" s="233" t="str">
        <f t="shared" si="20"/>
        <v>1004-2017-1297</v>
      </c>
      <c r="B1312" s="233" t="str">
        <f>РПЗ!$D1312</f>
        <v>1004-2017-1297 Поставка подложек арсенида галлия</v>
      </c>
      <c r="C1312" s="233" t="str">
        <f>РПЗ!$AA1312</f>
        <v>АО "НИИ "Полюс" им. М.Ф. Стельмаха" тел. отдела закупок 8-495-333-05-02</v>
      </c>
      <c r="D1312" s="633" t="str">
        <f>РПЗ!$AB1312</f>
        <v>Заказчик</v>
      </c>
      <c r="E1312" s="510" t="s">
        <v>62</v>
      </c>
      <c r="F1312" s="233" t="str">
        <f>РПЗ!Q1312</f>
        <v>ЕП</v>
      </c>
      <c r="G1312" s="237" t="str">
        <f>Таблица5[[#This Row],[6]]</f>
        <v>ЕП</v>
      </c>
      <c r="H1312" s="237" t="str">
        <f>РПЗ!R1312</f>
        <v>Нет</v>
      </c>
      <c r="I1312" s="15" t="str">
        <f>РПЗ!W1312</f>
        <v>6.6.2(9)</v>
      </c>
      <c r="J1312" s="233" t="str">
        <f>РПЗ!X1312</f>
        <v>7735029739</v>
      </c>
      <c r="K1312" s="283">
        <f>РПЗ!Z1312</f>
        <v>415000</v>
      </c>
      <c r="L1312" s="17">
        <v>42996</v>
      </c>
      <c r="M1312" s="18">
        <f>РПЗ!O1312</f>
        <v>42979.625</v>
      </c>
      <c r="N1312" s="238">
        <f>Таблица5[[#This Row],[10]]</f>
        <v>42979.625</v>
      </c>
      <c r="O1312" s="17"/>
      <c r="P1312" s="17"/>
      <c r="Q1312" s="17"/>
      <c r="R1312" s="17"/>
      <c r="S1312" s="17"/>
      <c r="T1312" s="686">
        <v>42998</v>
      </c>
      <c r="U1312" s="18">
        <f>РПЗ!P1312</f>
        <v>42979.625</v>
      </c>
      <c r="V1312" s="686">
        <v>43009</v>
      </c>
      <c r="W1312" s="236">
        <f>РПЗ!L1312</f>
        <v>415000</v>
      </c>
      <c r="X1312" s="689">
        <v>1</v>
      </c>
      <c r="Y1312" s="689">
        <v>0</v>
      </c>
      <c r="Z1312" s="691">
        <v>7735029739</v>
      </c>
      <c r="AA1312" s="691" t="s">
        <v>3371</v>
      </c>
      <c r="AB1312" s="111">
        <v>415000</v>
      </c>
      <c r="AC1312" s="17">
        <v>43009</v>
      </c>
      <c r="AD1312" s="690" t="s">
        <v>7207</v>
      </c>
      <c r="AE1312" s="686">
        <v>42998</v>
      </c>
      <c r="AF1312" s="474"/>
      <c r="AG1312" s="692">
        <v>415000</v>
      </c>
      <c r="AH1312" s="236">
        <f>IF(Таблица5[[#This Row],[30]]=0,"НД",Таблица5[[#This Row],[20]]-Таблица5[[#This Row],[30]])</f>
        <v>0</v>
      </c>
      <c r="AI1312" s="511">
        <f>IF(((1-Таблица5[[#This Row],[30]]/Таблица5[[#This Row],[20]])=1),"НД",(1-Таблица5[[#This Row],[30]]/Таблица5[[#This Row],[20]]))</f>
        <v>0</v>
      </c>
      <c r="AJ1312" s="111">
        <v>415000</v>
      </c>
      <c r="AK1312" s="111"/>
      <c r="AL1312" s="512"/>
      <c r="AM1312" s="513" t="s">
        <v>113</v>
      </c>
      <c r="AN1312" s="801">
        <v>31705535385</v>
      </c>
      <c r="AO1312" s="468" t="str">
        <f>РПЗ!AD1312</f>
        <v>Нет</v>
      </c>
      <c r="AP1312" s="472" t="str">
        <f>РПЗ!V1312</f>
        <v>ГОЗ</v>
      </c>
      <c r="AQ1312" s="470">
        <f>IF(Таблица5[[#This Row],[11]]=0,,MONTH(Таблица5[[#This Row],[11]]))</f>
        <v>9</v>
      </c>
    </row>
    <row r="1313" spans="1:43" ht="39" thickBot="1" x14ac:dyDescent="0.3">
      <c r="A1313" s="233" t="str">
        <f t="shared" si="20"/>
        <v>1004-2017-1298</v>
      </c>
      <c r="B1313" s="233" t="str">
        <f>РПЗ!$D1313</f>
        <v>1004-2017-1298 Поставка подложек арсенида галлия</v>
      </c>
      <c r="C1313" s="233" t="str">
        <f>РПЗ!$AA1313</f>
        <v>АО "НИИ "Полюс" им. М.Ф. Стельмаха" тел. отдела закупок 8-495-333-05-02</v>
      </c>
      <c r="D1313" s="633" t="str">
        <f>РПЗ!$AB1313</f>
        <v>Заказчик</v>
      </c>
      <c r="E1313" s="510" t="s">
        <v>62</v>
      </c>
      <c r="F1313" s="233" t="str">
        <f>РПЗ!Q1313</f>
        <v>ОЗК</v>
      </c>
      <c r="G1313" s="237" t="str">
        <f>Таблица5[[#This Row],[6]]</f>
        <v>ОЗК</v>
      </c>
      <c r="H1313" s="237" t="str">
        <f>РПЗ!R1313</f>
        <v>Да</v>
      </c>
      <c r="I1313" s="15">
        <f>РПЗ!W1313</f>
        <v>0</v>
      </c>
      <c r="J1313" s="233">
        <f>РПЗ!X1313</f>
        <v>0</v>
      </c>
      <c r="K1313" s="283">
        <f>РПЗ!Z1313</f>
        <v>0</v>
      </c>
      <c r="L1313" s="17">
        <v>43019</v>
      </c>
      <c r="M1313" s="18">
        <f>РПЗ!O1313</f>
        <v>43009</v>
      </c>
      <c r="N1313" s="238">
        <f>Таблица5[[#This Row],[10]]</f>
        <v>43009</v>
      </c>
      <c r="O1313" s="17">
        <v>43026</v>
      </c>
      <c r="P1313" s="17">
        <v>43031</v>
      </c>
      <c r="Q1313" s="17">
        <v>43031</v>
      </c>
      <c r="R1313" s="17">
        <v>43027</v>
      </c>
      <c r="S1313" s="17">
        <v>43027</v>
      </c>
      <c r="T1313" s="686">
        <v>43038</v>
      </c>
      <c r="U1313" s="18">
        <f>РПЗ!P1313</f>
        <v>43009</v>
      </c>
      <c r="V1313" s="686">
        <v>43100</v>
      </c>
      <c r="W1313" s="236">
        <f>РПЗ!L1313</f>
        <v>1074100</v>
      </c>
      <c r="X1313" s="689">
        <v>2</v>
      </c>
      <c r="Y1313" s="689">
        <v>0</v>
      </c>
      <c r="Z1313" s="691">
        <v>7810090372</v>
      </c>
      <c r="AA1313" s="691" t="s">
        <v>8187</v>
      </c>
      <c r="AB1313" s="111">
        <v>951221.6</v>
      </c>
      <c r="AC1313" s="17">
        <v>43100</v>
      </c>
      <c r="AD1313" s="690" t="s">
        <v>8189</v>
      </c>
      <c r="AE1313" s="686">
        <v>43038</v>
      </c>
      <c r="AF1313" s="474"/>
      <c r="AG1313" s="692">
        <v>951221.6</v>
      </c>
      <c r="AH1313" s="236">
        <f>IF(Таблица5[[#This Row],[30]]=0,"НД",Таблица5[[#This Row],[20]]-Таблица5[[#This Row],[30]])</f>
        <v>122878.40000000002</v>
      </c>
      <c r="AI1313" s="511">
        <f>IF(((1-Таблица5[[#This Row],[30]]/Таблица5[[#This Row],[20]])=1),"НД",(1-Таблица5[[#This Row],[30]]/Таблица5[[#This Row],[20]]))</f>
        <v>0.11440126617633373</v>
      </c>
      <c r="AJ1313" s="111"/>
      <c r="AK1313" s="111">
        <v>951221.6</v>
      </c>
      <c r="AL1313" s="512"/>
      <c r="AM1313" s="513" t="s">
        <v>113</v>
      </c>
      <c r="AN1313" s="801">
        <v>31705611835</v>
      </c>
      <c r="AO1313" s="468" t="str">
        <f>РПЗ!AD1313</f>
        <v>Нет</v>
      </c>
      <c r="AP1313" s="472">
        <f>РПЗ!V1313</f>
        <v>0</v>
      </c>
      <c r="AQ1313" s="470">
        <f>IF(Таблица5[[#This Row],[11]]=0,,MONTH(Таблица5[[#This Row],[11]]))</f>
        <v>10</v>
      </c>
    </row>
    <row r="1314" spans="1:43" ht="38.25" x14ac:dyDescent="0.25">
      <c r="A1314" s="233" t="str">
        <f t="shared" si="20"/>
        <v>1004-2017-1299</v>
      </c>
      <c r="B1314" s="233" t="str">
        <f>РПЗ!$D1314</f>
        <v xml:space="preserve">1004-2017-1299 Поставка  Диод 2Д522Б, дР3.362.029-01 ТУ/02 </v>
      </c>
      <c r="C1314" s="233" t="str">
        <f>РПЗ!$AA1314</f>
        <v>АО "НИИ "Полюс" им. М.Ф. Стельмаха" тел. отдела закупок 8-495-333-05-02</v>
      </c>
      <c r="D1314" s="633" t="str">
        <f>РПЗ!$AB1314</f>
        <v>Заказчик</v>
      </c>
      <c r="E1314" s="96" t="s">
        <v>46</v>
      </c>
      <c r="F1314" s="233" t="str">
        <f>РПЗ!Q1314</f>
        <v>ЕП</v>
      </c>
      <c r="G1314" s="237"/>
      <c r="H1314" s="237" t="str">
        <f>РПЗ!R1314</f>
        <v>Нет</v>
      </c>
      <c r="I1314" s="15">
        <f>РПЗ!W1314</f>
        <v>0</v>
      </c>
      <c r="J1314" s="233">
        <f>РПЗ!X1314</f>
        <v>0</v>
      </c>
      <c r="K1314" s="283">
        <f>РПЗ!Z1314</f>
        <v>0</v>
      </c>
      <c r="L1314" s="17"/>
      <c r="M1314" s="18">
        <f>РПЗ!O1314</f>
        <v>43009.625</v>
      </c>
      <c r="N1314" s="238">
        <f>Таблица5[[#This Row],[10]]</f>
        <v>43009.625</v>
      </c>
      <c r="O1314" s="17"/>
      <c r="P1314" s="17"/>
      <c r="Q1314" s="17"/>
      <c r="R1314" s="17"/>
      <c r="S1314" s="17"/>
      <c r="T1314" s="686"/>
      <c r="U1314" s="18">
        <f>РПЗ!P1314</f>
        <v>43070.625</v>
      </c>
      <c r="V1314" s="686"/>
      <c r="W1314" s="236">
        <f>РПЗ!L1314</f>
        <v>129054.24</v>
      </c>
      <c r="X1314" s="689"/>
      <c r="Y1314" s="689"/>
      <c r="Z1314" s="690"/>
      <c r="AA1314" s="691"/>
      <c r="AB1314" s="111"/>
      <c r="AC1314" s="17"/>
      <c r="AD1314" s="690"/>
      <c r="AE1314" s="686"/>
      <c r="AF1314" s="474"/>
      <c r="AG1314" s="692"/>
      <c r="AH1314" s="236" t="str">
        <f>IF(Таблица5[[#This Row],[30]]=0,"НД",Таблица5[[#This Row],[20]]-Таблица5[[#This Row],[30]])</f>
        <v>НД</v>
      </c>
      <c r="AI1314" s="511" t="str">
        <f>IF(((1-Таблица5[[#This Row],[30]]/Таблица5[[#This Row],[20]])=1),"НД",(1-Таблица5[[#This Row],[30]]/Таблица5[[#This Row],[20]]))</f>
        <v>НД</v>
      </c>
      <c r="AJ1314" s="111"/>
      <c r="AK1314" s="111"/>
      <c r="AL1314" s="512"/>
      <c r="AM1314" s="513"/>
      <c r="AN1314" s="465"/>
      <c r="AO1314" s="468" t="str">
        <f>РПЗ!AD1314</f>
        <v>Нет</v>
      </c>
      <c r="AP1314" s="472">
        <f>РПЗ!V1314</f>
        <v>0</v>
      </c>
      <c r="AQ1314" s="470">
        <f>IF(Таблица5[[#This Row],[11]]=0,,MONTH(Таблица5[[#This Row],[11]]))</f>
        <v>10</v>
      </c>
    </row>
    <row r="1315" spans="1:43" ht="127.5" x14ac:dyDescent="0.25">
      <c r="A1315" s="233" t="str">
        <f t="shared" si="20"/>
        <v>1004-2017-1300</v>
      </c>
      <c r="B1315" s="233" t="str">
        <f>РПЗ!$D1315</f>
        <v>1004-2017-1300 внесение изменений в проектно-сметную документацию в рамках проведения авторского надзора за строительством по объекту: «Реконструкция и техническое перевооружение производства» АО «Научно-исследовательский институт «Полюс» им. М.Ф. Стельмаха», г. Москва;</v>
      </c>
      <c r="C1315" s="233" t="str">
        <f>РПЗ!$AA1315</f>
        <v>АО "НИИ "Полюс" им. М.Ф. Стельмаха" тел. отдела закупок 8-495-333-05-02</v>
      </c>
      <c r="D1315" s="633" t="str">
        <f>РПЗ!$AB1315</f>
        <v>Заказчик</v>
      </c>
      <c r="E1315" s="510" t="s">
        <v>62</v>
      </c>
      <c r="F1315" s="233" t="str">
        <f>РПЗ!Q1315</f>
        <v>ЕП</v>
      </c>
      <c r="G1315" s="237" t="str">
        <f>Таблица5[[#This Row],[6]]</f>
        <v>ЕП</v>
      </c>
      <c r="H1315" s="237" t="str">
        <f>РПЗ!R1315</f>
        <v>Нет</v>
      </c>
      <c r="I1315" s="15" t="str">
        <f>РПЗ!W1315</f>
        <v>6.6.2(17)</v>
      </c>
      <c r="J1315" s="233" t="str">
        <f>РПЗ!X1315</f>
        <v>7725739909</v>
      </c>
      <c r="K1315" s="283">
        <f>РПЗ!Z1315</f>
        <v>0</v>
      </c>
      <c r="L1315" s="17">
        <v>42993</v>
      </c>
      <c r="M1315" s="18">
        <f>РПЗ!O1315</f>
        <v>42979.625</v>
      </c>
      <c r="N1315" s="238">
        <f>Таблица5[[#This Row],[10]]</f>
        <v>42979.625</v>
      </c>
      <c r="O1315" s="17"/>
      <c r="P1315" s="17"/>
      <c r="Q1315" s="17"/>
      <c r="R1315" s="17"/>
      <c r="S1315" s="17"/>
      <c r="T1315" s="686">
        <v>42997</v>
      </c>
      <c r="U1315" s="18">
        <f>РПЗ!P1315</f>
        <v>43313.625</v>
      </c>
      <c r="V1315" s="686">
        <v>43313</v>
      </c>
      <c r="W1315" s="236">
        <f>РПЗ!L1315</f>
        <v>3448708.94</v>
      </c>
      <c r="X1315" s="689">
        <v>1</v>
      </c>
      <c r="Y1315" s="689">
        <v>0</v>
      </c>
      <c r="Z1315" s="691">
        <v>7725739909</v>
      </c>
      <c r="AA1315" s="691" t="s">
        <v>7210</v>
      </c>
      <c r="AB1315" s="111">
        <v>3448708.94</v>
      </c>
      <c r="AC1315" s="17">
        <v>42948</v>
      </c>
      <c r="AD1315" s="690" t="s">
        <v>7211</v>
      </c>
      <c r="AE1315" s="686">
        <v>42997</v>
      </c>
      <c r="AF1315" s="474"/>
      <c r="AG1315" s="692">
        <v>3448708.94</v>
      </c>
      <c r="AH1315" s="236">
        <f>IF(Таблица5[[#This Row],[30]]=0,"НД",Таблица5[[#This Row],[20]]-Таблица5[[#This Row],[30]])</f>
        <v>0</v>
      </c>
      <c r="AI1315" s="511">
        <f>IF(((1-Таблица5[[#This Row],[30]]/Таблица5[[#This Row],[20]])=1),"НД",(1-Таблица5[[#This Row],[30]]/Таблица5[[#This Row],[20]]))</f>
        <v>0</v>
      </c>
      <c r="AJ1315" s="111"/>
      <c r="AK1315" s="111"/>
      <c r="AL1315" s="512"/>
      <c r="AM1315" s="513" t="s">
        <v>113</v>
      </c>
      <c r="AN1315" s="801">
        <v>31705531853</v>
      </c>
      <c r="AO1315" s="468" t="str">
        <f>РПЗ!AD1315</f>
        <v>Нет</v>
      </c>
      <c r="AP1315" s="472" t="str">
        <f>РПЗ!V1315</f>
        <v>ГОЗ</v>
      </c>
      <c r="AQ1315" s="470">
        <f>IF(Таблица5[[#This Row],[11]]=0,,MONTH(Таблица5[[#This Row],[11]]))</f>
        <v>9</v>
      </c>
    </row>
    <row r="1316" spans="1:43" ht="51" x14ac:dyDescent="0.25">
      <c r="A1316" s="233" t="str">
        <f t="shared" si="20"/>
        <v>1004-2017-1301</v>
      </c>
      <c r="B1316" s="233" t="str">
        <f>РПЗ!$D1316</f>
        <v>1004-2017-1301 на выполнение ремонтных работ в помещении 554а на 5-м этаже Бытового корпуса в АО "НИИ "Полюс" им. М.Ф. Стельмаха</v>
      </c>
      <c r="C1316" s="233" t="str">
        <f>РПЗ!$AA1316</f>
        <v>АО "НИИ "Полюс" им. М.Ф. Стельмаха" тел. отдела закупок 8-495-333-05-02</v>
      </c>
      <c r="D1316" s="633" t="str">
        <f>РПЗ!$AB1316</f>
        <v>Заказчик</v>
      </c>
      <c r="E1316" s="510" t="s">
        <v>62</v>
      </c>
      <c r="F1316" s="233" t="str">
        <f>РПЗ!Q1316</f>
        <v>ОК</v>
      </c>
      <c r="G1316" s="237" t="str">
        <f>Таблица5[[#This Row],[6]]</f>
        <v>ОК</v>
      </c>
      <c r="H1316" s="237" t="str">
        <f>РПЗ!R1316</f>
        <v>Да</v>
      </c>
      <c r="I1316" s="15">
        <f>РПЗ!W1316</f>
        <v>0</v>
      </c>
      <c r="J1316" s="233">
        <f>РПЗ!X1316</f>
        <v>0</v>
      </c>
      <c r="K1316" s="283">
        <f>РПЗ!Z1316</f>
        <v>0</v>
      </c>
      <c r="L1316" s="17">
        <v>43003</v>
      </c>
      <c r="M1316" s="18">
        <f>РПЗ!O1316</f>
        <v>42979.625</v>
      </c>
      <c r="N1316" s="238">
        <f>Таблица5[[#This Row],[10]]</f>
        <v>42979.625</v>
      </c>
      <c r="O1316" s="17">
        <v>43025</v>
      </c>
      <c r="P1316" s="17">
        <v>43031</v>
      </c>
      <c r="Q1316" s="17">
        <v>43031</v>
      </c>
      <c r="R1316" s="17">
        <v>43034</v>
      </c>
      <c r="S1316" s="17">
        <v>43034</v>
      </c>
      <c r="T1316" s="686">
        <v>43035</v>
      </c>
      <c r="U1316" s="18">
        <f>РПЗ!P1316</f>
        <v>43040.625</v>
      </c>
      <c r="V1316" s="686">
        <v>43040</v>
      </c>
      <c r="W1316" s="236">
        <f>РПЗ!L1316</f>
        <v>1650000</v>
      </c>
      <c r="X1316" s="689">
        <v>1</v>
      </c>
      <c r="Y1316" s="689">
        <v>0</v>
      </c>
      <c r="Z1316" s="691">
        <v>7715784959</v>
      </c>
      <c r="AA1316" s="691" t="s">
        <v>6112</v>
      </c>
      <c r="AB1316" s="111">
        <v>1583357.78</v>
      </c>
      <c r="AC1316" s="17">
        <v>43040</v>
      </c>
      <c r="AD1316" s="690" t="s">
        <v>8201</v>
      </c>
      <c r="AE1316" s="686">
        <v>43035</v>
      </c>
      <c r="AF1316" s="474"/>
      <c r="AG1316" s="692">
        <v>1583357.78</v>
      </c>
      <c r="AH1316" s="236">
        <f>IF(Таблица5[[#This Row],[30]]=0,"НД",Таблица5[[#This Row],[20]]-Таблица5[[#This Row],[30]])</f>
        <v>66642.219999999972</v>
      </c>
      <c r="AI1316" s="511">
        <f>IF(((1-Таблица5[[#This Row],[30]]/Таблица5[[#This Row],[20]])=1),"НД",(1-Таблица5[[#This Row],[30]]/Таблица5[[#This Row],[20]]))</f>
        <v>4.0389224242424193E-2</v>
      </c>
      <c r="AJ1316" s="111">
        <v>1583357.78</v>
      </c>
      <c r="AK1316" s="111"/>
      <c r="AL1316" s="512"/>
      <c r="AM1316" s="513" t="s">
        <v>113</v>
      </c>
      <c r="AN1316" s="801">
        <v>31705553454</v>
      </c>
      <c r="AO1316" s="468" t="str">
        <f>РПЗ!AD1316</f>
        <v>Нет</v>
      </c>
      <c r="AP1316" s="472">
        <f>РПЗ!V1316</f>
        <v>0</v>
      </c>
      <c r="AQ1316" s="470">
        <f>IF(Таблица5[[#This Row],[11]]=0,,MONTH(Таблица5[[#This Row],[11]]))</f>
        <v>9</v>
      </c>
    </row>
    <row r="1317" spans="1:43" ht="38.25" x14ac:dyDescent="0.25">
      <c r="A1317" s="233" t="str">
        <f t="shared" si="20"/>
        <v>1004-2017-1302</v>
      </c>
      <c r="B1317" s="233" t="str">
        <f>РПЗ!$D1317</f>
        <v xml:space="preserve">1004-2017-1302 Поставка  Объектив SWIR M5018-SW </v>
      </c>
      <c r="C1317" s="233" t="str">
        <f>РПЗ!$AA1317</f>
        <v>АО "НИИ "Полюс" им. М.Ф. Стельмаха" тел. отдела закупок 8-495-333-05-02</v>
      </c>
      <c r="D1317" s="633" t="str">
        <f>РПЗ!$AB1317</f>
        <v>Заказчик</v>
      </c>
      <c r="E1317" s="510" t="s">
        <v>59</v>
      </c>
      <c r="F1317" s="233" t="str">
        <f>РПЗ!Q1317</f>
        <v>ОЗК</v>
      </c>
      <c r="G1317" s="237" t="str">
        <f>Таблица5[[#This Row],[6]]</f>
        <v>ОЗК</v>
      </c>
      <c r="H1317" s="237" t="str">
        <f>РПЗ!R1317</f>
        <v>Да</v>
      </c>
      <c r="I1317" s="15">
        <f>РПЗ!W1317</f>
        <v>0</v>
      </c>
      <c r="J1317" s="233">
        <f>РПЗ!X1317</f>
        <v>0</v>
      </c>
      <c r="K1317" s="283">
        <f>РПЗ!Z1317</f>
        <v>0</v>
      </c>
      <c r="L1317" s="17">
        <v>43019</v>
      </c>
      <c r="M1317" s="18">
        <f>РПЗ!O1317</f>
        <v>43009.625</v>
      </c>
      <c r="N1317" s="238">
        <f>Таблица5[[#This Row],[10]]</f>
        <v>43009.625</v>
      </c>
      <c r="O1317" s="17">
        <v>43026</v>
      </c>
      <c r="P1317" s="17">
        <v>43031</v>
      </c>
      <c r="Q1317" s="17">
        <v>43031</v>
      </c>
      <c r="R1317" s="17">
        <v>43031</v>
      </c>
      <c r="S1317" s="17">
        <v>43031</v>
      </c>
      <c r="T1317" s="686"/>
      <c r="U1317" s="18">
        <f>РПЗ!P1317</f>
        <v>43070.625</v>
      </c>
      <c r="V1317" s="686"/>
      <c r="W1317" s="236">
        <f>РПЗ!L1317</f>
        <v>80270</v>
      </c>
      <c r="X1317" s="689">
        <v>0</v>
      </c>
      <c r="Y1317" s="689">
        <v>0</v>
      </c>
      <c r="Z1317" s="690"/>
      <c r="AA1317" s="691"/>
      <c r="AB1317" s="111"/>
      <c r="AC1317" s="17"/>
      <c r="AD1317" s="690"/>
      <c r="AE1317" s="686"/>
      <c r="AF1317" s="474"/>
      <c r="AG1317" s="692"/>
      <c r="AH1317" s="236" t="str">
        <f>IF(Таблица5[[#This Row],[30]]=0,"НД",Таблица5[[#This Row],[20]]-Таблица5[[#This Row],[30]])</f>
        <v>НД</v>
      </c>
      <c r="AI1317" s="511" t="str">
        <f>IF(((1-Таблица5[[#This Row],[30]]/Таблица5[[#This Row],[20]])=1),"НД",(1-Таблица5[[#This Row],[30]]/Таблица5[[#This Row],[20]]))</f>
        <v>НД</v>
      </c>
      <c r="AJ1317" s="111"/>
      <c r="AK1317" s="111"/>
      <c r="AL1317" s="512"/>
      <c r="AM1317" s="513" t="s">
        <v>113</v>
      </c>
      <c r="AN1317" s="801">
        <v>31705611773</v>
      </c>
      <c r="AO1317" s="468" t="str">
        <f>РПЗ!AD1317</f>
        <v>Нет</v>
      </c>
      <c r="AP1317" s="472">
        <f>РПЗ!V1317</f>
        <v>0</v>
      </c>
      <c r="AQ1317" s="470">
        <f>IF(Таблица5[[#This Row],[11]]=0,,MONTH(Таблица5[[#This Row],[11]]))</f>
        <v>10</v>
      </c>
    </row>
    <row r="1318" spans="1:43" ht="38.25" x14ac:dyDescent="0.25">
      <c r="A1318" s="233" t="str">
        <f t="shared" si="20"/>
        <v>1004-2017-1303</v>
      </c>
      <c r="B1318" s="233" t="str">
        <f>РПЗ!$D1318</f>
        <v>1004-2017-1303 Поставка  Печатные платы для изд. ЛД-294</v>
      </c>
      <c r="C1318" s="233" t="str">
        <f>РПЗ!$AA1318</f>
        <v>АО "НИИ "Полюс" им. М.Ф. Стельмаха" тел. отдела закупок 8-495-333-05-02</v>
      </c>
      <c r="D1318" s="633" t="str">
        <f>РПЗ!$AB1318</f>
        <v>Заказчик</v>
      </c>
      <c r="E1318" s="510" t="s">
        <v>62</v>
      </c>
      <c r="F1318" s="233" t="str">
        <f>РПЗ!Q1318</f>
        <v>ЕП</v>
      </c>
      <c r="G1318" s="237" t="str">
        <f>Таблица5[[#This Row],[6]]</f>
        <v>ЕП</v>
      </c>
      <c r="H1318" s="237" t="str">
        <f>РПЗ!R1318</f>
        <v>Нет</v>
      </c>
      <c r="I1318" s="15" t="str">
        <f>РПЗ!W1318</f>
        <v>6.6.2(11)</v>
      </c>
      <c r="J1318" s="233" t="str">
        <f>РПЗ!X1318</f>
        <v>7735127006</v>
      </c>
      <c r="K1318" s="283">
        <f>РПЗ!Z1318</f>
        <v>222283.86</v>
      </c>
      <c r="L1318" s="17">
        <v>42989</v>
      </c>
      <c r="M1318" s="18">
        <f>РПЗ!O1318</f>
        <v>42979.625</v>
      </c>
      <c r="N1318" s="238">
        <f>Таблица5[[#This Row],[10]]</f>
        <v>42979.625</v>
      </c>
      <c r="O1318" s="17"/>
      <c r="P1318" s="17"/>
      <c r="Q1318" s="17"/>
      <c r="R1318" s="17"/>
      <c r="S1318" s="17"/>
      <c r="T1318" s="686">
        <v>43005</v>
      </c>
      <c r="U1318" s="18">
        <f>РПЗ!P1318</f>
        <v>43070.625</v>
      </c>
      <c r="V1318" s="686">
        <v>43070</v>
      </c>
      <c r="W1318" s="236">
        <f>РПЗ!L1318</f>
        <v>222283.86</v>
      </c>
      <c r="X1318" s="689">
        <v>1</v>
      </c>
      <c r="Y1318" s="689">
        <v>0</v>
      </c>
      <c r="Z1318" s="691">
        <v>7735127006</v>
      </c>
      <c r="AA1318" s="691" t="s">
        <v>5767</v>
      </c>
      <c r="AB1318" s="111">
        <v>222283.86</v>
      </c>
      <c r="AC1318" s="17">
        <v>43070</v>
      </c>
      <c r="AD1318" s="690" t="s">
        <v>7204</v>
      </c>
      <c r="AE1318" s="686">
        <v>43005</v>
      </c>
      <c r="AF1318" s="474"/>
      <c r="AG1318" s="692">
        <v>222283.86</v>
      </c>
      <c r="AH1318" s="236">
        <f>IF(Таблица5[[#This Row],[30]]=0,"НД",Таблица5[[#This Row],[20]]-Таблица5[[#This Row],[30]])</f>
        <v>0</v>
      </c>
      <c r="AI1318" s="511">
        <f>IF(((1-Таблица5[[#This Row],[30]]/Таблица5[[#This Row],[20]])=1),"НД",(1-Таблица5[[#This Row],[30]]/Таблица5[[#This Row],[20]]))</f>
        <v>0</v>
      </c>
      <c r="AJ1318" s="111"/>
      <c r="AK1318" s="111"/>
      <c r="AL1318" s="512"/>
      <c r="AM1318" s="513" t="s">
        <v>113</v>
      </c>
      <c r="AN1318" s="801">
        <v>31705546518</v>
      </c>
      <c r="AO1318" s="468" t="str">
        <f>РПЗ!AD1318</f>
        <v>Нет</v>
      </c>
      <c r="AP1318" s="472" t="str">
        <f>РПЗ!V1318</f>
        <v>ГОЗ</v>
      </c>
      <c r="AQ1318" s="470">
        <f>IF(Таблица5[[#This Row],[11]]=0,,MONTH(Таблица5[[#This Row],[11]]))</f>
        <v>9</v>
      </c>
    </row>
    <row r="1319" spans="1:43" ht="38.25" x14ac:dyDescent="0.25">
      <c r="A1319" s="233" t="str">
        <f t="shared" si="20"/>
        <v>1004-2017-1304</v>
      </c>
      <c r="B1319" s="233" t="str">
        <f>РПЗ!$D1319</f>
        <v>1004-2017-1304 закупка услуг страхования залогового имущества</v>
      </c>
      <c r="C1319" s="233" t="str">
        <f>РПЗ!$AA1319</f>
        <v>АО "НИИ "Полюс" им. М.Ф. Стельмаха" тел. отдела закупок 8-495-333-05-02</v>
      </c>
      <c r="D1319" s="633" t="str">
        <f>РПЗ!$AB1319</f>
        <v>ООО "РТ-Страхование"</v>
      </c>
      <c r="E1319" s="510" t="s">
        <v>62</v>
      </c>
      <c r="F1319" s="233" t="str">
        <f>РПЗ!Q1319</f>
        <v>ОЗК</v>
      </c>
      <c r="G1319" s="237" t="str">
        <f>Таблица5[[#This Row],[6]]</f>
        <v>ОЗК</v>
      </c>
      <c r="H1319" s="237" t="str">
        <f>РПЗ!R1319</f>
        <v>Да</v>
      </c>
      <c r="I1319" s="15">
        <f>РПЗ!W1319</f>
        <v>0</v>
      </c>
      <c r="J1319" s="233">
        <f>РПЗ!X1319</f>
        <v>0</v>
      </c>
      <c r="K1319" s="283">
        <f>РПЗ!Z1319</f>
        <v>0</v>
      </c>
      <c r="L1319" s="17">
        <v>43000</v>
      </c>
      <c r="M1319" s="18">
        <f>РПЗ!O1319</f>
        <v>42979.625</v>
      </c>
      <c r="N1319" s="238">
        <f>Таблица5[[#This Row],[10]]</f>
        <v>42979.625</v>
      </c>
      <c r="O1319" s="17">
        <v>43006</v>
      </c>
      <c r="P1319" s="17">
        <v>43007</v>
      </c>
      <c r="Q1319" s="17">
        <v>43007</v>
      </c>
      <c r="R1319" s="17">
        <v>43011</v>
      </c>
      <c r="S1319" s="17">
        <v>43011</v>
      </c>
      <c r="T1319" s="686">
        <v>43055</v>
      </c>
      <c r="U1319" s="18">
        <f>РПЗ!P1319</f>
        <v>43009.625</v>
      </c>
      <c r="V1319" s="686">
        <v>43404</v>
      </c>
      <c r="W1319" s="236">
        <f>РПЗ!L1319</f>
        <v>382853</v>
      </c>
      <c r="X1319" s="689">
        <v>2</v>
      </c>
      <c r="Y1319" s="689">
        <v>0</v>
      </c>
      <c r="Z1319" s="691">
        <v>7710026574</v>
      </c>
      <c r="AA1319" s="691" t="s">
        <v>7176</v>
      </c>
      <c r="AB1319" s="111">
        <v>327962.96000000002</v>
      </c>
      <c r="AC1319" s="17">
        <v>43404</v>
      </c>
      <c r="AD1319" s="690" t="s">
        <v>7708</v>
      </c>
      <c r="AE1319" s="686">
        <v>43055</v>
      </c>
      <c r="AF1319" s="474"/>
      <c r="AG1319" s="692">
        <v>327962.96000000002</v>
      </c>
      <c r="AH1319" s="236">
        <f>IF(Таблица5[[#This Row],[30]]=0,"НД",Таблица5[[#This Row],[20]]-Таблица5[[#This Row],[30]])</f>
        <v>54890.039999999979</v>
      </c>
      <c r="AI1319" s="511">
        <f>IF(((1-Таблица5[[#This Row],[30]]/Таблица5[[#This Row],[20]])=1),"НД",(1-Таблица5[[#This Row],[30]]/Таблица5[[#This Row],[20]]))</f>
        <v>0.14337105886593549</v>
      </c>
      <c r="AJ1319" s="111"/>
      <c r="AK1319" s="111"/>
      <c r="AL1319" s="512"/>
      <c r="AM1319" s="513" t="s">
        <v>113</v>
      </c>
      <c r="AN1319" s="801">
        <v>31705549226</v>
      </c>
      <c r="AO1319" s="468" t="str">
        <f>РПЗ!AD1319</f>
        <v>Нет</v>
      </c>
      <c r="AP1319" s="472" t="str">
        <f>РПЗ!V1319</f>
        <v>ИВД</v>
      </c>
      <c r="AQ1319" s="470">
        <f>IF(Таблица5[[#This Row],[11]]=0,,MONTH(Таблица5[[#This Row],[11]]))</f>
        <v>9</v>
      </c>
    </row>
    <row r="1320" spans="1:43" ht="63.75" x14ac:dyDescent="0.25">
      <c r="A1320" s="233" t="str">
        <f t="shared" si="20"/>
        <v>1004-2017-1305</v>
      </c>
      <c r="B1320" s="233" t="str">
        <f>РПЗ!$D1320</f>
        <v>1004-2017-1305Поставка  ТЛ.0010.00.014, комплект деталей модуля ПОМ ЖГДК.741612.028, комплект деталей модуля ПРОМ ЖГДК.741612.029</v>
      </c>
      <c r="C1320" s="233" t="str">
        <f>РПЗ!$AA1320</f>
        <v>АО "НИИ "Полюс" им. М.Ф. Стельмаха" тел. отдела закупок 8-495-333-05-02</v>
      </c>
      <c r="D1320" s="633" t="str">
        <f>РПЗ!$AB1320</f>
        <v>Заказчик</v>
      </c>
      <c r="E1320" s="510" t="s">
        <v>62</v>
      </c>
      <c r="F1320" s="233" t="str">
        <f>РПЗ!Q1320</f>
        <v>ЕП</v>
      </c>
      <c r="G1320" s="237" t="str">
        <f>Таблица5[[#This Row],[6]]</f>
        <v>ЕП</v>
      </c>
      <c r="H1320" s="237" t="str">
        <f>РПЗ!R1320</f>
        <v>Нет</v>
      </c>
      <c r="I1320" s="15" t="str">
        <f>РПЗ!W1320</f>
        <v>6.6.2(11)</v>
      </c>
      <c r="J1320" s="233" t="str">
        <f>РПЗ!X1320</f>
        <v>7729746311</v>
      </c>
      <c r="K1320" s="283">
        <f>РПЗ!Z1320</f>
        <v>928400</v>
      </c>
      <c r="L1320" s="17">
        <v>42997</v>
      </c>
      <c r="M1320" s="18">
        <f>РПЗ!O1320</f>
        <v>42979.625</v>
      </c>
      <c r="N1320" s="238">
        <f>Таблица5[[#This Row],[10]]</f>
        <v>42979.625</v>
      </c>
      <c r="O1320" s="17"/>
      <c r="P1320" s="17"/>
      <c r="Q1320" s="17"/>
      <c r="R1320" s="17"/>
      <c r="S1320" s="17"/>
      <c r="T1320" s="686">
        <v>43004</v>
      </c>
      <c r="U1320" s="18">
        <f>РПЗ!P1320</f>
        <v>43009.625</v>
      </c>
      <c r="V1320" s="686">
        <v>43009</v>
      </c>
      <c r="W1320" s="236">
        <f>РПЗ!L1320</f>
        <v>928400</v>
      </c>
      <c r="X1320" s="689">
        <v>1</v>
      </c>
      <c r="Y1320" s="689">
        <v>0</v>
      </c>
      <c r="Z1320" s="691">
        <v>7729746311</v>
      </c>
      <c r="AA1320" s="691" t="s">
        <v>3305</v>
      </c>
      <c r="AB1320" s="111">
        <v>928400</v>
      </c>
      <c r="AC1320" s="17">
        <v>43009</v>
      </c>
      <c r="AD1320" s="690" t="s">
        <v>7205</v>
      </c>
      <c r="AE1320" s="686">
        <v>43004</v>
      </c>
      <c r="AF1320" s="474"/>
      <c r="AG1320" s="692">
        <v>928400</v>
      </c>
      <c r="AH1320" s="236">
        <f>IF(Таблица5[[#This Row],[30]]=0,"НД",Таблица5[[#This Row],[20]]-Таблица5[[#This Row],[30]])</f>
        <v>0</v>
      </c>
      <c r="AI1320" s="511">
        <f>IF(((1-Таблица5[[#This Row],[30]]/Таблица5[[#This Row],[20]])=1),"НД",(1-Таблица5[[#This Row],[30]]/Таблица5[[#This Row],[20]]))</f>
        <v>0</v>
      </c>
      <c r="AJ1320" s="111">
        <v>928400</v>
      </c>
      <c r="AK1320" s="111"/>
      <c r="AL1320" s="512"/>
      <c r="AM1320" s="513" t="s">
        <v>113</v>
      </c>
      <c r="AN1320" s="801">
        <v>31705556200</v>
      </c>
      <c r="AO1320" s="468" t="str">
        <f>РПЗ!AD1320</f>
        <v>Нет</v>
      </c>
      <c r="AP1320" s="472" t="str">
        <f>РПЗ!V1320</f>
        <v>ГОЗ</v>
      </c>
      <c r="AQ1320" s="470">
        <f>IF(Таблица5[[#This Row],[11]]=0,,MONTH(Таблица5[[#This Row],[11]]))</f>
        <v>9</v>
      </c>
    </row>
    <row r="1321" spans="1:43" ht="51" x14ac:dyDescent="0.25">
      <c r="A1321" s="233" t="str">
        <f t="shared" si="20"/>
        <v>1004-2017-1306</v>
      </c>
      <c r="B1321" s="233" t="str">
        <f>РПЗ!$D1321</f>
        <v>1004-2017-1306 Выполнеие услуг по Инспекционному контролю испытательного центра в системе добровольной аккредитации</v>
      </c>
      <c r="C1321" s="233" t="str">
        <f>РПЗ!$AA1321</f>
        <v>АО "НИИ "Полюс" им. М.Ф. Стельмаха" тел. отдела закупок 8-495-333-05-02</v>
      </c>
      <c r="D1321" s="633" t="str">
        <f>РПЗ!$AB1321</f>
        <v>Заказчик</v>
      </c>
      <c r="E1321" s="510" t="s">
        <v>62</v>
      </c>
      <c r="F1321" s="233" t="str">
        <f>РПЗ!Q1321</f>
        <v>ЕП</v>
      </c>
      <c r="G1321" s="237" t="str">
        <f>Таблица5[[#This Row],[6]]</f>
        <v>ЕП</v>
      </c>
      <c r="H1321" s="237" t="str">
        <f>РПЗ!R1321</f>
        <v>Нет</v>
      </c>
      <c r="I1321" s="15" t="str">
        <f>РПЗ!W1321</f>
        <v>6.6.2(5)</v>
      </c>
      <c r="J1321" s="233" t="str">
        <f>РПЗ!X1321</f>
        <v>7722321430</v>
      </c>
      <c r="K1321" s="283">
        <f>РПЗ!Z1321</f>
        <v>150000</v>
      </c>
      <c r="L1321" s="17">
        <v>43025</v>
      </c>
      <c r="M1321" s="18">
        <f>РПЗ!O1321</f>
        <v>43009.625</v>
      </c>
      <c r="N1321" s="238">
        <f>Таблица5[[#This Row],[10]]</f>
        <v>43009.625</v>
      </c>
      <c r="O1321" s="17"/>
      <c r="P1321" s="17"/>
      <c r="Q1321" s="17"/>
      <c r="R1321" s="17"/>
      <c r="S1321" s="17"/>
      <c r="T1321" s="686">
        <v>43033</v>
      </c>
      <c r="U1321" s="18">
        <f>РПЗ!P1321</f>
        <v>43009.625</v>
      </c>
      <c r="V1321" s="686">
        <v>43070</v>
      </c>
      <c r="W1321" s="236">
        <f>РПЗ!L1321</f>
        <v>150000</v>
      </c>
      <c r="X1321" s="689">
        <v>1</v>
      </c>
      <c r="Y1321" s="689">
        <v>0</v>
      </c>
      <c r="Z1321" s="691">
        <v>7722321430</v>
      </c>
      <c r="AA1321" s="691" t="s">
        <v>7235</v>
      </c>
      <c r="AB1321" s="111">
        <v>150000</v>
      </c>
      <c r="AC1321" s="17">
        <v>43070</v>
      </c>
      <c r="AD1321" s="690" t="s">
        <v>7236</v>
      </c>
      <c r="AE1321" s="686">
        <v>43033</v>
      </c>
      <c r="AF1321" s="474"/>
      <c r="AG1321" s="692">
        <v>150000</v>
      </c>
      <c r="AH1321" s="236">
        <f>IF(Таблица5[[#This Row],[30]]=0,"НД",Таблица5[[#This Row],[20]]-Таблица5[[#This Row],[30]])</f>
        <v>0</v>
      </c>
      <c r="AI1321" s="511">
        <f>IF(((1-Таблица5[[#This Row],[30]]/Таблица5[[#This Row],[20]])=1),"НД",(1-Таблица5[[#This Row],[30]]/Таблица5[[#This Row],[20]]))</f>
        <v>0</v>
      </c>
      <c r="AJ1321" s="111">
        <v>150000</v>
      </c>
      <c r="AK1321" s="111"/>
      <c r="AL1321" s="512"/>
      <c r="AM1321" s="513" t="s">
        <v>113</v>
      </c>
      <c r="AN1321" s="801">
        <v>31705654802</v>
      </c>
      <c r="AO1321" s="468" t="str">
        <f>РПЗ!AD1321</f>
        <v>Нет</v>
      </c>
      <c r="AP1321" s="472">
        <f>РПЗ!V1321</f>
        <v>0</v>
      </c>
      <c r="AQ1321" s="470">
        <f>IF(Таблица5[[#This Row],[11]]=0,,MONTH(Таблица5[[#This Row],[11]]))</f>
        <v>10</v>
      </c>
    </row>
    <row r="1322" spans="1:43" ht="38.25" x14ac:dyDescent="0.25">
      <c r="A1322" s="233" t="str">
        <f t="shared" si="20"/>
        <v>1004-2017-1307</v>
      </c>
      <c r="B1322" s="233" t="str">
        <f>РПЗ!$D1322</f>
        <v>1004-2017-1307 Поставка комплекта лабораторно-производственной мебели для сборочных операций</v>
      </c>
      <c r="C1322" s="233" t="str">
        <f>РПЗ!$AA1322</f>
        <v>АО "НИИ "Полюс" им. М.Ф. Стельмаха" тел. отдела закупок 8-495-333-05-02</v>
      </c>
      <c r="D1322" s="633" t="str">
        <f>РПЗ!$AB1322</f>
        <v>Заказчик</v>
      </c>
      <c r="E1322" s="510" t="s">
        <v>62</v>
      </c>
      <c r="F1322" s="233" t="str">
        <f>РПЗ!Q1322</f>
        <v>ОЗК</v>
      </c>
      <c r="G1322" s="237" t="s">
        <v>108</v>
      </c>
      <c r="H1322" s="237" t="str">
        <f>РПЗ!R1322</f>
        <v>Да</v>
      </c>
      <c r="I1322" s="15">
        <f>РПЗ!W1322</f>
        <v>0</v>
      </c>
      <c r="J1322" s="233">
        <f>РПЗ!X1322</f>
        <v>0</v>
      </c>
      <c r="K1322" s="283">
        <f>РПЗ!Z1322</f>
        <v>0</v>
      </c>
      <c r="L1322" s="17">
        <v>43039</v>
      </c>
      <c r="M1322" s="18">
        <f>РПЗ!O1322</f>
        <v>43009.625</v>
      </c>
      <c r="N1322" s="238">
        <f>Таблица5[[#This Row],[10]]</f>
        <v>43009.625</v>
      </c>
      <c r="O1322" s="17">
        <v>43046</v>
      </c>
      <c r="P1322" s="17">
        <v>43049</v>
      </c>
      <c r="Q1322" s="17">
        <v>43049</v>
      </c>
      <c r="R1322" s="17">
        <v>43046</v>
      </c>
      <c r="S1322" s="17">
        <v>43046</v>
      </c>
      <c r="T1322" s="686">
        <v>43059</v>
      </c>
      <c r="U1322" s="18">
        <f>РПЗ!P1322</f>
        <v>43070.625</v>
      </c>
      <c r="V1322" s="686">
        <v>43080</v>
      </c>
      <c r="W1322" s="236">
        <f>РПЗ!L1322</f>
        <v>265820.43</v>
      </c>
      <c r="X1322" s="689">
        <v>1</v>
      </c>
      <c r="Y1322" s="689">
        <v>0</v>
      </c>
      <c r="Z1322" s="691">
        <v>3324123093</v>
      </c>
      <c r="AA1322" s="691" t="s">
        <v>8164</v>
      </c>
      <c r="AB1322" s="111">
        <v>212813.6</v>
      </c>
      <c r="AC1322" s="17">
        <v>43080</v>
      </c>
      <c r="AD1322" s="690" t="s">
        <v>8165</v>
      </c>
      <c r="AE1322" s="686">
        <v>43059</v>
      </c>
      <c r="AF1322" s="474"/>
      <c r="AG1322" s="692">
        <v>212813.6</v>
      </c>
      <c r="AH1322" s="236">
        <f>IF(Таблица5[[#This Row],[30]]=0,"НД",Таблица5[[#This Row],[20]]-Таблица5[[#This Row],[30]])</f>
        <v>53006.829999999987</v>
      </c>
      <c r="AI1322" s="511">
        <f>IF(((1-Таблица5[[#This Row],[30]]/Таблица5[[#This Row],[20]])=1),"НД",(1-Таблица5[[#This Row],[30]]/Таблица5[[#This Row],[20]]))</f>
        <v>0.19940841266414322</v>
      </c>
      <c r="AJ1322" s="111"/>
      <c r="AK1322" s="111">
        <v>212813.6</v>
      </c>
      <c r="AL1322" s="512"/>
      <c r="AM1322" s="513" t="s">
        <v>113</v>
      </c>
      <c r="AN1322" s="801">
        <v>31705687536</v>
      </c>
      <c r="AO1322" s="468" t="str">
        <f>РПЗ!AD1322</f>
        <v>Нет</v>
      </c>
      <c r="AP1322" s="472">
        <f>РПЗ!V1322</f>
        <v>0</v>
      </c>
      <c r="AQ1322" s="470">
        <f>IF(Таблица5[[#This Row],[11]]=0,,MONTH(Таблица5[[#This Row],[11]]))</f>
        <v>10</v>
      </c>
    </row>
    <row r="1323" spans="1:43" ht="38.25" x14ac:dyDescent="0.25">
      <c r="A1323" s="233" t="str">
        <f t="shared" si="20"/>
        <v>1004-2017-1308</v>
      </c>
      <c r="B1323" s="233" t="str">
        <f>РПЗ!$D1323</f>
        <v>1004-2017-1308 поставка тепловой энергии</v>
      </c>
      <c r="C1323" s="233" t="str">
        <f>РПЗ!$AA1323</f>
        <v>АО "НИИ "Полюс" им. М.Ф. Стельмаха" тел. отдела закупок 8-495-333-05-02</v>
      </c>
      <c r="D1323" s="633" t="str">
        <f>РПЗ!$AB1323</f>
        <v>Заказчик</v>
      </c>
      <c r="E1323" s="510" t="s">
        <v>62</v>
      </c>
      <c r="F1323" s="233" t="str">
        <f>РПЗ!Q1323</f>
        <v>ЕП</v>
      </c>
      <c r="G1323" s="237" t="str">
        <f>Таблица5[[#This Row],[6]]</f>
        <v>ЕП</v>
      </c>
      <c r="H1323" s="237" t="str">
        <f>РПЗ!R1323</f>
        <v>Нет</v>
      </c>
      <c r="I1323" s="15" t="str">
        <f>РПЗ!W1323</f>
        <v>6.6.2(2)</v>
      </c>
      <c r="J1323" s="233" t="str">
        <f>РПЗ!X1323</f>
        <v>7720518494</v>
      </c>
      <c r="K1323" s="283">
        <f>РПЗ!Z1323</f>
        <v>20000000</v>
      </c>
      <c r="L1323" s="17">
        <v>42992</v>
      </c>
      <c r="M1323" s="18">
        <f>РПЗ!O1323</f>
        <v>42979.625</v>
      </c>
      <c r="N1323" s="238">
        <f>Таблица5[[#This Row],[10]]</f>
        <v>42979.625</v>
      </c>
      <c r="O1323" s="17"/>
      <c r="P1323" s="17"/>
      <c r="Q1323" s="17"/>
      <c r="R1323" s="17"/>
      <c r="S1323" s="17"/>
      <c r="T1323" s="686">
        <v>43019</v>
      </c>
      <c r="U1323" s="18">
        <f>РПЗ!P1323</f>
        <v>43435.625</v>
      </c>
      <c r="V1323" s="686">
        <v>43435</v>
      </c>
      <c r="W1323" s="236">
        <f>РПЗ!L1323</f>
        <v>20000000</v>
      </c>
      <c r="X1323" s="689">
        <v>1</v>
      </c>
      <c r="Y1323" s="689">
        <v>0</v>
      </c>
      <c r="Z1323" s="691">
        <v>7720518494</v>
      </c>
      <c r="AA1323" s="691" t="s">
        <v>6408</v>
      </c>
      <c r="AB1323" s="111">
        <v>20000000</v>
      </c>
      <c r="AC1323" s="17">
        <v>43435</v>
      </c>
      <c r="AD1323" s="690" t="s">
        <v>7244</v>
      </c>
      <c r="AE1323" s="686">
        <v>43019</v>
      </c>
      <c r="AF1323" s="474"/>
      <c r="AG1323" s="692">
        <v>20000000</v>
      </c>
      <c r="AH1323" s="236">
        <f>IF(Таблица5[[#This Row],[30]]=0,"НД",Таблица5[[#This Row],[20]]-Таблица5[[#This Row],[30]])</f>
        <v>0</v>
      </c>
      <c r="AI1323" s="511">
        <f>IF(((1-Таблица5[[#This Row],[30]]/Таблица5[[#This Row],[20]])=1),"НД",(1-Таблица5[[#This Row],[30]]/Таблица5[[#This Row],[20]]))</f>
        <v>0</v>
      </c>
      <c r="AJ1323" s="111"/>
      <c r="AK1323" s="111"/>
      <c r="AL1323" s="512"/>
      <c r="AM1323" s="513" t="s">
        <v>113</v>
      </c>
      <c r="AN1323" s="801">
        <v>31705568918</v>
      </c>
      <c r="AO1323" s="468" t="str">
        <f>РПЗ!AD1323</f>
        <v>Нет</v>
      </c>
      <c r="AP1323" s="472">
        <f>РПЗ!V1323</f>
        <v>0</v>
      </c>
      <c r="AQ1323" s="470">
        <f>IF(Таблица5[[#This Row],[11]]=0,,MONTH(Таблица5[[#This Row],[11]]))</f>
        <v>9</v>
      </c>
    </row>
    <row r="1324" spans="1:43" ht="38.25" x14ac:dyDescent="0.25">
      <c r="A1324" s="233" t="str">
        <f t="shared" si="20"/>
        <v>1004-2017-1309</v>
      </c>
      <c r="B1324" s="233" t="str">
        <f>РПЗ!$D1324</f>
        <v>1004-2017-1309 поставка тепловой энергии</v>
      </c>
      <c r="C1324" s="233" t="str">
        <f>РПЗ!$AA1324</f>
        <v>АО "НИИ "Полюс" им. М.Ф. Стельмаха" тел. отдела закупок 8-495-333-05-02</v>
      </c>
      <c r="D1324" s="633" t="str">
        <f>РПЗ!$AB1324</f>
        <v>Заказчик</v>
      </c>
      <c r="E1324" s="510" t="s">
        <v>62</v>
      </c>
      <c r="F1324" s="233" t="str">
        <f>РПЗ!Q1324</f>
        <v>ЕП</v>
      </c>
      <c r="G1324" s="237" t="str">
        <f>Таблица5[[#This Row],[6]]</f>
        <v>ЕП</v>
      </c>
      <c r="H1324" s="237" t="str">
        <f>РПЗ!R1324</f>
        <v>Нет</v>
      </c>
      <c r="I1324" s="15" t="str">
        <f>РПЗ!W1324</f>
        <v>6.6.2(2)</v>
      </c>
      <c r="J1324" s="233" t="str">
        <f>РПЗ!X1324</f>
        <v>7720518494</v>
      </c>
      <c r="K1324" s="283">
        <f>РПЗ!Z1324</f>
        <v>17760000</v>
      </c>
      <c r="L1324" s="17">
        <v>42993</v>
      </c>
      <c r="M1324" s="18">
        <f>РПЗ!O1324</f>
        <v>42979.625</v>
      </c>
      <c r="N1324" s="238">
        <f>Таблица5[[#This Row],[10]]</f>
        <v>42979.625</v>
      </c>
      <c r="O1324" s="17"/>
      <c r="P1324" s="17"/>
      <c r="Q1324" s="17"/>
      <c r="R1324" s="17"/>
      <c r="S1324" s="17"/>
      <c r="T1324" s="686"/>
      <c r="U1324" s="18">
        <f>РПЗ!P1324</f>
        <v>43435.625</v>
      </c>
      <c r="V1324" s="686">
        <v>43070</v>
      </c>
      <c r="W1324" s="236">
        <f>РПЗ!L1324</f>
        <v>17760000</v>
      </c>
      <c r="X1324" s="689">
        <v>1</v>
      </c>
      <c r="Y1324" s="689">
        <v>0</v>
      </c>
      <c r="Z1324" s="691">
        <v>7720518494</v>
      </c>
      <c r="AA1324" s="691" t="s">
        <v>6408</v>
      </c>
      <c r="AB1324" s="111">
        <v>17760000</v>
      </c>
      <c r="AC1324" s="17">
        <v>43070</v>
      </c>
      <c r="AD1324" s="690" t="s">
        <v>7243</v>
      </c>
      <c r="AE1324" s="686">
        <v>43019</v>
      </c>
      <c r="AF1324" s="474"/>
      <c r="AG1324" s="692">
        <v>17760000</v>
      </c>
      <c r="AH1324" s="236">
        <f>IF(Таблица5[[#This Row],[30]]=0,"НД",Таблица5[[#This Row],[20]]-Таблица5[[#This Row],[30]])</f>
        <v>0</v>
      </c>
      <c r="AI1324" s="511">
        <f>IF(((1-Таблица5[[#This Row],[30]]/Таблица5[[#This Row],[20]])=1),"НД",(1-Таблица5[[#This Row],[30]]/Таблица5[[#This Row],[20]]))</f>
        <v>0</v>
      </c>
      <c r="AJ1324" s="111"/>
      <c r="AK1324" s="111"/>
      <c r="AL1324" s="512"/>
      <c r="AM1324" s="513" t="s">
        <v>113</v>
      </c>
      <c r="AN1324" s="801">
        <v>31705567026</v>
      </c>
      <c r="AO1324" s="468" t="str">
        <f>РПЗ!AD1324</f>
        <v>Нет</v>
      </c>
      <c r="AP1324" s="472">
        <f>РПЗ!V1324</f>
        <v>0</v>
      </c>
      <c r="AQ1324" s="470">
        <f>IF(Таблица5[[#This Row],[11]]=0,,MONTH(Таблица5[[#This Row],[11]]))</f>
        <v>9</v>
      </c>
    </row>
    <row r="1325" spans="1:43" ht="39" thickBot="1" x14ac:dyDescent="0.3">
      <c r="A1325" s="233" t="str">
        <f t="shared" si="20"/>
        <v>1004-2017-1310</v>
      </c>
      <c r="B1325" s="233" t="str">
        <f>РПЗ!$D1325</f>
        <v>1004-2017-1310 поставка датчика пыли для чистых помещений А3-10-0,3</v>
      </c>
      <c r="C1325" s="233" t="str">
        <f>РПЗ!$AA1325</f>
        <v>АО "НИИ "Полюс" им. М.Ф. Стельмаха" тел. отдела закупок 8-495-333-05-02</v>
      </c>
      <c r="D1325" s="633" t="str">
        <f>РПЗ!$AB1325</f>
        <v>Заказчик</v>
      </c>
      <c r="E1325" s="510" t="s">
        <v>62</v>
      </c>
      <c r="F1325" s="233" t="str">
        <f>РПЗ!Q1325</f>
        <v>ОЗК</v>
      </c>
      <c r="G1325" s="237" t="str">
        <f>Таблица5[[#This Row],[6]]</f>
        <v>ОЗК</v>
      </c>
      <c r="H1325" s="237" t="str">
        <f>РПЗ!R1325</f>
        <v>Да</v>
      </c>
      <c r="I1325" s="15">
        <f>РПЗ!W1325</f>
        <v>0</v>
      </c>
      <c r="J1325" s="233">
        <f>РПЗ!X1325</f>
        <v>0</v>
      </c>
      <c r="K1325" s="283">
        <f>РПЗ!Z1325</f>
        <v>0</v>
      </c>
      <c r="L1325" s="17">
        <v>43019</v>
      </c>
      <c r="M1325" s="18">
        <f>РПЗ!O1325</f>
        <v>43009.625</v>
      </c>
      <c r="N1325" s="238">
        <f>Таблица5[[#This Row],[10]]</f>
        <v>43009.625</v>
      </c>
      <c r="O1325" s="17">
        <v>43026</v>
      </c>
      <c r="P1325" s="17">
        <v>43031</v>
      </c>
      <c r="Q1325" s="17">
        <v>43031</v>
      </c>
      <c r="R1325" s="17">
        <v>43027</v>
      </c>
      <c r="S1325" s="17">
        <v>43027</v>
      </c>
      <c r="T1325" s="686">
        <v>43038</v>
      </c>
      <c r="U1325" s="18">
        <f>РПЗ!P1325</f>
        <v>43070.625</v>
      </c>
      <c r="V1325" s="686">
        <v>43100</v>
      </c>
      <c r="W1325" s="236">
        <f>РПЗ!L1325</f>
        <v>230000</v>
      </c>
      <c r="X1325" s="689">
        <v>2</v>
      </c>
      <c r="Y1325" s="689">
        <v>0</v>
      </c>
      <c r="Z1325" s="691">
        <v>7726747934</v>
      </c>
      <c r="AA1325" s="691" t="s">
        <v>8185</v>
      </c>
      <c r="AB1325" s="111">
        <v>230000</v>
      </c>
      <c r="AC1325" s="17">
        <v>43100</v>
      </c>
      <c r="AD1325" s="690" t="s">
        <v>8186</v>
      </c>
      <c r="AE1325" s="686">
        <v>43038</v>
      </c>
      <c r="AF1325" s="474"/>
      <c r="AG1325" s="692">
        <v>230000</v>
      </c>
      <c r="AH1325" s="236">
        <f>IF(Таблица5[[#This Row],[30]]=0,"НД",Таблица5[[#This Row],[20]]-Таблица5[[#This Row],[30]])</f>
        <v>0</v>
      </c>
      <c r="AI1325" s="511">
        <f>IF(((1-Таблица5[[#This Row],[30]]/Таблица5[[#This Row],[20]])=1),"НД",(1-Таблица5[[#This Row],[30]]/Таблица5[[#This Row],[20]]))</f>
        <v>0</v>
      </c>
      <c r="AJ1325" s="111"/>
      <c r="AK1325" s="111">
        <v>230000</v>
      </c>
      <c r="AL1325" s="512"/>
      <c r="AM1325" s="513" t="s">
        <v>113</v>
      </c>
      <c r="AN1325" s="801">
        <v>31705611829</v>
      </c>
      <c r="AO1325" s="468" t="str">
        <f>РПЗ!AD1325</f>
        <v>Нет</v>
      </c>
      <c r="AP1325" s="472">
        <f>РПЗ!V1325</f>
        <v>0</v>
      </c>
      <c r="AQ1325" s="470">
        <f>IF(Таблица5[[#This Row],[11]]=0,,MONTH(Таблица5[[#This Row],[11]]))</f>
        <v>10</v>
      </c>
    </row>
    <row r="1326" spans="1:43" ht="51.75" thickBot="1" x14ac:dyDescent="0.3">
      <c r="A1326" s="233" t="str">
        <f t="shared" si="20"/>
        <v>1004-2017-1311</v>
      </c>
      <c r="B1326" s="233" t="str">
        <f>РПЗ!$D1326</f>
        <v>1004-2017-1311 организация и проведение закупок в соответствии с Единым положением о закупке Гос. корпорации «Ростех»</v>
      </c>
      <c r="C1326" s="233" t="str">
        <f>РПЗ!$AA1326</f>
        <v>АО "НИИ "Полюс" им. М.Ф. Стельмаха" тел. отдела закупок 8-495-333-05-02</v>
      </c>
      <c r="D1326" s="633" t="str">
        <f>РПЗ!$AB1326</f>
        <v>Заказчик</v>
      </c>
      <c r="E1326" s="96" t="s">
        <v>46</v>
      </c>
      <c r="F1326" s="233" t="str">
        <f>РПЗ!Q1326</f>
        <v>ЕП</v>
      </c>
      <c r="G1326" s="237"/>
      <c r="H1326" s="237" t="str">
        <f>РПЗ!R1326</f>
        <v>Нет</v>
      </c>
      <c r="I1326" s="15">
        <f>РПЗ!W1326</f>
        <v>0</v>
      </c>
      <c r="J1326" s="233">
        <f>РПЗ!X1326</f>
        <v>0</v>
      </c>
      <c r="K1326" s="283">
        <f>РПЗ!Z1326</f>
        <v>0</v>
      </c>
      <c r="L1326" s="17"/>
      <c r="M1326" s="18">
        <f>РПЗ!O1326</f>
        <v>42979.625</v>
      </c>
      <c r="N1326" s="238">
        <f>Таблица5[[#This Row],[10]]</f>
        <v>42979.625</v>
      </c>
      <c r="O1326" s="17"/>
      <c r="P1326" s="17"/>
      <c r="Q1326" s="17"/>
      <c r="R1326" s="17"/>
      <c r="S1326" s="17"/>
      <c r="T1326" s="686"/>
      <c r="U1326" s="18">
        <f>РПЗ!P1326</f>
        <v>43709.625</v>
      </c>
      <c r="V1326" s="686"/>
      <c r="W1326" s="236">
        <f>РПЗ!L1326</f>
        <v>5000000</v>
      </c>
      <c r="X1326" s="689"/>
      <c r="Y1326" s="689"/>
      <c r="Z1326" s="690"/>
      <c r="AA1326" s="691"/>
      <c r="AB1326" s="111"/>
      <c r="AC1326" s="17"/>
      <c r="AD1326" s="690"/>
      <c r="AE1326" s="686"/>
      <c r="AF1326" s="474"/>
      <c r="AG1326" s="692"/>
      <c r="AH1326" s="236" t="str">
        <f>IF(Таблица5[[#This Row],[30]]=0,"НД",Таблица5[[#This Row],[20]]-Таблица5[[#This Row],[30]])</f>
        <v>НД</v>
      </c>
      <c r="AI1326" s="511" t="str">
        <f>IF(((1-Таблица5[[#This Row],[30]]/Таблица5[[#This Row],[20]])=1),"НД",(1-Таблица5[[#This Row],[30]]/Таблица5[[#This Row],[20]]))</f>
        <v>НД</v>
      </c>
      <c r="AJ1326" s="111"/>
      <c r="AK1326" s="111"/>
      <c r="AL1326" s="512"/>
      <c r="AM1326" s="513"/>
      <c r="AN1326" s="465"/>
      <c r="AO1326" s="468" t="str">
        <f>РПЗ!AD1326</f>
        <v>Нет</v>
      </c>
      <c r="AP1326" s="472">
        <f>РПЗ!V1326</f>
        <v>0</v>
      </c>
      <c r="AQ1326" s="470">
        <f>IF(Таблица5[[#This Row],[11]]=0,,MONTH(Таблица5[[#This Row],[11]]))</f>
        <v>9</v>
      </c>
    </row>
    <row r="1327" spans="1:43" ht="51" x14ac:dyDescent="0.25">
      <c r="A1327" s="233" t="str">
        <f t="shared" si="20"/>
        <v>1004-2017-1312</v>
      </c>
      <c r="B1327" s="233" t="str">
        <f>РПЗ!$D1327</f>
        <v>1004-2017-1312 организация и проведение закупок в соответствии с Единым положением о закупке Гос. корпорации «Ростех»</v>
      </c>
      <c r="C1327" s="233" t="str">
        <f>РПЗ!$AA1327</f>
        <v>АО "НИИ "Полюс" им. М.Ф. Стельмаха" тел. отдела закупок 8-495-333-05-02</v>
      </c>
      <c r="D1327" s="633" t="str">
        <f>РПЗ!$AB1327</f>
        <v>Заказчик</v>
      </c>
      <c r="E1327" s="96" t="s">
        <v>46</v>
      </c>
      <c r="F1327" s="233" t="str">
        <f>РПЗ!Q1327</f>
        <v>ЕП</v>
      </c>
      <c r="G1327" s="237"/>
      <c r="H1327" s="237" t="str">
        <f>РПЗ!R1327</f>
        <v>Нет</v>
      </c>
      <c r="I1327" s="15">
        <f>РПЗ!W1327</f>
        <v>0</v>
      </c>
      <c r="J1327" s="233">
        <f>РПЗ!X1327</f>
        <v>0</v>
      </c>
      <c r="K1327" s="283">
        <f>РПЗ!Z1327</f>
        <v>0</v>
      </c>
      <c r="L1327" s="17"/>
      <c r="M1327" s="18">
        <f>РПЗ!O1327</f>
        <v>42979.625</v>
      </c>
      <c r="N1327" s="238">
        <f>Таблица5[[#This Row],[10]]</f>
        <v>42979.625</v>
      </c>
      <c r="O1327" s="17"/>
      <c r="P1327" s="17"/>
      <c r="Q1327" s="17"/>
      <c r="R1327" s="17"/>
      <c r="S1327" s="17"/>
      <c r="T1327" s="686"/>
      <c r="U1327" s="18">
        <f>РПЗ!P1327</f>
        <v>43709.625</v>
      </c>
      <c r="V1327" s="686"/>
      <c r="W1327" s="236">
        <f>РПЗ!L1327</f>
        <v>5000000</v>
      </c>
      <c r="X1327" s="689"/>
      <c r="Y1327" s="689"/>
      <c r="Z1327" s="690"/>
      <c r="AA1327" s="691"/>
      <c r="AB1327" s="111"/>
      <c r="AC1327" s="17"/>
      <c r="AD1327" s="690"/>
      <c r="AE1327" s="686"/>
      <c r="AF1327" s="474"/>
      <c r="AG1327" s="692"/>
      <c r="AH1327" s="236" t="str">
        <f>IF(Таблица5[[#This Row],[30]]=0,"НД",Таблица5[[#This Row],[20]]-Таблица5[[#This Row],[30]])</f>
        <v>НД</v>
      </c>
      <c r="AI1327" s="511" t="str">
        <f>IF(((1-Таблица5[[#This Row],[30]]/Таблица5[[#This Row],[20]])=1),"НД",(1-Таблица5[[#This Row],[30]]/Таблица5[[#This Row],[20]]))</f>
        <v>НД</v>
      </c>
      <c r="AJ1327" s="111"/>
      <c r="AK1327" s="111"/>
      <c r="AL1327" s="512"/>
      <c r="AM1327" s="513"/>
      <c r="AN1327" s="465"/>
      <c r="AO1327" s="468" t="str">
        <f>РПЗ!AD1327</f>
        <v>Нет</v>
      </c>
      <c r="AP1327" s="472">
        <f>РПЗ!V1327</f>
        <v>0</v>
      </c>
      <c r="AQ1327" s="470">
        <f>IF(Таблица5[[#This Row],[11]]=0,,MONTH(Таблица5[[#This Row],[11]]))</f>
        <v>9</v>
      </c>
    </row>
    <row r="1328" spans="1:43" ht="38.25" x14ac:dyDescent="0.25">
      <c r="A1328" s="233" t="str">
        <f t="shared" si="20"/>
        <v>1004-2017-1313</v>
      </c>
      <c r="B1328" s="233" t="str">
        <f>РПЗ!$D1328</f>
        <v>1004-2017-1313 Поставка Оптические детали ОМЗ</v>
      </c>
      <c r="C1328" s="233" t="str">
        <f>РПЗ!$AA1328</f>
        <v>АО "НИИ "Полюс" им. М.Ф. Стельмаха" тел. отдела закупок 8-495-333-05-02</v>
      </c>
      <c r="D1328" s="633" t="str">
        <f>РПЗ!$AB1328</f>
        <v>Заказчик</v>
      </c>
      <c r="E1328" s="510" t="s">
        <v>62</v>
      </c>
      <c r="F1328" s="233" t="str">
        <f>РПЗ!Q1328</f>
        <v>ЕП</v>
      </c>
      <c r="G1328" s="237" t="str">
        <f>Таблица5[[#This Row],[6]]</f>
        <v>ЕП</v>
      </c>
      <c r="H1328" s="237" t="str">
        <f>РПЗ!R1328</f>
        <v>Нет</v>
      </c>
      <c r="I1328" s="15" t="str">
        <f>РПЗ!W1328</f>
        <v>6.6.2(11)</v>
      </c>
      <c r="J1328" s="233" t="str">
        <f>РПЗ!X1328</f>
        <v>5033007610</v>
      </c>
      <c r="K1328" s="283">
        <f>РПЗ!Z1328</f>
        <v>2847614.12</v>
      </c>
      <c r="L1328" s="17">
        <v>43019</v>
      </c>
      <c r="M1328" s="18">
        <f>РПЗ!O1328</f>
        <v>43009.625</v>
      </c>
      <c r="N1328" s="238">
        <f>Таблица5[[#This Row],[10]]</f>
        <v>43009.625</v>
      </c>
      <c r="O1328" s="17"/>
      <c r="P1328" s="17"/>
      <c r="Q1328" s="17"/>
      <c r="R1328" s="17"/>
      <c r="S1328" s="17"/>
      <c r="T1328" s="686">
        <v>43026</v>
      </c>
      <c r="U1328" s="18">
        <f>РПЗ!P1328</f>
        <v>43070.625</v>
      </c>
      <c r="V1328" s="686">
        <v>43070</v>
      </c>
      <c r="W1328" s="236">
        <f>РПЗ!L1328</f>
        <v>2847614.12</v>
      </c>
      <c r="X1328" s="689">
        <v>1</v>
      </c>
      <c r="Y1328" s="689">
        <v>0</v>
      </c>
      <c r="Z1328" s="691">
        <v>5033007610</v>
      </c>
      <c r="AA1328" s="691" t="s">
        <v>2401</v>
      </c>
      <c r="AB1328" s="111">
        <v>2847614.12</v>
      </c>
      <c r="AC1328" s="17">
        <v>43070</v>
      </c>
      <c r="AD1328" s="690" t="s">
        <v>7212</v>
      </c>
      <c r="AE1328" s="686">
        <v>43026</v>
      </c>
      <c r="AF1328" s="474"/>
      <c r="AG1328" s="692">
        <v>2847614.12</v>
      </c>
      <c r="AH1328" s="236">
        <f>IF(Таблица5[[#This Row],[30]]=0,"НД",Таблица5[[#This Row],[20]]-Таблица5[[#This Row],[30]])</f>
        <v>0</v>
      </c>
      <c r="AI1328" s="511">
        <f>IF(((1-Таблица5[[#This Row],[30]]/Таблица5[[#This Row],[20]])=1),"НД",(1-Таблица5[[#This Row],[30]]/Таблица5[[#This Row],[20]]))</f>
        <v>0</v>
      </c>
      <c r="AJ1328" s="111"/>
      <c r="AK1328" s="111"/>
      <c r="AL1328" s="512"/>
      <c r="AM1328" s="513" t="s">
        <v>113</v>
      </c>
      <c r="AN1328" s="801">
        <v>31705618629</v>
      </c>
      <c r="AO1328" s="468" t="str">
        <f>РПЗ!AD1328</f>
        <v>Нет</v>
      </c>
      <c r="AP1328" s="472">
        <f>РПЗ!V1328</f>
        <v>0</v>
      </c>
      <c r="AQ1328" s="470">
        <f>IF(Таблица5[[#This Row],[11]]=0,,MONTH(Таблица5[[#This Row],[11]]))</f>
        <v>10</v>
      </c>
    </row>
    <row r="1329" spans="1:43" ht="76.5" x14ac:dyDescent="0.25">
      <c r="A1329" s="233" t="str">
        <f t="shared" si="20"/>
        <v>1004-2017-1314</v>
      </c>
      <c r="B1329" s="233" t="str">
        <f>РПЗ!$D1329</f>
        <v>1004-2017-1314 Поставка  Оптические детали АЭРОМАШ</v>
      </c>
      <c r="C1329" s="233" t="str">
        <f>РПЗ!$AA1329</f>
        <v>АО "НИИ "Полюс" им. М.Ф. Стельмаха" тел. отдела закупок 8-495-333-05-02</v>
      </c>
      <c r="D1329" s="633" t="str">
        <f>РПЗ!$AB1329</f>
        <v>Заказчик</v>
      </c>
      <c r="E1329" s="510" t="s">
        <v>62</v>
      </c>
      <c r="F1329" s="233" t="str">
        <f>РПЗ!Q1329</f>
        <v>ЕП</v>
      </c>
      <c r="G1329" s="237" t="str">
        <f>Таблица5[[#This Row],[6]]</f>
        <v>ЕП</v>
      </c>
      <c r="H1329" s="237" t="str">
        <f>РПЗ!R1329</f>
        <v>Нет</v>
      </c>
      <c r="I1329" s="15" t="str">
        <f>РПЗ!W1329</f>
        <v>6.6.2(11)</v>
      </c>
      <c r="J1329" s="233" t="str">
        <f>РПЗ!X1329</f>
        <v>101394957</v>
      </c>
      <c r="K1329" s="283">
        <f>РПЗ!Z1329</f>
        <v>1923582</v>
      </c>
      <c r="L1329" s="17">
        <v>43014</v>
      </c>
      <c r="M1329" s="18">
        <f>РПЗ!O1329</f>
        <v>43009.625</v>
      </c>
      <c r="N1329" s="238">
        <f>Таблица5[[#This Row],[10]]</f>
        <v>43009.625</v>
      </c>
      <c r="O1329" s="17"/>
      <c r="P1329" s="17"/>
      <c r="Q1329" s="17"/>
      <c r="R1329" s="17"/>
      <c r="S1329" s="17"/>
      <c r="T1329" s="686">
        <v>43021</v>
      </c>
      <c r="U1329" s="18">
        <f>РПЗ!P1329</f>
        <v>43160.625</v>
      </c>
      <c r="V1329" s="686">
        <v>43160</v>
      </c>
      <c r="W1329" s="236">
        <f>РПЗ!L1329</f>
        <v>1923582</v>
      </c>
      <c r="X1329" s="689">
        <v>1</v>
      </c>
      <c r="Y1329" s="689">
        <v>0</v>
      </c>
      <c r="Z1329" s="691">
        <v>101394957</v>
      </c>
      <c r="AA1329" s="691" t="s">
        <v>7218</v>
      </c>
      <c r="AB1329" s="111">
        <v>1923582</v>
      </c>
      <c r="AC1329" s="17">
        <v>43160</v>
      </c>
      <c r="AD1329" s="690" t="s">
        <v>7219</v>
      </c>
      <c r="AE1329" s="686">
        <v>43021</v>
      </c>
      <c r="AF1329" s="474"/>
      <c r="AG1329" s="692">
        <v>1923582</v>
      </c>
      <c r="AH1329" s="236">
        <f>IF(Таблица5[[#This Row],[30]]=0,"НД",Таблица5[[#This Row],[20]]-Таблица5[[#This Row],[30]])</f>
        <v>0</v>
      </c>
      <c r="AI1329" s="511">
        <f>IF(((1-Таблица5[[#This Row],[30]]/Таблица5[[#This Row],[20]])=1),"НД",(1-Таблица5[[#This Row],[30]]/Таблица5[[#This Row],[20]]))</f>
        <v>0</v>
      </c>
      <c r="AJ1329" s="111"/>
      <c r="AK1329" s="111"/>
      <c r="AL1329" s="512"/>
      <c r="AM1329" s="513" t="s">
        <v>113</v>
      </c>
      <c r="AN1329" s="801">
        <v>31705606191</v>
      </c>
      <c r="AO1329" s="468" t="str">
        <f>РПЗ!AD1329</f>
        <v>Нет</v>
      </c>
      <c r="AP1329" s="472">
        <f>РПЗ!V1329</f>
        <v>0</v>
      </c>
      <c r="AQ1329" s="470">
        <f>IF(Таблица5[[#This Row],[11]]=0,,MONTH(Таблица5[[#This Row],[11]]))</f>
        <v>10</v>
      </c>
    </row>
    <row r="1330" spans="1:43" ht="38.25" x14ac:dyDescent="0.25">
      <c r="A1330" s="233" t="str">
        <f t="shared" si="20"/>
        <v>1004-2017-1315</v>
      </c>
      <c r="B1330" s="233" t="str">
        <f>РПЗ!$D1330</f>
        <v>1004-2017-1315 Разработка КД и изготовление колпака для вакуумной печи "Tesla"</v>
      </c>
      <c r="C1330" s="233" t="str">
        <f>РПЗ!$AA1330</f>
        <v>АО "НИИ "Полюс" им. М.Ф. Стельмаха" тел. отдела закупок 8-495-333-05-02</v>
      </c>
      <c r="D1330" s="633" t="str">
        <f>РПЗ!$AB1330</f>
        <v>Заказчик</v>
      </c>
      <c r="E1330" s="510" t="s">
        <v>62</v>
      </c>
      <c r="F1330" s="233" t="str">
        <f>РПЗ!Q1330</f>
        <v>ОЗК</v>
      </c>
      <c r="G1330" s="237" t="s">
        <v>108</v>
      </c>
      <c r="H1330" s="237" t="str">
        <f>РПЗ!R1330</f>
        <v>Да</v>
      </c>
      <c r="I1330" s="15">
        <f>РПЗ!W1330</f>
        <v>0</v>
      </c>
      <c r="J1330" s="233">
        <f>РПЗ!X1330</f>
        <v>0</v>
      </c>
      <c r="K1330" s="283">
        <f>РПЗ!Z1330</f>
        <v>0</v>
      </c>
      <c r="L1330" s="17">
        <v>43033</v>
      </c>
      <c r="M1330" s="18">
        <f>РПЗ!O1330</f>
        <v>43009.625</v>
      </c>
      <c r="N1330" s="238">
        <f>Таблица5[[#This Row],[10]]</f>
        <v>43009.625</v>
      </c>
      <c r="O1330" s="17">
        <v>43039</v>
      </c>
      <c r="P1330" s="17">
        <v>43042</v>
      </c>
      <c r="Q1330" s="17">
        <v>43042</v>
      </c>
      <c r="R1330" s="17">
        <v>43039</v>
      </c>
      <c r="S1330" s="17">
        <v>43039</v>
      </c>
      <c r="T1330" s="686">
        <v>43059</v>
      </c>
      <c r="U1330" s="18">
        <f>РПЗ!P1330</f>
        <v>43101.625</v>
      </c>
      <c r="V1330" s="686">
        <v>43101</v>
      </c>
      <c r="W1330" s="236">
        <f>РПЗ!L1330</f>
        <v>396166.67</v>
      </c>
      <c r="X1330" s="689">
        <v>2</v>
      </c>
      <c r="Y1330" s="689">
        <v>0</v>
      </c>
      <c r="Z1330" s="691">
        <v>3321019129</v>
      </c>
      <c r="AA1330" s="691" t="s">
        <v>8173</v>
      </c>
      <c r="AB1330" s="111">
        <v>147900</v>
      </c>
      <c r="AC1330" s="17">
        <v>43101</v>
      </c>
      <c r="AD1330" s="690" t="s">
        <v>8174</v>
      </c>
      <c r="AE1330" s="686">
        <v>43059</v>
      </c>
      <c r="AF1330" s="474"/>
      <c r="AG1330" s="692">
        <v>147900</v>
      </c>
      <c r="AH1330" s="236">
        <f>IF(Таблица5[[#This Row],[30]]=0,"НД",Таблица5[[#This Row],[20]]-Таблица5[[#This Row],[30]])</f>
        <v>248266.66999999998</v>
      </c>
      <c r="AI1330" s="511">
        <f>IF(((1-Таблица5[[#This Row],[30]]/Таблица5[[#This Row],[20]])=1),"НД",(1-Таблица5[[#This Row],[30]]/Таблица5[[#This Row],[20]]))</f>
        <v>0.62667227911929091</v>
      </c>
      <c r="AJ1330" s="111"/>
      <c r="AK1330" s="111">
        <v>147900</v>
      </c>
      <c r="AL1330" s="512"/>
      <c r="AM1330" s="513" t="s">
        <v>113</v>
      </c>
      <c r="AN1330" s="801">
        <v>31705662000</v>
      </c>
      <c r="AO1330" s="468" t="str">
        <f>РПЗ!AD1330</f>
        <v>Нет</v>
      </c>
      <c r="AP1330" s="472">
        <f>РПЗ!V1330</f>
        <v>0</v>
      </c>
      <c r="AQ1330" s="470">
        <f>IF(Таблица5[[#This Row],[11]]=0,,MONTH(Таблица5[[#This Row],[11]]))</f>
        <v>10</v>
      </c>
    </row>
    <row r="1331" spans="1:43" ht="39" thickBot="1" x14ac:dyDescent="0.3">
      <c r="A1331" s="233" t="str">
        <f t="shared" si="20"/>
        <v>1004-2017-1316</v>
      </c>
      <c r="B1331" s="233" t="str">
        <f>РПЗ!$D1331</f>
        <v>1004-2017-1316 Поставка Датчик Heidenhain RON 285C</v>
      </c>
      <c r="C1331" s="233" t="str">
        <f>РПЗ!$AA1331</f>
        <v>АО "НИИ "Полюс" им. М.Ф. Стельмаха" тел. отдела закупок 8-495-333-05-02</v>
      </c>
      <c r="D1331" s="633" t="str">
        <f>РПЗ!$AB1331</f>
        <v>Заказчик</v>
      </c>
      <c r="E1331" s="510" t="s">
        <v>62</v>
      </c>
      <c r="F1331" s="233" t="str">
        <f>РПЗ!Q1331</f>
        <v>ЕП</v>
      </c>
      <c r="G1331" s="237" t="str">
        <f>Таблица5[[#This Row],[6]]</f>
        <v>ЕП</v>
      </c>
      <c r="H1331" s="237" t="str">
        <f>РПЗ!R1331</f>
        <v>Нет</v>
      </c>
      <c r="I1331" s="15" t="str">
        <f>РПЗ!W1331</f>
        <v>6.6.2(38)</v>
      </c>
      <c r="J1331" s="233" t="str">
        <f>РПЗ!X1331</f>
        <v>7604209086</v>
      </c>
      <c r="K1331" s="283">
        <f>РПЗ!Z1331</f>
        <v>348213</v>
      </c>
      <c r="L1331" s="17">
        <v>43003</v>
      </c>
      <c r="M1331" s="18">
        <f>РПЗ!O1331</f>
        <v>42979.625</v>
      </c>
      <c r="N1331" s="238">
        <f>Таблица5[[#This Row],[10]]</f>
        <v>42979.625</v>
      </c>
      <c r="O1331" s="17"/>
      <c r="P1331" s="17"/>
      <c r="Q1331" s="17"/>
      <c r="R1331" s="17"/>
      <c r="S1331" s="17"/>
      <c r="T1331" s="686">
        <v>43010</v>
      </c>
      <c r="U1331" s="18">
        <f>РПЗ!P1331</f>
        <v>43009.625</v>
      </c>
      <c r="V1331" s="686">
        <v>43070</v>
      </c>
      <c r="W1331" s="236">
        <f>РПЗ!L1331</f>
        <v>348213</v>
      </c>
      <c r="X1331" s="689">
        <v>1</v>
      </c>
      <c r="Y1331" s="689">
        <v>0</v>
      </c>
      <c r="Z1331" s="691">
        <v>7604209086</v>
      </c>
      <c r="AA1331" s="691" t="s">
        <v>7241</v>
      </c>
      <c r="AB1331" s="111">
        <v>348213</v>
      </c>
      <c r="AC1331" s="17">
        <v>43070</v>
      </c>
      <c r="AD1331" s="690" t="s">
        <v>7242</v>
      </c>
      <c r="AE1331" s="686">
        <v>43010</v>
      </c>
      <c r="AF1331" s="474"/>
      <c r="AG1331" s="692">
        <v>348213</v>
      </c>
      <c r="AH1331" s="236">
        <f>IF(Таблица5[[#This Row],[30]]=0,"НД",Таблица5[[#This Row],[20]]-Таблица5[[#This Row],[30]])</f>
        <v>0</v>
      </c>
      <c r="AI1331" s="511">
        <f>IF(((1-Таблица5[[#This Row],[30]]/Таблица5[[#This Row],[20]])=1),"НД",(1-Таблица5[[#This Row],[30]]/Таблица5[[#This Row],[20]]))</f>
        <v>0</v>
      </c>
      <c r="AJ1331" s="111"/>
      <c r="AK1331" s="111"/>
      <c r="AL1331" s="512"/>
      <c r="AM1331" s="513" t="s">
        <v>113</v>
      </c>
      <c r="AN1331" s="801">
        <v>31705569324</v>
      </c>
      <c r="AO1331" s="468" t="str">
        <f>РПЗ!AD1331</f>
        <v>Нет</v>
      </c>
      <c r="AP1331" s="472">
        <f>РПЗ!V1331</f>
        <v>0</v>
      </c>
      <c r="AQ1331" s="470">
        <f>IF(Таблица5[[#This Row],[11]]=0,,MONTH(Таблица5[[#This Row],[11]]))</f>
        <v>9</v>
      </c>
    </row>
    <row r="1332" spans="1:43" ht="39" thickBot="1" x14ac:dyDescent="0.3">
      <c r="A1332" s="233" t="str">
        <f t="shared" ref="A1332:A1395" si="21">INDEX(Диапазон1,ROW(), COLUMN())</f>
        <v>1004-2017-1317</v>
      </c>
      <c r="B1332" s="233" t="str">
        <f>РПЗ!$D1332</f>
        <v xml:space="preserve">1004-2017-1317 заключение договора на поставку строительных материалов </v>
      </c>
      <c r="C1332" s="233" t="str">
        <f>РПЗ!$AA1332</f>
        <v>АО "НИИ "Полюс" им. М.Ф. Стельмаха" тел. отдела закупок 8-495-333-05-02</v>
      </c>
      <c r="D1332" s="633" t="str">
        <f>РПЗ!$AB1332</f>
        <v>Заказчик</v>
      </c>
      <c r="E1332" s="96" t="s">
        <v>46</v>
      </c>
      <c r="F1332" s="233" t="str">
        <f>РПЗ!Q1332</f>
        <v>ОК</v>
      </c>
      <c r="G1332" s="237"/>
      <c r="H1332" s="237" t="str">
        <f>РПЗ!R1332</f>
        <v>Да</v>
      </c>
      <c r="I1332" s="15">
        <f>РПЗ!W1332</f>
        <v>0</v>
      </c>
      <c r="J1332" s="233">
        <f>РПЗ!X1332</f>
        <v>0</v>
      </c>
      <c r="K1332" s="283">
        <f>РПЗ!Z1332</f>
        <v>0</v>
      </c>
      <c r="L1332" s="17"/>
      <c r="M1332" s="18">
        <f>РПЗ!O1332</f>
        <v>43009.625</v>
      </c>
      <c r="N1332" s="238">
        <f>Таблица5[[#This Row],[10]]</f>
        <v>43009.625</v>
      </c>
      <c r="O1332" s="17"/>
      <c r="P1332" s="17"/>
      <c r="Q1332" s="17"/>
      <c r="R1332" s="17"/>
      <c r="S1332" s="17"/>
      <c r="T1332" s="686"/>
      <c r="U1332" s="18">
        <f>РПЗ!P1332</f>
        <v>43070.625</v>
      </c>
      <c r="V1332" s="686"/>
      <c r="W1332" s="236">
        <f>РПЗ!L1332</f>
        <v>395000</v>
      </c>
      <c r="X1332" s="689"/>
      <c r="Y1332" s="689"/>
      <c r="Z1332" s="690"/>
      <c r="AA1332" s="691"/>
      <c r="AB1332" s="111"/>
      <c r="AC1332" s="17"/>
      <c r="AD1332" s="690"/>
      <c r="AE1332" s="686"/>
      <c r="AF1332" s="474"/>
      <c r="AG1332" s="692"/>
      <c r="AH1332" s="236" t="str">
        <f>IF(Таблица5[[#This Row],[30]]=0,"НД",Таблица5[[#This Row],[20]]-Таблица5[[#This Row],[30]])</f>
        <v>НД</v>
      </c>
      <c r="AI1332" s="511" t="str">
        <f>IF(((1-Таблица5[[#This Row],[30]]/Таблица5[[#This Row],[20]])=1),"НД",(1-Таблица5[[#This Row],[30]]/Таблица5[[#This Row],[20]]))</f>
        <v>НД</v>
      </c>
      <c r="AJ1332" s="111"/>
      <c r="AK1332" s="111"/>
      <c r="AL1332" s="512"/>
      <c r="AM1332" s="513"/>
      <c r="AN1332" s="465"/>
      <c r="AO1332" s="468" t="str">
        <f>РПЗ!AD1332</f>
        <v>Нет</v>
      </c>
      <c r="AP1332" s="472">
        <f>РПЗ!V1332</f>
        <v>0</v>
      </c>
      <c r="AQ1332" s="470">
        <f>IF(Таблица5[[#This Row],[11]]=0,,MONTH(Таблица5[[#This Row],[11]]))</f>
        <v>10</v>
      </c>
    </row>
    <row r="1333" spans="1:43" ht="38.25" x14ac:dyDescent="0.25">
      <c r="A1333" s="233" t="str">
        <f t="shared" si="21"/>
        <v>1004-2017-1318</v>
      </c>
      <c r="B1333" s="233" t="str">
        <f>РПЗ!$D1333</f>
        <v xml:space="preserve">1004-2017-1318 заключение договора на поставку строительных материалов </v>
      </c>
      <c r="C1333" s="233" t="str">
        <f>РПЗ!$AA1333</f>
        <v>АО "НИИ "Полюс" им. М.Ф. Стельмаха" тел. отдела закупок 8-495-333-05-02</v>
      </c>
      <c r="D1333" s="633" t="str">
        <f>РПЗ!$AB1333</f>
        <v>Заказчик</v>
      </c>
      <c r="E1333" s="96" t="s">
        <v>46</v>
      </c>
      <c r="F1333" s="233" t="str">
        <f>РПЗ!Q1333</f>
        <v>ОК</v>
      </c>
      <c r="G1333" s="237"/>
      <c r="H1333" s="237" t="str">
        <f>РПЗ!R1333</f>
        <v>Да</v>
      </c>
      <c r="I1333" s="15">
        <f>РПЗ!W1333</f>
        <v>0</v>
      </c>
      <c r="J1333" s="233">
        <f>РПЗ!X1333</f>
        <v>0</v>
      </c>
      <c r="K1333" s="283">
        <f>РПЗ!Z1333</f>
        <v>0</v>
      </c>
      <c r="L1333" s="17"/>
      <c r="M1333" s="18">
        <f>РПЗ!O1333</f>
        <v>43009.625</v>
      </c>
      <c r="N1333" s="238">
        <f>Таблица5[[#This Row],[10]]</f>
        <v>43009.625</v>
      </c>
      <c r="O1333" s="17"/>
      <c r="P1333" s="17"/>
      <c r="Q1333" s="17"/>
      <c r="R1333" s="17"/>
      <c r="S1333" s="17"/>
      <c r="T1333" s="686"/>
      <c r="U1333" s="18">
        <f>РПЗ!P1333</f>
        <v>43070.625</v>
      </c>
      <c r="V1333" s="686"/>
      <c r="W1333" s="236">
        <f>РПЗ!L1333</f>
        <v>325000</v>
      </c>
      <c r="X1333" s="689"/>
      <c r="Y1333" s="689"/>
      <c r="Z1333" s="690"/>
      <c r="AA1333" s="691"/>
      <c r="AB1333" s="111"/>
      <c r="AC1333" s="17"/>
      <c r="AD1333" s="690"/>
      <c r="AE1333" s="686"/>
      <c r="AF1333" s="474"/>
      <c r="AG1333" s="692"/>
      <c r="AH1333" s="236" t="str">
        <f>IF(Таблица5[[#This Row],[30]]=0,"НД",Таблица5[[#This Row],[20]]-Таблица5[[#This Row],[30]])</f>
        <v>НД</v>
      </c>
      <c r="AI1333" s="511" t="str">
        <f>IF(((1-Таблица5[[#This Row],[30]]/Таблица5[[#This Row],[20]])=1),"НД",(1-Таблица5[[#This Row],[30]]/Таблица5[[#This Row],[20]]))</f>
        <v>НД</v>
      </c>
      <c r="AJ1333" s="111"/>
      <c r="AK1333" s="111"/>
      <c r="AL1333" s="512"/>
      <c r="AM1333" s="513"/>
      <c r="AN1333" s="465"/>
      <c r="AO1333" s="468" t="str">
        <f>РПЗ!AD1333</f>
        <v>Нет</v>
      </c>
      <c r="AP1333" s="472">
        <f>РПЗ!V1333</f>
        <v>0</v>
      </c>
      <c r="AQ1333" s="470">
        <f>IF(Таблица5[[#This Row],[11]]=0,,MONTH(Таблица5[[#This Row],[11]]))</f>
        <v>10</v>
      </c>
    </row>
    <row r="1334" spans="1:43" ht="63.75" x14ac:dyDescent="0.25">
      <c r="A1334" s="233" t="str">
        <f t="shared" si="21"/>
        <v>1004-2017-1319</v>
      </c>
      <c r="B1334" s="233" t="str">
        <f>РПЗ!$D1334</f>
        <v>1004-2017-1319 Поставка канцелярских товаров</v>
      </c>
      <c r="C1334" s="233" t="str">
        <f>РПЗ!$AA1334</f>
        <v>АО "НИИ "Полюс" им. М.Ф. Стельмаха" тел. отдела закупок 8-495-333-05-02</v>
      </c>
      <c r="D1334" s="633" t="str">
        <f>РПЗ!$AB1334</f>
        <v>Заказчик</v>
      </c>
      <c r="E1334" s="510" t="s">
        <v>62</v>
      </c>
      <c r="F1334" s="233" t="str">
        <f>РПЗ!Q1334</f>
        <v>ОЗК</v>
      </c>
      <c r="G1334" s="237" t="str">
        <f>Таблица5[[#This Row],[6]]</f>
        <v>ОЗК</v>
      </c>
      <c r="H1334" s="237" t="str">
        <f>РПЗ!R1334</f>
        <v>Да</v>
      </c>
      <c r="I1334" s="15">
        <f>РПЗ!W1334</f>
        <v>0</v>
      </c>
      <c r="J1334" s="233">
        <f>РПЗ!X1334</f>
        <v>0</v>
      </c>
      <c r="K1334" s="283">
        <f>РПЗ!Z1334</f>
        <v>0</v>
      </c>
      <c r="L1334" s="17">
        <v>43014</v>
      </c>
      <c r="M1334" s="18">
        <f>РПЗ!O1334</f>
        <v>43009.625</v>
      </c>
      <c r="N1334" s="238">
        <f>Таблица5[[#This Row],[10]]</f>
        <v>43009.625</v>
      </c>
      <c r="O1334" s="17">
        <v>43020</v>
      </c>
      <c r="P1334" s="17">
        <v>43025</v>
      </c>
      <c r="Q1334" s="17">
        <v>43025</v>
      </c>
      <c r="R1334" s="17">
        <v>43025</v>
      </c>
      <c r="S1334" s="17">
        <v>43025</v>
      </c>
      <c r="T1334" s="686">
        <v>43035</v>
      </c>
      <c r="U1334" s="18">
        <f>РПЗ!P1334</f>
        <v>43009.625</v>
      </c>
      <c r="V1334" s="686">
        <v>43100</v>
      </c>
      <c r="W1334" s="236">
        <f>РПЗ!L1334</f>
        <v>1023923.64</v>
      </c>
      <c r="X1334" s="689">
        <v>3</v>
      </c>
      <c r="Y1334" s="689">
        <v>0</v>
      </c>
      <c r="Z1334" s="691">
        <v>7723716712</v>
      </c>
      <c r="AA1334" s="691" t="s">
        <v>6881</v>
      </c>
      <c r="AB1334" s="111">
        <v>832084.44</v>
      </c>
      <c r="AC1334" s="17">
        <v>43100</v>
      </c>
      <c r="AD1334" s="690" t="s">
        <v>8192</v>
      </c>
      <c r="AE1334" s="686">
        <v>43035</v>
      </c>
      <c r="AF1334" s="474"/>
      <c r="AG1334" s="692">
        <v>832084.44</v>
      </c>
      <c r="AH1334" s="236">
        <f>IF(Таблица5[[#This Row],[30]]=0,"НД",Таблица5[[#This Row],[20]]-Таблица5[[#This Row],[30]])</f>
        <v>191839.20000000007</v>
      </c>
      <c r="AI1334" s="511">
        <f>IF(((1-Таблица5[[#This Row],[30]]/Таблица5[[#This Row],[20]])=1),"НД",(1-Таблица5[[#This Row],[30]]/Таблица5[[#This Row],[20]]))</f>
        <v>0.18735694001556602</v>
      </c>
      <c r="AJ1334" s="111"/>
      <c r="AK1334" s="111">
        <v>832084.44</v>
      </c>
      <c r="AL1334" s="512"/>
      <c r="AM1334" s="513" t="s">
        <v>113</v>
      </c>
      <c r="AN1334" s="801">
        <v>31705598156</v>
      </c>
      <c r="AO1334" s="468" t="str">
        <f>РПЗ!AD1334</f>
        <v>Нет</v>
      </c>
      <c r="AP1334" s="472">
        <f>РПЗ!V1334</f>
        <v>0</v>
      </c>
      <c r="AQ1334" s="470">
        <f>IF(Таблица5[[#This Row],[11]]=0,,MONTH(Таблица5[[#This Row],[11]]))</f>
        <v>10</v>
      </c>
    </row>
    <row r="1335" spans="1:43" ht="38.25" x14ac:dyDescent="0.25">
      <c r="A1335" s="233" t="str">
        <f t="shared" si="21"/>
        <v>1004-2017-1320</v>
      </c>
      <c r="B1335" s="233" t="str">
        <f>РПЗ!$D1335</f>
        <v>1004-2017-1320Поставка  Заточный станок ЗСВ-25</v>
      </c>
      <c r="C1335" s="233" t="str">
        <f>РПЗ!$AA1335</f>
        <v>АО "НИИ "Полюс" им. М.Ф. Стельмаха" тел. отдела закупок 8-495-333-05-02</v>
      </c>
      <c r="D1335" s="633" t="str">
        <f>РПЗ!$AB1335</f>
        <v>Заказчик</v>
      </c>
      <c r="E1335" s="510" t="s">
        <v>62</v>
      </c>
      <c r="F1335" s="233" t="str">
        <f>РПЗ!Q1335</f>
        <v>ОЗК</v>
      </c>
      <c r="G1335" s="237" t="str">
        <f>Таблица5[[#This Row],[6]]</f>
        <v>ОЗК</v>
      </c>
      <c r="H1335" s="237" t="str">
        <f>РПЗ!R1335</f>
        <v>Да</v>
      </c>
      <c r="I1335" s="15">
        <f>РПЗ!W1335</f>
        <v>0</v>
      </c>
      <c r="J1335" s="233">
        <f>РПЗ!X1335</f>
        <v>0</v>
      </c>
      <c r="K1335" s="283">
        <f>РПЗ!Z1335</f>
        <v>0</v>
      </c>
      <c r="L1335" s="17">
        <v>43018</v>
      </c>
      <c r="M1335" s="18">
        <f>РПЗ!O1335</f>
        <v>43009.625</v>
      </c>
      <c r="N1335" s="238">
        <f>Таблица5[[#This Row],[10]]</f>
        <v>43009.625</v>
      </c>
      <c r="O1335" s="17">
        <v>43026</v>
      </c>
      <c r="P1335" s="17">
        <v>43031</v>
      </c>
      <c r="Q1335" s="17">
        <v>43031</v>
      </c>
      <c r="R1335" s="17">
        <v>43026</v>
      </c>
      <c r="S1335" s="17">
        <v>43026</v>
      </c>
      <c r="T1335" s="686">
        <v>43046</v>
      </c>
      <c r="U1335" s="18">
        <f>РПЗ!P1335</f>
        <v>43070.625</v>
      </c>
      <c r="V1335" s="686">
        <v>43069</v>
      </c>
      <c r="W1335" s="236">
        <f>РПЗ!L1335</f>
        <v>93100</v>
      </c>
      <c r="X1335" s="689">
        <v>1</v>
      </c>
      <c r="Y1335" s="689">
        <v>0</v>
      </c>
      <c r="Z1335" s="691">
        <v>7721662525</v>
      </c>
      <c r="AA1335" s="691" t="s">
        <v>8190</v>
      </c>
      <c r="AB1335" s="111">
        <v>92300</v>
      </c>
      <c r="AC1335" s="17">
        <v>43069</v>
      </c>
      <c r="AD1335" s="690" t="s">
        <v>8191</v>
      </c>
      <c r="AE1335" s="686">
        <v>43046</v>
      </c>
      <c r="AF1335" s="474"/>
      <c r="AG1335" s="692">
        <v>92300</v>
      </c>
      <c r="AH1335" s="236">
        <f>IF(Таблица5[[#This Row],[30]]=0,"НД",Таблица5[[#This Row],[20]]-Таблица5[[#This Row],[30]])</f>
        <v>800</v>
      </c>
      <c r="AI1335" s="511">
        <f>IF(((1-Таблица5[[#This Row],[30]]/Таблица5[[#This Row],[20]])=1),"НД",(1-Таблица5[[#This Row],[30]]/Таблица5[[#This Row],[20]]))</f>
        <v>8.5929108485499617E-3</v>
      </c>
      <c r="AJ1335" s="111"/>
      <c r="AK1335" s="111">
        <v>92300</v>
      </c>
      <c r="AL1335" s="512"/>
      <c r="AM1335" s="513" t="s">
        <v>113</v>
      </c>
      <c r="AN1335" s="801">
        <v>31705609260</v>
      </c>
      <c r="AO1335" s="468" t="str">
        <f>РПЗ!AD1335</f>
        <v>Нет</v>
      </c>
      <c r="AP1335" s="472">
        <f>РПЗ!V1335</f>
        <v>0</v>
      </c>
      <c r="AQ1335" s="470">
        <f>IF(Таблица5[[#This Row],[11]]=0,,MONTH(Таблица5[[#This Row],[11]]))</f>
        <v>10</v>
      </c>
    </row>
    <row r="1336" spans="1:43" ht="39" thickBot="1" x14ac:dyDescent="0.3">
      <c r="A1336" s="233" t="str">
        <f t="shared" si="21"/>
        <v>1004-2017-1321</v>
      </c>
      <c r="B1336" s="233" t="str">
        <f>РПЗ!$D1336</f>
        <v>1004-2017-1321Поставка  Плата ЖГДК.758773.012</v>
      </c>
      <c r="C1336" s="233" t="str">
        <f>РПЗ!$AA1336</f>
        <v>АО "НИИ "Полюс" им. М.Ф. Стельмаха" тел. отдела закупок 8-495-333-05-02</v>
      </c>
      <c r="D1336" s="633" t="str">
        <f>РПЗ!$AB1336</f>
        <v>Заказчик</v>
      </c>
      <c r="E1336" s="510" t="s">
        <v>62</v>
      </c>
      <c r="F1336" s="233" t="str">
        <f>РПЗ!Q1336</f>
        <v>ЕП</v>
      </c>
      <c r="G1336" s="237" t="str">
        <f>Таблица5[[#This Row],[6]]</f>
        <v>ЕП</v>
      </c>
      <c r="H1336" s="237" t="str">
        <f>РПЗ!R1336</f>
        <v>Нет</v>
      </c>
      <c r="I1336" s="15" t="str">
        <f>РПЗ!W1336</f>
        <v>6.6.2(11)</v>
      </c>
      <c r="J1336" s="233" t="str">
        <f>РПЗ!X1336</f>
        <v>5321031176</v>
      </c>
      <c r="K1336" s="283">
        <f>РПЗ!Z1336</f>
        <v>929250</v>
      </c>
      <c r="L1336" s="17">
        <v>43047</v>
      </c>
      <c r="M1336" s="18">
        <f>РПЗ!O1336</f>
        <v>43040.625</v>
      </c>
      <c r="N1336" s="238">
        <f>Таблица5[[#This Row],[10]]</f>
        <v>43040.625</v>
      </c>
      <c r="O1336" s="17"/>
      <c r="P1336" s="17"/>
      <c r="Q1336" s="17"/>
      <c r="R1336" s="17"/>
      <c r="S1336" s="17"/>
      <c r="T1336" s="686">
        <v>43077</v>
      </c>
      <c r="U1336" s="18">
        <f>РПЗ!P1336</f>
        <v>43070.625</v>
      </c>
      <c r="V1336" s="686">
        <v>43070</v>
      </c>
      <c r="W1336" s="236">
        <f>РПЗ!L1336</f>
        <v>929250</v>
      </c>
      <c r="X1336" s="689">
        <v>1</v>
      </c>
      <c r="Y1336" s="689">
        <v>0</v>
      </c>
      <c r="Z1336" s="691">
        <v>5321031176</v>
      </c>
      <c r="AA1336" s="691" t="s">
        <v>8037</v>
      </c>
      <c r="AB1336" s="111">
        <v>929250</v>
      </c>
      <c r="AC1336" s="17">
        <v>43070</v>
      </c>
      <c r="AD1336" s="690" t="s">
        <v>8038</v>
      </c>
      <c r="AE1336" s="686">
        <v>43077</v>
      </c>
      <c r="AF1336" s="474"/>
      <c r="AG1336" s="692">
        <v>929250</v>
      </c>
      <c r="AH1336" s="236">
        <f>IF(Таблица5[[#This Row],[30]]=0,"НД",Таблица5[[#This Row],[20]]-Таблица5[[#This Row],[30]])</f>
        <v>0</v>
      </c>
      <c r="AI1336" s="511">
        <f>IF(((1-Таблица5[[#This Row],[30]]/Таблица5[[#This Row],[20]])=1),"НД",(1-Таблица5[[#This Row],[30]]/Таблица5[[#This Row],[20]]))</f>
        <v>0</v>
      </c>
      <c r="AJ1336" s="111"/>
      <c r="AK1336" s="111"/>
      <c r="AL1336" s="512"/>
      <c r="AM1336" s="513" t="s">
        <v>113</v>
      </c>
      <c r="AN1336" s="801">
        <v>31705772937</v>
      </c>
      <c r="AO1336" s="468" t="str">
        <f>РПЗ!AD1336</f>
        <v>Нет</v>
      </c>
      <c r="AP1336" s="472" t="str">
        <f>РПЗ!V1336</f>
        <v>ГОЗ</v>
      </c>
      <c r="AQ1336" s="470">
        <f>IF(Таблица5[[#This Row],[11]]=0,,MONTH(Таблица5[[#This Row],[11]]))</f>
        <v>11</v>
      </c>
    </row>
    <row r="1337" spans="1:43" ht="39" thickBot="1" x14ac:dyDescent="0.3">
      <c r="A1337" s="233" t="str">
        <f t="shared" si="21"/>
        <v>1004-2017-1322</v>
      </c>
      <c r="B1337" s="233" t="str">
        <f>РПЗ!$D1337</f>
        <v>1004-2017-1322 Поставка  Плата ЖГДК.758773.012</v>
      </c>
      <c r="C1337" s="233" t="str">
        <f>РПЗ!$AA1337</f>
        <v>АО "НИИ "Полюс" им. М.Ф. Стельмаха" тел. отдела закупок 8-495-333-05-02</v>
      </c>
      <c r="D1337" s="633" t="str">
        <f>РПЗ!$AB1337</f>
        <v>Заказчик</v>
      </c>
      <c r="E1337" s="96" t="s">
        <v>46</v>
      </c>
      <c r="F1337" s="233" t="str">
        <f>РПЗ!Q1337</f>
        <v>ЕП</v>
      </c>
      <c r="G1337" s="237"/>
      <c r="H1337" s="237" t="str">
        <f>РПЗ!R1337</f>
        <v>Нет</v>
      </c>
      <c r="I1337" s="15">
        <f>РПЗ!W1337</f>
        <v>0</v>
      </c>
      <c r="J1337" s="233">
        <f>РПЗ!X1337</f>
        <v>0</v>
      </c>
      <c r="K1337" s="283">
        <f>РПЗ!Z1337</f>
        <v>0</v>
      </c>
      <c r="L1337" s="17"/>
      <c r="M1337" s="18">
        <f>РПЗ!O1337</f>
        <v>43009.625</v>
      </c>
      <c r="N1337" s="238">
        <f>Таблица5[[#This Row],[10]]</f>
        <v>43009.625</v>
      </c>
      <c r="O1337" s="17"/>
      <c r="P1337" s="17"/>
      <c r="Q1337" s="17"/>
      <c r="R1337" s="17"/>
      <c r="S1337" s="17"/>
      <c r="T1337" s="686"/>
      <c r="U1337" s="18">
        <f>РПЗ!P1337</f>
        <v>43070.625</v>
      </c>
      <c r="V1337" s="686"/>
      <c r="W1337" s="236">
        <f>РПЗ!L1337</f>
        <v>387417.59999999998</v>
      </c>
      <c r="X1337" s="689"/>
      <c r="Y1337" s="689"/>
      <c r="Z1337" s="690"/>
      <c r="AA1337" s="691"/>
      <c r="AB1337" s="111"/>
      <c r="AC1337" s="17"/>
      <c r="AD1337" s="690"/>
      <c r="AE1337" s="686"/>
      <c r="AF1337" s="474"/>
      <c r="AG1337" s="692"/>
      <c r="AH1337" s="236" t="str">
        <f>IF(Таблица5[[#This Row],[30]]=0,"НД",Таблица5[[#This Row],[20]]-Таблица5[[#This Row],[30]])</f>
        <v>НД</v>
      </c>
      <c r="AI1337" s="511" t="str">
        <f>IF(((1-Таблица5[[#This Row],[30]]/Таблица5[[#This Row],[20]])=1),"НД",(1-Таблица5[[#This Row],[30]]/Таблица5[[#This Row],[20]]))</f>
        <v>НД</v>
      </c>
      <c r="AJ1337" s="111"/>
      <c r="AK1337" s="111"/>
      <c r="AL1337" s="512"/>
      <c r="AM1337" s="513"/>
      <c r="AN1337" s="465"/>
      <c r="AO1337" s="468" t="str">
        <f>РПЗ!AD1337</f>
        <v>Нет</v>
      </c>
      <c r="AP1337" s="472">
        <f>РПЗ!V1337</f>
        <v>0</v>
      </c>
      <c r="AQ1337" s="470">
        <f>IF(Таблица5[[#This Row],[11]]=0,,MONTH(Таблица5[[#This Row],[11]]))</f>
        <v>10</v>
      </c>
    </row>
    <row r="1338" spans="1:43" ht="39" thickBot="1" x14ac:dyDescent="0.3">
      <c r="A1338" s="233" t="str">
        <f t="shared" si="21"/>
        <v>1004-2017-1323</v>
      </c>
      <c r="B1338" s="233" t="str">
        <f>РПЗ!$D1338</f>
        <v>1004-2017-1323 Поставка   Плата ЖГДК.758773.012</v>
      </c>
      <c r="C1338" s="233" t="str">
        <f>РПЗ!$AA1338</f>
        <v>АО "НИИ "Полюс" им. М.Ф. Стельмаха" тел. отдела закупок 8-495-333-05-02</v>
      </c>
      <c r="D1338" s="633" t="str">
        <f>РПЗ!$AB1338</f>
        <v>Заказчик</v>
      </c>
      <c r="E1338" s="96" t="s">
        <v>46</v>
      </c>
      <c r="F1338" s="233" t="str">
        <f>РПЗ!Q1338</f>
        <v>ЕП</v>
      </c>
      <c r="G1338" s="237"/>
      <c r="H1338" s="237" t="str">
        <f>РПЗ!R1338</f>
        <v>Нет</v>
      </c>
      <c r="I1338" s="15">
        <f>РПЗ!W1338</f>
        <v>0</v>
      </c>
      <c r="J1338" s="233">
        <f>РПЗ!X1338</f>
        <v>0</v>
      </c>
      <c r="K1338" s="283">
        <f>РПЗ!Z1338</f>
        <v>0</v>
      </c>
      <c r="L1338" s="17"/>
      <c r="M1338" s="18">
        <f>РПЗ!O1338</f>
        <v>43009.625</v>
      </c>
      <c r="N1338" s="238">
        <f>Таблица5[[#This Row],[10]]</f>
        <v>43009.625</v>
      </c>
      <c r="O1338" s="17"/>
      <c r="P1338" s="17"/>
      <c r="Q1338" s="17"/>
      <c r="R1338" s="17"/>
      <c r="S1338" s="17"/>
      <c r="T1338" s="686"/>
      <c r="U1338" s="18">
        <f>РПЗ!P1338</f>
        <v>43070.625</v>
      </c>
      <c r="V1338" s="686"/>
      <c r="W1338" s="236">
        <f>РПЗ!L1338</f>
        <v>302670</v>
      </c>
      <c r="X1338" s="689"/>
      <c r="Y1338" s="689"/>
      <c r="Z1338" s="690"/>
      <c r="AA1338" s="691"/>
      <c r="AB1338" s="111"/>
      <c r="AC1338" s="17"/>
      <c r="AD1338" s="690"/>
      <c r="AE1338" s="686"/>
      <c r="AF1338" s="474"/>
      <c r="AG1338" s="692"/>
      <c r="AH1338" s="236" t="str">
        <f>IF(Таблица5[[#This Row],[30]]=0,"НД",Таблица5[[#This Row],[20]]-Таблица5[[#This Row],[30]])</f>
        <v>НД</v>
      </c>
      <c r="AI1338" s="511" t="str">
        <f>IF(((1-Таблица5[[#This Row],[30]]/Таблица5[[#This Row],[20]])=1),"НД",(1-Таблица5[[#This Row],[30]]/Таблица5[[#This Row],[20]]))</f>
        <v>НД</v>
      </c>
      <c r="AJ1338" s="111"/>
      <c r="AK1338" s="111"/>
      <c r="AL1338" s="512"/>
      <c r="AM1338" s="513"/>
      <c r="AN1338" s="465"/>
      <c r="AO1338" s="468" t="str">
        <f>РПЗ!AD1338</f>
        <v>Нет</v>
      </c>
      <c r="AP1338" s="472">
        <f>РПЗ!V1338</f>
        <v>0</v>
      </c>
      <c r="AQ1338" s="470">
        <f>IF(Таблица5[[#This Row],[11]]=0,,MONTH(Таблица5[[#This Row],[11]]))</f>
        <v>10</v>
      </c>
    </row>
    <row r="1339" spans="1:43" ht="39" thickBot="1" x14ac:dyDescent="0.3">
      <c r="A1339" s="233" t="str">
        <f t="shared" si="21"/>
        <v>1004-2017-1324</v>
      </c>
      <c r="B1339" s="233" t="str">
        <f>РПЗ!$D1339</f>
        <v>1004-2017-1324 Поставка  Плата ЖГДК.758773.012</v>
      </c>
      <c r="C1339" s="233" t="str">
        <f>РПЗ!$AA1339</f>
        <v>АО "НИИ "Полюс" им. М.Ф. Стельмаха" тел. отдела закупок 8-495-333-05-02</v>
      </c>
      <c r="D1339" s="633" t="str">
        <f>РПЗ!$AB1339</f>
        <v>Заказчик</v>
      </c>
      <c r="E1339" s="96" t="s">
        <v>46</v>
      </c>
      <c r="F1339" s="233" t="str">
        <f>РПЗ!Q1339</f>
        <v>ЕП</v>
      </c>
      <c r="G1339" s="237"/>
      <c r="H1339" s="237" t="str">
        <f>РПЗ!R1339</f>
        <v>Нет</v>
      </c>
      <c r="I1339" s="15">
        <f>РПЗ!W1339</f>
        <v>0</v>
      </c>
      <c r="J1339" s="233">
        <f>РПЗ!X1339</f>
        <v>0</v>
      </c>
      <c r="K1339" s="283">
        <f>РПЗ!Z1339</f>
        <v>0</v>
      </c>
      <c r="L1339" s="17"/>
      <c r="M1339" s="18">
        <f>РПЗ!O1339</f>
        <v>43009.625</v>
      </c>
      <c r="N1339" s="238">
        <f>Таблица5[[#This Row],[10]]</f>
        <v>43009.625</v>
      </c>
      <c r="O1339" s="17"/>
      <c r="P1339" s="17"/>
      <c r="Q1339" s="17"/>
      <c r="R1339" s="17"/>
      <c r="S1339" s="17"/>
      <c r="T1339" s="686"/>
      <c r="U1339" s="18">
        <f>РПЗ!P1339</f>
        <v>43070.625</v>
      </c>
      <c r="V1339" s="686"/>
      <c r="W1339" s="236">
        <f>РПЗ!L1339</f>
        <v>157388.4</v>
      </c>
      <c r="X1339" s="689"/>
      <c r="Y1339" s="689"/>
      <c r="Z1339" s="690"/>
      <c r="AA1339" s="691"/>
      <c r="AB1339" s="111"/>
      <c r="AC1339" s="17"/>
      <c r="AD1339" s="690"/>
      <c r="AE1339" s="686"/>
      <c r="AF1339" s="474"/>
      <c r="AG1339" s="692"/>
      <c r="AH1339" s="236" t="str">
        <f>IF(Таблица5[[#This Row],[30]]=0,"НД",Таблица5[[#This Row],[20]]-Таблица5[[#This Row],[30]])</f>
        <v>НД</v>
      </c>
      <c r="AI1339" s="511" t="str">
        <f>IF(((1-Таблица5[[#This Row],[30]]/Таблица5[[#This Row],[20]])=1),"НД",(1-Таблица5[[#This Row],[30]]/Таблица5[[#This Row],[20]]))</f>
        <v>НД</v>
      </c>
      <c r="AJ1339" s="111"/>
      <c r="AK1339" s="111"/>
      <c r="AL1339" s="512"/>
      <c r="AM1339" s="513"/>
      <c r="AN1339" s="465"/>
      <c r="AO1339" s="468" t="str">
        <f>РПЗ!AD1339</f>
        <v>Нет</v>
      </c>
      <c r="AP1339" s="472">
        <f>РПЗ!V1339</f>
        <v>0</v>
      </c>
      <c r="AQ1339" s="470">
        <f>IF(Таблица5[[#This Row],[11]]=0,,MONTH(Таблица5[[#This Row],[11]]))</f>
        <v>10</v>
      </c>
    </row>
    <row r="1340" spans="1:43" ht="39" thickBot="1" x14ac:dyDescent="0.3">
      <c r="A1340" s="233" t="str">
        <f t="shared" si="21"/>
        <v>1004-2017-1325</v>
      </c>
      <c r="B1340" s="233" t="str">
        <f>РПЗ!$D1340</f>
        <v>1004-2017-1325 Поставка Плата ЖГДК.758773.012</v>
      </c>
      <c r="C1340" s="233" t="str">
        <f>РПЗ!$AA1340</f>
        <v>АО "НИИ "Полюс" им. М.Ф. Стельмаха" тел. отдела закупок 8-495-333-05-02</v>
      </c>
      <c r="D1340" s="633" t="str">
        <f>РПЗ!$AB1340</f>
        <v>Заказчик</v>
      </c>
      <c r="E1340" s="96" t="s">
        <v>46</v>
      </c>
      <c r="F1340" s="233" t="str">
        <f>РПЗ!Q1340</f>
        <v>ЕП</v>
      </c>
      <c r="G1340" s="237"/>
      <c r="H1340" s="237" t="str">
        <f>РПЗ!R1340</f>
        <v>Нет</v>
      </c>
      <c r="I1340" s="15">
        <f>РПЗ!W1340</f>
        <v>0</v>
      </c>
      <c r="J1340" s="233">
        <f>РПЗ!X1340</f>
        <v>0</v>
      </c>
      <c r="K1340" s="283">
        <f>РПЗ!Z1340</f>
        <v>0</v>
      </c>
      <c r="L1340" s="17"/>
      <c r="M1340" s="18">
        <f>РПЗ!O1340</f>
        <v>43009.625</v>
      </c>
      <c r="N1340" s="238">
        <f>Таблица5[[#This Row],[10]]</f>
        <v>43009.625</v>
      </c>
      <c r="O1340" s="17"/>
      <c r="P1340" s="17"/>
      <c r="Q1340" s="17"/>
      <c r="R1340" s="17"/>
      <c r="S1340" s="17"/>
      <c r="T1340" s="686"/>
      <c r="U1340" s="18">
        <f>РПЗ!P1340</f>
        <v>43070.625</v>
      </c>
      <c r="V1340" s="686"/>
      <c r="W1340" s="236">
        <f>РПЗ!L1340</f>
        <v>115014.6</v>
      </c>
      <c r="X1340" s="689"/>
      <c r="Y1340" s="689"/>
      <c r="Z1340" s="690"/>
      <c r="AA1340" s="691"/>
      <c r="AB1340" s="111"/>
      <c r="AC1340" s="17"/>
      <c r="AD1340" s="690"/>
      <c r="AE1340" s="686"/>
      <c r="AF1340" s="474"/>
      <c r="AG1340" s="692"/>
      <c r="AH1340" s="236" t="str">
        <f>IF(Таблица5[[#This Row],[30]]=0,"НД",Таблица5[[#This Row],[20]]-Таблица5[[#This Row],[30]])</f>
        <v>НД</v>
      </c>
      <c r="AI1340" s="511" t="str">
        <f>IF(((1-Таблица5[[#This Row],[30]]/Таблица5[[#This Row],[20]])=1),"НД",(1-Таблица5[[#This Row],[30]]/Таблица5[[#This Row],[20]]))</f>
        <v>НД</v>
      </c>
      <c r="AJ1340" s="111"/>
      <c r="AK1340" s="111"/>
      <c r="AL1340" s="512"/>
      <c r="AM1340" s="513"/>
      <c r="AN1340" s="465"/>
      <c r="AO1340" s="468" t="str">
        <f>РПЗ!AD1340</f>
        <v>Нет</v>
      </c>
      <c r="AP1340" s="472">
        <f>РПЗ!V1340</f>
        <v>0</v>
      </c>
      <c r="AQ1340" s="470">
        <f>IF(Таблица5[[#This Row],[11]]=0,,MONTH(Таблица5[[#This Row],[11]]))</f>
        <v>10</v>
      </c>
    </row>
    <row r="1341" spans="1:43" ht="38.25" x14ac:dyDescent="0.25">
      <c r="A1341" s="233" t="str">
        <f t="shared" si="21"/>
        <v>1004-2017-1326</v>
      </c>
      <c r="B1341" s="233" t="str">
        <f>РПЗ!$D1341</f>
        <v>1004-2017-1326 Поставка Кристалл ЖГДК.432245.006</v>
      </c>
      <c r="C1341" s="233" t="str">
        <f>РПЗ!$AA1341</f>
        <v>АО "НИИ "Полюс" им. М.Ф. Стельмаха" тел. отдела закупок 8-495-333-05-02</v>
      </c>
      <c r="D1341" s="633" t="str">
        <f>РПЗ!$AB1341</f>
        <v>Заказчик</v>
      </c>
      <c r="E1341" s="96" t="s">
        <v>46</v>
      </c>
      <c r="F1341" s="233" t="str">
        <f>РПЗ!Q1341</f>
        <v>ЕП</v>
      </c>
      <c r="G1341" s="237"/>
      <c r="H1341" s="237" t="str">
        <f>РПЗ!R1341</f>
        <v>Нет</v>
      </c>
      <c r="I1341" s="15">
        <f>РПЗ!W1341</f>
        <v>0</v>
      </c>
      <c r="J1341" s="233">
        <f>РПЗ!X1341</f>
        <v>0</v>
      </c>
      <c r="K1341" s="283">
        <f>РПЗ!Z1341</f>
        <v>0</v>
      </c>
      <c r="L1341" s="17"/>
      <c r="M1341" s="18">
        <f>РПЗ!O1341</f>
        <v>43009.625</v>
      </c>
      <c r="N1341" s="238">
        <f>Таблица5[[#This Row],[10]]</f>
        <v>43009.625</v>
      </c>
      <c r="O1341" s="17"/>
      <c r="P1341" s="17"/>
      <c r="Q1341" s="17"/>
      <c r="R1341" s="17"/>
      <c r="S1341" s="17"/>
      <c r="T1341" s="686"/>
      <c r="U1341" s="18">
        <f>РПЗ!P1341</f>
        <v>43070.625</v>
      </c>
      <c r="V1341" s="686"/>
      <c r="W1341" s="236">
        <f>РПЗ!L1341</f>
        <v>2612520</v>
      </c>
      <c r="X1341" s="689"/>
      <c r="Y1341" s="689"/>
      <c r="Z1341" s="690"/>
      <c r="AA1341" s="691"/>
      <c r="AB1341" s="111"/>
      <c r="AC1341" s="17"/>
      <c r="AD1341" s="690"/>
      <c r="AE1341" s="686"/>
      <c r="AF1341" s="474"/>
      <c r="AG1341" s="692"/>
      <c r="AH1341" s="236" t="str">
        <f>IF(Таблица5[[#This Row],[30]]=0,"НД",Таблица5[[#This Row],[20]]-Таблица5[[#This Row],[30]])</f>
        <v>НД</v>
      </c>
      <c r="AI1341" s="511" t="str">
        <f>IF(((1-Таблица5[[#This Row],[30]]/Таблица5[[#This Row],[20]])=1),"НД",(1-Таблица5[[#This Row],[30]]/Таблица5[[#This Row],[20]]))</f>
        <v>НД</v>
      </c>
      <c r="AJ1341" s="111"/>
      <c r="AK1341" s="111"/>
      <c r="AL1341" s="512"/>
      <c r="AM1341" s="513"/>
      <c r="AN1341" s="465"/>
      <c r="AO1341" s="468" t="str">
        <f>РПЗ!AD1341</f>
        <v>Нет</v>
      </c>
      <c r="AP1341" s="472">
        <f>РПЗ!V1341</f>
        <v>0</v>
      </c>
      <c r="AQ1341" s="470">
        <f>IF(Таблица5[[#This Row],[11]]=0,,MONTH(Таблица5[[#This Row],[11]]))</f>
        <v>10</v>
      </c>
    </row>
    <row r="1342" spans="1:43" ht="51.75" thickBot="1" x14ac:dyDescent="0.3">
      <c r="A1342" s="233" t="str">
        <f t="shared" si="21"/>
        <v>1004-2017-1327</v>
      </c>
      <c r="B1342" s="233" t="str">
        <f>РПЗ!$D1342</f>
        <v>1004-2017-1327 Поставка Кристалл ЖГДК.432245.006</v>
      </c>
      <c r="C1342" s="233" t="str">
        <f>РПЗ!$AA1342</f>
        <v>АО "НИИ "Полюс" им. М.Ф. Стельмаха" тел. отдела закупок 8-495-333-05-02</v>
      </c>
      <c r="D1342" s="633" t="str">
        <f>РПЗ!$AB1342</f>
        <v>Заказчик</v>
      </c>
      <c r="E1342" s="510" t="s">
        <v>62</v>
      </c>
      <c r="F1342" s="233" t="str">
        <f>РПЗ!Q1342</f>
        <v>ЕП</v>
      </c>
      <c r="G1342" s="237" t="str">
        <f>Таблица5[[#This Row],[6]]</f>
        <v>ЕП</v>
      </c>
      <c r="H1342" s="237" t="str">
        <f>РПЗ!R1342</f>
        <v>Нет</v>
      </c>
      <c r="I1342" s="15" t="str">
        <f>РПЗ!W1342</f>
        <v>6.6.2(11)</v>
      </c>
      <c r="J1342" s="233" t="str">
        <f>РПЗ!X1342</f>
        <v>4026000108</v>
      </c>
      <c r="K1342" s="283">
        <f>РПЗ!Z1342</f>
        <v>682158</v>
      </c>
      <c r="L1342" s="17">
        <v>43028</v>
      </c>
      <c r="M1342" s="18">
        <f>РПЗ!O1342</f>
        <v>43009.625</v>
      </c>
      <c r="N1342" s="238">
        <f>Таблица5[[#This Row],[10]]</f>
        <v>43009.625</v>
      </c>
      <c r="O1342" s="17"/>
      <c r="P1342" s="17"/>
      <c r="Q1342" s="17"/>
      <c r="R1342" s="17"/>
      <c r="S1342" s="17"/>
      <c r="T1342" s="686">
        <v>43059</v>
      </c>
      <c r="U1342" s="18">
        <f>РПЗ!P1342</f>
        <v>43070.625</v>
      </c>
      <c r="V1342" s="686">
        <v>43100</v>
      </c>
      <c r="W1342" s="236">
        <f>РПЗ!L1342</f>
        <v>682158</v>
      </c>
      <c r="X1342" s="689">
        <v>1</v>
      </c>
      <c r="Y1342" s="689">
        <v>0</v>
      </c>
      <c r="Z1342" s="691">
        <v>4026000108</v>
      </c>
      <c r="AA1342" s="691" t="s">
        <v>5084</v>
      </c>
      <c r="AB1342" s="111">
        <v>682158</v>
      </c>
      <c r="AC1342" s="17">
        <v>43100</v>
      </c>
      <c r="AD1342" s="690" t="s">
        <v>7675</v>
      </c>
      <c r="AE1342" s="686">
        <v>43059</v>
      </c>
      <c r="AF1342" s="474"/>
      <c r="AG1342" s="692">
        <v>682158</v>
      </c>
      <c r="AH1342" s="236">
        <f>IF(Таблица5[[#This Row],[30]]=0,"НД",Таблица5[[#This Row],[20]]-Таблица5[[#This Row],[30]])</f>
        <v>0</v>
      </c>
      <c r="AI1342" s="511">
        <f>IF(((1-Таблица5[[#This Row],[30]]/Таблица5[[#This Row],[20]])=1),"НД",(1-Таблица5[[#This Row],[30]]/Таблица5[[#This Row],[20]]))</f>
        <v>0</v>
      </c>
      <c r="AJ1342" s="111"/>
      <c r="AK1342" s="111"/>
      <c r="AL1342" s="512"/>
      <c r="AM1342" s="513" t="s">
        <v>113</v>
      </c>
      <c r="AN1342" s="801">
        <v>31705707594</v>
      </c>
      <c r="AO1342" s="468" t="str">
        <f>РПЗ!AD1342</f>
        <v>Нет</v>
      </c>
      <c r="AP1342" s="472">
        <f>РПЗ!V1342</f>
        <v>0</v>
      </c>
      <c r="AQ1342" s="470">
        <f>IF(Таблица5[[#This Row],[11]]=0,,MONTH(Таблица5[[#This Row],[11]]))</f>
        <v>10</v>
      </c>
    </row>
    <row r="1343" spans="1:43" ht="39" thickBot="1" x14ac:dyDescent="0.3">
      <c r="A1343" s="233" t="str">
        <f t="shared" si="21"/>
        <v>1004-2017-1328</v>
      </c>
      <c r="B1343" s="233" t="str">
        <f>РПЗ!$D1343</f>
        <v>1004-2017-1328 Поставка Кристалл ЖГДК.432245.006</v>
      </c>
      <c r="C1343" s="233" t="str">
        <f>РПЗ!$AA1343</f>
        <v>АО "НИИ "Полюс" им. М.Ф. Стельмаха" тел. отдела закупок 8-495-333-05-02</v>
      </c>
      <c r="D1343" s="633" t="str">
        <f>РПЗ!$AB1343</f>
        <v>Заказчик</v>
      </c>
      <c r="E1343" s="96" t="s">
        <v>46</v>
      </c>
      <c r="F1343" s="233" t="str">
        <f>РПЗ!Q1343</f>
        <v>ЕП</v>
      </c>
      <c r="G1343" s="237"/>
      <c r="H1343" s="237" t="str">
        <f>РПЗ!R1343</f>
        <v>Нет</v>
      </c>
      <c r="I1343" s="15">
        <f>РПЗ!W1343</f>
        <v>0</v>
      </c>
      <c r="J1343" s="233">
        <f>РПЗ!X1343</f>
        <v>0</v>
      </c>
      <c r="K1343" s="283">
        <f>РПЗ!Z1343</f>
        <v>0</v>
      </c>
      <c r="L1343" s="17"/>
      <c r="M1343" s="18">
        <f>РПЗ!O1343</f>
        <v>43009.625</v>
      </c>
      <c r="N1343" s="238">
        <f>Таблица5[[#This Row],[10]]</f>
        <v>43009.625</v>
      </c>
      <c r="O1343" s="17"/>
      <c r="P1343" s="17"/>
      <c r="Q1343" s="17"/>
      <c r="R1343" s="17"/>
      <c r="S1343" s="17"/>
      <c r="T1343" s="686"/>
      <c r="U1343" s="18">
        <f>РПЗ!P1343</f>
        <v>43070.625</v>
      </c>
      <c r="V1343" s="686"/>
      <c r="W1343" s="236">
        <f>РПЗ!L1343</f>
        <v>146591.4</v>
      </c>
      <c r="X1343" s="689"/>
      <c r="Y1343" s="689"/>
      <c r="Z1343" s="690"/>
      <c r="AA1343" s="691"/>
      <c r="AB1343" s="111"/>
      <c r="AC1343" s="17"/>
      <c r="AD1343" s="690"/>
      <c r="AE1343" s="686"/>
      <c r="AF1343" s="474"/>
      <c r="AG1343" s="692"/>
      <c r="AH1343" s="236" t="str">
        <f>IF(Таблица5[[#This Row],[30]]=0,"НД",Таблица5[[#This Row],[20]]-Таблица5[[#This Row],[30]])</f>
        <v>НД</v>
      </c>
      <c r="AI1343" s="511" t="str">
        <f>IF(((1-Таблица5[[#This Row],[30]]/Таблица5[[#This Row],[20]])=1),"НД",(1-Таблица5[[#This Row],[30]]/Таблица5[[#This Row],[20]]))</f>
        <v>НД</v>
      </c>
      <c r="AJ1343" s="111"/>
      <c r="AK1343" s="111"/>
      <c r="AL1343" s="512"/>
      <c r="AM1343" s="513"/>
      <c r="AN1343" s="465"/>
      <c r="AO1343" s="468" t="str">
        <f>РПЗ!AD1343</f>
        <v>Нет</v>
      </c>
      <c r="AP1343" s="472">
        <f>РПЗ!V1343</f>
        <v>0</v>
      </c>
      <c r="AQ1343" s="470">
        <f>IF(Таблица5[[#This Row],[11]]=0,,MONTH(Таблица5[[#This Row],[11]]))</f>
        <v>10</v>
      </c>
    </row>
    <row r="1344" spans="1:43" ht="38.25" x14ac:dyDescent="0.25">
      <c r="A1344" s="233" t="str">
        <f t="shared" si="21"/>
        <v>1004-2017-1329</v>
      </c>
      <c r="B1344" s="233" t="str">
        <f>РПЗ!$D1344</f>
        <v>1004-2017-1329 Поставка Кристалл ЖГДК.432245.006</v>
      </c>
      <c r="C1344" s="233" t="str">
        <f>РПЗ!$AA1344</f>
        <v>АО "НИИ "Полюс" им. М.Ф. Стельмаха" тел. отдела закупок 8-495-333-05-02</v>
      </c>
      <c r="D1344" s="633" t="str">
        <f>РПЗ!$AB1344</f>
        <v>Заказчик</v>
      </c>
      <c r="E1344" s="96" t="s">
        <v>46</v>
      </c>
      <c r="F1344" s="233" t="str">
        <f>РПЗ!Q1344</f>
        <v>ЕП</v>
      </c>
      <c r="G1344" s="237"/>
      <c r="H1344" s="237" t="str">
        <f>РПЗ!R1344</f>
        <v>Нет</v>
      </c>
      <c r="I1344" s="15">
        <f>РПЗ!W1344</f>
        <v>0</v>
      </c>
      <c r="J1344" s="233">
        <f>РПЗ!X1344</f>
        <v>0</v>
      </c>
      <c r="K1344" s="283">
        <f>РПЗ!Z1344</f>
        <v>0</v>
      </c>
      <c r="L1344" s="17"/>
      <c r="M1344" s="18">
        <f>РПЗ!O1344</f>
        <v>43009.625</v>
      </c>
      <c r="N1344" s="238">
        <f>Таблица5[[#This Row],[10]]</f>
        <v>43009.625</v>
      </c>
      <c r="O1344" s="17"/>
      <c r="P1344" s="17"/>
      <c r="Q1344" s="17"/>
      <c r="R1344" s="17"/>
      <c r="S1344" s="17"/>
      <c r="T1344" s="686"/>
      <c r="U1344" s="18">
        <f>РПЗ!P1344</f>
        <v>43070.625</v>
      </c>
      <c r="V1344" s="686"/>
      <c r="W1344" s="236">
        <f>РПЗ!L1344</f>
        <v>293182.8</v>
      </c>
      <c r="X1344" s="689"/>
      <c r="Y1344" s="689"/>
      <c r="Z1344" s="690"/>
      <c r="AA1344" s="691"/>
      <c r="AB1344" s="111"/>
      <c r="AC1344" s="17"/>
      <c r="AD1344" s="690"/>
      <c r="AE1344" s="686"/>
      <c r="AF1344" s="474"/>
      <c r="AG1344" s="692"/>
      <c r="AH1344" s="236" t="str">
        <f>IF(Таблица5[[#This Row],[30]]=0,"НД",Таблица5[[#This Row],[20]]-Таблица5[[#This Row],[30]])</f>
        <v>НД</v>
      </c>
      <c r="AI1344" s="511" t="str">
        <f>IF(((1-Таблица5[[#This Row],[30]]/Таблица5[[#This Row],[20]])=1),"НД",(1-Таблица5[[#This Row],[30]]/Таблица5[[#This Row],[20]]))</f>
        <v>НД</v>
      </c>
      <c r="AJ1344" s="111"/>
      <c r="AK1344" s="111"/>
      <c r="AL1344" s="512"/>
      <c r="AM1344" s="513"/>
      <c r="AN1344" s="465"/>
      <c r="AO1344" s="468" t="str">
        <f>РПЗ!AD1344</f>
        <v>Нет</v>
      </c>
      <c r="AP1344" s="472">
        <f>РПЗ!V1344</f>
        <v>0</v>
      </c>
      <c r="AQ1344" s="470">
        <f>IF(Таблица5[[#This Row],[11]]=0,,MONTH(Таблица5[[#This Row],[11]]))</f>
        <v>10</v>
      </c>
    </row>
    <row r="1345" spans="1:43" ht="51" x14ac:dyDescent="0.25">
      <c r="A1345" s="233" t="str">
        <f t="shared" si="21"/>
        <v>1004-2017-1330</v>
      </c>
      <c r="B1345" s="233" t="str">
        <f>РПЗ!$D1345</f>
        <v>1004-2017-1330 Поставка Кристалл ЖГДК.432245.006</v>
      </c>
      <c r="C1345" s="233" t="str">
        <f>РПЗ!$AA1345</f>
        <v>АО "НИИ "Полюс" им. М.Ф. Стельмаха" тел. отдела закупок 8-495-333-05-02</v>
      </c>
      <c r="D1345" s="633" t="str">
        <f>РПЗ!$AB1345</f>
        <v>Заказчик</v>
      </c>
      <c r="E1345" s="510" t="s">
        <v>62</v>
      </c>
      <c r="F1345" s="233" t="str">
        <f>РПЗ!Q1345</f>
        <v>ЕП</v>
      </c>
      <c r="G1345" s="237" t="str">
        <f>Таблица5[[#This Row],[6]]</f>
        <v>ЕП</v>
      </c>
      <c r="H1345" s="237" t="str">
        <f>РПЗ!R1345</f>
        <v>Нет</v>
      </c>
      <c r="I1345" s="15" t="str">
        <f>РПЗ!W1345</f>
        <v>6.6.2(11)</v>
      </c>
      <c r="J1345" s="233" t="str">
        <f>РПЗ!X1345</f>
        <v>4026000108</v>
      </c>
      <c r="K1345" s="283">
        <f>РПЗ!Z1345</f>
        <v>110306.4</v>
      </c>
      <c r="L1345" s="17">
        <v>43033</v>
      </c>
      <c r="M1345" s="18">
        <f>РПЗ!O1345</f>
        <v>43009.625</v>
      </c>
      <c r="N1345" s="238">
        <f>Таблица5[[#This Row],[10]]</f>
        <v>43009.625</v>
      </c>
      <c r="O1345" s="17"/>
      <c r="P1345" s="17"/>
      <c r="Q1345" s="17"/>
      <c r="R1345" s="17"/>
      <c r="S1345" s="17"/>
      <c r="T1345" s="686">
        <v>43052</v>
      </c>
      <c r="U1345" s="18">
        <f>РПЗ!P1345</f>
        <v>43070.625</v>
      </c>
      <c r="V1345" s="686">
        <v>43100</v>
      </c>
      <c r="W1345" s="236">
        <f>РПЗ!L1345</f>
        <v>110306.4</v>
      </c>
      <c r="X1345" s="689">
        <v>1</v>
      </c>
      <c r="Y1345" s="689">
        <v>0</v>
      </c>
      <c r="Z1345" s="691">
        <v>4026000108</v>
      </c>
      <c r="AA1345" s="691" t="s">
        <v>5084</v>
      </c>
      <c r="AB1345" s="111">
        <v>110306.4</v>
      </c>
      <c r="AC1345" s="17">
        <v>43100</v>
      </c>
      <c r="AD1345" s="690" t="s">
        <v>7663</v>
      </c>
      <c r="AE1345" s="686">
        <v>43052</v>
      </c>
      <c r="AF1345" s="474"/>
      <c r="AG1345" s="692">
        <v>110306.4</v>
      </c>
      <c r="AH1345" s="236">
        <f>IF(Таблица5[[#This Row],[30]]=0,"НД",Таблица5[[#This Row],[20]]-Таблица5[[#This Row],[30]])</f>
        <v>0</v>
      </c>
      <c r="AI1345" s="511">
        <f>IF(((1-Таблица5[[#This Row],[30]]/Таблица5[[#This Row],[20]])=1),"НД",(1-Таблица5[[#This Row],[30]]/Таблица5[[#This Row],[20]]))</f>
        <v>0</v>
      </c>
      <c r="AJ1345" s="111"/>
      <c r="AK1345" s="111"/>
      <c r="AL1345" s="512"/>
      <c r="AM1345" s="513" t="s">
        <v>113</v>
      </c>
      <c r="AN1345" s="801">
        <v>31705670113</v>
      </c>
      <c r="AO1345" s="468" t="str">
        <f>РПЗ!AD1345</f>
        <v>Нет</v>
      </c>
      <c r="AP1345" s="472" t="str">
        <f>РПЗ!V1345</f>
        <v>ГОЗ</v>
      </c>
      <c r="AQ1345" s="470">
        <f>IF(Таблица5[[#This Row],[11]]=0,,MONTH(Таблица5[[#This Row],[11]]))</f>
        <v>10</v>
      </c>
    </row>
    <row r="1346" spans="1:43" ht="38.25" x14ac:dyDescent="0.25">
      <c r="A1346" s="233" t="str">
        <f t="shared" si="21"/>
        <v>1004-2017-1331</v>
      </c>
      <c r="B1346" s="233" t="str">
        <f>РПЗ!$D1346</f>
        <v>1004-2017-1331 Поставка  Корпус ЖГДК.469333.005</v>
      </c>
      <c r="C1346" s="233" t="str">
        <f>РПЗ!$AA1346</f>
        <v>АО "НИИ "Полюс" им. М.Ф. Стельмаха" тел. отдела закупок 8-495-333-05-02</v>
      </c>
      <c r="D1346" s="633" t="str">
        <f>РПЗ!$AB1346</f>
        <v>Заказчик</v>
      </c>
      <c r="E1346" s="510" t="s">
        <v>62</v>
      </c>
      <c r="F1346" s="233" t="str">
        <f>РПЗ!Q1346</f>
        <v>ЕП</v>
      </c>
      <c r="G1346" s="237" t="s">
        <v>110</v>
      </c>
      <c r="H1346" s="237" t="str">
        <f>РПЗ!R1346</f>
        <v>Нет</v>
      </c>
      <c r="I1346" s="15" t="str">
        <f>РПЗ!W1346</f>
        <v>6.6.2(11)</v>
      </c>
      <c r="J1346" s="233" t="str">
        <f>РПЗ!X1346</f>
        <v>6829000109</v>
      </c>
      <c r="K1346" s="283">
        <f>РПЗ!Z1346</f>
        <v>406923</v>
      </c>
      <c r="L1346" s="17">
        <v>43032</v>
      </c>
      <c r="M1346" s="18">
        <f>РПЗ!O1346</f>
        <v>43009.625</v>
      </c>
      <c r="N1346" s="238">
        <f>Таблица5[[#This Row],[10]]</f>
        <v>43009.625</v>
      </c>
      <c r="O1346" s="17"/>
      <c r="P1346" s="17"/>
      <c r="Q1346" s="17"/>
      <c r="R1346" s="17"/>
      <c r="S1346" s="17"/>
      <c r="T1346" s="686">
        <v>43062</v>
      </c>
      <c r="U1346" s="18">
        <f>РПЗ!P1346</f>
        <v>43070.625</v>
      </c>
      <c r="V1346" s="686">
        <v>43190</v>
      </c>
      <c r="W1346" s="236">
        <f>РПЗ!L1346</f>
        <v>406923</v>
      </c>
      <c r="X1346" s="689">
        <v>1</v>
      </c>
      <c r="Y1346" s="689">
        <v>0</v>
      </c>
      <c r="Z1346" s="691">
        <v>6829000109</v>
      </c>
      <c r="AA1346" s="691" t="s">
        <v>2384</v>
      </c>
      <c r="AB1346" s="111">
        <v>406923</v>
      </c>
      <c r="AC1346" s="17">
        <v>43190</v>
      </c>
      <c r="AD1346" s="690" t="s">
        <v>7714</v>
      </c>
      <c r="AE1346" s="686">
        <v>43062</v>
      </c>
      <c r="AF1346" s="474"/>
      <c r="AG1346" s="692">
        <v>406923</v>
      </c>
      <c r="AH1346" s="236">
        <f>IF(Таблица5[[#This Row],[30]]=0,"НД",Таблица5[[#This Row],[20]]-Таблица5[[#This Row],[30]])</f>
        <v>0</v>
      </c>
      <c r="AI1346" s="511">
        <f>IF(((1-Таблица5[[#This Row],[30]]/Таблица5[[#This Row],[20]])=1),"НД",(1-Таблица5[[#This Row],[30]]/Таблица5[[#This Row],[20]]))</f>
        <v>0</v>
      </c>
      <c r="AJ1346" s="111"/>
      <c r="AK1346" s="111"/>
      <c r="AL1346" s="512"/>
      <c r="AM1346" s="513" t="s">
        <v>113</v>
      </c>
      <c r="AN1346" s="801">
        <v>31705665875</v>
      </c>
      <c r="AO1346" s="468" t="str">
        <f>РПЗ!AD1346</f>
        <v>Нет</v>
      </c>
      <c r="AP1346" s="472" t="str">
        <f>РПЗ!V1346</f>
        <v>ГОЗ</v>
      </c>
      <c r="AQ1346" s="470">
        <f>IF(Таблица5[[#This Row],[11]]=0,,MONTH(Таблица5[[#This Row],[11]]))</f>
        <v>10</v>
      </c>
    </row>
    <row r="1347" spans="1:43" ht="38.25" x14ac:dyDescent="0.25">
      <c r="A1347" s="233" t="str">
        <f t="shared" si="21"/>
        <v>1004-2017-1332</v>
      </c>
      <c r="B1347" s="233" t="str">
        <f>РПЗ!$D1347</f>
        <v>1004-2017-1332 Поставка Корпус ЖГДК.469333.005</v>
      </c>
      <c r="C1347" s="233" t="str">
        <f>РПЗ!$AA1347</f>
        <v>АО "НИИ "Полюс" им. М.Ф. Стельмаха" тел. отдела закупок 8-495-333-05-02</v>
      </c>
      <c r="D1347" s="633" t="str">
        <f>РПЗ!$AB1347</f>
        <v>Заказчик</v>
      </c>
      <c r="E1347" s="510" t="s">
        <v>62</v>
      </c>
      <c r="F1347" s="233" t="str">
        <f>РПЗ!Q1347</f>
        <v>ЕП</v>
      </c>
      <c r="G1347" s="237" t="str">
        <f>Таблица5[[#This Row],[6]]</f>
        <v>ЕП</v>
      </c>
      <c r="H1347" s="237" t="str">
        <f>РПЗ!R1347</f>
        <v>Нет</v>
      </c>
      <c r="I1347" s="15" t="str">
        <f>РПЗ!W1347</f>
        <v>6.6.2(9)</v>
      </c>
      <c r="J1347" s="233" t="str">
        <f>РПЗ!X1347</f>
        <v>5074051432</v>
      </c>
      <c r="K1347" s="283">
        <f>РПЗ!Z1347</f>
        <v>295000</v>
      </c>
      <c r="L1347" s="17">
        <v>42732</v>
      </c>
      <c r="M1347" s="18">
        <f>РПЗ!O1347</f>
        <v>43009.625</v>
      </c>
      <c r="N1347" s="238">
        <f>Таблица5[[#This Row],[10]]</f>
        <v>43009.625</v>
      </c>
      <c r="O1347" s="17"/>
      <c r="P1347" s="17"/>
      <c r="Q1347" s="17"/>
      <c r="R1347" s="17"/>
      <c r="S1347" s="17"/>
      <c r="T1347" s="686">
        <v>42859</v>
      </c>
      <c r="U1347" s="18">
        <f>РПЗ!P1347</f>
        <v>43070.625</v>
      </c>
      <c r="V1347" s="686">
        <v>42766</v>
      </c>
      <c r="W1347" s="236">
        <f>РПЗ!L1347</f>
        <v>295000</v>
      </c>
      <c r="X1347" s="689">
        <v>1</v>
      </c>
      <c r="Y1347" s="689">
        <v>0</v>
      </c>
      <c r="Z1347" s="691">
        <v>5074051432</v>
      </c>
      <c r="AA1347" s="691" t="s">
        <v>5094</v>
      </c>
      <c r="AB1347" s="111">
        <v>295000</v>
      </c>
      <c r="AC1347" s="17">
        <v>42766</v>
      </c>
      <c r="AD1347" s="690" t="s">
        <v>7678</v>
      </c>
      <c r="AE1347" s="686">
        <v>42859</v>
      </c>
      <c r="AF1347" s="474"/>
      <c r="AG1347" s="692">
        <v>295000</v>
      </c>
      <c r="AH1347" s="236">
        <f>IF(Таблица5[[#This Row],[30]]=0,"НД",Таблица5[[#This Row],[20]]-Таблица5[[#This Row],[30]])</f>
        <v>0</v>
      </c>
      <c r="AI1347" s="511">
        <f>IF(((1-Таблица5[[#This Row],[30]]/Таблица5[[#This Row],[20]])=1),"НД",(1-Таблица5[[#This Row],[30]]/Таблица5[[#This Row],[20]]))</f>
        <v>0</v>
      </c>
      <c r="AJ1347" s="111"/>
      <c r="AK1347" s="111"/>
      <c r="AL1347" s="512"/>
      <c r="AM1347" s="513" t="s">
        <v>113</v>
      </c>
      <c r="AN1347" s="801">
        <v>31604603895</v>
      </c>
      <c r="AO1347" s="468" t="str">
        <f>РПЗ!AD1347</f>
        <v>Нет</v>
      </c>
      <c r="AP1347" s="472">
        <f>РПЗ!V1347</f>
        <v>0</v>
      </c>
      <c r="AQ1347" s="470">
        <f>IF(Таблица5[[#This Row],[11]]=0,,MONTH(Таблица5[[#This Row],[11]]))</f>
        <v>10</v>
      </c>
    </row>
    <row r="1348" spans="1:43" ht="39" thickBot="1" x14ac:dyDescent="0.3">
      <c r="A1348" s="233" t="str">
        <f t="shared" si="21"/>
        <v>1004-2017-1333</v>
      </c>
      <c r="B1348" s="233" t="str">
        <f>РПЗ!$D1348</f>
        <v>1004-2017-1333 Поставка вилки, розетки, заглушки</v>
      </c>
      <c r="C1348" s="233" t="str">
        <f>РПЗ!$AA1348</f>
        <v>АО "НИИ "Полюс" им. М.Ф. Стельмаха" тел. отдела закупок 8-495-333-05-02</v>
      </c>
      <c r="D1348" s="633" t="str">
        <f>РПЗ!$AB1348</f>
        <v>Заказчик</v>
      </c>
      <c r="E1348" s="510" t="s">
        <v>62</v>
      </c>
      <c r="F1348" s="233" t="str">
        <f>РПЗ!Q1348</f>
        <v>ЕП</v>
      </c>
      <c r="G1348" s="237" t="str">
        <f>Таблица5[[#This Row],[6]]</f>
        <v>ЕП</v>
      </c>
      <c r="H1348" s="237" t="str">
        <f>РПЗ!R1348</f>
        <v>Нет</v>
      </c>
      <c r="I1348" s="15" t="str">
        <f>РПЗ!W1348</f>
        <v>6.6.2(10)</v>
      </c>
      <c r="J1348" s="233" t="str">
        <f>РПЗ!X1348</f>
        <v>1657032272</v>
      </c>
      <c r="K1348" s="283">
        <f>РПЗ!Z1348</f>
        <v>317862.36</v>
      </c>
      <c r="L1348" s="17">
        <v>43010</v>
      </c>
      <c r="M1348" s="18">
        <f>РПЗ!O1348</f>
        <v>43009.625</v>
      </c>
      <c r="N1348" s="238">
        <f>Таблица5[[#This Row],[10]]</f>
        <v>43009.625</v>
      </c>
      <c r="O1348" s="17"/>
      <c r="P1348" s="17"/>
      <c r="Q1348" s="17"/>
      <c r="R1348" s="17"/>
      <c r="S1348" s="17"/>
      <c r="T1348" s="686">
        <v>43033</v>
      </c>
      <c r="U1348" s="18">
        <f>РПЗ!P1348</f>
        <v>43070.625</v>
      </c>
      <c r="V1348" s="686">
        <v>43070</v>
      </c>
      <c r="W1348" s="236">
        <f>РПЗ!L1348</f>
        <v>317862.36</v>
      </c>
      <c r="X1348" s="689">
        <v>1</v>
      </c>
      <c r="Y1348" s="689">
        <v>0</v>
      </c>
      <c r="Z1348" s="691">
        <v>1657032272</v>
      </c>
      <c r="AA1348" s="691" t="s">
        <v>3299</v>
      </c>
      <c r="AB1348" s="111">
        <v>317862.36</v>
      </c>
      <c r="AC1348" s="17">
        <v>43070</v>
      </c>
      <c r="AD1348" s="690" t="s">
        <v>7249</v>
      </c>
      <c r="AE1348" s="686">
        <v>43033</v>
      </c>
      <c r="AF1348" s="474"/>
      <c r="AG1348" s="692">
        <v>317862.36</v>
      </c>
      <c r="AH1348" s="236">
        <f>IF(Таблица5[[#This Row],[30]]=0,"НД",Таблица5[[#This Row],[20]]-Таблица5[[#This Row],[30]])</f>
        <v>0</v>
      </c>
      <c r="AI1348" s="511">
        <f>IF(((1-Таблица5[[#This Row],[30]]/Таблица5[[#This Row],[20]])=1),"НД",(1-Таблица5[[#This Row],[30]]/Таблица5[[#This Row],[20]]))</f>
        <v>0</v>
      </c>
      <c r="AJ1348" s="111"/>
      <c r="AK1348" s="111"/>
      <c r="AL1348" s="512"/>
      <c r="AM1348" s="513" t="s">
        <v>113</v>
      </c>
      <c r="AN1348" s="801">
        <v>31705643794</v>
      </c>
      <c r="AO1348" s="468" t="str">
        <f>РПЗ!AD1348</f>
        <v>Нет</v>
      </c>
      <c r="AP1348" s="472" t="str">
        <f>РПЗ!V1348</f>
        <v>ГОЗ</v>
      </c>
      <c r="AQ1348" s="470">
        <f>IF(Таблица5[[#This Row],[11]]=0,,MONTH(Таблица5[[#This Row],[11]]))</f>
        <v>10</v>
      </c>
    </row>
    <row r="1349" spans="1:43" ht="38.25" x14ac:dyDescent="0.25">
      <c r="A1349" s="233" t="str">
        <f t="shared" si="21"/>
        <v>1004-2017-1334</v>
      </c>
      <c r="B1349" s="233" t="str">
        <f>РПЗ!$D1349</f>
        <v>1004-2017-1334 Поставка вакуумных масел</v>
      </c>
      <c r="C1349" s="233" t="str">
        <f>РПЗ!$AA1349</f>
        <v>АО "НИИ "Полюс" им. М.Ф. Стельмаха" тел. отдела закупок 8-495-333-05-02</v>
      </c>
      <c r="D1349" s="633" t="str">
        <f>РПЗ!$AB1349</f>
        <v>Заказчик</v>
      </c>
      <c r="E1349" s="96" t="s">
        <v>46</v>
      </c>
      <c r="F1349" s="233" t="str">
        <f>РПЗ!Q1349</f>
        <v>ОЗК</v>
      </c>
      <c r="G1349" s="237"/>
      <c r="H1349" s="237" t="str">
        <f>РПЗ!R1349</f>
        <v>Да</v>
      </c>
      <c r="I1349" s="15">
        <f>РПЗ!W1349</f>
        <v>0</v>
      </c>
      <c r="J1349" s="233">
        <f>РПЗ!X1349</f>
        <v>0</v>
      </c>
      <c r="K1349" s="283">
        <f>РПЗ!Z1349</f>
        <v>0</v>
      </c>
      <c r="L1349" s="17"/>
      <c r="M1349" s="18">
        <f>РПЗ!O1349</f>
        <v>43009.625</v>
      </c>
      <c r="N1349" s="238">
        <f>Таблица5[[#This Row],[10]]</f>
        <v>43009.625</v>
      </c>
      <c r="O1349" s="17"/>
      <c r="P1349" s="17"/>
      <c r="Q1349" s="17"/>
      <c r="R1349" s="17"/>
      <c r="S1349" s="17"/>
      <c r="T1349" s="686"/>
      <c r="U1349" s="18">
        <f>РПЗ!P1349</f>
        <v>43070.625</v>
      </c>
      <c r="V1349" s="686"/>
      <c r="W1349" s="236">
        <f>РПЗ!L1349</f>
        <v>410100</v>
      </c>
      <c r="X1349" s="689"/>
      <c r="Y1349" s="689"/>
      <c r="Z1349" s="690"/>
      <c r="AA1349" s="691"/>
      <c r="AB1349" s="111"/>
      <c r="AC1349" s="17"/>
      <c r="AD1349" s="690"/>
      <c r="AE1349" s="686"/>
      <c r="AF1349" s="474"/>
      <c r="AG1349" s="692"/>
      <c r="AH1349" s="236" t="str">
        <f>IF(Таблица5[[#This Row],[30]]=0,"НД",Таблица5[[#This Row],[20]]-Таблица5[[#This Row],[30]])</f>
        <v>НД</v>
      </c>
      <c r="AI1349" s="511" t="str">
        <f>IF(((1-Таблица5[[#This Row],[30]]/Таблица5[[#This Row],[20]])=1),"НД",(1-Таблица5[[#This Row],[30]]/Таблица5[[#This Row],[20]]))</f>
        <v>НД</v>
      </c>
      <c r="AJ1349" s="111"/>
      <c r="AK1349" s="111"/>
      <c r="AL1349" s="512"/>
      <c r="AM1349" s="513"/>
      <c r="AN1349" s="465"/>
      <c r="AO1349" s="468" t="str">
        <f>РПЗ!AD1349</f>
        <v>Нет</v>
      </c>
      <c r="AP1349" s="472">
        <f>РПЗ!V1349</f>
        <v>0</v>
      </c>
      <c r="AQ1349" s="470">
        <f>IF(Таблица5[[#This Row],[11]]=0,,MONTH(Таблица5[[#This Row],[11]]))</f>
        <v>10</v>
      </c>
    </row>
    <row r="1350" spans="1:43" ht="38.25" x14ac:dyDescent="0.25">
      <c r="A1350" s="233" t="str">
        <f t="shared" si="21"/>
        <v>1004-2017-1335</v>
      </c>
      <c r="B1350" s="233" t="str">
        <f>РПЗ!$D1350</f>
        <v>1004-2017-1335 Поставка ионообменных смол</v>
      </c>
      <c r="C1350" s="233" t="str">
        <f>РПЗ!$AA1350</f>
        <v>АО "НИИ "Полюс" им. М.Ф. Стельмаха" тел. отдела закупок 8-495-333-05-02</v>
      </c>
      <c r="D1350" s="633" t="str">
        <f>РПЗ!$AB1350</f>
        <v>Заказчик</v>
      </c>
      <c r="E1350" s="510" t="s">
        <v>59</v>
      </c>
      <c r="F1350" s="233" t="str">
        <f>РПЗ!Q1350</f>
        <v>ОЗК</v>
      </c>
      <c r="G1350" s="237" t="s">
        <v>108</v>
      </c>
      <c r="H1350" s="237" t="str">
        <f>РПЗ!R1350</f>
        <v>Да</v>
      </c>
      <c r="I1350" s="15">
        <f>РПЗ!W1350</f>
        <v>0</v>
      </c>
      <c r="J1350" s="233">
        <f>РПЗ!X1350</f>
        <v>0</v>
      </c>
      <c r="K1350" s="283">
        <f>РПЗ!Z1350</f>
        <v>0</v>
      </c>
      <c r="L1350" s="17">
        <v>43033</v>
      </c>
      <c r="M1350" s="18">
        <f>РПЗ!O1350</f>
        <v>43009.625</v>
      </c>
      <c r="N1350" s="238">
        <f>Таблица5[[#This Row],[10]]</f>
        <v>43009.625</v>
      </c>
      <c r="O1350" s="17">
        <v>43039</v>
      </c>
      <c r="P1350" s="17">
        <v>43042</v>
      </c>
      <c r="Q1350" s="17">
        <v>43042</v>
      </c>
      <c r="R1350" s="17">
        <v>43042</v>
      </c>
      <c r="S1350" s="17">
        <v>43042</v>
      </c>
      <c r="T1350" s="686"/>
      <c r="U1350" s="18">
        <f>РПЗ!P1350</f>
        <v>43070.625</v>
      </c>
      <c r="V1350" s="686"/>
      <c r="W1350" s="236">
        <f>РПЗ!L1350</f>
        <v>64000.9</v>
      </c>
      <c r="X1350" s="689">
        <v>0</v>
      </c>
      <c r="Y1350" s="689">
        <v>0</v>
      </c>
      <c r="Z1350" s="690"/>
      <c r="AA1350" s="691"/>
      <c r="AB1350" s="111"/>
      <c r="AC1350" s="17"/>
      <c r="AD1350" s="690"/>
      <c r="AE1350" s="686"/>
      <c r="AF1350" s="474"/>
      <c r="AG1350" s="692"/>
      <c r="AH1350" s="236" t="str">
        <f>IF(Таблица5[[#This Row],[30]]=0,"НД",Таблица5[[#This Row],[20]]-Таблица5[[#This Row],[30]])</f>
        <v>НД</v>
      </c>
      <c r="AI1350" s="511" t="str">
        <f>IF(((1-Таблица5[[#This Row],[30]]/Таблица5[[#This Row],[20]])=1),"НД",(1-Таблица5[[#This Row],[30]]/Таблица5[[#This Row],[20]]))</f>
        <v>НД</v>
      </c>
      <c r="AJ1350" s="111"/>
      <c r="AK1350" s="111"/>
      <c r="AL1350" s="512"/>
      <c r="AM1350" s="513" t="s">
        <v>113</v>
      </c>
      <c r="AN1350" s="801">
        <v>31705662048</v>
      </c>
      <c r="AO1350" s="468" t="str">
        <f>РПЗ!AD1350</f>
        <v>Нет</v>
      </c>
      <c r="AP1350" s="472">
        <f>РПЗ!V1350</f>
        <v>0</v>
      </c>
      <c r="AQ1350" s="470">
        <f>IF(Таблица5[[#This Row],[11]]=0,,MONTH(Таблица5[[#This Row],[11]]))</f>
        <v>10</v>
      </c>
    </row>
    <row r="1351" spans="1:43" ht="64.5" thickBot="1" x14ac:dyDescent="0.3">
      <c r="A1351" s="233" t="str">
        <f t="shared" si="21"/>
        <v>1004-2017-1336</v>
      </c>
      <c r="B1351" s="233" t="str">
        <f>РПЗ!$D1351</f>
        <v>1004-2017-1336 Поставка волоконно-оптические жгуты</v>
      </c>
      <c r="C1351" s="233" t="str">
        <f>РПЗ!$AA1351</f>
        <v>АО "НИИ "Полюс" им. М.Ф. Стельмаха" тел. отдела закупок 8-495-333-05-02</v>
      </c>
      <c r="D1351" s="633" t="str">
        <f>РПЗ!$AB1351</f>
        <v>Заказчик</v>
      </c>
      <c r="E1351" s="510" t="s">
        <v>62</v>
      </c>
      <c r="F1351" s="233" t="str">
        <f>РПЗ!Q1351</f>
        <v>ЕП</v>
      </c>
      <c r="G1351" s="237" t="s">
        <v>110</v>
      </c>
      <c r="H1351" s="237" t="str">
        <f>РПЗ!R1351</f>
        <v>Нет</v>
      </c>
      <c r="I1351" s="15" t="str">
        <f>РПЗ!W1351</f>
        <v>6.6.2(11)</v>
      </c>
      <c r="J1351" s="233" t="str">
        <f>РПЗ!X1351</f>
        <v>5026000300</v>
      </c>
      <c r="K1351" s="283">
        <f>РПЗ!Z1351</f>
        <v>316270.68</v>
      </c>
      <c r="L1351" s="17">
        <v>43038</v>
      </c>
      <c r="M1351" s="18">
        <f>РПЗ!O1351</f>
        <v>43009.625</v>
      </c>
      <c r="N1351" s="238">
        <f>Таблица5[[#This Row],[10]]</f>
        <v>43009.625</v>
      </c>
      <c r="O1351" s="17"/>
      <c r="P1351" s="17"/>
      <c r="Q1351" s="17"/>
      <c r="R1351" s="17"/>
      <c r="S1351" s="17"/>
      <c r="T1351" s="686">
        <v>43069</v>
      </c>
      <c r="U1351" s="18">
        <f>РПЗ!P1351</f>
        <v>43070.625</v>
      </c>
      <c r="V1351" s="686">
        <v>43070</v>
      </c>
      <c r="W1351" s="236">
        <f>РПЗ!L1351</f>
        <v>316270.68</v>
      </c>
      <c r="X1351" s="689">
        <v>1</v>
      </c>
      <c r="Y1351" s="689">
        <v>0</v>
      </c>
      <c r="Z1351" s="691">
        <v>5026000300</v>
      </c>
      <c r="AA1351" s="691" t="s">
        <v>5940</v>
      </c>
      <c r="AB1351" s="111">
        <v>316270.68</v>
      </c>
      <c r="AC1351" s="17">
        <v>43070</v>
      </c>
      <c r="AD1351" s="690" t="s">
        <v>8052</v>
      </c>
      <c r="AE1351" s="686">
        <v>43069</v>
      </c>
      <c r="AF1351" s="474"/>
      <c r="AG1351" s="692">
        <v>316270.68</v>
      </c>
      <c r="AH1351" s="236">
        <f>IF(Таблица5[[#This Row],[30]]=0,"НД",Таблица5[[#This Row],[20]]-Таблица5[[#This Row],[30]])</f>
        <v>0</v>
      </c>
      <c r="AI1351" s="511">
        <f>IF(((1-Таблица5[[#This Row],[30]]/Таблица5[[#This Row],[20]])=1),"НД",(1-Таблица5[[#This Row],[30]]/Таблица5[[#This Row],[20]]))</f>
        <v>0</v>
      </c>
      <c r="AJ1351" s="111"/>
      <c r="AK1351" s="111"/>
      <c r="AL1351" s="512"/>
      <c r="AM1351" s="513" t="s">
        <v>113</v>
      </c>
      <c r="AN1351" s="801">
        <v>31705696425</v>
      </c>
      <c r="AO1351" s="468" t="str">
        <f>РПЗ!AD1351</f>
        <v>Нет</v>
      </c>
      <c r="AP1351" s="472" t="str">
        <f>РПЗ!V1351</f>
        <v>ГОЗ</v>
      </c>
      <c r="AQ1351" s="470">
        <f>IF(Таблица5[[#This Row],[11]]=0,,MONTH(Таблица5[[#This Row],[11]]))</f>
        <v>10</v>
      </c>
    </row>
    <row r="1352" spans="1:43" ht="38.25" x14ac:dyDescent="0.25">
      <c r="A1352" s="233" t="str">
        <f t="shared" si="21"/>
        <v>1004-2017-1337</v>
      </c>
      <c r="B1352" s="233" t="str">
        <f>РПЗ!$D1352</f>
        <v>1004-2017-1337 Поставка лампы импульсные</v>
      </c>
      <c r="C1352" s="233" t="str">
        <f>РПЗ!$AA1352</f>
        <v>АО "НИИ "Полюс" им. М.Ф. Стельмаха" тел. отдела закупок 8-495-333-05-02</v>
      </c>
      <c r="D1352" s="633" t="str">
        <f>РПЗ!$AB1352</f>
        <v>Заказчик</v>
      </c>
      <c r="E1352" s="96" t="s">
        <v>46</v>
      </c>
      <c r="F1352" s="233" t="str">
        <f>РПЗ!Q1352</f>
        <v>ЕП</v>
      </c>
      <c r="G1352" s="237"/>
      <c r="H1352" s="237" t="str">
        <f>РПЗ!R1352</f>
        <v>Нет</v>
      </c>
      <c r="I1352" s="15">
        <f>РПЗ!W1352</f>
        <v>0</v>
      </c>
      <c r="J1352" s="233">
        <f>РПЗ!X1352</f>
        <v>0</v>
      </c>
      <c r="K1352" s="283">
        <f>РПЗ!Z1352</f>
        <v>0</v>
      </c>
      <c r="L1352" s="17"/>
      <c r="M1352" s="18">
        <f>РПЗ!O1352</f>
        <v>43009.625</v>
      </c>
      <c r="N1352" s="238">
        <f>Таблица5[[#This Row],[10]]</f>
        <v>43009.625</v>
      </c>
      <c r="O1352" s="17"/>
      <c r="P1352" s="17"/>
      <c r="Q1352" s="17"/>
      <c r="R1352" s="17"/>
      <c r="S1352" s="17"/>
      <c r="T1352" s="686"/>
      <c r="U1352" s="18">
        <f>РПЗ!P1352</f>
        <v>43070.625</v>
      </c>
      <c r="V1352" s="686"/>
      <c r="W1352" s="236">
        <f>РПЗ!L1352</f>
        <v>670440.72</v>
      </c>
      <c r="X1352" s="689"/>
      <c r="Y1352" s="689"/>
      <c r="Z1352" s="690"/>
      <c r="AA1352" s="691"/>
      <c r="AB1352" s="111"/>
      <c r="AC1352" s="17"/>
      <c r="AD1352" s="690"/>
      <c r="AE1352" s="686"/>
      <c r="AF1352" s="474"/>
      <c r="AG1352" s="692"/>
      <c r="AH1352" s="236" t="str">
        <f>IF(Таблица5[[#This Row],[30]]=0,"НД",Таблица5[[#This Row],[20]]-Таблица5[[#This Row],[30]])</f>
        <v>НД</v>
      </c>
      <c r="AI1352" s="511" t="str">
        <f>IF(((1-Таблица5[[#This Row],[30]]/Таблица5[[#This Row],[20]])=1),"НД",(1-Таблица5[[#This Row],[30]]/Таблица5[[#This Row],[20]]))</f>
        <v>НД</v>
      </c>
      <c r="AJ1352" s="111"/>
      <c r="AK1352" s="111"/>
      <c r="AL1352" s="512"/>
      <c r="AM1352" s="513"/>
      <c r="AN1352" s="465"/>
      <c r="AO1352" s="468" t="str">
        <f>РПЗ!AD1352</f>
        <v>Нет</v>
      </c>
      <c r="AP1352" s="472">
        <f>РПЗ!V1352</f>
        <v>0</v>
      </c>
      <c r="AQ1352" s="470">
        <f>IF(Таблица5[[#This Row],[11]]=0,,MONTH(Таблица5[[#This Row],[11]]))</f>
        <v>10</v>
      </c>
    </row>
    <row r="1353" spans="1:43" ht="38.25" x14ac:dyDescent="0.25">
      <c r="A1353" s="233" t="str">
        <f t="shared" si="21"/>
        <v>1004-2017-1338</v>
      </c>
      <c r="B1353" s="233" t="str">
        <f>РПЗ!$D1353</f>
        <v>1004-2017-1338резонаторы РК60-14ЕЭ-74,945М</v>
      </c>
      <c r="C1353" s="233" t="str">
        <f>РПЗ!$AA1353</f>
        <v>АО "НИИ "Полюс" им. М.Ф. Стельмаха" тел. отдела закупок 8-495-333-05-02</v>
      </c>
      <c r="D1353" s="633" t="str">
        <f>РПЗ!$AB1353</f>
        <v>Заказчик</v>
      </c>
      <c r="E1353" s="510" t="s">
        <v>62</v>
      </c>
      <c r="F1353" s="233" t="str">
        <f>РПЗ!Q1353</f>
        <v>ЕП</v>
      </c>
      <c r="G1353" s="237" t="str">
        <f>Таблица5[[#This Row],[6]]</f>
        <v>ЕП</v>
      </c>
      <c r="H1353" s="237" t="str">
        <f>РПЗ!R1353</f>
        <v>Нет</v>
      </c>
      <c r="I1353" s="15" t="str">
        <f>РПЗ!W1353</f>
        <v>6.6.2(10)</v>
      </c>
      <c r="J1353" s="233" t="str">
        <f>РПЗ!X1353</f>
        <v>3435000717</v>
      </c>
      <c r="K1353" s="283">
        <f>РПЗ!Z1353</f>
        <v>226467.96</v>
      </c>
      <c r="L1353" s="17">
        <v>43040</v>
      </c>
      <c r="M1353" s="18">
        <f>РПЗ!O1353</f>
        <v>43040.625</v>
      </c>
      <c r="N1353" s="238">
        <f>Таблица5[[#This Row],[10]]</f>
        <v>43040.625</v>
      </c>
      <c r="O1353" s="17"/>
      <c r="P1353" s="17"/>
      <c r="Q1353" s="17"/>
      <c r="R1353" s="17"/>
      <c r="S1353" s="17"/>
      <c r="T1353" s="686">
        <v>43052</v>
      </c>
      <c r="U1353" s="18">
        <f>РПЗ!P1353</f>
        <v>43070.625</v>
      </c>
      <c r="V1353" s="686">
        <v>43159</v>
      </c>
      <c r="W1353" s="236">
        <f>РПЗ!L1353</f>
        <v>226467.96</v>
      </c>
      <c r="X1353" s="689">
        <v>1</v>
      </c>
      <c r="Y1353" s="689">
        <v>0</v>
      </c>
      <c r="Z1353" s="691">
        <v>3435000717</v>
      </c>
      <c r="AA1353" s="691" t="s">
        <v>7659</v>
      </c>
      <c r="AB1353" s="111">
        <v>226467.96</v>
      </c>
      <c r="AC1353" s="17">
        <v>43159</v>
      </c>
      <c r="AD1353" s="690" t="s">
        <v>119</v>
      </c>
      <c r="AE1353" s="686">
        <v>43052</v>
      </c>
      <c r="AF1353" s="474"/>
      <c r="AG1353" s="692">
        <v>226467.96</v>
      </c>
      <c r="AH1353" s="236">
        <f>IF(Таблица5[[#This Row],[30]]=0,"НД",Таблица5[[#This Row],[20]]-Таблица5[[#This Row],[30]])</f>
        <v>0</v>
      </c>
      <c r="AI1353" s="511">
        <f>IF(((1-Таблица5[[#This Row],[30]]/Таблица5[[#This Row],[20]])=1),"НД",(1-Таблица5[[#This Row],[30]]/Таблица5[[#This Row],[20]]))</f>
        <v>0</v>
      </c>
      <c r="AJ1353" s="111"/>
      <c r="AK1353" s="111"/>
      <c r="AL1353" s="512"/>
      <c r="AM1353" s="513" t="s">
        <v>113</v>
      </c>
      <c r="AN1353" s="801">
        <v>31705712436</v>
      </c>
      <c r="AO1353" s="468" t="str">
        <f>РПЗ!AD1353</f>
        <v>Нет</v>
      </c>
      <c r="AP1353" s="472" t="str">
        <f>РПЗ!V1353</f>
        <v>ГОЗ</v>
      </c>
      <c r="AQ1353" s="470">
        <f>IF(Таблица5[[#This Row],[11]]=0,,MONTH(Таблица5[[#This Row],[11]]))</f>
        <v>11</v>
      </c>
    </row>
    <row r="1354" spans="1:43" ht="38.25" x14ac:dyDescent="0.25">
      <c r="A1354" s="233" t="str">
        <f t="shared" si="21"/>
        <v>1004-2017-1339</v>
      </c>
      <c r="B1354" s="233" t="str">
        <f>РПЗ!$D1354</f>
        <v xml:space="preserve">1004-2017-1339 Поставка индикаторы </v>
      </c>
      <c r="C1354" s="233" t="str">
        <f>РПЗ!$AA1354</f>
        <v>АО "НИИ "Полюс" им. М.Ф. Стельмаха" тел. отдела закупок 8-495-333-05-02</v>
      </c>
      <c r="D1354" s="633" t="str">
        <f>РПЗ!$AB1354</f>
        <v>Заказчик</v>
      </c>
      <c r="E1354" s="510" t="s">
        <v>62</v>
      </c>
      <c r="F1354" s="233" t="str">
        <f>РПЗ!Q1354</f>
        <v>ЕП</v>
      </c>
      <c r="G1354" s="237" t="str">
        <f>Таблица5[[#This Row],[6]]</f>
        <v>ЕП</v>
      </c>
      <c r="H1354" s="237" t="str">
        <f>РПЗ!R1354</f>
        <v>Нет</v>
      </c>
      <c r="I1354" s="15" t="str">
        <f>РПЗ!W1354</f>
        <v>6.6.2(10)</v>
      </c>
      <c r="J1354" s="233" t="str">
        <f>РПЗ!X1354</f>
        <v>5753018359</v>
      </c>
      <c r="K1354" s="283">
        <f>РПЗ!Z1354</f>
        <v>189038.12</v>
      </c>
      <c r="L1354" s="17">
        <v>43042</v>
      </c>
      <c r="M1354" s="18">
        <f>РПЗ!O1354</f>
        <v>43040</v>
      </c>
      <c r="N1354" s="238">
        <f>Таблица5[[#This Row],[10]]</f>
        <v>43040</v>
      </c>
      <c r="O1354" s="17"/>
      <c r="P1354" s="17"/>
      <c r="Q1354" s="17"/>
      <c r="R1354" s="17"/>
      <c r="S1354" s="17"/>
      <c r="T1354" s="686">
        <v>43052</v>
      </c>
      <c r="U1354" s="18">
        <f>РПЗ!P1354</f>
        <v>43070.625</v>
      </c>
      <c r="V1354" s="686">
        <v>43131</v>
      </c>
      <c r="W1354" s="236">
        <f>РПЗ!L1354</f>
        <v>189038.12</v>
      </c>
      <c r="X1354" s="689">
        <v>1</v>
      </c>
      <c r="Y1354" s="689">
        <v>0</v>
      </c>
      <c r="Z1354" s="691">
        <v>5753018359</v>
      </c>
      <c r="AA1354" s="691" t="s">
        <v>7662</v>
      </c>
      <c r="AB1354" s="111">
        <v>189038.12</v>
      </c>
      <c r="AC1354" s="17">
        <v>43131</v>
      </c>
      <c r="AD1354" s="690" t="s">
        <v>119</v>
      </c>
      <c r="AE1354" s="686">
        <v>43052</v>
      </c>
      <c r="AF1354" s="474"/>
      <c r="AG1354" s="692">
        <v>189038.12</v>
      </c>
      <c r="AH1354" s="236">
        <f>IF(Таблица5[[#This Row],[30]]=0,"НД",Таблица5[[#This Row],[20]]-Таблица5[[#This Row],[30]])</f>
        <v>0</v>
      </c>
      <c r="AI1354" s="511">
        <f>IF(((1-Таблица5[[#This Row],[30]]/Таблица5[[#This Row],[20]])=1),"НД",(1-Таблица5[[#This Row],[30]]/Таблица5[[#This Row],[20]]))</f>
        <v>0</v>
      </c>
      <c r="AJ1354" s="111"/>
      <c r="AK1354" s="111"/>
      <c r="AL1354" s="512"/>
      <c r="AM1354" s="513" t="s">
        <v>113</v>
      </c>
      <c r="AN1354" s="801">
        <v>31705712463</v>
      </c>
      <c r="AO1354" s="468" t="str">
        <f>РПЗ!AD1354</f>
        <v>Нет</v>
      </c>
      <c r="AP1354" s="472" t="str">
        <f>РПЗ!V1354</f>
        <v>ГОЗ</v>
      </c>
      <c r="AQ1354" s="470">
        <f>IF(Таблица5[[#This Row],[11]]=0,,MONTH(Таблица5[[#This Row],[11]]))</f>
        <v>11</v>
      </c>
    </row>
    <row r="1355" spans="1:43" ht="51.75" thickBot="1" x14ac:dyDescent="0.3">
      <c r="A1355" s="233" t="str">
        <f t="shared" si="21"/>
        <v>1004-2017-1340</v>
      </c>
      <c r="B1355" s="233" t="str">
        <f>РПЗ!$D1355</f>
        <v>1004-2017-1340 Поставка Транзисторы</v>
      </c>
      <c r="C1355" s="233" t="str">
        <f>РПЗ!$AA1355</f>
        <v>АО "НИИ "Полюс" им. М.Ф. Стельмаха" тел. отдела закупок 8-495-333-05-02</v>
      </c>
      <c r="D1355" s="633" t="str">
        <f>РПЗ!$AB1355</f>
        <v>Заказчик</v>
      </c>
      <c r="E1355" s="510" t="s">
        <v>62</v>
      </c>
      <c r="F1355" s="233" t="str">
        <f>РПЗ!Q1355</f>
        <v>ЕП</v>
      </c>
      <c r="G1355" s="237" t="str">
        <f>Таблица5[[#This Row],[6]]</f>
        <v>ЕП</v>
      </c>
      <c r="H1355" s="237" t="str">
        <f>РПЗ!R1355</f>
        <v>Нет</v>
      </c>
      <c r="I1355" s="15" t="str">
        <f>РПЗ!W1355</f>
        <v>6.6.2(10)</v>
      </c>
      <c r="J1355" s="233" t="str">
        <f>РПЗ!X1355</f>
        <v>7719800954</v>
      </c>
      <c r="K1355" s="283">
        <f>РПЗ!Z1355</f>
        <v>148777.44</v>
      </c>
      <c r="L1355" s="17">
        <v>43038</v>
      </c>
      <c r="M1355" s="18">
        <f>РПЗ!O1355</f>
        <v>43009.625</v>
      </c>
      <c r="N1355" s="238">
        <f>Таблица5[[#This Row],[10]]</f>
        <v>43009.625</v>
      </c>
      <c r="O1355" s="17"/>
      <c r="P1355" s="17"/>
      <c r="Q1355" s="17"/>
      <c r="R1355" s="17"/>
      <c r="S1355" s="17"/>
      <c r="T1355" s="686">
        <v>43041</v>
      </c>
      <c r="U1355" s="18">
        <f>РПЗ!P1355</f>
        <v>43070.625</v>
      </c>
      <c r="V1355" s="686">
        <v>43070</v>
      </c>
      <c r="W1355" s="236">
        <f>РПЗ!L1355</f>
        <v>148777.44</v>
      </c>
      <c r="X1355" s="689">
        <v>1</v>
      </c>
      <c r="Y1355" s="689">
        <v>0</v>
      </c>
      <c r="Z1355" s="691">
        <v>7719800954</v>
      </c>
      <c r="AA1355" s="691" t="s">
        <v>7268</v>
      </c>
      <c r="AB1355" s="111">
        <v>148777.44</v>
      </c>
      <c r="AC1355" s="17">
        <v>43070</v>
      </c>
      <c r="AD1355" s="690" t="s">
        <v>7269</v>
      </c>
      <c r="AE1355" s="686">
        <v>43041</v>
      </c>
      <c r="AF1355" s="474"/>
      <c r="AG1355" s="692">
        <v>148777.44</v>
      </c>
      <c r="AH1355" s="236">
        <f>IF(Таблица5[[#This Row],[30]]=0,"НД",Таблица5[[#This Row],[20]]-Таблица5[[#This Row],[30]])</f>
        <v>0</v>
      </c>
      <c r="AI1355" s="511">
        <f>IF(((1-Таблица5[[#This Row],[30]]/Таблица5[[#This Row],[20]])=1),"НД",(1-Таблица5[[#This Row],[30]]/Таблица5[[#This Row],[20]]))</f>
        <v>0</v>
      </c>
      <c r="AJ1355" s="111"/>
      <c r="AK1355" s="111"/>
      <c r="AL1355" s="512"/>
      <c r="AM1355" s="513" t="s">
        <v>113</v>
      </c>
      <c r="AN1355" s="801">
        <v>31705698352</v>
      </c>
      <c r="AO1355" s="468" t="str">
        <f>РПЗ!AD1355</f>
        <v>Нет</v>
      </c>
      <c r="AP1355" s="472" t="str">
        <f>РПЗ!V1355</f>
        <v>ГОЗ</v>
      </c>
      <c r="AQ1355" s="470">
        <f>IF(Таблица5[[#This Row],[11]]=0,,MONTH(Таблица5[[#This Row],[11]]))</f>
        <v>10</v>
      </c>
    </row>
    <row r="1356" spans="1:43" ht="38.25" x14ac:dyDescent="0.25">
      <c r="A1356" s="233" t="str">
        <f t="shared" si="21"/>
        <v>1004-2017-1341</v>
      </c>
      <c r="B1356" s="233" t="str">
        <f>РПЗ!$D1356</f>
        <v>1004-2017-1341 Поставка микросхемы, диоды</v>
      </c>
      <c r="C1356" s="233" t="str">
        <f>РПЗ!$AA1356</f>
        <v>АО "НИИ "Полюс" им. М.Ф. Стельмаха" тел. отдела закупок 8-495-333-05-02</v>
      </c>
      <c r="D1356" s="633" t="str">
        <f>РПЗ!$AB1356</f>
        <v>Заказчик</v>
      </c>
      <c r="E1356" s="96" t="s">
        <v>46</v>
      </c>
      <c r="F1356" s="233" t="str">
        <f>РПЗ!Q1356</f>
        <v>ЕП</v>
      </c>
      <c r="G1356" s="237"/>
      <c r="H1356" s="237" t="str">
        <f>РПЗ!R1356</f>
        <v>Нет</v>
      </c>
      <c r="I1356" s="15">
        <f>РПЗ!W1356</f>
        <v>0</v>
      </c>
      <c r="J1356" s="233">
        <f>РПЗ!X1356</f>
        <v>0</v>
      </c>
      <c r="K1356" s="283">
        <f>РПЗ!Z1356</f>
        <v>0</v>
      </c>
      <c r="L1356" s="17"/>
      <c r="M1356" s="18">
        <f>РПЗ!O1356</f>
        <v>43009.625</v>
      </c>
      <c r="N1356" s="238">
        <f>Таблица5[[#This Row],[10]]</f>
        <v>43009.625</v>
      </c>
      <c r="O1356" s="17"/>
      <c r="P1356" s="17"/>
      <c r="Q1356" s="17"/>
      <c r="R1356" s="17"/>
      <c r="S1356" s="17"/>
      <c r="T1356" s="686"/>
      <c r="U1356" s="18">
        <f>РПЗ!P1356</f>
        <v>43070.625</v>
      </c>
      <c r="V1356" s="686"/>
      <c r="W1356" s="236">
        <f>РПЗ!L1356</f>
        <v>104762.93</v>
      </c>
      <c r="X1356" s="689"/>
      <c r="Y1356" s="689"/>
      <c r="Z1356" s="690"/>
      <c r="AA1356" s="691"/>
      <c r="AB1356" s="111"/>
      <c r="AC1356" s="17"/>
      <c r="AD1356" s="690"/>
      <c r="AE1356" s="686"/>
      <c r="AF1356" s="474"/>
      <c r="AG1356" s="692"/>
      <c r="AH1356" s="236" t="str">
        <f>IF(Таблица5[[#This Row],[30]]=0,"НД",Таблица5[[#This Row],[20]]-Таблица5[[#This Row],[30]])</f>
        <v>НД</v>
      </c>
      <c r="AI1356" s="511" t="str">
        <f>IF(((1-Таблица5[[#This Row],[30]]/Таблица5[[#This Row],[20]])=1),"НД",(1-Таблица5[[#This Row],[30]]/Таблица5[[#This Row],[20]]))</f>
        <v>НД</v>
      </c>
      <c r="AJ1356" s="111"/>
      <c r="AK1356" s="111"/>
      <c r="AL1356" s="512"/>
      <c r="AM1356" s="513"/>
      <c r="AN1356" s="465"/>
      <c r="AO1356" s="468" t="str">
        <f>РПЗ!AD1356</f>
        <v>Нет</v>
      </c>
      <c r="AP1356" s="472">
        <f>РПЗ!V1356</f>
        <v>0</v>
      </c>
      <c r="AQ1356" s="470">
        <f>IF(Таблица5[[#This Row],[11]]=0,,MONTH(Таблица5[[#This Row],[11]]))</f>
        <v>10</v>
      </c>
    </row>
    <row r="1357" spans="1:43" ht="39" thickBot="1" x14ac:dyDescent="0.3">
      <c r="A1357" s="233" t="str">
        <f t="shared" si="21"/>
        <v>1004-2017-1342</v>
      </c>
      <c r="B1357" s="233" t="str">
        <f>РПЗ!$D1357</f>
        <v>1004-2017-1342 Поставка микросхемы, столбы</v>
      </c>
      <c r="C1357" s="233" t="str">
        <f>РПЗ!$AA1357</f>
        <v>АО "НИИ "Полюс" им. М.Ф. Стельмаха" тел. отдела закупок 8-495-333-05-02</v>
      </c>
      <c r="D1357" s="633" t="str">
        <f>РПЗ!$AB1357</f>
        <v>Заказчик</v>
      </c>
      <c r="E1357" s="510" t="s">
        <v>62</v>
      </c>
      <c r="F1357" s="233" t="str">
        <f>РПЗ!Q1357</f>
        <v>ЕП</v>
      </c>
      <c r="G1357" s="237" t="str">
        <f>Таблица5[[#This Row],[6]]</f>
        <v>ЕП</v>
      </c>
      <c r="H1357" s="237" t="str">
        <f>РПЗ!R1357</f>
        <v>Нет</v>
      </c>
      <c r="I1357" s="15" t="str">
        <f>РПЗ!W1357</f>
        <v>6.6.2(10)</v>
      </c>
      <c r="J1357" s="233" t="str">
        <f>РПЗ!X1357</f>
        <v>5027095560</v>
      </c>
      <c r="K1357" s="283">
        <f>РПЗ!Z1357</f>
        <v>296298</v>
      </c>
      <c r="L1357" s="17">
        <v>43013</v>
      </c>
      <c r="M1357" s="18">
        <f>РПЗ!O1357</f>
        <v>43009.625</v>
      </c>
      <c r="N1357" s="238">
        <f>Таблица5[[#This Row],[10]]</f>
        <v>43009.625</v>
      </c>
      <c r="O1357" s="17"/>
      <c r="P1357" s="17"/>
      <c r="Q1357" s="17"/>
      <c r="R1357" s="17"/>
      <c r="S1357" s="17"/>
      <c r="T1357" s="686">
        <v>43040</v>
      </c>
      <c r="U1357" s="18">
        <f>РПЗ!P1357</f>
        <v>43070.625</v>
      </c>
      <c r="V1357" s="686">
        <v>43435</v>
      </c>
      <c r="W1357" s="236">
        <f>РПЗ!L1357</f>
        <v>296298</v>
      </c>
      <c r="X1357" s="689">
        <v>1</v>
      </c>
      <c r="Y1357" s="689">
        <v>0</v>
      </c>
      <c r="Z1357" s="691">
        <v>5027095560</v>
      </c>
      <c r="AA1357" s="691" t="s">
        <v>6416</v>
      </c>
      <c r="AB1357" s="111">
        <v>296298</v>
      </c>
      <c r="AC1357" s="17">
        <v>43435</v>
      </c>
      <c r="AD1357" s="690" t="s">
        <v>6842</v>
      </c>
      <c r="AE1357" s="686">
        <v>43040</v>
      </c>
      <c r="AF1357" s="474"/>
      <c r="AG1357" s="692">
        <v>296298</v>
      </c>
      <c r="AH1357" s="236">
        <f>IF(Таблица5[[#This Row],[30]]=0,"НД",Таблица5[[#This Row],[20]]-Таблица5[[#This Row],[30]])</f>
        <v>0</v>
      </c>
      <c r="AI1357" s="511">
        <f>IF(((1-Таблица5[[#This Row],[30]]/Таблица5[[#This Row],[20]])=1),"НД",(1-Таблица5[[#This Row],[30]]/Таблица5[[#This Row],[20]]))</f>
        <v>0</v>
      </c>
      <c r="AJ1357" s="111"/>
      <c r="AK1357" s="111"/>
      <c r="AL1357" s="512"/>
      <c r="AM1357" s="513" t="s">
        <v>113</v>
      </c>
      <c r="AN1357" s="801">
        <v>31705654787</v>
      </c>
      <c r="AO1357" s="468" t="str">
        <f>РПЗ!AD1357</f>
        <v>Нет</v>
      </c>
      <c r="AP1357" s="472" t="str">
        <f>РПЗ!V1357</f>
        <v>ГОЗ</v>
      </c>
      <c r="AQ1357" s="470">
        <f>IF(Таблица5[[#This Row],[11]]=0,,MONTH(Таблица5[[#This Row],[11]]))</f>
        <v>10</v>
      </c>
    </row>
    <row r="1358" spans="1:43" ht="38.25" x14ac:dyDescent="0.25">
      <c r="A1358" s="233" t="str">
        <f t="shared" si="21"/>
        <v>1004-2017-1343</v>
      </c>
      <c r="B1358" s="233" t="str">
        <f>РПЗ!$D1358</f>
        <v>1004-2017-1343 Поставка транзисторы</v>
      </c>
      <c r="C1358" s="233" t="str">
        <f>РПЗ!$AA1358</f>
        <v>АО "НИИ "Полюс" им. М.Ф. Стельмаха" тел. отдела закупок 8-495-333-05-02</v>
      </c>
      <c r="D1358" s="633" t="str">
        <f>РПЗ!$AB1358</f>
        <v>Заказчик</v>
      </c>
      <c r="E1358" s="96" t="s">
        <v>46</v>
      </c>
      <c r="F1358" s="233" t="str">
        <f>РПЗ!Q1358</f>
        <v>ЕП</v>
      </c>
      <c r="G1358" s="237"/>
      <c r="H1358" s="237" t="str">
        <f>РПЗ!R1358</f>
        <v>Нет</v>
      </c>
      <c r="I1358" s="15">
        <f>РПЗ!W1358</f>
        <v>0</v>
      </c>
      <c r="J1358" s="233">
        <f>РПЗ!X1358</f>
        <v>0</v>
      </c>
      <c r="K1358" s="283">
        <f>РПЗ!Z1358</f>
        <v>0</v>
      </c>
      <c r="L1358" s="17"/>
      <c r="M1358" s="18">
        <f>РПЗ!O1358</f>
        <v>43009.625</v>
      </c>
      <c r="N1358" s="238">
        <f>Таблица5[[#This Row],[10]]</f>
        <v>43009.625</v>
      </c>
      <c r="O1358" s="17"/>
      <c r="P1358" s="17"/>
      <c r="Q1358" s="17"/>
      <c r="R1358" s="17"/>
      <c r="S1358" s="17"/>
      <c r="T1358" s="686"/>
      <c r="U1358" s="18">
        <f>РПЗ!P1358</f>
        <v>43070.625</v>
      </c>
      <c r="V1358" s="686"/>
      <c r="W1358" s="236">
        <f>РПЗ!L1358</f>
        <v>809236.16</v>
      </c>
      <c r="X1358" s="689"/>
      <c r="Y1358" s="689"/>
      <c r="Z1358" s="690"/>
      <c r="AA1358" s="691"/>
      <c r="AB1358" s="111"/>
      <c r="AC1358" s="17"/>
      <c r="AD1358" s="690"/>
      <c r="AE1358" s="686"/>
      <c r="AF1358" s="474"/>
      <c r="AG1358" s="692"/>
      <c r="AH1358" s="236" t="str">
        <f>IF(Таблица5[[#This Row],[30]]=0,"НД",Таблица5[[#This Row],[20]]-Таблица5[[#This Row],[30]])</f>
        <v>НД</v>
      </c>
      <c r="AI1358" s="511" t="str">
        <f>IF(((1-Таблица5[[#This Row],[30]]/Таблица5[[#This Row],[20]])=1),"НД",(1-Таблица5[[#This Row],[30]]/Таблица5[[#This Row],[20]]))</f>
        <v>НД</v>
      </c>
      <c r="AJ1358" s="111"/>
      <c r="AK1358" s="111"/>
      <c r="AL1358" s="512"/>
      <c r="AM1358" s="513"/>
      <c r="AN1358" s="465"/>
      <c r="AO1358" s="468" t="str">
        <f>РПЗ!AD1358</f>
        <v>Нет</v>
      </c>
      <c r="AP1358" s="472">
        <f>РПЗ!V1358</f>
        <v>0</v>
      </c>
      <c r="AQ1358" s="470">
        <f>IF(Таблица5[[#This Row],[11]]=0,,MONTH(Таблица5[[#This Row],[11]]))</f>
        <v>10</v>
      </c>
    </row>
    <row r="1359" spans="1:43" ht="38.25" x14ac:dyDescent="0.25">
      <c r="A1359" s="233" t="str">
        <f t="shared" si="21"/>
        <v>1004-2017-1344</v>
      </c>
      <c r="B1359" s="233" t="str">
        <f>РПЗ!$D1359</f>
        <v>1004-2017-1344 Поставка триэтилгаллия, триметилиндия, триметилалюминия, диэтилцинка</v>
      </c>
      <c r="C1359" s="233" t="str">
        <f>РПЗ!$AA1359</f>
        <v>АО "НИИ "Полюс" им. М.Ф. Стельмаха" тел. отдела закупок 8-495-333-05-02</v>
      </c>
      <c r="D1359" s="633" t="str">
        <f>РПЗ!$AB1359</f>
        <v>Заказчик</v>
      </c>
      <c r="E1359" s="510" t="s">
        <v>62</v>
      </c>
      <c r="F1359" s="233" t="str">
        <f>РПЗ!Q1359</f>
        <v>ЕП</v>
      </c>
      <c r="G1359" s="237" t="str">
        <f>Таблица5[[#This Row],[6]]</f>
        <v>ЕП</v>
      </c>
      <c r="H1359" s="237" t="str">
        <f>РПЗ!R1359</f>
        <v>Нет</v>
      </c>
      <c r="I1359" s="15" t="str">
        <f>РПЗ!W1359</f>
        <v>6.6.2(9)</v>
      </c>
      <c r="J1359" s="233" t="str">
        <f>РПЗ!X1359</f>
        <v>7735148768</v>
      </c>
      <c r="K1359" s="283">
        <f>РПЗ!Z1359</f>
        <v>619000</v>
      </c>
      <c r="L1359" s="17">
        <v>43011</v>
      </c>
      <c r="M1359" s="18">
        <f>РПЗ!O1359</f>
        <v>43009.625</v>
      </c>
      <c r="N1359" s="238">
        <f>Таблица5[[#This Row],[10]]</f>
        <v>43009.625</v>
      </c>
      <c r="O1359" s="17"/>
      <c r="P1359" s="17"/>
      <c r="Q1359" s="17"/>
      <c r="R1359" s="17"/>
      <c r="S1359" s="17"/>
      <c r="T1359" s="686">
        <v>43019</v>
      </c>
      <c r="U1359" s="18">
        <f>РПЗ!P1359</f>
        <v>43009.625</v>
      </c>
      <c r="V1359" s="686">
        <v>43053</v>
      </c>
      <c r="W1359" s="236">
        <f>РПЗ!L1359</f>
        <v>619000</v>
      </c>
      <c r="X1359" s="689">
        <v>1</v>
      </c>
      <c r="Y1359" s="689">
        <v>0</v>
      </c>
      <c r="Z1359" s="691">
        <v>7735148768</v>
      </c>
      <c r="AA1359" s="691" t="s">
        <v>3360</v>
      </c>
      <c r="AB1359" s="111">
        <v>619000</v>
      </c>
      <c r="AC1359" s="17">
        <v>43053</v>
      </c>
      <c r="AD1359" s="690" t="s">
        <v>7217</v>
      </c>
      <c r="AE1359" s="686">
        <v>43019</v>
      </c>
      <c r="AF1359" s="474"/>
      <c r="AG1359" s="692">
        <v>619000</v>
      </c>
      <c r="AH1359" s="236">
        <f>IF(Таблица5[[#This Row],[30]]=0,"НД",Таблица5[[#This Row],[20]]-Таблица5[[#This Row],[30]])</f>
        <v>0</v>
      </c>
      <c r="AI1359" s="511">
        <f>IF(((1-Таблица5[[#This Row],[30]]/Таблица5[[#This Row],[20]])=1),"НД",(1-Таблица5[[#This Row],[30]]/Таблица5[[#This Row],[20]]))</f>
        <v>0</v>
      </c>
      <c r="AJ1359" s="111">
        <v>619000</v>
      </c>
      <c r="AK1359" s="111"/>
      <c r="AL1359" s="512"/>
      <c r="AM1359" s="513" t="s">
        <v>113</v>
      </c>
      <c r="AN1359" s="801">
        <v>31705597241</v>
      </c>
      <c r="AO1359" s="468" t="str">
        <f>РПЗ!AD1359</f>
        <v>Нет</v>
      </c>
      <c r="AP1359" s="472">
        <f>РПЗ!V1359</f>
        <v>0</v>
      </c>
      <c r="AQ1359" s="470">
        <f>IF(Таблица5[[#This Row],[11]]=0,,MONTH(Таблица5[[#This Row],[11]]))</f>
        <v>10</v>
      </c>
    </row>
    <row r="1360" spans="1:43" ht="89.25" x14ac:dyDescent="0.25">
      <c r="A1360" s="233" t="str">
        <f t="shared" si="21"/>
        <v>1004-2017-1345</v>
      </c>
      <c r="B1360" s="233" t="str">
        <f>РПЗ!$D1360</f>
        <v xml:space="preserve">1004-2017-1345 Поставка арсина </v>
      </c>
      <c r="C1360" s="233" t="str">
        <f>РПЗ!$AA1360</f>
        <v>АО "НИИ "Полюс" им. М.Ф. Стельмаха" тел. отдела закупок 8-495-333-05-02</v>
      </c>
      <c r="D1360" s="633" t="str">
        <f>РПЗ!$AB1360</f>
        <v>Заказчик</v>
      </c>
      <c r="E1360" s="510" t="s">
        <v>62</v>
      </c>
      <c r="F1360" s="233" t="str">
        <f>РПЗ!Q1360</f>
        <v>ЕП</v>
      </c>
      <c r="G1360" s="237" t="str">
        <f>Таблица5[[#This Row],[6]]</f>
        <v>ЕП</v>
      </c>
      <c r="H1360" s="237" t="str">
        <f>РПЗ!R1360</f>
        <v>Нет</v>
      </c>
      <c r="I1360" s="15" t="str">
        <f>РПЗ!W1360</f>
        <v>6.6.2(9)</v>
      </c>
      <c r="J1360" s="233" t="str">
        <f>РПЗ!X1360</f>
        <v>5261079332</v>
      </c>
      <c r="K1360" s="283">
        <f>РПЗ!Z1360</f>
        <v>1492700</v>
      </c>
      <c r="L1360" s="17">
        <v>43011</v>
      </c>
      <c r="M1360" s="18">
        <f>РПЗ!O1360</f>
        <v>43009.625</v>
      </c>
      <c r="N1360" s="238">
        <f>Таблица5[[#This Row],[10]]</f>
        <v>43009.625</v>
      </c>
      <c r="O1360" s="17"/>
      <c r="P1360" s="17"/>
      <c r="Q1360" s="17"/>
      <c r="R1360" s="17"/>
      <c r="S1360" s="17"/>
      <c r="T1360" s="686">
        <v>43024</v>
      </c>
      <c r="U1360" s="18">
        <f>РПЗ!P1360</f>
        <v>43009.625</v>
      </c>
      <c r="V1360" s="686">
        <v>43040</v>
      </c>
      <c r="W1360" s="236">
        <f>РПЗ!L1360</f>
        <v>1492700</v>
      </c>
      <c r="X1360" s="689">
        <v>1</v>
      </c>
      <c r="Y1360" s="689">
        <v>0</v>
      </c>
      <c r="Z1360" s="691">
        <v>5261079332</v>
      </c>
      <c r="AA1360" s="691" t="s">
        <v>7215</v>
      </c>
      <c r="AB1360" s="111">
        <v>1492700</v>
      </c>
      <c r="AC1360" s="17">
        <v>43040</v>
      </c>
      <c r="AD1360" s="690" t="s">
        <v>7216</v>
      </c>
      <c r="AE1360" s="686">
        <v>43024</v>
      </c>
      <c r="AF1360" s="474"/>
      <c r="AG1360" s="692">
        <v>1492700</v>
      </c>
      <c r="AH1360" s="236">
        <f>IF(Таблица5[[#This Row],[30]]=0,"НД",Таблица5[[#This Row],[20]]-Таблица5[[#This Row],[30]])</f>
        <v>0</v>
      </c>
      <c r="AI1360" s="511">
        <f>IF(((1-Таблица5[[#This Row],[30]]/Таблица5[[#This Row],[20]])=1),"НД",(1-Таблица5[[#This Row],[30]]/Таблица5[[#This Row],[20]]))</f>
        <v>0</v>
      </c>
      <c r="AJ1360" s="111"/>
      <c r="AK1360" s="111"/>
      <c r="AL1360" s="512"/>
      <c r="AM1360" s="513" t="s">
        <v>113</v>
      </c>
      <c r="AN1360" s="801">
        <v>31705597379</v>
      </c>
      <c r="AO1360" s="468" t="str">
        <f>РПЗ!AD1360</f>
        <v>Нет</v>
      </c>
      <c r="AP1360" s="472">
        <f>РПЗ!V1360</f>
        <v>0</v>
      </c>
      <c r="AQ1360" s="470">
        <f>IF(Таблица5[[#This Row],[11]]=0,,MONTH(Таблица5[[#This Row],[11]]))</f>
        <v>10</v>
      </c>
    </row>
    <row r="1361" spans="1:43" ht="51" x14ac:dyDescent="0.25">
      <c r="A1361" s="233" t="str">
        <f t="shared" si="21"/>
        <v>1004-2017-1346</v>
      </c>
      <c r="B1361" s="233" t="str">
        <f>РПЗ!$D1361</f>
        <v>1004-2017-1346 Поставка электронных компонентов,электронного оборудования, приборов</v>
      </c>
      <c r="C1361" s="233" t="str">
        <f>РПЗ!$AA1361</f>
        <v>АО "НИИ "Полюс" им. М.Ф. Стельмаха" тел. отдела закупок 8-495-333-05-02</v>
      </c>
      <c r="D1361" s="633" t="str">
        <f>РПЗ!$AB1361</f>
        <v>Заказчик</v>
      </c>
      <c r="E1361" s="510" t="s">
        <v>62</v>
      </c>
      <c r="F1361" s="233" t="str">
        <f>РПЗ!Q1361</f>
        <v>ЕП</v>
      </c>
      <c r="G1361" s="237" t="str">
        <f>Таблица5[[#This Row],[6]]</f>
        <v>ЕП</v>
      </c>
      <c r="H1361" s="237" t="str">
        <f>РПЗ!R1361</f>
        <v>Нет</v>
      </c>
      <c r="I1361" s="15" t="str">
        <f>РПЗ!W1361</f>
        <v>6.6.2(9)</v>
      </c>
      <c r="J1361" s="233" t="str">
        <f>РПЗ!X1361</f>
        <v>7810451043</v>
      </c>
      <c r="K1361" s="283">
        <f>РПЗ!Z1361</f>
        <v>101727.43</v>
      </c>
      <c r="L1361" s="17">
        <v>43000</v>
      </c>
      <c r="M1361" s="18">
        <f>РПЗ!O1361</f>
        <v>42979.625</v>
      </c>
      <c r="N1361" s="238">
        <f>Таблица5[[#This Row],[10]]</f>
        <v>42979.625</v>
      </c>
      <c r="O1361" s="17"/>
      <c r="P1361" s="17"/>
      <c r="Q1361" s="17"/>
      <c r="R1361" s="17"/>
      <c r="S1361" s="17"/>
      <c r="T1361" s="686">
        <v>43013</v>
      </c>
      <c r="U1361" s="18">
        <f>РПЗ!P1361</f>
        <v>43009.625</v>
      </c>
      <c r="V1361" s="686">
        <v>43040</v>
      </c>
      <c r="W1361" s="236">
        <f>РПЗ!L1361</f>
        <v>101727.43</v>
      </c>
      <c r="X1361" s="689">
        <v>1</v>
      </c>
      <c r="Y1361" s="689">
        <v>0</v>
      </c>
      <c r="Z1361" s="691">
        <v>7810451043</v>
      </c>
      <c r="AA1361" s="691" t="s">
        <v>7232</v>
      </c>
      <c r="AB1361" s="111">
        <v>101727.43</v>
      </c>
      <c r="AC1361" s="17">
        <v>43040</v>
      </c>
      <c r="AD1361" s="690" t="s">
        <v>7233</v>
      </c>
      <c r="AE1361" s="686">
        <v>43013</v>
      </c>
      <c r="AF1361" s="474"/>
      <c r="AG1361" s="692">
        <v>101727.43</v>
      </c>
      <c r="AH1361" s="236">
        <f>IF(Таблица5[[#This Row],[30]]=0,"НД",Таблица5[[#This Row],[20]]-Таблица5[[#This Row],[30]])</f>
        <v>0</v>
      </c>
      <c r="AI1361" s="511">
        <f>IF(((1-Таблица5[[#This Row],[30]]/Таблица5[[#This Row],[20]])=1),"НД",(1-Таблица5[[#This Row],[30]]/Таблица5[[#This Row],[20]]))</f>
        <v>0</v>
      </c>
      <c r="AJ1361" s="111"/>
      <c r="AK1361" s="111"/>
      <c r="AL1361" s="512"/>
      <c r="AM1361" s="513" t="s">
        <v>113</v>
      </c>
      <c r="AN1361" s="801">
        <v>31705572433</v>
      </c>
      <c r="AO1361" s="468" t="str">
        <f>РПЗ!AD1361</f>
        <v>Нет</v>
      </c>
      <c r="AP1361" s="472">
        <f>РПЗ!V1361</f>
        <v>0</v>
      </c>
      <c r="AQ1361" s="470">
        <f>IF(Таблица5[[#This Row],[11]]=0,,MONTH(Таблица5[[#This Row],[11]]))</f>
        <v>9</v>
      </c>
    </row>
    <row r="1362" spans="1:43" ht="38.25" x14ac:dyDescent="0.25">
      <c r="A1362" s="233" t="str">
        <f t="shared" si="21"/>
        <v>1004-2017-1347</v>
      </c>
      <c r="B1362" s="233" t="str">
        <f>РПЗ!$D1362</f>
        <v>1004-2017-1347 Поставка Металлические сплавы</v>
      </c>
      <c r="C1362" s="233" t="str">
        <f>РПЗ!$AA1362</f>
        <v>АО "НИИ "Полюс" им. М.Ф. Стельмаха" тел. отдела закупок 8-495-333-05-02</v>
      </c>
      <c r="D1362" s="633" t="str">
        <f>РПЗ!$AB1362</f>
        <v>Заказчик</v>
      </c>
      <c r="E1362" s="510" t="s">
        <v>62</v>
      </c>
      <c r="F1362" s="233" t="str">
        <f>РПЗ!Q1362</f>
        <v>ЕП</v>
      </c>
      <c r="G1362" s="237" t="str">
        <f>Таблица5[[#This Row],[6]]</f>
        <v>ЕП</v>
      </c>
      <c r="H1362" s="237" t="str">
        <f>РПЗ!R1362</f>
        <v>Нет</v>
      </c>
      <c r="I1362" s="15" t="str">
        <f>РПЗ!W1362</f>
        <v>6.6.2(9)</v>
      </c>
      <c r="J1362" s="233" t="str">
        <f>РПЗ!X1362</f>
        <v>9718007640</v>
      </c>
      <c r="K1362" s="283">
        <f>РПЗ!Z1362</f>
        <v>988207</v>
      </c>
      <c r="L1362" s="17" t="s">
        <v>7220</v>
      </c>
      <c r="M1362" s="18">
        <f>РПЗ!O1362</f>
        <v>43009.625</v>
      </c>
      <c r="N1362" s="238">
        <f>Таблица5[[#This Row],[10]]</f>
        <v>43009.625</v>
      </c>
      <c r="O1362" s="17"/>
      <c r="P1362" s="17"/>
      <c r="Q1362" s="17"/>
      <c r="R1362" s="17"/>
      <c r="S1362" s="17"/>
      <c r="T1362" s="686">
        <v>43014</v>
      </c>
      <c r="U1362" s="18">
        <f>РПЗ!P1362</f>
        <v>43009.625</v>
      </c>
      <c r="V1362" s="686">
        <v>43070</v>
      </c>
      <c r="W1362" s="236">
        <f>РПЗ!L1362</f>
        <v>988207</v>
      </c>
      <c r="X1362" s="689">
        <v>1</v>
      </c>
      <c r="Y1362" s="689">
        <v>0</v>
      </c>
      <c r="Z1362" s="691">
        <v>9718007640</v>
      </c>
      <c r="AA1362" s="691" t="s">
        <v>3338</v>
      </c>
      <c r="AB1362" s="111">
        <v>988207</v>
      </c>
      <c r="AC1362" s="17">
        <v>43070</v>
      </c>
      <c r="AD1362" s="690" t="s">
        <v>7222</v>
      </c>
      <c r="AE1362" s="686">
        <v>43014</v>
      </c>
      <c r="AF1362" s="474"/>
      <c r="AG1362" s="692">
        <v>988207</v>
      </c>
      <c r="AH1362" s="236">
        <f>IF(Таблица5[[#This Row],[30]]=0,"НД",Таблица5[[#This Row],[20]]-Таблица5[[#This Row],[30]])</f>
        <v>0</v>
      </c>
      <c r="AI1362" s="511">
        <f>IF(((1-Таблица5[[#This Row],[30]]/Таблица5[[#This Row],[20]])=1),"НД",(1-Таблица5[[#This Row],[30]]/Таблица5[[#This Row],[20]]))</f>
        <v>0</v>
      </c>
      <c r="AJ1362" s="111"/>
      <c r="AK1362" s="111"/>
      <c r="AL1362" s="512"/>
      <c r="AM1362" s="513" t="s">
        <v>113</v>
      </c>
      <c r="AN1362" s="801">
        <v>31705588120</v>
      </c>
      <c r="AO1362" s="468" t="str">
        <f>РПЗ!AD1362</f>
        <v>Нет</v>
      </c>
      <c r="AP1362" s="472" t="str">
        <f>РПЗ!V1362</f>
        <v>ГОЗ</v>
      </c>
      <c r="AQ1362" s="470">
        <f>IF(Таблица5[[#This Row],[11]]=0,,MONTH(Таблица5[[#This Row],[11]]))</f>
        <v>10</v>
      </c>
    </row>
    <row r="1363" spans="1:43" ht="38.25" x14ac:dyDescent="0.25">
      <c r="A1363" s="233" t="str">
        <f t="shared" si="21"/>
        <v>1004-2017-1348</v>
      </c>
      <c r="B1363" s="233" t="str">
        <f>РПЗ!$D1363</f>
        <v>1004-2017-1348 Поставка Электромонтажные материалы и изделия</v>
      </c>
      <c r="C1363" s="233" t="str">
        <f>РПЗ!$AA1363</f>
        <v>АО "НИИ "Полюс" им. М.Ф. Стельмаха" тел. отдела закупок 8-495-333-05-02</v>
      </c>
      <c r="D1363" s="633" t="str">
        <f>РПЗ!$AB1363</f>
        <v>Заказчик</v>
      </c>
      <c r="E1363" s="510" t="s">
        <v>59</v>
      </c>
      <c r="F1363" s="233" t="str">
        <f>РПЗ!Q1363</f>
        <v>ОЗК</v>
      </c>
      <c r="G1363" s="237" t="str">
        <f>Таблица5[[#This Row],[6]]</f>
        <v>ОЗК</v>
      </c>
      <c r="H1363" s="237" t="str">
        <f>РПЗ!R1363</f>
        <v>Да</v>
      </c>
      <c r="I1363" s="15">
        <f>РПЗ!W1363</f>
        <v>0</v>
      </c>
      <c r="J1363" s="233">
        <f>РПЗ!X1363</f>
        <v>0</v>
      </c>
      <c r="K1363" s="283">
        <f>РПЗ!Z1363</f>
        <v>0</v>
      </c>
      <c r="L1363" s="17">
        <v>43010</v>
      </c>
      <c r="M1363" s="18">
        <f>РПЗ!O1363</f>
        <v>43009.625</v>
      </c>
      <c r="N1363" s="238">
        <f>Таблица5[[#This Row],[10]]</f>
        <v>43009.625</v>
      </c>
      <c r="O1363" s="17">
        <v>43017</v>
      </c>
      <c r="P1363" s="17">
        <v>43020</v>
      </c>
      <c r="Q1363" s="17">
        <v>43020</v>
      </c>
      <c r="R1363" s="17">
        <v>43020</v>
      </c>
      <c r="S1363" s="17">
        <v>43020</v>
      </c>
      <c r="T1363" s="686"/>
      <c r="U1363" s="18">
        <f>РПЗ!P1363</f>
        <v>43040.625</v>
      </c>
      <c r="V1363" s="686"/>
      <c r="W1363" s="236">
        <f>РПЗ!L1363</f>
        <v>273480.53000000003</v>
      </c>
      <c r="X1363" s="689">
        <v>0</v>
      </c>
      <c r="Y1363" s="689">
        <v>0</v>
      </c>
      <c r="Z1363" s="690"/>
      <c r="AA1363" s="691"/>
      <c r="AB1363" s="111"/>
      <c r="AC1363" s="17"/>
      <c r="AD1363" s="690"/>
      <c r="AE1363" s="686"/>
      <c r="AF1363" s="474"/>
      <c r="AG1363" s="692"/>
      <c r="AH1363" s="236" t="str">
        <f>IF(Таблица5[[#This Row],[30]]=0,"НД",Таблица5[[#This Row],[20]]-Таблица5[[#This Row],[30]])</f>
        <v>НД</v>
      </c>
      <c r="AI1363" s="511" t="str">
        <f>IF(((1-Таблица5[[#This Row],[30]]/Таблица5[[#This Row],[20]])=1),"НД",(1-Таблица5[[#This Row],[30]]/Таблица5[[#This Row],[20]]))</f>
        <v>НД</v>
      </c>
      <c r="AJ1363" s="111"/>
      <c r="AK1363" s="111"/>
      <c r="AL1363" s="512"/>
      <c r="AM1363" s="513" t="s">
        <v>113</v>
      </c>
      <c r="AN1363" s="801">
        <v>31705585002</v>
      </c>
      <c r="AO1363" s="468" t="str">
        <f>РПЗ!AD1363</f>
        <v>Нет</v>
      </c>
      <c r="AP1363" s="472">
        <f>РПЗ!V1363</f>
        <v>0</v>
      </c>
      <c r="AQ1363" s="470">
        <f>IF(Таблица5[[#This Row],[11]]=0,,MONTH(Таблица5[[#This Row],[11]]))</f>
        <v>10</v>
      </c>
    </row>
    <row r="1364" spans="1:43" ht="38.25" x14ac:dyDescent="0.25">
      <c r="A1364" s="233" t="str">
        <f t="shared" si="21"/>
        <v>1004-2017-1349</v>
      </c>
      <c r="B1364" s="233" t="str">
        <f>РПЗ!$D1364</f>
        <v>1004-2017-1349 Поставка  Печатные платы для изд. МТ-401</v>
      </c>
      <c r="C1364" s="233" t="str">
        <f>РПЗ!$AA1364</f>
        <v>АО "НИИ "Полюс" им. М.Ф. Стельмаха" тел. отдела закупок 8-495-333-05-02</v>
      </c>
      <c r="D1364" s="633" t="str">
        <f>РПЗ!$AB1364</f>
        <v>Заказчик</v>
      </c>
      <c r="E1364" s="510" t="s">
        <v>62</v>
      </c>
      <c r="F1364" s="233" t="str">
        <f>РПЗ!Q1364</f>
        <v>ЕП</v>
      </c>
      <c r="G1364" s="237" t="str">
        <f>Таблица5[[#This Row],[6]]</f>
        <v>ЕП</v>
      </c>
      <c r="H1364" s="237" t="str">
        <f>РПЗ!R1364</f>
        <v>Нет</v>
      </c>
      <c r="I1364" s="15" t="str">
        <f>РПЗ!W1364</f>
        <v>6.6.2(11)</v>
      </c>
      <c r="J1364" s="233" t="str">
        <f>РПЗ!X1364</f>
        <v>7735127006</v>
      </c>
      <c r="K1364" s="283">
        <f>РПЗ!Z1364</f>
        <v>325369.52</v>
      </c>
      <c r="L1364" s="17">
        <v>43014</v>
      </c>
      <c r="M1364" s="18">
        <f>РПЗ!O1364</f>
        <v>43009.625</v>
      </c>
      <c r="N1364" s="238">
        <f>Таблица5[[#This Row],[10]]</f>
        <v>43009.625</v>
      </c>
      <c r="O1364" s="17"/>
      <c r="P1364" s="17"/>
      <c r="Q1364" s="17"/>
      <c r="R1364" s="17"/>
      <c r="S1364" s="17"/>
      <c r="T1364" s="686">
        <v>43041</v>
      </c>
      <c r="U1364" s="18">
        <f>РПЗ!P1364</f>
        <v>43070.625</v>
      </c>
      <c r="V1364" s="686">
        <v>43070</v>
      </c>
      <c r="W1364" s="236">
        <f>РПЗ!L1364</f>
        <v>325369.52</v>
      </c>
      <c r="X1364" s="689">
        <v>1</v>
      </c>
      <c r="Y1364" s="689">
        <v>0</v>
      </c>
      <c r="Z1364" s="691">
        <v>7735127006</v>
      </c>
      <c r="AA1364" s="691" t="s">
        <v>5767</v>
      </c>
      <c r="AB1364" s="111">
        <v>325369.52</v>
      </c>
      <c r="AC1364" s="17">
        <v>43070</v>
      </c>
      <c r="AD1364" s="690" t="s">
        <v>7265</v>
      </c>
      <c r="AE1364" s="686">
        <v>43041</v>
      </c>
      <c r="AF1364" s="474"/>
      <c r="AG1364" s="692">
        <v>325369.52</v>
      </c>
      <c r="AH1364" s="236">
        <f>IF(Таблица5[[#This Row],[30]]=0,"НД",Таблица5[[#This Row],[20]]-Таблица5[[#This Row],[30]])</f>
        <v>0</v>
      </c>
      <c r="AI1364" s="511">
        <f>IF(((1-Таблица5[[#This Row],[30]]/Таблица5[[#This Row],[20]])=1),"НД",(1-Таблица5[[#This Row],[30]]/Таблица5[[#This Row],[20]]))</f>
        <v>0</v>
      </c>
      <c r="AJ1364" s="111"/>
      <c r="AK1364" s="111"/>
      <c r="AL1364" s="512"/>
      <c r="AM1364" s="513" t="s">
        <v>113</v>
      </c>
      <c r="AN1364" s="801">
        <v>31705649511</v>
      </c>
      <c r="AO1364" s="468" t="str">
        <f>РПЗ!AD1364</f>
        <v>Нет</v>
      </c>
      <c r="AP1364" s="472" t="str">
        <f>РПЗ!V1364</f>
        <v>ГОЗ</v>
      </c>
      <c r="AQ1364" s="470">
        <f>IF(Таблица5[[#This Row],[11]]=0,,MONTH(Таблица5[[#This Row],[11]]))</f>
        <v>10</v>
      </c>
    </row>
    <row r="1365" spans="1:43" ht="39" thickBot="1" x14ac:dyDescent="0.3">
      <c r="A1365" s="233" t="str">
        <f t="shared" si="21"/>
        <v>1004-2017-1350</v>
      </c>
      <c r="B1365" s="233" t="str">
        <f>РПЗ!$D1365</f>
        <v>1004-2017-1350 Поставка Зеркало ЖГДК.756523.007</v>
      </c>
      <c r="C1365" s="233" t="str">
        <f>РПЗ!$AA1365</f>
        <v>АО "НИИ "Полюс" им. М.Ф. Стельмаха" тел. отдела закупок 8-495-333-05-02</v>
      </c>
      <c r="D1365" s="633" t="str">
        <f>РПЗ!$AB1365</f>
        <v>Заказчик</v>
      </c>
      <c r="E1365" s="510" t="s">
        <v>62</v>
      </c>
      <c r="F1365" s="233" t="str">
        <f>РПЗ!Q1365</f>
        <v>ЕП</v>
      </c>
      <c r="G1365" s="237" t="str">
        <f>Таблица5[[#This Row],[6]]</f>
        <v>ЕП</v>
      </c>
      <c r="H1365" s="237" t="str">
        <f>РПЗ!R1365</f>
        <v>Нет</v>
      </c>
      <c r="I1365" s="15" t="str">
        <f>РПЗ!W1365</f>
        <v>6.6.2(11)</v>
      </c>
      <c r="J1365" s="233" t="str">
        <f>РПЗ!X1365</f>
        <v>7727768951</v>
      </c>
      <c r="K1365" s="283">
        <f>РПЗ!Z1365</f>
        <v>110448</v>
      </c>
      <c r="L1365" s="17">
        <v>43019</v>
      </c>
      <c r="M1365" s="18">
        <f>РПЗ!O1365</f>
        <v>43009.625</v>
      </c>
      <c r="N1365" s="238">
        <f>Таблица5[[#This Row],[10]]</f>
        <v>43009.625</v>
      </c>
      <c r="O1365" s="17"/>
      <c r="P1365" s="17"/>
      <c r="Q1365" s="17"/>
      <c r="R1365" s="17"/>
      <c r="S1365" s="17"/>
      <c r="T1365" s="686">
        <v>43035</v>
      </c>
      <c r="U1365" s="18">
        <f>РПЗ!P1365</f>
        <v>43070.625</v>
      </c>
      <c r="V1365" s="686">
        <v>43099</v>
      </c>
      <c r="W1365" s="236">
        <f>РПЗ!L1365</f>
        <v>110448</v>
      </c>
      <c r="X1365" s="689">
        <v>1</v>
      </c>
      <c r="Y1365" s="689">
        <v>0</v>
      </c>
      <c r="Z1365" s="691">
        <v>7727768951</v>
      </c>
      <c r="AA1365" s="691" t="s">
        <v>2370</v>
      </c>
      <c r="AB1365" s="111">
        <v>110448</v>
      </c>
      <c r="AC1365" s="17">
        <v>43099</v>
      </c>
      <c r="AD1365" s="690" t="s">
        <v>7679</v>
      </c>
      <c r="AE1365" s="686">
        <v>43035</v>
      </c>
      <c r="AF1365" s="474"/>
      <c r="AG1365" s="692">
        <v>110448</v>
      </c>
      <c r="AH1365" s="236">
        <f>IF(Таблица5[[#This Row],[30]]=0,"НД",Таблица5[[#This Row],[20]]-Таблица5[[#This Row],[30]])</f>
        <v>0</v>
      </c>
      <c r="AI1365" s="511">
        <f>IF(((1-Таблица5[[#This Row],[30]]/Таблица5[[#This Row],[20]])=1),"НД",(1-Таблица5[[#This Row],[30]]/Таблица5[[#This Row],[20]]))</f>
        <v>0</v>
      </c>
      <c r="AJ1365" s="111"/>
      <c r="AK1365" s="111"/>
      <c r="AL1365" s="512"/>
      <c r="AM1365" s="513" t="s">
        <v>113</v>
      </c>
      <c r="AN1365" s="801">
        <v>31705660467</v>
      </c>
      <c r="AO1365" s="468" t="str">
        <f>РПЗ!AD1365</f>
        <v>Нет</v>
      </c>
      <c r="AP1365" s="472" t="str">
        <f>РПЗ!V1365</f>
        <v>ГОЗ</v>
      </c>
      <c r="AQ1365" s="470">
        <f>IF(Таблица5[[#This Row],[11]]=0,,MONTH(Таблица5[[#This Row],[11]]))</f>
        <v>10</v>
      </c>
    </row>
    <row r="1366" spans="1:43" ht="38.25" x14ac:dyDescent="0.25">
      <c r="A1366" s="233" t="str">
        <f t="shared" si="21"/>
        <v>1004-2017-1351</v>
      </c>
      <c r="B1366" s="233" t="str">
        <f>РПЗ!$D1366</f>
        <v xml:space="preserve">1004-2017-1351 Поставка Узел мембранной дегазации ДУ-1600-08-М  ТУ.4859.022.27572664.16 </v>
      </c>
      <c r="C1366" s="233" t="str">
        <f>РПЗ!$AA1366</f>
        <v>АО "НИИ "Полюс" им. М.Ф. Стельмаха" тел. отдела закупок 8-495-333-05-02</v>
      </c>
      <c r="D1366" s="633" t="str">
        <f>РПЗ!$AB1366</f>
        <v>Заказчик</v>
      </c>
      <c r="E1366" s="96" t="s">
        <v>46</v>
      </c>
      <c r="F1366" s="233" t="str">
        <f>РПЗ!Q1366</f>
        <v>ЕП</v>
      </c>
      <c r="G1366" s="237"/>
      <c r="H1366" s="237" t="str">
        <f>РПЗ!R1366</f>
        <v>Нет</v>
      </c>
      <c r="I1366" s="15">
        <f>РПЗ!W1366</f>
        <v>0</v>
      </c>
      <c r="J1366" s="233">
        <f>РПЗ!X1366</f>
        <v>0</v>
      </c>
      <c r="K1366" s="283">
        <f>РПЗ!Z1366</f>
        <v>0</v>
      </c>
      <c r="L1366" s="17"/>
      <c r="M1366" s="18">
        <f>РПЗ!O1366</f>
        <v>43009.625</v>
      </c>
      <c r="N1366" s="238">
        <f>Таблица5[[#This Row],[10]]</f>
        <v>43009.625</v>
      </c>
      <c r="O1366" s="17"/>
      <c r="P1366" s="17"/>
      <c r="Q1366" s="17"/>
      <c r="R1366" s="17"/>
      <c r="S1366" s="17"/>
      <c r="T1366" s="686"/>
      <c r="U1366" s="18">
        <f>РПЗ!P1366</f>
        <v>43070.625</v>
      </c>
      <c r="V1366" s="686"/>
      <c r="W1366" s="236">
        <f>РПЗ!L1366</f>
        <v>1803040</v>
      </c>
      <c r="X1366" s="689"/>
      <c r="Y1366" s="689"/>
      <c r="Z1366" s="690"/>
      <c r="AA1366" s="691"/>
      <c r="AB1366" s="111"/>
      <c r="AC1366" s="17"/>
      <c r="AD1366" s="690"/>
      <c r="AE1366" s="686"/>
      <c r="AF1366" s="474"/>
      <c r="AG1366" s="692"/>
      <c r="AH1366" s="236" t="str">
        <f>IF(Таблица5[[#This Row],[30]]=0,"НД",Таблица5[[#This Row],[20]]-Таблица5[[#This Row],[30]])</f>
        <v>НД</v>
      </c>
      <c r="AI1366" s="511" t="str">
        <f>IF(((1-Таблица5[[#This Row],[30]]/Таблица5[[#This Row],[20]])=1),"НД",(1-Таблица5[[#This Row],[30]]/Таблица5[[#This Row],[20]]))</f>
        <v>НД</v>
      </c>
      <c r="AJ1366" s="111"/>
      <c r="AK1366" s="111"/>
      <c r="AL1366" s="512"/>
      <c r="AM1366" s="513"/>
      <c r="AN1366" s="465"/>
      <c r="AO1366" s="468" t="str">
        <f>РПЗ!AD1366</f>
        <v>Нет</v>
      </c>
      <c r="AP1366" s="472">
        <f>РПЗ!V1366</f>
        <v>0</v>
      </c>
      <c r="AQ1366" s="470">
        <f>IF(Таблица5[[#This Row],[11]]=0,,MONTH(Таблица5[[#This Row],[11]]))</f>
        <v>10</v>
      </c>
    </row>
    <row r="1367" spans="1:43" ht="38.25" x14ac:dyDescent="0.25">
      <c r="A1367" s="233" t="str">
        <f t="shared" si="21"/>
        <v>1004-2017-1352</v>
      </c>
      <c r="B1367" s="233" t="str">
        <f>РПЗ!$D1367</f>
        <v>1004-2017-1352 Поставка  и изготовление иридиевых  тиглей И99.9 ТЦА 10020</v>
      </c>
      <c r="C1367" s="233" t="str">
        <f>РПЗ!$AA1367</f>
        <v>АО "НИИ "Полюс" им. М.Ф. Стельмаха" тел. отдела закупок 8-495-333-05-02</v>
      </c>
      <c r="D1367" s="633" t="str">
        <f>РПЗ!$AB1367</f>
        <v>Заказчик</v>
      </c>
      <c r="E1367" s="510" t="s">
        <v>62</v>
      </c>
      <c r="F1367" s="233" t="str">
        <f>РПЗ!Q1367</f>
        <v>ОЗК</v>
      </c>
      <c r="G1367" s="237" t="s">
        <v>108</v>
      </c>
      <c r="H1367" s="237" t="str">
        <f>РПЗ!R1367</f>
        <v>Да</v>
      </c>
      <c r="I1367" s="15">
        <f>РПЗ!W1367</f>
        <v>0</v>
      </c>
      <c r="J1367" s="233">
        <f>РПЗ!X1367</f>
        <v>0</v>
      </c>
      <c r="K1367" s="283">
        <f>РПЗ!Z1367</f>
        <v>0</v>
      </c>
      <c r="L1367" s="17">
        <v>43026</v>
      </c>
      <c r="M1367" s="18">
        <f>РПЗ!O1367</f>
        <v>43009.625</v>
      </c>
      <c r="N1367" s="238">
        <f>Таблица5[[#This Row],[10]]</f>
        <v>43009.625</v>
      </c>
      <c r="O1367" s="17">
        <v>43032</v>
      </c>
      <c r="P1367" s="17">
        <v>43038</v>
      </c>
      <c r="Q1367" s="17">
        <v>43038</v>
      </c>
      <c r="R1367" s="17">
        <v>43032</v>
      </c>
      <c r="S1367" s="17">
        <v>43032</v>
      </c>
      <c r="T1367" s="686">
        <v>43055</v>
      </c>
      <c r="U1367" s="18">
        <f>РПЗ!P1367</f>
        <v>43070.625</v>
      </c>
      <c r="V1367" s="686">
        <v>43189</v>
      </c>
      <c r="W1367" s="236">
        <f>РПЗ!L1367</f>
        <v>415155.02</v>
      </c>
      <c r="X1367" s="689">
        <v>1</v>
      </c>
      <c r="Y1367" s="689">
        <v>0</v>
      </c>
      <c r="Z1367" s="691">
        <v>6661005707</v>
      </c>
      <c r="AA1367" s="691" t="s">
        <v>3093</v>
      </c>
      <c r="AB1367" s="111">
        <v>415155.02</v>
      </c>
      <c r="AC1367" s="17">
        <v>43189</v>
      </c>
      <c r="AD1367" s="690" t="s">
        <v>8179</v>
      </c>
      <c r="AE1367" s="686">
        <v>43055</v>
      </c>
      <c r="AF1367" s="474"/>
      <c r="AG1367" s="692">
        <v>415155.02</v>
      </c>
      <c r="AH1367" s="236">
        <f>IF(Таблица5[[#This Row],[30]]=0,"НД",Таблица5[[#This Row],[20]]-Таблица5[[#This Row],[30]])</f>
        <v>0</v>
      </c>
      <c r="AI1367" s="511">
        <f>IF(((1-Таблица5[[#This Row],[30]]/Таблица5[[#This Row],[20]])=1),"НД",(1-Таблица5[[#This Row],[30]]/Таблица5[[#This Row],[20]]))</f>
        <v>0</v>
      </c>
      <c r="AJ1367" s="111"/>
      <c r="AK1367" s="111">
        <v>415155.02</v>
      </c>
      <c r="AL1367" s="512"/>
      <c r="AM1367" s="513" t="s">
        <v>113</v>
      </c>
      <c r="AN1367" s="801">
        <v>31705635599</v>
      </c>
      <c r="AO1367" s="468" t="str">
        <f>РПЗ!AD1367</f>
        <v>Нет</v>
      </c>
      <c r="AP1367" s="472">
        <f>РПЗ!V1367</f>
        <v>0</v>
      </c>
      <c r="AQ1367" s="470">
        <f>IF(Таблица5[[#This Row],[11]]=0,,MONTH(Таблица5[[#This Row],[11]]))</f>
        <v>10</v>
      </c>
    </row>
    <row r="1368" spans="1:43" ht="39" thickBot="1" x14ac:dyDescent="0.3">
      <c r="A1368" s="233" t="str">
        <f t="shared" si="21"/>
        <v>1004-2017-1353</v>
      </c>
      <c r="B1368" s="233" t="str">
        <f>РПЗ!$D1368</f>
        <v>1004-2017-1353 поставка датчиков, блоков питания и измерительного инструмента</v>
      </c>
      <c r="C1368" s="233" t="str">
        <f>РПЗ!$AA1368</f>
        <v>АО "НИИ "Полюс" им. М.Ф. Стельмаха" тел. отдела закупок 8-495-333-05-02</v>
      </c>
      <c r="D1368" s="633" t="str">
        <f>РПЗ!$AB1368</f>
        <v>Заказчик</v>
      </c>
      <c r="E1368" s="510" t="s">
        <v>62</v>
      </c>
      <c r="F1368" s="233" t="str">
        <f>РПЗ!Q1368</f>
        <v>ЕП</v>
      </c>
      <c r="G1368" s="237" t="str">
        <f>Таблица5[[#This Row],[6]]</f>
        <v>ЕП</v>
      </c>
      <c r="H1368" s="237" t="str">
        <f>РПЗ!R1368</f>
        <v>Нет</v>
      </c>
      <c r="I1368" s="15" t="str">
        <f>РПЗ!W1368</f>
        <v>6.6.2(9)</v>
      </c>
      <c r="J1368" s="233" t="str">
        <f>РПЗ!X1368</f>
        <v>7704839194</v>
      </c>
      <c r="K1368" s="283">
        <f>РПЗ!Z1368</f>
        <v>458776</v>
      </c>
      <c r="L1368" s="17">
        <v>43018</v>
      </c>
      <c r="M1368" s="18">
        <f>РПЗ!O1368</f>
        <v>43009.625</v>
      </c>
      <c r="N1368" s="238">
        <f>Таблица5[[#This Row],[10]]</f>
        <v>43009.625</v>
      </c>
      <c r="O1368" s="17"/>
      <c r="P1368" s="17"/>
      <c r="Q1368" s="17"/>
      <c r="R1368" s="17"/>
      <c r="S1368" s="17"/>
      <c r="T1368" s="686">
        <v>43024</v>
      </c>
      <c r="U1368" s="18">
        <f>РПЗ!P1368</f>
        <v>43040.625</v>
      </c>
      <c r="V1368" s="686">
        <v>43049</v>
      </c>
      <c r="W1368" s="236">
        <f>РПЗ!L1368</f>
        <v>458776</v>
      </c>
      <c r="X1368" s="689">
        <v>1</v>
      </c>
      <c r="Y1368" s="689">
        <v>0</v>
      </c>
      <c r="Z1368" s="691">
        <v>7704839194</v>
      </c>
      <c r="AA1368" s="691" t="s">
        <v>7253</v>
      </c>
      <c r="AB1368" s="111">
        <v>458776</v>
      </c>
      <c r="AC1368" s="17">
        <v>43049</v>
      </c>
      <c r="AD1368" s="690" t="s">
        <v>7254</v>
      </c>
      <c r="AE1368" s="686">
        <v>43024</v>
      </c>
      <c r="AF1368" s="474"/>
      <c r="AG1368" s="692">
        <v>458776</v>
      </c>
      <c r="AH1368" s="236">
        <f>IF(Таблица5[[#This Row],[30]]=0,"НД",Таблица5[[#This Row],[20]]-Таблица5[[#This Row],[30]])</f>
        <v>0</v>
      </c>
      <c r="AI1368" s="511">
        <f>IF(((1-Таблица5[[#This Row],[30]]/Таблица5[[#This Row],[20]])=1),"НД",(1-Таблица5[[#This Row],[30]]/Таблица5[[#This Row],[20]]))</f>
        <v>0</v>
      </c>
      <c r="AJ1368" s="111">
        <v>458776</v>
      </c>
      <c r="AK1368" s="111"/>
      <c r="AL1368" s="512"/>
      <c r="AM1368" s="513" t="s">
        <v>113</v>
      </c>
      <c r="AN1368" s="801">
        <v>31705624878</v>
      </c>
      <c r="AO1368" s="468" t="str">
        <f>РПЗ!AD1368</f>
        <v>Нет</v>
      </c>
      <c r="AP1368" s="472">
        <f>РПЗ!V1368</f>
        <v>0</v>
      </c>
      <c r="AQ1368" s="470">
        <f>IF(Таблица5[[#This Row],[11]]=0,,MONTH(Таблица5[[#This Row],[11]]))</f>
        <v>10</v>
      </c>
    </row>
    <row r="1369" spans="1:43" ht="38.25" x14ac:dyDescent="0.25">
      <c r="A1369" s="233" t="str">
        <f t="shared" si="21"/>
        <v>1004-2017-1354</v>
      </c>
      <c r="B1369" s="233" t="str">
        <f>РПЗ!$D1369</f>
        <v>1004-2017-1354 поставка комплекта лабораторной мебели</v>
      </c>
      <c r="C1369" s="233" t="str">
        <f>РПЗ!$AA1369</f>
        <v>АО "НИИ "Полюс" им. М.Ф. Стельмаха" тел. отдела закупок 8-495-333-05-02</v>
      </c>
      <c r="D1369" s="633" t="str">
        <f>РПЗ!$AB1369</f>
        <v>Заказчик</v>
      </c>
      <c r="E1369" s="96" t="s">
        <v>46</v>
      </c>
      <c r="F1369" s="233" t="str">
        <f>РПЗ!Q1369</f>
        <v>ОЗК</v>
      </c>
      <c r="G1369" s="237"/>
      <c r="H1369" s="237" t="str">
        <f>РПЗ!R1369</f>
        <v>Да</v>
      </c>
      <c r="I1369" s="15">
        <f>РПЗ!W1369</f>
        <v>0</v>
      </c>
      <c r="J1369" s="233">
        <f>РПЗ!X1369</f>
        <v>0</v>
      </c>
      <c r="K1369" s="283">
        <f>РПЗ!Z1369</f>
        <v>0</v>
      </c>
      <c r="L1369" s="17"/>
      <c r="M1369" s="18">
        <f>РПЗ!O1369</f>
        <v>43009.625</v>
      </c>
      <c r="N1369" s="238">
        <f>Таблица5[[#This Row],[10]]</f>
        <v>43009.625</v>
      </c>
      <c r="O1369" s="17"/>
      <c r="P1369" s="17"/>
      <c r="Q1369" s="17"/>
      <c r="R1369" s="17"/>
      <c r="S1369" s="17"/>
      <c r="T1369" s="686"/>
      <c r="U1369" s="18">
        <f>РПЗ!P1369</f>
        <v>43070.625</v>
      </c>
      <c r="V1369" s="686"/>
      <c r="W1369" s="236">
        <f>РПЗ!L1369</f>
        <v>278998.93</v>
      </c>
      <c r="X1369" s="689"/>
      <c r="Y1369" s="689"/>
      <c r="Z1369" s="690"/>
      <c r="AA1369" s="691"/>
      <c r="AB1369" s="111"/>
      <c r="AC1369" s="17"/>
      <c r="AD1369" s="690"/>
      <c r="AE1369" s="686"/>
      <c r="AF1369" s="474"/>
      <c r="AG1369" s="692"/>
      <c r="AH1369" s="236" t="str">
        <f>IF(Таблица5[[#This Row],[30]]=0,"НД",Таблица5[[#This Row],[20]]-Таблица5[[#This Row],[30]])</f>
        <v>НД</v>
      </c>
      <c r="AI1369" s="511" t="str">
        <f>IF(((1-Таблица5[[#This Row],[30]]/Таблица5[[#This Row],[20]])=1),"НД",(1-Таблица5[[#This Row],[30]]/Таблица5[[#This Row],[20]]))</f>
        <v>НД</v>
      </c>
      <c r="AJ1369" s="111"/>
      <c r="AK1369" s="111"/>
      <c r="AL1369" s="512"/>
      <c r="AM1369" s="513"/>
      <c r="AN1369" s="465"/>
      <c r="AO1369" s="468" t="str">
        <f>РПЗ!AD1369</f>
        <v>Нет</v>
      </c>
      <c r="AP1369" s="472">
        <f>РПЗ!V1369</f>
        <v>0</v>
      </c>
      <c r="AQ1369" s="470">
        <f>IF(Таблица5[[#This Row],[11]]=0,,MONTH(Таблица5[[#This Row],[11]]))</f>
        <v>10</v>
      </c>
    </row>
    <row r="1370" spans="1:43" ht="63.75" x14ac:dyDescent="0.25">
      <c r="A1370" s="233" t="str">
        <f t="shared" si="21"/>
        <v>1004-2017-1355</v>
      </c>
      <c r="B1370" s="233" t="str">
        <f>РПЗ!$D1370</f>
        <v>1004-2017-1355 поставка мебели и комплектующих материалов для оснащения лаборатории </v>
      </c>
      <c r="C1370" s="233" t="str">
        <f>РПЗ!$AA1370</f>
        <v>АО "НИИ "Полюс" им. М.Ф. Стельмаха" тел. отдела закупок 8-495-333-05-02</v>
      </c>
      <c r="D1370" s="633" t="str">
        <f>РПЗ!$AB1370</f>
        <v>Заказчик</v>
      </c>
      <c r="E1370" s="510" t="s">
        <v>62</v>
      </c>
      <c r="F1370" s="233" t="str">
        <f>РПЗ!Q1370</f>
        <v>ЕП</v>
      </c>
      <c r="G1370" s="237" t="str">
        <f>Таблица5[[#This Row],[6]]</f>
        <v>ЕП</v>
      </c>
      <c r="H1370" s="237" t="str">
        <f>РПЗ!R1370</f>
        <v>Нет</v>
      </c>
      <c r="I1370" s="15" t="str">
        <f>РПЗ!W1370</f>
        <v>6.6.2(9)</v>
      </c>
      <c r="J1370" s="233" t="str">
        <f>РПЗ!X1370</f>
        <v>7804057754</v>
      </c>
      <c r="K1370" s="283">
        <f>РПЗ!Z1370</f>
        <v>2599608.7799999998</v>
      </c>
      <c r="L1370" s="17">
        <v>43018</v>
      </c>
      <c r="M1370" s="18">
        <f>РПЗ!O1370</f>
        <v>43009.625</v>
      </c>
      <c r="N1370" s="238">
        <f>Таблица5[[#This Row],[10]]</f>
        <v>43009.625</v>
      </c>
      <c r="O1370" s="17"/>
      <c r="P1370" s="17"/>
      <c r="Q1370" s="17"/>
      <c r="R1370" s="17"/>
      <c r="S1370" s="17"/>
      <c r="T1370" s="686">
        <v>43024</v>
      </c>
      <c r="U1370" s="18">
        <f>РПЗ!P1370</f>
        <v>43040.625</v>
      </c>
      <c r="V1370" s="686">
        <v>43040</v>
      </c>
      <c r="W1370" s="236">
        <f>РПЗ!L1370</f>
        <v>2599608.7799999998</v>
      </c>
      <c r="X1370" s="689">
        <v>1</v>
      </c>
      <c r="Y1370" s="689">
        <v>0</v>
      </c>
      <c r="Z1370" s="691">
        <v>7804057754</v>
      </c>
      <c r="AA1370" s="691" t="s">
        <v>7256</v>
      </c>
      <c r="AB1370" s="111">
        <v>2599608.7799999998</v>
      </c>
      <c r="AC1370" s="17">
        <v>43040</v>
      </c>
      <c r="AD1370" s="690" t="s">
        <v>7257</v>
      </c>
      <c r="AE1370" s="686">
        <v>43024</v>
      </c>
      <c r="AF1370" s="474"/>
      <c r="AG1370" s="692">
        <v>2599608.7799999998</v>
      </c>
      <c r="AH1370" s="236">
        <f>IF(Таблица5[[#This Row],[30]]=0,"НД",Таблица5[[#This Row],[20]]-Таблица5[[#This Row],[30]])</f>
        <v>0</v>
      </c>
      <c r="AI1370" s="511">
        <f>IF(((1-Таблица5[[#This Row],[30]]/Таблица5[[#This Row],[20]])=1),"НД",(1-Таблица5[[#This Row],[30]]/Таблица5[[#This Row],[20]]))</f>
        <v>0</v>
      </c>
      <c r="AJ1370" s="111"/>
      <c r="AK1370" s="111"/>
      <c r="AL1370" s="512"/>
      <c r="AM1370" s="513" t="s">
        <v>113</v>
      </c>
      <c r="AN1370" s="801">
        <v>31705624870</v>
      </c>
      <c r="AO1370" s="468" t="str">
        <f>РПЗ!AD1370</f>
        <v>Нет</v>
      </c>
      <c r="AP1370" s="472">
        <f>РПЗ!V1370</f>
        <v>0</v>
      </c>
      <c r="AQ1370" s="470">
        <f>IF(Таблица5[[#This Row],[11]]=0,,MONTH(Таблица5[[#This Row],[11]]))</f>
        <v>10</v>
      </c>
    </row>
    <row r="1371" spans="1:43" ht="63.75" x14ac:dyDescent="0.25">
      <c r="A1371" s="233" t="str">
        <f t="shared" si="21"/>
        <v>1004-2017-1356</v>
      </c>
      <c r="B1371" s="233" t="str">
        <f>РПЗ!$D1371</f>
        <v>1004-2017-1356 поставка комплекта лабораторной мебели</v>
      </c>
      <c r="C1371" s="233" t="str">
        <f>РПЗ!$AA1371</f>
        <v>АО "НИИ "Полюс" им. М.Ф. Стельмаха" тел. отдела закупок 8-495-333-05-02</v>
      </c>
      <c r="D1371" s="633" t="str">
        <f>РПЗ!$AB1371</f>
        <v>Заказчик</v>
      </c>
      <c r="E1371" s="510" t="s">
        <v>62</v>
      </c>
      <c r="F1371" s="233" t="str">
        <f>РПЗ!Q1371</f>
        <v>ОЗК</v>
      </c>
      <c r="G1371" s="237" t="s">
        <v>108</v>
      </c>
      <c r="H1371" s="237" t="str">
        <f>РПЗ!R1371</f>
        <v>Да</v>
      </c>
      <c r="I1371" s="15">
        <f>РПЗ!W1371</f>
        <v>0</v>
      </c>
      <c r="J1371" s="233">
        <f>РПЗ!X1371</f>
        <v>0</v>
      </c>
      <c r="K1371" s="283">
        <f>РПЗ!Z1371</f>
        <v>0</v>
      </c>
      <c r="L1371" s="17">
        <v>43033</v>
      </c>
      <c r="M1371" s="18">
        <f>РПЗ!O1371</f>
        <v>43009.625</v>
      </c>
      <c r="N1371" s="238">
        <f>Таблица5[[#This Row],[10]]</f>
        <v>43009.625</v>
      </c>
      <c r="O1371" s="17">
        <v>43039</v>
      </c>
      <c r="P1371" s="17">
        <v>43042</v>
      </c>
      <c r="Q1371" s="17">
        <v>43042</v>
      </c>
      <c r="R1371" s="17">
        <v>43040</v>
      </c>
      <c r="S1371" s="17">
        <v>43040</v>
      </c>
      <c r="T1371" s="686">
        <v>43054</v>
      </c>
      <c r="U1371" s="18">
        <f>РПЗ!P1371</f>
        <v>43070.625</v>
      </c>
      <c r="V1371" s="686">
        <v>43100</v>
      </c>
      <c r="W1371" s="236">
        <f>РПЗ!L1371</f>
        <v>1196410.72</v>
      </c>
      <c r="X1371" s="689">
        <v>2</v>
      </c>
      <c r="Y1371" s="689">
        <v>1</v>
      </c>
      <c r="Z1371" s="691">
        <v>7804057754</v>
      </c>
      <c r="AA1371" s="691" t="s">
        <v>7256</v>
      </c>
      <c r="AB1371" s="111">
        <v>1100000</v>
      </c>
      <c r="AC1371" s="17">
        <v>43100</v>
      </c>
      <c r="AD1371" s="690" t="s">
        <v>8178</v>
      </c>
      <c r="AE1371" s="686">
        <v>43054</v>
      </c>
      <c r="AF1371" s="474"/>
      <c r="AG1371" s="692">
        <v>1100000</v>
      </c>
      <c r="AH1371" s="236">
        <f>IF(Таблица5[[#This Row],[30]]=0,"НД",Таблица5[[#This Row],[20]]-Таблица5[[#This Row],[30]])</f>
        <v>96410.719999999972</v>
      </c>
      <c r="AI1371" s="511">
        <f>IF(((1-Таблица5[[#This Row],[30]]/Таблица5[[#This Row],[20]])=1),"НД",(1-Таблица5[[#This Row],[30]]/Таблица5[[#This Row],[20]]))</f>
        <v>8.0583296679254124E-2</v>
      </c>
      <c r="AJ1371" s="111"/>
      <c r="AK1371" s="111">
        <v>1100000</v>
      </c>
      <c r="AL1371" s="512"/>
      <c r="AM1371" s="513" t="s">
        <v>113</v>
      </c>
      <c r="AN1371" s="801">
        <v>31705662436</v>
      </c>
      <c r="AO1371" s="468" t="str">
        <f>РПЗ!AD1371</f>
        <v>Нет</v>
      </c>
      <c r="AP1371" s="472">
        <f>РПЗ!V1371</f>
        <v>0</v>
      </c>
      <c r="AQ1371" s="470">
        <f>IF(Таблица5[[#This Row],[11]]=0,,MONTH(Таблица5[[#This Row],[11]]))</f>
        <v>10</v>
      </c>
    </row>
    <row r="1372" spans="1:43" ht="63.75" x14ac:dyDescent="0.25">
      <c r="A1372" s="233" t="str">
        <f t="shared" si="21"/>
        <v>1004-2017-1357</v>
      </c>
      <c r="B1372" s="233" t="str">
        <f>РПЗ!$D1372</f>
        <v>1004-2017-1357 Поставка оптические заготовки К-108 150х150х30=26 шт. К-108 150х150х20= 12 шт. Тк-102 150х150х20 =9 шт</v>
      </c>
      <c r="C1372" s="233" t="str">
        <f>РПЗ!$AA1372</f>
        <v>АО "НИИ "Полюс" им. М.Ф. Стельмаха" тел. отдела закупок 8-495-333-05-02</v>
      </c>
      <c r="D1372" s="633" t="str">
        <f>РПЗ!$AB1372</f>
        <v>Заказчик</v>
      </c>
      <c r="E1372" s="510" t="s">
        <v>62</v>
      </c>
      <c r="F1372" s="233" t="str">
        <f>РПЗ!Q1372</f>
        <v>ОЗК</v>
      </c>
      <c r="G1372" s="237" t="str">
        <f>Таблица5[[#This Row],[6]]</f>
        <v>ОЗК</v>
      </c>
      <c r="H1372" s="237" t="str">
        <f>РПЗ!R1372</f>
        <v>Да</v>
      </c>
      <c r="I1372" s="15" t="str">
        <f>РПЗ!W1372</f>
        <v>6.6.2(9)</v>
      </c>
      <c r="J1372" s="233" t="str">
        <f>РПЗ!X1372</f>
        <v>5026000300</v>
      </c>
      <c r="K1372" s="283">
        <f>РПЗ!Z1372</f>
        <v>198221.07</v>
      </c>
      <c r="L1372" s="17">
        <v>43026</v>
      </c>
      <c r="M1372" s="18">
        <f>РПЗ!O1372</f>
        <v>43009.625</v>
      </c>
      <c r="N1372" s="238">
        <f>Таблица5[[#This Row],[10]]</f>
        <v>43009.625</v>
      </c>
      <c r="O1372" s="17"/>
      <c r="P1372" s="17"/>
      <c r="Q1372" s="17"/>
      <c r="R1372" s="17"/>
      <c r="S1372" s="17"/>
      <c r="T1372" s="686">
        <v>43060</v>
      </c>
      <c r="U1372" s="18">
        <f>РПЗ!P1372</f>
        <v>43070.625</v>
      </c>
      <c r="V1372" s="686">
        <v>43100</v>
      </c>
      <c r="W1372" s="236">
        <f>РПЗ!L1372</f>
        <v>198221.07</v>
      </c>
      <c r="X1372" s="689">
        <v>1</v>
      </c>
      <c r="Y1372" s="689">
        <v>0</v>
      </c>
      <c r="Z1372" s="691">
        <v>5026000300</v>
      </c>
      <c r="AA1372" s="691" t="s">
        <v>5940</v>
      </c>
      <c r="AB1372" s="111">
        <v>198221.07</v>
      </c>
      <c r="AC1372" s="17">
        <v>43100</v>
      </c>
      <c r="AD1372" s="690" t="s">
        <v>7676</v>
      </c>
      <c r="AE1372" s="686">
        <v>43060</v>
      </c>
      <c r="AF1372" s="474"/>
      <c r="AG1372" s="692">
        <v>198221.07</v>
      </c>
      <c r="AH1372" s="236">
        <f>IF(Таблица5[[#This Row],[30]]=0,"НД",Таблица5[[#This Row],[20]]-Таблица5[[#This Row],[30]])</f>
        <v>0</v>
      </c>
      <c r="AI1372" s="511">
        <f>IF(((1-Таблица5[[#This Row],[30]]/Таблица5[[#This Row],[20]])=1),"НД",(1-Таблица5[[#This Row],[30]]/Таблица5[[#This Row],[20]]))</f>
        <v>0</v>
      </c>
      <c r="AJ1372" s="111"/>
      <c r="AK1372" s="111"/>
      <c r="AL1372" s="512"/>
      <c r="AM1372" s="513" t="s">
        <v>113</v>
      </c>
      <c r="AN1372" s="801">
        <v>31705696438</v>
      </c>
      <c r="AO1372" s="468" t="str">
        <f>РПЗ!AD1372</f>
        <v>Нет</v>
      </c>
      <c r="AP1372" s="472" t="str">
        <f>РПЗ!V1372</f>
        <v>ГОЗ</v>
      </c>
      <c r="AQ1372" s="470">
        <f>IF(Таблица5[[#This Row],[11]]=0,,MONTH(Таблица5[[#This Row],[11]]))</f>
        <v>10</v>
      </c>
    </row>
    <row r="1373" spans="1:43" ht="51" x14ac:dyDescent="0.25">
      <c r="A1373" s="233" t="str">
        <f t="shared" si="21"/>
        <v>1004-2017-1358</v>
      </c>
      <c r="B1373" s="233" t="str">
        <f>РПЗ!$D1373</f>
        <v>1004-2017-1358 на выполнение ремонтных работ в помещениях 525, 537 Лабораторного корпуса в АО "НИИ "Полюс" им. М.Ф. Стельмаха"</v>
      </c>
      <c r="C1373" s="233" t="str">
        <f>РПЗ!$AA1373</f>
        <v>АО "НИИ "Полюс" им. М.Ф. Стельмаха" тел. отдела закупок 8-495-333-05-02</v>
      </c>
      <c r="D1373" s="633" t="str">
        <f>РПЗ!$AB1373</f>
        <v>Заказчик</v>
      </c>
      <c r="E1373" s="510" t="s">
        <v>62</v>
      </c>
      <c r="F1373" s="233" t="str">
        <f>РПЗ!Q1373</f>
        <v>ОК</v>
      </c>
      <c r="G1373" s="237" t="str">
        <f>Таблица5[[#This Row],[6]]</f>
        <v>ОК</v>
      </c>
      <c r="H1373" s="237" t="str">
        <f>РПЗ!R1373</f>
        <v>Да</v>
      </c>
      <c r="I1373" s="15">
        <f>РПЗ!W1373</f>
        <v>0</v>
      </c>
      <c r="J1373" s="233">
        <f>РПЗ!X1373</f>
        <v>0</v>
      </c>
      <c r="K1373" s="283">
        <f>РПЗ!Z1373</f>
        <v>0</v>
      </c>
      <c r="L1373" s="17">
        <v>43013</v>
      </c>
      <c r="M1373" s="18">
        <f>РПЗ!O1373</f>
        <v>43009.625</v>
      </c>
      <c r="N1373" s="238">
        <f>Таблица5[[#This Row],[10]]</f>
        <v>43009.625</v>
      </c>
      <c r="O1373" s="17">
        <v>43034</v>
      </c>
      <c r="P1373" s="17">
        <v>43039</v>
      </c>
      <c r="Q1373" s="17">
        <v>43039</v>
      </c>
      <c r="R1373" s="17">
        <v>43045</v>
      </c>
      <c r="S1373" s="17">
        <v>43045</v>
      </c>
      <c r="T1373" s="686">
        <v>43046</v>
      </c>
      <c r="U1373" s="18">
        <f>РПЗ!P1373</f>
        <v>43070.625</v>
      </c>
      <c r="V1373" s="686">
        <v>43100</v>
      </c>
      <c r="W1373" s="236">
        <f>РПЗ!L1373</f>
        <v>3100000</v>
      </c>
      <c r="X1373" s="689">
        <v>1</v>
      </c>
      <c r="Y1373" s="689">
        <v>0</v>
      </c>
      <c r="Z1373" s="691">
        <v>7715784959</v>
      </c>
      <c r="AA1373" s="691" t="s">
        <v>6112</v>
      </c>
      <c r="AB1373" s="111">
        <v>2783069.08</v>
      </c>
      <c r="AC1373" s="17">
        <v>43100</v>
      </c>
      <c r="AD1373" s="690" t="s">
        <v>8200</v>
      </c>
      <c r="AE1373" s="686">
        <v>43046</v>
      </c>
      <c r="AF1373" s="474"/>
      <c r="AG1373" s="692">
        <v>2783069.08</v>
      </c>
      <c r="AH1373" s="236">
        <f>IF(Таблица5[[#This Row],[30]]=0,"НД",Таблица5[[#This Row],[20]]-Таблица5[[#This Row],[30]])</f>
        <v>316930.91999999993</v>
      </c>
      <c r="AI1373" s="511">
        <f>IF(((1-Таблица5[[#This Row],[30]]/Таблица5[[#This Row],[20]])=1),"НД",(1-Таблица5[[#This Row],[30]]/Таблица5[[#This Row],[20]]))</f>
        <v>0.10223578064516126</v>
      </c>
      <c r="AJ1373" s="111">
        <v>2783069.08</v>
      </c>
      <c r="AK1373" s="111"/>
      <c r="AL1373" s="512"/>
      <c r="AM1373" s="513" t="s">
        <v>113</v>
      </c>
      <c r="AN1373" s="801">
        <v>31705593849</v>
      </c>
      <c r="AO1373" s="468" t="str">
        <f>РПЗ!AD1373</f>
        <v>Нет</v>
      </c>
      <c r="AP1373" s="472">
        <f>РПЗ!V1373</f>
        <v>0</v>
      </c>
      <c r="AQ1373" s="470">
        <f>IF(Таблица5[[#This Row],[11]]=0,,MONTH(Таблица5[[#This Row],[11]]))</f>
        <v>10</v>
      </c>
    </row>
    <row r="1374" spans="1:43" ht="38.25" x14ac:dyDescent="0.25">
      <c r="A1374" s="233" t="str">
        <f t="shared" si="21"/>
        <v>1004-2017-1359</v>
      </c>
      <c r="B1374" s="233" t="str">
        <f>РПЗ!$D1374</f>
        <v>1004-2017-1359 Поставка Электронные весы и весы напольные</v>
      </c>
      <c r="C1374" s="233" t="str">
        <f>РПЗ!$AA1374</f>
        <v>АО "НИИ "Полюс" им. М.Ф. Стельмаха" тел. отдела закупок 8-495-333-05-02</v>
      </c>
      <c r="D1374" s="633" t="str">
        <f>РПЗ!$AB1374</f>
        <v>Заказчик</v>
      </c>
      <c r="E1374" s="510" t="s">
        <v>59</v>
      </c>
      <c r="F1374" s="233" t="str">
        <f>РПЗ!Q1374</f>
        <v>ОЗК</v>
      </c>
      <c r="G1374" s="237" t="s">
        <v>108</v>
      </c>
      <c r="H1374" s="237" t="str">
        <f>РПЗ!R1374</f>
        <v>Да</v>
      </c>
      <c r="I1374" s="15">
        <f>РПЗ!W1374</f>
        <v>0</v>
      </c>
      <c r="J1374" s="233">
        <f>РПЗ!X1374</f>
        <v>0</v>
      </c>
      <c r="K1374" s="283">
        <f>РПЗ!Z1374</f>
        <v>0</v>
      </c>
      <c r="L1374" s="17">
        <v>43039</v>
      </c>
      <c r="M1374" s="18">
        <f>РПЗ!O1374</f>
        <v>43009.625</v>
      </c>
      <c r="N1374" s="238">
        <f>Таблица5[[#This Row],[10]]</f>
        <v>43009.625</v>
      </c>
      <c r="O1374" s="17">
        <v>43046</v>
      </c>
      <c r="P1374" s="17">
        <v>43049</v>
      </c>
      <c r="Q1374" s="17">
        <v>43049</v>
      </c>
      <c r="R1374" s="17">
        <v>43049</v>
      </c>
      <c r="S1374" s="17">
        <v>43049</v>
      </c>
      <c r="T1374" s="686"/>
      <c r="U1374" s="18">
        <f>РПЗ!P1374</f>
        <v>43070.625</v>
      </c>
      <c r="V1374" s="686"/>
      <c r="W1374" s="236">
        <f>РПЗ!L1374</f>
        <v>23825.67</v>
      </c>
      <c r="X1374" s="689">
        <v>0</v>
      </c>
      <c r="Y1374" s="689">
        <v>0</v>
      </c>
      <c r="Z1374" s="690"/>
      <c r="AA1374" s="691"/>
      <c r="AB1374" s="111"/>
      <c r="AC1374" s="17"/>
      <c r="AD1374" s="690"/>
      <c r="AE1374" s="686"/>
      <c r="AF1374" s="474"/>
      <c r="AG1374" s="692"/>
      <c r="AH1374" s="236" t="str">
        <f>IF(Таблица5[[#This Row],[30]]=0,"НД",Таблица5[[#This Row],[20]]-Таблица5[[#This Row],[30]])</f>
        <v>НД</v>
      </c>
      <c r="AI1374" s="511" t="str">
        <f>IF(((1-Таблица5[[#This Row],[30]]/Таблица5[[#This Row],[20]])=1),"НД",(1-Таблица5[[#This Row],[30]]/Таблица5[[#This Row],[20]]))</f>
        <v>НД</v>
      </c>
      <c r="AJ1374" s="111"/>
      <c r="AK1374" s="111"/>
      <c r="AL1374" s="512"/>
      <c r="AM1374" s="513" t="s">
        <v>113</v>
      </c>
      <c r="AN1374" s="801">
        <v>31705684570</v>
      </c>
      <c r="AO1374" s="468" t="str">
        <f>РПЗ!AD1374</f>
        <v>Нет</v>
      </c>
      <c r="AP1374" s="472">
        <f>РПЗ!V1374</f>
        <v>0</v>
      </c>
      <c r="AQ1374" s="470">
        <f>IF(Таблица5[[#This Row],[11]]=0,,MONTH(Таблица5[[#This Row],[11]]))</f>
        <v>10</v>
      </c>
    </row>
    <row r="1375" spans="1:43" ht="51" x14ac:dyDescent="0.25">
      <c r="A1375" s="233" t="str">
        <f t="shared" si="21"/>
        <v>1004-2017-1360</v>
      </c>
      <c r="B1375" s="233" t="str">
        <f>РПЗ!$D1375</f>
        <v>1004-2017-1360 Поставка мерительного инструмента, калибров, станочной оснастки и ШВП в количестве 25 шт</v>
      </c>
      <c r="C1375" s="233" t="str">
        <f>РПЗ!$AA1375</f>
        <v>АО "НИИ "Полюс" им. М.Ф. Стельмаха" тел. отдела закупок 8-495-333-05-02</v>
      </c>
      <c r="D1375" s="633" t="str">
        <f>РПЗ!$AB1375</f>
        <v>Заказчик</v>
      </c>
      <c r="E1375" s="510" t="s">
        <v>62</v>
      </c>
      <c r="F1375" s="233" t="str">
        <f>РПЗ!Q1375</f>
        <v>ЕП</v>
      </c>
      <c r="G1375" s="237" t="str">
        <f>Таблица5[[#This Row],[6]]</f>
        <v>ЕП</v>
      </c>
      <c r="H1375" s="237" t="str">
        <f>РПЗ!R1375</f>
        <v>Нет</v>
      </c>
      <c r="I1375" s="15" t="str">
        <f>РПЗ!W1375</f>
        <v>6.6.2(9)</v>
      </c>
      <c r="J1375" s="233" t="str">
        <f>РПЗ!X1375</f>
        <v>7719250676</v>
      </c>
      <c r="K1375" s="283">
        <f>РПЗ!Z1375</f>
        <v>136713</v>
      </c>
      <c r="L1375" s="17">
        <v>43019</v>
      </c>
      <c r="M1375" s="18">
        <f>РПЗ!O1375</f>
        <v>43009.625</v>
      </c>
      <c r="N1375" s="238">
        <f>Таблица5[[#This Row],[10]]</f>
        <v>43009.625</v>
      </c>
      <c r="O1375" s="17"/>
      <c r="P1375" s="17"/>
      <c r="Q1375" s="17"/>
      <c r="R1375" s="17"/>
      <c r="S1375" s="17"/>
      <c r="T1375" s="686">
        <v>43024</v>
      </c>
      <c r="U1375" s="18">
        <f>РПЗ!P1375</f>
        <v>43040.625</v>
      </c>
      <c r="V1375" s="686">
        <v>43040</v>
      </c>
      <c r="W1375" s="236">
        <f>РПЗ!L1375</f>
        <v>136713</v>
      </c>
      <c r="X1375" s="689">
        <v>1</v>
      </c>
      <c r="Y1375" s="689">
        <v>0</v>
      </c>
      <c r="Z1375" s="691">
        <v>7719250676</v>
      </c>
      <c r="AA1375" s="691" t="s">
        <v>7262</v>
      </c>
      <c r="AB1375" s="111">
        <v>136713</v>
      </c>
      <c r="AC1375" s="17">
        <v>43040</v>
      </c>
      <c r="AD1375" s="690" t="s">
        <v>7263</v>
      </c>
      <c r="AE1375" s="686">
        <v>43024</v>
      </c>
      <c r="AF1375" s="474"/>
      <c r="AG1375" s="692">
        <v>136713</v>
      </c>
      <c r="AH1375" s="236">
        <f>IF(Таблица5[[#This Row],[30]]=0,"НД",Таблица5[[#This Row],[20]]-Таблица5[[#This Row],[30]])</f>
        <v>0</v>
      </c>
      <c r="AI1375" s="511">
        <f>IF(((1-Таблица5[[#This Row],[30]]/Таблица5[[#This Row],[20]])=1),"НД",(1-Таблица5[[#This Row],[30]]/Таблица5[[#This Row],[20]]))</f>
        <v>0</v>
      </c>
      <c r="AJ1375" s="111"/>
      <c r="AK1375" s="111"/>
      <c r="AL1375" s="512"/>
      <c r="AM1375" s="513" t="s">
        <v>113</v>
      </c>
      <c r="AN1375" s="801">
        <v>31705624981</v>
      </c>
      <c r="AO1375" s="468" t="str">
        <f>РПЗ!AD1375</f>
        <v>Нет</v>
      </c>
      <c r="AP1375" s="472">
        <f>РПЗ!V1375</f>
        <v>0</v>
      </c>
      <c r="AQ1375" s="470">
        <f>IF(Таблица5[[#This Row],[11]]=0,,MONTH(Таблица5[[#This Row],[11]]))</f>
        <v>10</v>
      </c>
    </row>
    <row r="1376" spans="1:43" ht="38.25" x14ac:dyDescent="0.25">
      <c r="A1376" s="233" t="str">
        <f t="shared" si="21"/>
        <v>1004-2017-1361</v>
      </c>
      <c r="B1376" s="233" t="str">
        <f>РПЗ!$D1376</f>
        <v>1004-2017-1361 Поставка Камеры тепла и холода MC-712R "Espec", Япония, в количестве 5 шт.</v>
      </c>
      <c r="C1376" s="233" t="str">
        <f>РПЗ!$AA1376</f>
        <v>АО "НИИ "Полюс" им. М.Ф. Стельмаха" тел. отдела закупок 8-495-333-05-02</v>
      </c>
      <c r="D1376" s="633" t="str">
        <f>РПЗ!$AB1376</f>
        <v>Заказчик</v>
      </c>
      <c r="E1376" s="510" t="s">
        <v>62</v>
      </c>
      <c r="F1376" s="233" t="str">
        <f>РПЗ!Q1376</f>
        <v>ОК</v>
      </c>
      <c r="G1376" s="237" t="str">
        <f>Таблица5[[#This Row],[6]]</f>
        <v>ОК</v>
      </c>
      <c r="H1376" s="237" t="str">
        <f>РПЗ!R1376</f>
        <v>Да</v>
      </c>
      <c r="I1376" s="15">
        <f>РПЗ!W1376</f>
        <v>0</v>
      </c>
      <c r="J1376" s="233">
        <f>РПЗ!X1376</f>
        <v>0</v>
      </c>
      <c r="K1376" s="283">
        <f>РПЗ!Z1376</f>
        <v>0</v>
      </c>
      <c r="L1376" s="17">
        <v>43019</v>
      </c>
      <c r="M1376" s="18">
        <f>РПЗ!O1376</f>
        <v>43009.625</v>
      </c>
      <c r="N1376" s="238">
        <f>Таблица5[[#This Row],[10]]</f>
        <v>43009.625</v>
      </c>
      <c r="O1376" s="17">
        <v>43041</v>
      </c>
      <c r="P1376" s="17">
        <v>43047</v>
      </c>
      <c r="Q1376" s="17">
        <v>43047</v>
      </c>
      <c r="R1376" s="17">
        <v>43049</v>
      </c>
      <c r="S1376" s="17">
        <v>43049</v>
      </c>
      <c r="T1376" s="686">
        <v>43061</v>
      </c>
      <c r="U1376" s="18">
        <f>РПЗ!P1376</f>
        <v>43070.625</v>
      </c>
      <c r="V1376" s="686">
        <v>43098</v>
      </c>
      <c r="W1376" s="236">
        <f>РПЗ!L1376</f>
        <v>5441785.5300000003</v>
      </c>
      <c r="X1376" s="689">
        <v>1</v>
      </c>
      <c r="Y1376" s="689">
        <v>0</v>
      </c>
      <c r="Z1376" s="691">
        <v>7731481020</v>
      </c>
      <c r="AA1376" s="691" t="s">
        <v>8281</v>
      </c>
      <c r="AB1376" s="111">
        <v>5441000</v>
      </c>
      <c r="AC1376" s="17">
        <v>43098</v>
      </c>
      <c r="AD1376" s="690" t="s">
        <v>8280</v>
      </c>
      <c r="AE1376" s="686">
        <v>43061</v>
      </c>
      <c r="AF1376" s="474"/>
      <c r="AG1376" s="692">
        <v>5441000</v>
      </c>
      <c r="AH1376" s="236">
        <f>IF(Таблица5[[#This Row],[30]]=0,"НД",Таблица5[[#This Row],[20]]-Таблица5[[#This Row],[30]])</f>
        <v>785.53000000026077</v>
      </c>
      <c r="AI1376" s="511">
        <f>IF(((1-Таблица5[[#This Row],[30]]/Таблица5[[#This Row],[20]])=1),"НД",(1-Таблица5[[#This Row],[30]]/Таблица5[[#This Row],[20]]))</f>
        <v>1.4435151765346266E-4</v>
      </c>
      <c r="AJ1376" s="111"/>
      <c r="AK1376" s="111">
        <v>5441000</v>
      </c>
      <c r="AL1376" s="512"/>
      <c r="AM1376" s="513" t="s">
        <v>113</v>
      </c>
      <c r="AN1376" s="801">
        <v>31705612032</v>
      </c>
      <c r="AO1376" s="468" t="str">
        <f>РПЗ!AD1376</f>
        <v>Нет</v>
      </c>
      <c r="AP1376" s="472">
        <f>РПЗ!V1376</f>
        <v>0</v>
      </c>
      <c r="AQ1376" s="470">
        <f>IF(Таблица5[[#This Row],[11]]=0,,MONTH(Таблица5[[#This Row],[11]]))</f>
        <v>10</v>
      </c>
    </row>
    <row r="1377" spans="1:43" ht="51.75" thickBot="1" x14ac:dyDescent="0.3">
      <c r="A1377" s="233" t="str">
        <f t="shared" si="21"/>
        <v>1004-2017-1362</v>
      </c>
      <c r="B1377" s="233" t="str">
        <f>РПЗ!$D1377</f>
        <v>1004-2017-1362 Поставка фосфида индия, легированные цинком</v>
      </c>
      <c r="C1377" s="233" t="str">
        <f>РПЗ!$AA1377</f>
        <v>АО "НИИ "Полюс" им. М.Ф. Стельмаха" тел. отдела закупок 8-495-333-05-02</v>
      </c>
      <c r="D1377" s="633" t="str">
        <f>РПЗ!$AB1377</f>
        <v>Заказчик</v>
      </c>
      <c r="E1377" s="510" t="s">
        <v>62</v>
      </c>
      <c r="F1377" s="233" t="str">
        <f>РПЗ!Q1377</f>
        <v>ЕП</v>
      </c>
      <c r="G1377" s="237" t="str">
        <f>Таблица5[[#This Row],[6]]</f>
        <v>ЕП</v>
      </c>
      <c r="H1377" s="237" t="str">
        <f>РПЗ!R1377</f>
        <v>Нет</v>
      </c>
      <c r="I1377" s="15" t="str">
        <f>РПЗ!W1377</f>
        <v>6.6.2(9)</v>
      </c>
      <c r="J1377" s="233" t="str">
        <f>РПЗ!X1377</f>
        <v>7721166661</v>
      </c>
      <c r="K1377" s="283">
        <f>РПЗ!Z1377</f>
        <v>480024</v>
      </c>
      <c r="L1377" s="17">
        <v>43018</v>
      </c>
      <c r="M1377" s="18">
        <f>РПЗ!O1377</f>
        <v>43009.625</v>
      </c>
      <c r="N1377" s="238">
        <f>Таблица5[[#This Row],[10]]</f>
        <v>43009.625</v>
      </c>
      <c r="O1377" s="17"/>
      <c r="P1377" s="17"/>
      <c r="Q1377" s="17"/>
      <c r="R1377" s="17"/>
      <c r="S1377" s="17"/>
      <c r="T1377" s="686">
        <v>43026</v>
      </c>
      <c r="U1377" s="18">
        <f>РПЗ!P1377</f>
        <v>43009.625</v>
      </c>
      <c r="V1377" s="686">
        <v>43039</v>
      </c>
      <c r="W1377" s="236">
        <f>РПЗ!L1377</f>
        <v>480024</v>
      </c>
      <c r="X1377" s="689">
        <v>1</v>
      </c>
      <c r="Y1377" s="689">
        <v>0</v>
      </c>
      <c r="Z1377" s="691">
        <v>7721166661</v>
      </c>
      <c r="AA1377" s="691" t="s">
        <v>3346</v>
      </c>
      <c r="AB1377" s="111">
        <v>480024</v>
      </c>
      <c r="AC1377" s="17">
        <v>43039</v>
      </c>
      <c r="AD1377" s="690" t="s">
        <v>7264</v>
      </c>
      <c r="AE1377" s="686">
        <v>43026</v>
      </c>
      <c r="AF1377" s="474"/>
      <c r="AG1377" s="692">
        <v>480024</v>
      </c>
      <c r="AH1377" s="236">
        <f>IF(Таблица5[[#This Row],[30]]=0,"НД",Таблица5[[#This Row],[20]]-Таблица5[[#This Row],[30]])</f>
        <v>0</v>
      </c>
      <c r="AI1377" s="511">
        <f>IF(((1-Таблица5[[#This Row],[30]]/Таблица5[[#This Row],[20]])=1),"НД",(1-Таблица5[[#This Row],[30]]/Таблица5[[#This Row],[20]]))</f>
        <v>0</v>
      </c>
      <c r="AJ1377" s="111">
        <v>480024</v>
      </c>
      <c r="AK1377" s="111"/>
      <c r="AL1377" s="512"/>
      <c r="AM1377" s="513" t="s">
        <v>113</v>
      </c>
      <c r="AN1377" s="801">
        <v>31705620649</v>
      </c>
      <c r="AO1377" s="468" t="str">
        <f>РПЗ!AD1377</f>
        <v>Нет</v>
      </c>
      <c r="AP1377" s="472">
        <f>РПЗ!V1377</f>
        <v>0</v>
      </c>
      <c r="AQ1377" s="470">
        <f>IF(Таблица5[[#This Row],[11]]=0,,MONTH(Таблица5[[#This Row],[11]]))</f>
        <v>10</v>
      </c>
    </row>
    <row r="1378" spans="1:43" ht="39" thickBot="1" x14ac:dyDescent="0.3">
      <c r="A1378" s="233" t="str">
        <f t="shared" si="21"/>
        <v>1004-2017-1363</v>
      </c>
      <c r="B1378" s="233" t="str">
        <f>РПЗ!$D1378</f>
        <v>1004-2017-1363 Поставка Трансформатор ЖГДК.671111.022</v>
      </c>
      <c r="C1378" s="233" t="str">
        <f>РПЗ!$AA1378</f>
        <v>АО "НИИ "Полюс" им. М.Ф. Стельмаха" тел. отдела закупок 8-495-333-05-02</v>
      </c>
      <c r="D1378" s="633" t="str">
        <f>РПЗ!$AB1378</f>
        <v>Заказчик</v>
      </c>
      <c r="E1378" s="96" t="s">
        <v>46</v>
      </c>
      <c r="F1378" s="233" t="str">
        <f>РПЗ!Q1378</f>
        <v>ЕП</v>
      </c>
      <c r="G1378" s="237"/>
      <c r="H1378" s="237" t="str">
        <f>РПЗ!R1378</f>
        <v>Нет</v>
      </c>
      <c r="I1378" s="15">
        <f>РПЗ!W1378</f>
        <v>0</v>
      </c>
      <c r="J1378" s="233">
        <f>РПЗ!X1378</f>
        <v>0</v>
      </c>
      <c r="K1378" s="283">
        <f>РПЗ!Z1378</f>
        <v>0</v>
      </c>
      <c r="L1378" s="17"/>
      <c r="M1378" s="18">
        <f>РПЗ!O1378</f>
        <v>43009.625</v>
      </c>
      <c r="N1378" s="238">
        <f>Таблица5[[#This Row],[10]]</f>
        <v>43009.625</v>
      </c>
      <c r="O1378" s="17"/>
      <c r="P1378" s="17"/>
      <c r="Q1378" s="17"/>
      <c r="R1378" s="17"/>
      <c r="S1378" s="17"/>
      <c r="T1378" s="686"/>
      <c r="U1378" s="18">
        <f>РПЗ!P1378</f>
        <v>43070.625</v>
      </c>
      <c r="V1378" s="686"/>
      <c r="W1378" s="236">
        <f>РПЗ!L1378</f>
        <v>300000.25</v>
      </c>
      <c r="X1378" s="689"/>
      <c r="Y1378" s="689"/>
      <c r="Z1378" s="690"/>
      <c r="AA1378" s="691"/>
      <c r="AB1378" s="111"/>
      <c r="AC1378" s="17"/>
      <c r="AD1378" s="690"/>
      <c r="AE1378" s="686"/>
      <c r="AF1378" s="474"/>
      <c r="AG1378" s="692"/>
      <c r="AH1378" s="236" t="str">
        <f>IF(Таблица5[[#This Row],[30]]=0,"НД",Таблица5[[#This Row],[20]]-Таблица5[[#This Row],[30]])</f>
        <v>НД</v>
      </c>
      <c r="AI1378" s="511" t="str">
        <f>IF(((1-Таблица5[[#This Row],[30]]/Таблица5[[#This Row],[20]])=1),"НД",(1-Таблица5[[#This Row],[30]]/Таблица5[[#This Row],[20]]))</f>
        <v>НД</v>
      </c>
      <c r="AJ1378" s="111"/>
      <c r="AK1378" s="111"/>
      <c r="AL1378" s="512"/>
      <c r="AM1378" s="513"/>
      <c r="AN1378" s="465"/>
      <c r="AO1378" s="468" t="str">
        <f>РПЗ!AD1378</f>
        <v>Нет</v>
      </c>
      <c r="AP1378" s="472">
        <f>РПЗ!V1378</f>
        <v>0</v>
      </c>
      <c r="AQ1378" s="470">
        <f>IF(Таблица5[[#This Row],[11]]=0,,MONTH(Таблица5[[#This Row],[11]]))</f>
        <v>10</v>
      </c>
    </row>
    <row r="1379" spans="1:43" ht="38.25" x14ac:dyDescent="0.25">
      <c r="A1379" s="233" t="str">
        <f t="shared" si="21"/>
        <v>1004-2017-1364</v>
      </c>
      <c r="B1379" s="233" t="str">
        <f>РПЗ!$D1379</f>
        <v>1004-2017-1364 Поставка Механические детали для изд. МТД</v>
      </c>
      <c r="C1379" s="233" t="str">
        <f>РПЗ!$AA1379</f>
        <v>АО "НИИ "Полюс" им. М.Ф. Стельмаха" тел. отдела закупок 8-495-333-05-02</v>
      </c>
      <c r="D1379" s="633" t="str">
        <f>РПЗ!$AB1379</f>
        <v>Заказчик</v>
      </c>
      <c r="E1379" s="96" t="s">
        <v>46</v>
      </c>
      <c r="F1379" s="233" t="str">
        <f>РПЗ!Q1379</f>
        <v>ЕП</v>
      </c>
      <c r="G1379" s="237"/>
      <c r="H1379" s="237" t="str">
        <f>РПЗ!R1379</f>
        <v>Нет</v>
      </c>
      <c r="I1379" s="15">
        <f>РПЗ!W1379</f>
        <v>0</v>
      </c>
      <c r="J1379" s="233">
        <f>РПЗ!X1379</f>
        <v>0</v>
      </c>
      <c r="K1379" s="283">
        <f>РПЗ!Z1379</f>
        <v>0</v>
      </c>
      <c r="L1379" s="17"/>
      <c r="M1379" s="18">
        <f>РПЗ!O1379</f>
        <v>43009.625</v>
      </c>
      <c r="N1379" s="238">
        <f>Таблица5[[#This Row],[10]]</f>
        <v>43009.625</v>
      </c>
      <c r="O1379" s="17"/>
      <c r="P1379" s="17"/>
      <c r="Q1379" s="17"/>
      <c r="R1379" s="17"/>
      <c r="S1379" s="17"/>
      <c r="T1379" s="686"/>
      <c r="U1379" s="18">
        <f>РПЗ!P1379</f>
        <v>43070.625</v>
      </c>
      <c r="V1379" s="686"/>
      <c r="W1379" s="236">
        <f>РПЗ!L1379</f>
        <v>363100</v>
      </c>
      <c r="X1379" s="689"/>
      <c r="Y1379" s="689"/>
      <c r="Z1379" s="690"/>
      <c r="AA1379" s="691"/>
      <c r="AB1379" s="111"/>
      <c r="AC1379" s="17"/>
      <c r="AD1379" s="690"/>
      <c r="AE1379" s="686"/>
      <c r="AF1379" s="474"/>
      <c r="AG1379" s="692"/>
      <c r="AH1379" s="236" t="str">
        <f>IF(Таблица5[[#This Row],[30]]=0,"НД",Таблица5[[#This Row],[20]]-Таблица5[[#This Row],[30]])</f>
        <v>НД</v>
      </c>
      <c r="AI1379" s="511" t="str">
        <f>IF(((1-Таблица5[[#This Row],[30]]/Таблица5[[#This Row],[20]])=1),"НД",(1-Таблица5[[#This Row],[30]]/Таблица5[[#This Row],[20]]))</f>
        <v>НД</v>
      </c>
      <c r="AJ1379" s="111"/>
      <c r="AK1379" s="111"/>
      <c r="AL1379" s="512"/>
      <c r="AM1379" s="513"/>
      <c r="AN1379" s="465"/>
      <c r="AO1379" s="468" t="str">
        <f>РПЗ!AD1379</f>
        <v>Нет</v>
      </c>
      <c r="AP1379" s="472">
        <f>РПЗ!V1379</f>
        <v>0</v>
      </c>
      <c r="AQ1379" s="470">
        <f>IF(Таблица5[[#This Row],[11]]=0,,MONTH(Таблица5[[#This Row],[11]]))</f>
        <v>10</v>
      </c>
    </row>
    <row r="1380" spans="1:43" ht="76.5" x14ac:dyDescent="0.25">
      <c r="A1380" s="233" t="str">
        <f t="shared" si="21"/>
        <v>1004-2017-1365</v>
      </c>
      <c r="B1380" s="233" t="str">
        <f>РПЗ!$D1380</f>
        <v>1004-2017-1365 1 Поставка БАВнп-01-«Ламинар-С.»-1,5 по ТУ 9443-002­51495026-2004 1R-D.001-15.0 (412.150)               2. ШВ -"Ламинар-С"-1,5 по ТУ 9452-011-51495026­2014.</v>
      </c>
      <c r="C1380" s="233" t="str">
        <f>РПЗ!$AA1380</f>
        <v>АО "НИИ "Полюс" им. М.Ф. Стельмаха" тел. отдела закупок 8-495-333-05-02</v>
      </c>
      <c r="D1380" s="633" t="str">
        <f>РПЗ!$AB1380</f>
        <v>Заказчик</v>
      </c>
      <c r="E1380" s="510" t="s">
        <v>62</v>
      </c>
      <c r="F1380" s="233" t="str">
        <f>РПЗ!Q1380</f>
        <v>ЕП</v>
      </c>
      <c r="G1380" s="237" t="str">
        <f>Таблица5[[#This Row],[6]]</f>
        <v>ЕП</v>
      </c>
      <c r="H1380" s="237" t="str">
        <f>РПЗ!R1380</f>
        <v>Нет</v>
      </c>
      <c r="I1380" s="15" t="str">
        <f>РПЗ!W1380</f>
        <v>6.6.2(9)</v>
      </c>
      <c r="J1380" s="233" t="str">
        <f>РПЗ!X1380</f>
        <v>7415028920</v>
      </c>
      <c r="K1380" s="283">
        <f>РПЗ!Z1380</f>
        <v>396000</v>
      </c>
      <c r="L1380" s="17">
        <v>43019</v>
      </c>
      <c r="M1380" s="18">
        <f>РПЗ!O1380</f>
        <v>43009.625</v>
      </c>
      <c r="N1380" s="238">
        <f>Таблица5[[#This Row],[10]]</f>
        <v>43009.625</v>
      </c>
      <c r="O1380" s="17"/>
      <c r="P1380" s="17"/>
      <c r="Q1380" s="17"/>
      <c r="R1380" s="17"/>
      <c r="S1380" s="17"/>
      <c r="T1380" s="686">
        <v>43024</v>
      </c>
      <c r="U1380" s="18">
        <f>РПЗ!P1380</f>
        <v>43040.625</v>
      </c>
      <c r="V1380" s="686">
        <v>43405</v>
      </c>
      <c r="W1380" s="236">
        <f>РПЗ!L1380</f>
        <v>396000</v>
      </c>
      <c r="X1380" s="689">
        <v>1</v>
      </c>
      <c r="Y1380" s="689">
        <v>0</v>
      </c>
      <c r="Z1380" s="691">
        <v>7415028920</v>
      </c>
      <c r="AA1380" s="691" t="s">
        <v>7259</v>
      </c>
      <c r="AB1380" s="111">
        <v>396000</v>
      </c>
      <c r="AC1380" s="17">
        <v>43405</v>
      </c>
      <c r="AD1380" s="690" t="s">
        <v>7260</v>
      </c>
      <c r="AE1380" s="686">
        <v>43024</v>
      </c>
      <c r="AF1380" s="474"/>
      <c r="AG1380" s="692">
        <v>396000</v>
      </c>
      <c r="AH1380" s="236">
        <f>IF(Таблица5[[#This Row],[30]]=0,"НД",Таблица5[[#This Row],[20]]-Таблица5[[#This Row],[30]])</f>
        <v>0</v>
      </c>
      <c r="AI1380" s="511">
        <f>IF(((1-Таблица5[[#This Row],[30]]/Таблица5[[#This Row],[20]])=1),"НД",(1-Таблица5[[#This Row],[30]]/Таблица5[[#This Row],[20]]))</f>
        <v>0</v>
      </c>
      <c r="AJ1380" s="111"/>
      <c r="AK1380" s="111"/>
      <c r="AL1380" s="512"/>
      <c r="AM1380" s="513" t="s">
        <v>113</v>
      </c>
      <c r="AN1380" s="801">
        <v>31705624912</v>
      </c>
      <c r="AO1380" s="468" t="str">
        <f>РПЗ!AD1380</f>
        <v>Нет</v>
      </c>
      <c r="AP1380" s="472">
        <f>РПЗ!V1380</f>
        <v>0</v>
      </c>
      <c r="AQ1380" s="470">
        <f>IF(Таблица5[[#This Row],[11]]=0,,MONTH(Таблица5[[#This Row],[11]]))</f>
        <v>10</v>
      </c>
    </row>
    <row r="1381" spans="1:43" ht="51" x14ac:dyDescent="0.25">
      <c r="A1381" s="233" t="str">
        <f t="shared" si="21"/>
        <v>1004-2017-1366</v>
      </c>
      <c r="B1381" s="233" t="str">
        <f>РПЗ!$D1381</f>
        <v>1004-2017-1366 Поставка  Узел ультрафиолетового окисления углерода 0-1600-04-УФ ТУ.4859.021.27572664.16</v>
      </c>
      <c r="C1381" s="233" t="str">
        <f>РПЗ!$AA1381</f>
        <v>АО "НИИ "Полюс" им. М.Ф. Стельмаха" тел. отдела закупок 8-495-333-05-02</v>
      </c>
      <c r="D1381" s="633" t="str">
        <f>РПЗ!$AB1381</f>
        <v>Заказчик</v>
      </c>
      <c r="E1381" s="510" t="s">
        <v>62</v>
      </c>
      <c r="F1381" s="233" t="str">
        <f>РПЗ!Q1381</f>
        <v>ЕП</v>
      </c>
      <c r="G1381" s="237" t="str">
        <f>Таблица5[[#This Row],[6]]</f>
        <v>ЕП</v>
      </c>
      <c r="H1381" s="237" t="str">
        <f>РПЗ!R1381</f>
        <v>Нет</v>
      </c>
      <c r="I1381" s="15" t="str">
        <f>РПЗ!W1381</f>
        <v>6.6.2(11)</v>
      </c>
      <c r="J1381" s="233" t="str">
        <f>РПЗ!X1381</f>
        <v>7704855904</v>
      </c>
      <c r="K1381" s="283">
        <f>РПЗ!Z1381</f>
        <v>1288560</v>
      </c>
      <c r="L1381" s="17">
        <v>43031</v>
      </c>
      <c r="M1381" s="18">
        <f>РПЗ!O1381</f>
        <v>43009.625</v>
      </c>
      <c r="N1381" s="238">
        <f>Таблица5[[#This Row],[10]]</f>
        <v>43009.625</v>
      </c>
      <c r="O1381" s="17"/>
      <c r="P1381" s="17"/>
      <c r="Q1381" s="17"/>
      <c r="R1381" s="17"/>
      <c r="S1381" s="17"/>
      <c r="T1381" s="686">
        <v>43038</v>
      </c>
      <c r="U1381" s="18">
        <f>РПЗ!P1381</f>
        <v>43070.625</v>
      </c>
      <c r="V1381" s="686">
        <v>43131</v>
      </c>
      <c r="W1381" s="236">
        <f>РПЗ!L1381</f>
        <v>1288560</v>
      </c>
      <c r="X1381" s="689">
        <v>1</v>
      </c>
      <c r="Y1381" s="689">
        <v>0</v>
      </c>
      <c r="Z1381" s="691">
        <v>7704855904</v>
      </c>
      <c r="AA1381" s="691" t="s">
        <v>3044</v>
      </c>
      <c r="AB1381" s="111">
        <v>1288560</v>
      </c>
      <c r="AC1381" s="17">
        <v>43131</v>
      </c>
      <c r="AD1381" s="690" t="s">
        <v>7681</v>
      </c>
      <c r="AE1381" s="686">
        <v>43038</v>
      </c>
      <c r="AF1381" s="474"/>
      <c r="AG1381" s="692">
        <v>1288560</v>
      </c>
      <c r="AH1381" s="236">
        <f>IF(Таблица5[[#This Row],[30]]=0,"НД",Таблица5[[#This Row],[20]]-Таблица5[[#This Row],[30]])</f>
        <v>0</v>
      </c>
      <c r="AI1381" s="511">
        <f>IF(((1-Таблица5[[#This Row],[30]]/Таблица5[[#This Row],[20]])=1),"НД",(1-Таблица5[[#This Row],[30]]/Таблица5[[#This Row],[20]]))</f>
        <v>0</v>
      </c>
      <c r="AJ1381" s="111">
        <v>1288560</v>
      </c>
      <c r="AK1381" s="111"/>
      <c r="AL1381" s="512"/>
      <c r="AM1381" s="513" t="s">
        <v>113</v>
      </c>
      <c r="AN1381" s="801">
        <v>31705671880</v>
      </c>
      <c r="AO1381" s="468" t="str">
        <f>РПЗ!AD1381</f>
        <v>Нет</v>
      </c>
      <c r="AP1381" s="472">
        <f>РПЗ!V1381</f>
        <v>0</v>
      </c>
      <c r="AQ1381" s="470">
        <f>IF(Таблица5[[#This Row],[11]]=0,,MONTH(Таблица5[[#This Row],[11]]))</f>
        <v>10</v>
      </c>
    </row>
    <row r="1382" spans="1:43" ht="51" x14ac:dyDescent="0.25">
      <c r="A1382" s="233" t="str">
        <f t="shared" si="21"/>
        <v>1004-2017-1367</v>
      </c>
      <c r="B1382" s="233" t="str">
        <f>РПЗ!$D1382</f>
        <v>1004-2017-1367 Поставка  двухзонный противоточный реактор ДПР-1000-12-О ТУ.4859.006.27572664.17</v>
      </c>
      <c r="C1382" s="233" t="str">
        <f>РПЗ!$AA1382</f>
        <v>АО "НИИ "Полюс" им. М.Ф. Стельмаха" тел. отдела закупок 8-495-333-05-02</v>
      </c>
      <c r="D1382" s="633" t="str">
        <f>РПЗ!$AB1382</f>
        <v>Заказчик</v>
      </c>
      <c r="E1382" s="510" t="s">
        <v>62</v>
      </c>
      <c r="F1382" s="233" t="str">
        <f>РПЗ!Q1382</f>
        <v>ЕП</v>
      </c>
      <c r="G1382" s="237" t="str">
        <f>Таблица5[[#This Row],[6]]</f>
        <v>ЕП</v>
      </c>
      <c r="H1382" s="237" t="str">
        <f>РПЗ!R1382</f>
        <v>Нет</v>
      </c>
      <c r="I1382" s="15" t="str">
        <f>РПЗ!W1382</f>
        <v>6.6.2(11)</v>
      </c>
      <c r="J1382" s="233" t="str">
        <f>РПЗ!X1382</f>
        <v>7704855904</v>
      </c>
      <c r="K1382" s="283">
        <f>РПЗ!Z1382</f>
        <v>127204</v>
      </c>
      <c r="L1382" s="17">
        <v>43032</v>
      </c>
      <c r="M1382" s="18">
        <f>РПЗ!O1382</f>
        <v>43009.625</v>
      </c>
      <c r="N1382" s="238">
        <f>Таблица5[[#This Row],[10]]</f>
        <v>43009.625</v>
      </c>
      <c r="O1382" s="17"/>
      <c r="P1382" s="17"/>
      <c r="Q1382" s="17"/>
      <c r="R1382" s="17"/>
      <c r="S1382" s="17"/>
      <c r="T1382" s="686">
        <v>43038</v>
      </c>
      <c r="U1382" s="18">
        <f>РПЗ!P1382</f>
        <v>43070.625</v>
      </c>
      <c r="V1382" s="686">
        <v>43069</v>
      </c>
      <c r="W1382" s="236">
        <f>РПЗ!L1382</f>
        <v>127204</v>
      </c>
      <c r="X1382" s="689">
        <v>1</v>
      </c>
      <c r="Y1382" s="689">
        <v>0</v>
      </c>
      <c r="Z1382" s="691">
        <v>7704855904</v>
      </c>
      <c r="AA1382" s="691" t="s">
        <v>3044</v>
      </c>
      <c r="AB1382" s="111">
        <v>127204</v>
      </c>
      <c r="AC1382" s="17">
        <v>43069</v>
      </c>
      <c r="AD1382" s="690" t="s">
        <v>7680</v>
      </c>
      <c r="AE1382" s="686">
        <v>43038</v>
      </c>
      <c r="AF1382" s="474"/>
      <c r="AG1382" s="692">
        <v>127204</v>
      </c>
      <c r="AH1382" s="236">
        <f>IF(Таблица5[[#This Row],[30]]=0,"НД",Таблица5[[#This Row],[20]]-Таблица5[[#This Row],[30]])</f>
        <v>0</v>
      </c>
      <c r="AI1382" s="511">
        <f>IF(((1-Таблица5[[#This Row],[30]]/Таблица5[[#This Row],[20]])=1),"НД",(1-Таблица5[[#This Row],[30]]/Таблица5[[#This Row],[20]]))</f>
        <v>0</v>
      </c>
      <c r="AJ1382" s="111">
        <v>127204</v>
      </c>
      <c r="AK1382" s="111"/>
      <c r="AL1382" s="512"/>
      <c r="AM1382" s="513" t="s">
        <v>113</v>
      </c>
      <c r="AN1382" s="801">
        <v>31705671869</v>
      </c>
      <c r="AO1382" s="468" t="str">
        <f>РПЗ!AD1382</f>
        <v>Нет</v>
      </c>
      <c r="AP1382" s="472">
        <f>РПЗ!V1382</f>
        <v>0</v>
      </c>
      <c r="AQ1382" s="470">
        <f>IF(Таблица5[[#This Row],[11]]=0,,MONTH(Таблица5[[#This Row],[11]]))</f>
        <v>10</v>
      </c>
    </row>
    <row r="1383" spans="1:43" ht="39" thickBot="1" x14ac:dyDescent="0.3">
      <c r="A1383" s="233" t="str">
        <f t="shared" si="21"/>
        <v>1004-2017-1368</v>
      </c>
      <c r="B1383" s="233" t="str">
        <f>РПЗ!$D1383</f>
        <v>1004-2017-1368 Поставка Комплект для системы считывания нанорешеток в стеклах</v>
      </c>
      <c r="C1383" s="233" t="str">
        <f>РПЗ!$AA1383</f>
        <v>АО "НИИ "Полюс" им. М.Ф. Стельмаха" тел. отдела закупок 8-495-333-05-02</v>
      </c>
      <c r="D1383" s="633" t="str">
        <f>РПЗ!$AB1383</f>
        <v>Заказчик</v>
      </c>
      <c r="E1383" s="510" t="s">
        <v>62</v>
      </c>
      <c r="F1383" s="233" t="str">
        <f>РПЗ!Q1383</f>
        <v>ЕП</v>
      </c>
      <c r="G1383" s="237" t="str">
        <f>Таблица5[[#This Row],[6]]</f>
        <v>ЕП</v>
      </c>
      <c r="H1383" s="237" t="str">
        <f>РПЗ!R1383</f>
        <v>Нет</v>
      </c>
      <c r="I1383" s="15" t="str">
        <f>РПЗ!W1383</f>
        <v>6.6.2(30)</v>
      </c>
      <c r="J1383" s="233" t="str">
        <f>РПЗ!X1383</f>
        <v>5003005609</v>
      </c>
      <c r="K1383" s="283">
        <f>РПЗ!Z1383</f>
        <v>694069.26</v>
      </c>
      <c r="L1383" s="17">
        <v>43026</v>
      </c>
      <c r="M1383" s="18">
        <f>РПЗ!O1383</f>
        <v>43009.625</v>
      </c>
      <c r="N1383" s="238">
        <f>Таблица5[[#This Row],[10]]</f>
        <v>43009.625</v>
      </c>
      <c r="O1383" s="17"/>
      <c r="P1383" s="17"/>
      <c r="Q1383" s="17"/>
      <c r="R1383" s="17"/>
      <c r="S1383" s="17"/>
      <c r="T1383" s="686">
        <v>43031</v>
      </c>
      <c r="U1383" s="18">
        <f>РПЗ!P1383</f>
        <v>43070.625</v>
      </c>
      <c r="V1383" s="686">
        <v>43070</v>
      </c>
      <c r="W1383" s="236">
        <f>РПЗ!L1383</f>
        <v>694069.26</v>
      </c>
      <c r="X1383" s="689">
        <v>1</v>
      </c>
      <c r="Y1383" s="689">
        <v>0</v>
      </c>
      <c r="Z1383" s="691">
        <v>5003005609</v>
      </c>
      <c r="AA1383" s="691" t="s">
        <v>5120</v>
      </c>
      <c r="AB1383" s="111">
        <v>694069.26</v>
      </c>
      <c r="AC1383" s="17">
        <v>43070</v>
      </c>
      <c r="AD1383" s="690" t="s">
        <v>136</v>
      </c>
      <c r="AE1383" s="686">
        <v>43031</v>
      </c>
      <c r="AF1383" s="474"/>
      <c r="AG1383" s="692">
        <v>694069.26</v>
      </c>
      <c r="AH1383" s="236">
        <f>IF(Таблица5[[#This Row],[30]]=0,"НД",Таблица5[[#This Row],[20]]-Таблица5[[#This Row],[30]])</f>
        <v>0</v>
      </c>
      <c r="AI1383" s="511">
        <f>IF(((1-Таблица5[[#This Row],[30]]/Таблица5[[#This Row],[20]])=1),"НД",(1-Таблица5[[#This Row],[30]]/Таблица5[[#This Row],[20]]))</f>
        <v>0</v>
      </c>
      <c r="AJ1383" s="111">
        <v>694069.26</v>
      </c>
      <c r="AK1383" s="111"/>
      <c r="AL1383" s="512"/>
      <c r="AM1383" s="513" t="s">
        <v>113</v>
      </c>
      <c r="AN1383" s="801">
        <v>31705646642</v>
      </c>
      <c r="AO1383" s="468" t="str">
        <f>РПЗ!AD1383</f>
        <v>Нет</v>
      </c>
      <c r="AP1383" s="472">
        <f>РПЗ!V1383</f>
        <v>0</v>
      </c>
      <c r="AQ1383" s="470">
        <f>IF(Таблица5[[#This Row],[11]]=0,,MONTH(Таблица5[[#This Row],[11]]))</f>
        <v>10</v>
      </c>
    </row>
    <row r="1384" spans="1:43" ht="39" thickBot="1" x14ac:dyDescent="0.3">
      <c r="A1384" s="233" t="str">
        <f t="shared" si="21"/>
        <v>1004-2017-1369</v>
      </c>
      <c r="B1384" s="233" t="str">
        <f>РПЗ!$D1384</f>
        <v>1004-2017-1369 Поставка Инструмент для проведения работ в ситемах водоснабжения и ветиляции</v>
      </c>
      <c r="C1384" s="233" t="str">
        <f>РПЗ!$AA1384</f>
        <v>АО "НИИ "Полюс" им. М.Ф. Стельмаха" тел. отдела закупок 8-495-333-05-02</v>
      </c>
      <c r="D1384" s="633" t="str">
        <f>РПЗ!$AB1384</f>
        <v>Заказчик</v>
      </c>
      <c r="E1384" s="96" t="s">
        <v>46</v>
      </c>
      <c r="F1384" s="233" t="str">
        <f>РПЗ!Q1384</f>
        <v>ОЗК</v>
      </c>
      <c r="G1384" s="237"/>
      <c r="H1384" s="237" t="str">
        <f>РПЗ!R1384</f>
        <v>Да</v>
      </c>
      <c r="I1384" s="15">
        <f>РПЗ!W1384</f>
        <v>0</v>
      </c>
      <c r="J1384" s="233">
        <f>РПЗ!X1384</f>
        <v>0</v>
      </c>
      <c r="K1384" s="283">
        <f>РПЗ!Z1384</f>
        <v>0</v>
      </c>
      <c r="L1384" s="17"/>
      <c r="M1384" s="18">
        <f>РПЗ!O1384</f>
        <v>43009.625</v>
      </c>
      <c r="N1384" s="238">
        <f>Таблица5[[#This Row],[10]]</f>
        <v>43009.625</v>
      </c>
      <c r="O1384" s="17"/>
      <c r="P1384" s="17"/>
      <c r="Q1384" s="17"/>
      <c r="R1384" s="17"/>
      <c r="S1384" s="17"/>
      <c r="T1384" s="686"/>
      <c r="U1384" s="18">
        <f>РПЗ!P1384</f>
        <v>43070.625</v>
      </c>
      <c r="V1384" s="686"/>
      <c r="W1384" s="236">
        <f>РПЗ!L1384</f>
        <v>330000</v>
      </c>
      <c r="X1384" s="689"/>
      <c r="Y1384" s="689"/>
      <c r="Z1384" s="690"/>
      <c r="AA1384" s="691"/>
      <c r="AB1384" s="111"/>
      <c r="AC1384" s="17"/>
      <c r="AD1384" s="690"/>
      <c r="AE1384" s="686"/>
      <c r="AF1384" s="474"/>
      <c r="AG1384" s="692"/>
      <c r="AH1384" s="236" t="str">
        <f>IF(Таблица5[[#This Row],[30]]=0,"НД",Таблица5[[#This Row],[20]]-Таблица5[[#This Row],[30]])</f>
        <v>НД</v>
      </c>
      <c r="AI1384" s="511" t="str">
        <f>IF(((1-Таблица5[[#This Row],[30]]/Таблица5[[#This Row],[20]])=1),"НД",(1-Таблица5[[#This Row],[30]]/Таблица5[[#This Row],[20]]))</f>
        <v>НД</v>
      </c>
      <c r="AJ1384" s="111"/>
      <c r="AK1384" s="111"/>
      <c r="AL1384" s="512"/>
      <c r="AM1384" s="513"/>
      <c r="AN1384" s="465"/>
      <c r="AO1384" s="468" t="str">
        <f>РПЗ!AD1384</f>
        <v>Нет</v>
      </c>
      <c r="AP1384" s="472">
        <f>РПЗ!V1384</f>
        <v>0</v>
      </c>
      <c r="AQ1384" s="470">
        <f>IF(Таблица5[[#This Row],[11]]=0,,MONTH(Таблица5[[#This Row],[11]]))</f>
        <v>10</v>
      </c>
    </row>
    <row r="1385" spans="1:43" ht="38.25" x14ac:dyDescent="0.25">
      <c r="A1385" s="233" t="str">
        <f t="shared" si="21"/>
        <v>1004-2017-1370</v>
      </c>
      <c r="B1385" s="233" t="str">
        <f>РПЗ!$D1385</f>
        <v xml:space="preserve">1004-2017-1370 Поставка Дозиметр гамма-излучения </v>
      </c>
      <c r="C1385" s="233" t="str">
        <f>РПЗ!$AA1385</f>
        <v>АО "НИИ "Полюс" им. М.Ф. Стельмаха" тел. отдела закупок 8-495-333-05-02</v>
      </c>
      <c r="D1385" s="633" t="str">
        <f>РПЗ!$AB1385</f>
        <v>Заказчик</v>
      </c>
      <c r="E1385" s="96" t="s">
        <v>46</v>
      </c>
      <c r="F1385" s="233" t="str">
        <f>РПЗ!Q1385</f>
        <v>ОЗК</v>
      </c>
      <c r="G1385" s="237"/>
      <c r="H1385" s="237" t="str">
        <f>РПЗ!R1385</f>
        <v>Да</v>
      </c>
      <c r="I1385" s="15">
        <f>РПЗ!W1385</f>
        <v>0</v>
      </c>
      <c r="J1385" s="233">
        <f>РПЗ!X1385</f>
        <v>0</v>
      </c>
      <c r="K1385" s="283">
        <f>РПЗ!Z1385</f>
        <v>0</v>
      </c>
      <c r="L1385" s="17"/>
      <c r="M1385" s="18">
        <f>РПЗ!O1385</f>
        <v>43009.625</v>
      </c>
      <c r="N1385" s="238">
        <f>Таблица5[[#This Row],[10]]</f>
        <v>43009.625</v>
      </c>
      <c r="O1385" s="17"/>
      <c r="P1385" s="17"/>
      <c r="Q1385" s="17"/>
      <c r="R1385" s="17"/>
      <c r="S1385" s="17"/>
      <c r="T1385" s="686"/>
      <c r="U1385" s="18">
        <f>РПЗ!P1385</f>
        <v>43070.625</v>
      </c>
      <c r="V1385" s="686"/>
      <c r="W1385" s="236">
        <f>РПЗ!L1385</f>
        <v>58175</v>
      </c>
      <c r="X1385" s="689"/>
      <c r="Y1385" s="689"/>
      <c r="Z1385" s="690"/>
      <c r="AA1385" s="691"/>
      <c r="AB1385" s="111"/>
      <c r="AC1385" s="17"/>
      <c r="AD1385" s="690"/>
      <c r="AE1385" s="686"/>
      <c r="AF1385" s="474"/>
      <c r="AG1385" s="692"/>
      <c r="AH1385" s="236" t="str">
        <f>IF(Таблица5[[#This Row],[30]]=0,"НД",Таблица5[[#This Row],[20]]-Таблица5[[#This Row],[30]])</f>
        <v>НД</v>
      </c>
      <c r="AI1385" s="511" t="str">
        <f>IF(((1-Таблица5[[#This Row],[30]]/Таблица5[[#This Row],[20]])=1),"НД",(1-Таблица5[[#This Row],[30]]/Таблица5[[#This Row],[20]]))</f>
        <v>НД</v>
      </c>
      <c r="AJ1385" s="111"/>
      <c r="AK1385" s="111"/>
      <c r="AL1385" s="512"/>
      <c r="AM1385" s="513"/>
      <c r="AN1385" s="465"/>
      <c r="AO1385" s="468" t="str">
        <f>РПЗ!AD1385</f>
        <v>Нет</v>
      </c>
      <c r="AP1385" s="472">
        <f>РПЗ!V1385</f>
        <v>0</v>
      </c>
      <c r="AQ1385" s="470">
        <f>IF(Таблица5[[#This Row],[11]]=0,,MONTH(Таблица5[[#This Row],[11]]))</f>
        <v>10</v>
      </c>
    </row>
    <row r="1386" spans="1:43" ht="39" thickBot="1" x14ac:dyDescent="0.3">
      <c r="A1386" s="233" t="str">
        <f t="shared" si="21"/>
        <v>1004-2017-1371</v>
      </c>
      <c r="B1386" s="233" t="str">
        <f>РПЗ!$D1386</f>
        <v>1004-2017-1371 Поставка войсковой прибор химической разведки ВПХР</v>
      </c>
      <c r="C1386" s="233" t="str">
        <f>РПЗ!$AA1386</f>
        <v>АО "НИИ "Полюс" им. М.Ф. Стельмаха" тел. отдела закупок 8-495-333-05-02</v>
      </c>
      <c r="D1386" s="633" t="str">
        <f>РПЗ!$AB1386</f>
        <v>Заказчик</v>
      </c>
      <c r="E1386" s="510" t="s">
        <v>59</v>
      </c>
      <c r="F1386" s="233" t="str">
        <f>РПЗ!Q1386</f>
        <v>ОЗК</v>
      </c>
      <c r="G1386" s="237" t="s">
        <v>108</v>
      </c>
      <c r="H1386" s="237" t="str">
        <f>РПЗ!R1386</f>
        <v>Да</v>
      </c>
      <c r="I1386" s="15">
        <f>РПЗ!W1386</f>
        <v>0</v>
      </c>
      <c r="J1386" s="233">
        <f>РПЗ!X1386</f>
        <v>0</v>
      </c>
      <c r="K1386" s="283">
        <f>РПЗ!Z1386</f>
        <v>0</v>
      </c>
      <c r="L1386" s="17">
        <v>43026</v>
      </c>
      <c r="M1386" s="18">
        <f>РПЗ!O1386</f>
        <v>43009.625</v>
      </c>
      <c r="N1386" s="238">
        <f>Таблица5[[#This Row],[10]]</f>
        <v>43009.625</v>
      </c>
      <c r="O1386" s="17">
        <v>43032</v>
      </c>
      <c r="P1386" s="17">
        <v>43035</v>
      </c>
      <c r="Q1386" s="17">
        <v>43035</v>
      </c>
      <c r="R1386" s="17">
        <v>43035</v>
      </c>
      <c r="S1386" s="17">
        <v>43035</v>
      </c>
      <c r="T1386" s="686"/>
      <c r="U1386" s="18">
        <f>РПЗ!P1386</f>
        <v>43070.625</v>
      </c>
      <c r="V1386" s="686"/>
      <c r="W1386" s="236">
        <f>РПЗ!L1386</f>
        <v>28005</v>
      </c>
      <c r="X1386" s="689">
        <v>0</v>
      </c>
      <c r="Y1386" s="689">
        <v>0</v>
      </c>
      <c r="Z1386" s="690"/>
      <c r="AA1386" s="691"/>
      <c r="AB1386" s="111"/>
      <c r="AC1386" s="17"/>
      <c r="AD1386" s="690"/>
      <c r="AE1386" s="686"/>
      <c r="AF1386" s="474"/>
      <c r="AG1386" s="692"/>
      <c r="AH1386" s="236" t="str">
        <f>IF(Таблица5[[#This Row],[30]]=0,"НД",Таблица5[[#This Row],[20]]-Таблица5[[#This Row],[30]])</f>
        <v>НД</v>
      </c>
      <c r="AI1386" s="511" t="str">
        <f>IF(((1-Таблица5[[#This Row],[30]]/Таблица5[[#This Row],[20]])=1),"НД",(1-Таблица5[[#This Row],[30]]/Таблица5[[#This Row],[20]]))</f>
        <v>НД</v>
      </c>
      <c r="AJ1386" s="111"/>
      <c r="AK1386" s="111"/>
      <c r="AL1386" s="512"/>
      <c r="AM1386" s="513" t="s">
        <v>113</v>
      </c>
      <c r="AN1386" s="801">
        <v>31705635575</v>
      </c>
      <c r="AO1386" s="468" t="str">
        <f>РПЗ!AD1386</f>
        <v>Нет</v>
      </c>
      <c r="AP1386" s="472">
        <f>РПЗ!V1386</f>
        <v>0</v>
      </c>
      <c r="AQ1386" s="470">
        <f>IF(Таблица5[[#This Row],[11]]=0,,MONTH(Таблица5[[#This Row],[11]]))</f>
        <v>10</v>
      </c>
    </row>
    <row r="1387" spans="1:43" ht="38.25" x14ac:dyDescent="0.25">
      <c r="A1387" s="233" t="str">
        <f t="shared" si="21"/>
        <v>1004-2017-1372</v>
      </c>
      <c r="B1387" s="233" t="str">
        <f>РПЗ!$D1387</f>
        <v>1004-2017-1372 Поставка Источник питания ГИТП 500-30(10)х12Р-220-П2</v>
      </c>
      <c r="C1387" s="233" t="str">
        <f>РПЗ!$AA1387</f>
        <v>АО "НИИ "Полюс" им. М.Ф. Стельмаха" тел. отдела закупок 8-495-333-05-02</v>
      </c>
      <c r="D1387" s="633" t="str">
        <f>РПЗ!$AB1387</f>
        <v>Заказчик</v>
      </c>
      <c r="E1387" s="96" t="s">
        <v>46</v>
      </c>
      <c r="F1387" s="233" t="str">
        <f>РПЗ!Q1387</f>
        <v>ОЗК</v>
      </c>
      <c r="G1387" s="237"/>
      <c r="H1387" s="237" t="str">
        <f>РПЗ!R1387</f>
        <v>Да</v>
      </c>
      <c r="I1387" s="15">
        <f>РПЗ!W1387</f>
        <v>0</v>
      </c>
      <c r="J1387" s="233">
        <f>РПЗ!X1387</f>
        <v>0</v>
      </c>
      <c r="K1387" s="283">
        <f>РПЗ!Z1387</f>
        <v>0</v>
      </c>
      <c r="L1387" s="17"/>
      <c r="M1387" s="18">
        <f>РПЗ!O1387</f>
        <v>43009.625</v>
      </c>
      <c r="N1387" s="238">
        <f>Таблица5[[#This Row],[10]]</f>
        <v>43009.625</v>
      </c>
      <c r="O1387" s="17"/>
      <c r="P1387" s="17"/>
      <c r="Q1387" s="17"/>
      <c r="R1387" s="17"/>
      <c r="S1387" s="17"/>
      <c r="T1387" s="686"/>
      <c r="U1387" s="18">
        <f>РПЗ!P1387</f>
        <v>43070.625</v>
      </c>
      <c r="V1387" s="686"/>
      <c r="W1387" s="236">
        <f>РПЗ!L1387</f>
        <v>77566</v>
      </c>
      <c r="X1387" s="689"/>
      <c r="Y1387" s="689"/>
      <c r="Z1387" s="690"/>
      <c r="AA1387" s="691"/>
      <c r="AB1387" s="111"/>
      <c r="AC1387" s="17"/>
      <c r="AD1387" s="690"/>
      <c r="AE1387" s="686"/>
      <c r="AF1387" s="474"/>
      <c r="AG1387" s="692"/>
      <c r="AH1387" s="236" t="str">
        <f>IF(Таблица5[[#This Row],[30]]=0,"НД",Таблица5[[#This Row],[20]]-Таблица5[[#This Row],[30]])</f>
        <v>НД</v>
      </c>
      <c r="AI1387" s="511" t="str">
        <f>IF(((1-Таблица5[[#This Row],[30]]/Таблица5[[#This Row],[20]])=1),"НД",(1-Таблица5[[#This Row],[30]]/Таблица5[[#This Row],[20]]))</f>
        <v>НД</v>
      </c>
      <c r="AJ1387" s="111"/>
      <c r="AK1387" s="111"/>
      <c r="AL1387" s="512"/>
      <c r="AM1387" s="513"/>
      <c r="AN1387" s="465"/>
      <c r="AO1387" s="468" t="str">
        <f>РПЗ!AD1387</f>
        <v>Нет</v>
      </c>
      <c r="AP1387" s="472">
        <f>РПЗ!V1387</f>
        <v>0</v>
      </c>
      <c r="AQ1387" s="470">
        <f>IF(Таблица5[[#This Row],[11]]=0,,MONTH(Таблица5[[#This Row],[11]]))</f>
        <v>10</v>
      </c>
    </row>
    <row r="1388" spans="1:43" ht="38.25" x14ac:dyDescent="0.25">
      <c r="A1388" s="233" t="str">
        <f t="shared" si="21"/>
        <v>1004-2017-1373</v>
      </c>
      <c r="B1388" s="233" t="str">
        <f>РПЗ!$D1388</f>
        <v>1004-2017-1373 Поставка Комплект радиоизмерительных приборов</v>
      </c>
      <c r="C1388" s="233" t="str">
        <f>РПЗ!$AA1388</f>
        <v>АО "НИИ "Полюс" им. М.Ф. Стельмаха" тел. отдела закупок 8-495-333-05-02</v>
      </c>
      <c r="D1388" s="633" t="str">
        <f>РПЗ!$AB1388</f>
        <v>Заказчик</v>
      </c>
      <c r="E1388" s="510" t="s">
        <v>62</v>
      </c>
      <c r="F1388" s="233" t="str">
        <f>РПЗ!Q1388</f>
        <v>ОЗК</v>
      </c>
      <c r="G1388" s="237" t="s">
        <v>108</v>
      </c>
      <c r="H1388" s="237" t="str">
        <f>РПЗ!R1388</f>
        <v>Да</v>
      </c>
      <c r="I1388" s="15">
        <f>РПЗ!W1388</f>
        <v>0</v>
      </c>
      <c r="J1388" s="233">
        <f>РПЗ!X1388</f>
        <v>0</v>
      </c>
      <c r="K1388" s="283">
        <f>РПЗ!Z1388</f>
        <v>0</v>
      </c>
      <c r="L1388" s="17">
        <v>43041</v>
      </c>
      <c r="M1388" s="18">
        <f>РПЗ!O1388</f>
        <v>43040</v>
      </c>
      <c r="N1388" s="238">
        <f>Таблица5[[#This Row],[10]]</f>
        <v>43040</v>
      </c>
      <c r="O1388" s="17">
        <v>43048</v>
      </c>
      <c r="P1388" s="17">
        <v>43053</v>
      </c>
      <c r="Q1388" s="17">
        <v>43053</v>
      </c>
      <c r="R1388" s="17">
        <v>43049</v>
      </c>
      <c r="S1388" s="17">
        <v>43049</v>
      </c>
      <c r="T1388" s="686">
        <v>43067</v>
      </c>
      <c r="U1388" s="18">
        <f>РПЗ!P1388</f>
        <v>43070.625</v>
      </c>
      <c r="V1388" s="686">
        <v>43146</v>
      </c>
      <c r="W1388" s="236">
        <f>РПЗ!L1388</f>
        <v>532937</v>
      </c>
      <c r="X1388" s="689">
        <v>1</v>
      </c>
      <c r="Y1388" s="689">
        <v>0</v>
      </c>
      <c r="Z1388" s="691">
        <v>5406725920</v>
      </c>
      <c r="AA1388" s="691" t="s">
        <v>8151</v>
      </c>
      <c r="AB1388" s="111">
        <v>515790.42</v>
      </c>
      <c r="AC1388" s="17">
        <v>43146</v>
      </c>
      <c r="AD1388" s="690" t="s">
        <v>8152</v>
      </c>
      <c r="AE1388" s="686">
        <v>43067</v>
      </c>
      <c r="AF1388" s="474"/>
      <c r="AG1388" s="692">
        <v>515790.42</v>
      </c>
      <c r="AH1388" s="236">
        <f>IF(Таблица5[[#This Row],[30]]=0,"НД",Таблица5[[#This Row],[20]]-Таблица5[[#This Row],[30]])</f>
        <v>17146.580000000016</v>
      </c>
      <c r="AI1388" s="511">
        <f>IF(((1-Таблица5[[#This Row],[30]]/Таблица5[[#This Row],[20]])=1),"НД",(1-Таблица5[[#This Row],[30]]/Таблица5[[#This Row],[20]]))</f>
        <v>3.2173746615453691E-2</v>
      </c>
      <c r="AJ1388" s="111"/>
      <c r="AK1388" s="111">
        <v>515790.42</v>
      </c>
      <c r="AL1388" s="512"/>
      <c r="AM1388" s="513" t="s">
        <v>113</v>
      </c>
      <c r="AN1388" s="801">
        <v>31705700388</v>
      </c>
      <c r="AO1388" s="468" t="str">
        <f>РПЗ!AD1388</f>
        <v>Нет</v>
      </c>
      <c r="AP1388" s="472">
        <f>РПЗ!V1388</f>
        <v>0</v>
      </c>
      <c r="AQ1388" s="470">
        <f>IF(Таблица5[[#This Row],[11]]=0,,MONTH(Таблица5[[#This Row],[11]]))</f>
        <v>11</v>
      </c>
    </row>
    <row r="1389" spans="1:43" ht="90" thickBot="1" x14ac:dyDescent="0.3">
      <c r="A1389" s="233" t="str">
        <f t="shared" si="21"/>
        <v>1004-2017-1374</v>
      </c>
      <c r="B1389" s="233" t="str">
        <f>РПЗ!$D1389</f>
        <v>1004-2017-1374 Поставка  паяльная станция с принадлежностями</v>
      </c>
      <c r="C1389" s="233" t="str">
        <f>РПЗ!$AA1389</f>
        <v>АО "НИИ "Полюс" им. М.Ф. Стельмаха" тел. отдела закупок 8-495-333-05-02</v>
      </c>
      <c r="D1389" s="633" t="str">
        <f>РПЗ!$AB1389</f>
        <v>Заказчик</v>
      </c>
      <c r="E1389" s="510" t="s">
        <v>62</v>
      </c>
      <c r="F1389" s="233" t="str">
        <f>РПЗ!Q1389</f>
        <v>ОЗК</v>
      </c>
      <c r="G1389" s="237" t="s">
        <v>108</v>
      </c>
      <c r="H1389" s="237" t="str">
        <f>РПЗ!R1389</f>
        <v>Да</v>
      </c>
      <c r="I1389" s="15">
        <f>РПЗ!W1389</f>
        <v>0</v>
      </c>
      <c r="J1389" s="233">
        <f>РПЗ!X1389</f>
        <v>0</v>
      </c>
      <c r="K1389" s="283">
        <f>РПЗ!Z1389</f>
        <v>0</v>
      </c>
      <c r="L1389" s="17">
        <v>43068</v>
      </c>
      <c r="M1389" s="18">
        <f>РПЗ!O1389</f>
        <v>43040</v>
      </c>
      <c r="N1389" s="238">
        <f>Таблица5[[#This Row],[10]]</f>
        <v>43040</v>
      </c>
      <c r="O1389" s="17">
        <v>43075</v>
      </c>
      <c r="P1389" s="17">
        <v>43080</v>
      </c>
      <c r="Q1389" s="17">
        <v>43080</v>
      </c>
      <c r="R1389" s="17">
        <v>43076</v>
      </c>
      <c r="S1389" s="17">
        <v>43076</v>
      </c>
      <c r="T1389" s="686">
        <v>43087</v>
      </c>
      <c r="U1389" s="18">
        <f>РПЗ!P1389</f>
        <v>43070.625</v>
      </c>
      <c r="V1389" s="686">
        <v>43194</v>
      </c>
      <c r="W1389" s="236">
        <f>РПЗ!L1389</f>
        <v>38001.57</v>
      </c>
      <c r="X1389" s="689">
        <v>1</v>
      </c>
      <c r="Y1389" s="689">
        <v>0</v>
      </c>
      <c r="Z1389" s="691">
        <v>7701748975</v>
      </c>
      <c r="AA1389" s="691" t="s">
        <v>6483</v>
      </c>
      <c r="AB1389" s="111">
        <v>38000</v>
      </c>
      <c r="AC1389" s="17">
        <v>43194</v>
      </c>
      <c r="AD1389" s="690" t="s">
        <v>8088</v>
      </c>
      <c r="AE1389" s="686">
        <v>43087</v>
      </c>
      <c r="AF1389" s="474"/>
      <c r="AG1389" s="692">
        <v>38000</v>
      </c>
      <c r="AH1389" s="236">
        <f>IF(Таблица5[[#This Row],[30]]=0,"НД",Таблица5[[#This Row],[20]]-Таблица5[[#This Row],[30]])</f>
        <v>1.569999999999709</v>
      </c>
      <c r="AI1389" s="511">
        <f>IF(((1-Таблица5[[#This Row],[30]]/Таблица5[[#This Row],[20]])=1),"НД",(1-Таблица5[[#This Row],[30]]/Таблица5[[#This Row],[20]]))</f>
        <v>4.1314082549703812E-5</v>
      </c>
      <c r="AJ1389" s="111"/>
      <c r="AK1389" s="111">
        <v>38000</v>
      </c>
      <c r="AL1389" s="512"/>
      <c r="AM1389" s="513" t="s">
        <v>113</v>
      </c>
      <c r="AN1389" s="801">
        <v>31705806873</v>
      </c>
      <c r="AO1389" s="468" t="str">
        <f>РПЗ!AD1389</f>
        <v>Нет</v>
      </c>
      <c r="AP1389" s="472">
        <f>РПЗ!V1389</f>
        <v>0</v>
      </c>
      <c r="AQ1389" s="470">
        <f>IF(Таблица5[[#This Row],[11]]=0,,MONTH(Таблица5[[#This Row],[11]]))</f>
        <v>11</v>
      </c>
    </row>
    <row r="1390" spans="1:43" ht="38.25" x14ac:dyDescent="0.25">
      <c r="A1390" s="233" t="str">
        <f t="shared" si="21"/>
        <v>1004-2017-1375</v>
      </c>
      <c r="B1390" s="233" t="str">
        <f>РПЗ!$D1390</f>
        <v>1004-2017-1375 Поставка комплект измерительных приборов</v>
      </c>
      <c r="C1390" s="233" t="str">
        <f>РПЗ!$AA1390</f>
        <v>АО "НИИ "Полюс" им. М.Ф. Стельмаха" тел. отдела закупок 8-495-333-05-02</v>
      </c>
      <c r="D1390" s="633" t="str">
        <f>РПЗ!$AB1390</f>
        <v>Заказчик</v>
      </c>
      <c r="E1390" s="96" t="s">
        <v>46</v>
      </c>
      <c r="F1390" s="233" t="str">
        <f>РПЗ!Q1390</f>
        <v>ОЗК</v>
      </c>
      <c r="G1390" s="237"/>
      <c r="H1390" s="237" t="str">
        <f>РПЗ!R1390</f>
        <v>Да</v>
      </c>
      <c r="I1390" s="15">
        <f>РПЗ!W1390</f>
        <v>0</v>
      </c>
      <c r="J1390" s="233">
        <f>РПЗ!X1390</f>
        <v>0</v>
      </c>
      <c r="K1390" s="283">
        <f>РПЗ!Z1390</f>
        <v>0</v>
      </c>
      <c r="L1390" s="17"/>
      <c r="M1390" s="18">
        <f>РПЗ!O1390</f>
        <v>43009.625</v>
      </c>
      <c r="N1390" s="238">
        <f>Таблица5[[#This Row],[10]]</f>
        <v>43009.625</v>
      </c>
      <c r="O1390" s="17"/>
      <c r="P1390" s="17"/>
      <c r="Q1390" s="17"/>
      <c r="R1390" s="17"/>
      <c r="S1390" s="17"/>
      <c r="T1390" s="686"/>
      <c r="U1390" s="18">
        <f>РПЗ!P1390</f>
        <v>43070.625</v>
      </c>
      <c r="V1390" s="686"/>
      <c r="W1390" s="236">
        <f>РПЗ!L1390</f>
        <v>2847845.83</v>
      </c>
      <c r="X1390" s="689"/>
      <c r="Y1390" s="689"/>
      <c r="Z1390" s="690"/>
      <c r="AA1390" s="691"/>
      <c r="AB1390" s="111"/>
      <c r="AC1390" s="17"/>
      <c r="AD1390" s="690"/>
      <c r="AE1390" s="686"/>
      <c r="AF1390" s="474"/>
      <c r="AG1390" s="692"/>
      <c r="AH1390" s="236" t="str">
        <f>IF(Таблица5[[#This Row],[30]]=0,"НД",Таблица5[[#This Row],[20]]-Таблица5[[#This Row],[30]])</f>
        <v>НД</v>
      </c>
      <c r="AI1390" s="511" t="str">
        <f>IF(((1-Таблица5[[#This Row],[30]]/Таблица5[[#This Row],[20]])=1),"НД",(1-Таблица5[[#This Row],[30]]/Таблица5[[#This Row],[20]]))</f>
        <v>НД</v>
      </c>
      <c r="AJ1390" s="111"/>
      <c r="AK1390" s="111"/>
      <c r="AL1390" s="512"/>
      <c r="AM1390" s="513"/>
      <c r="AN1390" s="465"/>
      <c r="AO1390" s="468" t="str">
        <f>РПЗ!AD1390</f>
        <v>Нет</v>
      </c>
      <c r="AP1390" s="472">
        <f>РПЗ!V1390</f>
        <v>0</v>
      </c>
      <c r="AQ1390" s="470">
        <f>IF(Таблица5[[#This Row],[11]]=0,,MONTH(Таблица5[[#This Row],[11]]))</f>
        <v>10</v>
      </c>
    </row>
    <row r="1391" spans="1:43" ht="51.75" thickBot="1" x14ac:dyDescent="0.3">
      <c r="A1391" s="233" t="str">
        <f t="shared" si="21"/>
        <v>1004-2017-1376</v>
      </c>
      <c r="B1391" s="233" t="str">
        <f>РПЗ!$D1391</f>
        <v>1004-2017-1376 Поставка Комплект преобразователей линейных перемещений с устройством цифровой индикации 1к-т</v>
      </c>
      <c r="C1391" s="233" t="str">
        <f>РПЗ!$AA1391</f>
        <v>АО "НИИ "Полюс" им. М.Ф. Стельмаха" тел. отдела закупок 8-495-333-05-02</v>
      </c>
      <c r="D1391" s="633" t="str">
        <f>РПЗ!$AB1391</f>
        <v>Заказчик</v>
      </c>
      <c r="E1391" s="510" t="s">
        <v>59</v>
      </c>
      <c r="F1391" s="233" t="str">
        <f>РПЗ!Q1391</f>
        <v>ОЗК</v>
      </c>
      <c r="G1391" s="237" t="s">
        <v>108</v>
      </c>
      <c r="H1391" s="237" t="str">
        <f>РПЗ!R1391</f>
        <v>Да</v>
      </c>
      <c r="I1391" s="15">
        <f>РПЗ!W1391</f>
        <v>0</v>
      </c>
      <c r="J1391" s="233">
        <f>РПЗ!X1391</f>
        <v>0</v>
      </c>
      <c r="K1391" s="283">
        <f>РПЗ!Z1391</f>
        <v>0</v>
      </c>
      <c r="L1391" s="17">
        <v>43021</v>
      </c>
      <c r="M1391" s="18">
        <f>РПЗ!O1391</f>
        <v>43009.625</v>
      </c>
      <c r="N1391" s="238">
        <f>Таблица5[[#This Row],[10]]</f>
        <v>43009.625</v>
      </c>
      <c r="O1391" s="17">
        <v>43028</v>
      </c>
      <c r="P1391" s="17">
        <v>43032</v>
      </c>
      <c r="Q1391" s="17">
        <v>43032</v>
      </c>
      <c r="R1391" s="17"/>
      <c r="S1391" s="17"/>
      <c r="T1391" s="686"/>
      <c r="U1391" s="18">
        <f>РПЗ!P1391</f>
        <v>43070.625</v>
      </c>
      <c r="V1391" s="686"/>
      <c r="W1391" s="236">
        <f>РПЗ!L1391</f>
        <v>92000</v>
      </c>
      <c r="X1391" s="689">
        <v>0</v>
      </c>
      <c r="Y1391" s="689">
        <v>0</v>
      </c>
      <c r="Z1391" s="690"/>
      <c r="AA1391" s="691"/>
      <c r="AB1391" s="111"/>
      <c r="AC1391" s="17"/>
      <c r="AD1391" s="690"/>
      <c r="AE1391" s="686"/>
      <c r="AF1391" s="474"/>
      <c r="AG1391" s="692"/>
      <c r="AH1391" s="236" t="str">
        <f>IF(Таблица5[[#This Row],[30]]=0,"НД",Таблица5[[#This Row],[20]]-Таблица5[[#This Row],[30]])</f>
        <v>НД</v>
      </c>
      <c r="AI1391" s="511" t="str">
        <f>IF(((1-Таблица5[[#This Row],[30]]/Таблица5[[#This Row],[20]])=1),"НД",(1-Таблица5[[#This Row],[30]]/Таблица5[[#This Row],[20]]))</f>
        <v>НД</v>
      </c>
      <c r="AJ1391" s="111"/>
      <c r="AK1391" s="111"/>
      <c r="AL1391" s="512"/>
      <c r="AM1391" s="513" t="s">
        <v>113</v>
      </c>
      <c r="AN1391" s="801">
        <v>31705623082</v>
      </c>
      <c r="AO1391" s="468" t="str">
        <f>РПЗ!AD1391</f>
        <v>Нет</v>
      </c>
      <c r="AP1391" s="472">
        <f>РПЗ!V1391</f>
        <v>0</v>
      </c>
      <c r="AQ1391" s="470">
        <f>IF(Таблица5[[#This Row],[11]]=0,,MONTH(Таблица5[[#This Row],[11]]))</f>
        <v>10</v>
      </c>
    </row>
    <row r="1392" spans="1:43" ht="38.25" x14ac:dyDescent="0.25">
      <c r="A1392" s="233" t="str">
        <f t="shared" si="21"/>
        <v>1004-2017-1377</v>
      </c>
      <c r="B1392" s="233" t="str">
        <f>РПЗ!$D1392</f>
        <v>1004-2017-1377 Поставка и Закупка микроскопов Leica M80</v>
      </c>
      <c r="C1392" s="233" t="str">
        <f>РПЗ!$AA1392</f>
        <v>АО "НИИ "Полюс" им. М.Ф. Стельмаха" тел. отдела закупок 8-495-333-05-02</v>
      </c>
      <c r="D1392" s="633" t="str">
        <f>РПЗ!$AB1392</f>
        <v>Заказчик</v>
      </c>
      <c r="E1392" s="96" t="s">
        <v>46</v>
      </c>
      <c r="F1392" s="233" t="str">
        <f>РПЗ!Q1392</f>
        <v>ОЗК</v>
      </c>
      <c r="G1392" s="237"/>
      <c r="H1392" s="237" t="str">
        <f>РПЗ!R1392</f>
        <v>Да</v>
      </c>
      <c r="I1392" s="15">
        <f>РПЗ!W1392</f>
        <v>0</v>
      </c>
      <c r="J1392" s="233">
        <f>РПЗ!X1392</f>
        <v>0</v>
      </c>
      <c r="K1392" s="283">
        <f>РПЗ!Z1392</f>
        <v>0</v>
      </c>
      <c r="L1392" s="17"/>
      <c r="M1392" s="18">
        <f>РПЗ!O1392</f>
        <v>43009.625</v>
      </c>
      <c r="N1392" s="238">
        <f>Таблица5[[#This Row],[10]]</f>
        <v>43009.625</v>
      </c>
      <c r="O1392" s="17"/>
      <c r="P1392" s="17"/>
      <c r="Q1392" s="17"/>
      <c r="R1392" s="17"/>
      <c r="S1392" s="17"/>
      <c r="T1392" s="686"/>
      <c r="U1392" s="18">
        <f>РПЗ!P1392</f>
        <v>43070.625</v>
      </c>
      <c r="V1392" s="686"/>
      <c r="W1392" s="236">
        <f>РПЗ!L1392</f>
        <v>3100000</v>
      </c>
      <c r="X1392" s="689"/>
      <c r="Y1392" s="689"/>
      <c r="Z1392" s="690"/>
      <c r="AA1392" s="691"/>
      <c r="AB1392" s="111"/>
      <c r="AC1392" s="17"/>
      <c r="AD1392" s="690"/>
      <c r="AE1392" s="686"/>
      <c r="AF1392" s="474"/>
      <c r="AG1392" s="692"/>
      <c r="AH1392" s="236" t="str">
        <f>IF(Таблица5[[#This Row],[30]]=0,"НД",Таблица5[[#This Row],[20]]-Таблица5[[#This Row],[30]])</f>
        <v>НД</v>
      </c>
      <c r="AI1392" s="511" t="str">
        <f>IF(((1-Таблица5[[#This Row],[30]]/Таблица5[[#This Row],[20]])=1),"НД",(1-Таблица5[[#This Row],[30]]/Таблица5[[#This Row],[20]]))</f>
        <v>НД</v>
      </c>
      <c r="AJ1392" s="111"/>
      <c r="AK1392" s="111"/>
      <c r="AL1392" s="512"/>
      <c r="AM1392" s="513"/>
      <c r="AN1392" s="465"/>
      <c r="AO1392" s="468" t="str">
        <f>РПЗ!AD1392</f>
        <v>Нет</v>
      </c>
      <c r="AP1392" s="472">
        <f>РПЗ!V1392</f>
        <v>0</v>
      </c>
      <c r="AQ1392" s="470">
        <f>IF(Таблица5[[#This Row],[11]]=0,,MONTH(Таблица5[[#This Row],[11]]))</f>
        <v>10</v>
      </c>
    </row>
    <row r="1393" spans="1:43" ht="77.25" thickBot="1" x14ac:dyDescent="0.3">
      <c r="A1393" s="233" t="str">
        <f t="shared" si="21"/>
        <v>1004-2017-1378</v>
      </c>
      <c r="B1393" s="233" t="str">
        <f>РПЗ!$D1393</f>
        <v>1004-2017-1378 Поставка вычислительной техники, оргтехники, экземпляров программного обеспечения, сетевого оборудования и расходных материалов</v>
      </c>
      <c r="C1393" s="233" t="str">
        <f>РПЗ!$AA1393</f>
        <v>АО "НИИ "Полюс" им. М.Ф. Стельмаха" тел. отдела закупок 8-495-333-05-02</v>
      </c>
      <c r="D1393" s="633" t="str">
        <f>РПЗ!$AB1393</f>
        <v>Заказчик</v>
      </c>
      <c r="E1393" s="510" t="s">
        <v>62</v>
      </c>
      <c r="F1393" s="233" t="str">
        <f>РПЗ!Q1393</f>
        <v>ОЗК</v>
      </c>
      <c r="G1393" s="237" t="s">
        <v>108</v>
      </c>
      <c r="H1393" s="237" t="str">
        <f>РПЗ!R1393</f>
        <v>Да</v>
      </c>
      <c r="I1393" s="15">
        <f>РПЗ!W1393</f>
        <v>0</v>
      </c>
      <c r="J1393" s="233">
        <f>РПЗ!X1393</f>
        <v>0</v>
      </c>
      <c r="K1393" s="283">
        <f>РПЗ!Z1393</f>
        <v>0</v>
      </c>
      <c r="L1393" s="17">
        <v>43020</v>
      </c>
      <c r="M1393" s="18">
        <f>РПЗ!O1393</f>
        <v>43009.625</v>
      </c>
      <c r="N1393" s="238">
        <f>Таблица5[[#This Row],[10]]</f>
        <v>43009.625</v>
      </c>
      <c r="O1393" s="17">
        <v>43026</v>
      </c>
      <c r="P1393" s="17">
        <v>43031</v>
      </c>
      <c r="Q1393" s="17">
        <v>43031</v>
      </c>
      <c r="R1393" s="17">
        <v>43027</v>
      </c>
      <c r="S1393" s="17">
        <v>43027</v>
      </c>
      <c r="T1393" s="686">
        <v>43038</v>
      </c>
      <c r="U1393" s="18">
        <f>РПЗ!P1393</f>
        <v>43040.625</v>
      </c>
      <c r="V1393" s="686">
        <v>43040</v>
      </c>
      <c r="W1393" s="236">
        <f>РПЗ!L1393</f>
        <v>3368066.92</v>
      </c>
      <c r="X1393" s="689">
        <v>13</v>
      </c>
      <c r="Y1393" s="689">
        <v>0</v>
      </c>
      <c r="Z1393" s="691">
        <v>7722781081</v>
      </c>
      <c r="AA1393" s="691" t="s">
        <v>6791</v>
      </c>
      <c r="AB1393" s="111">
        <v>2840655.3</v>
      </c>
      <c r="AC1393" s="17">
        <v>43040</v>
      </c>
      <c r="AD1393" s="690" t="s">
        <v>8184</v>
      </c>
      <c r="AE1393" s="686">
        <v>43038</v>
      </c>
      <c r="AF1393" s="474"/>
      <c r="AG1393" s="692">
        <v>2840655.3</v>
      </c>
      <c r="AH1393" s="236">
        <f>IF(Таблица5[[#This Row],[30]]=0,"НД",Таблица5[[#This Row],[20]]-Таблица5[[#This Row],[30]])</f>
        <v>527411.62000000011</v>
      </c>
      <c r="AI1393" s="511">
        <f>IF(((1-Таблица5[[#This Row],[30]]/Таблица5[[#This Row],[20]])=1),"НД",(1-Таблица5[[#This Row],[30]]/Таблица5[[#This Row],[20]]))</f>
        <v>0.15659178767148729</v>
      </c>
      <c r="AJ1393" s="111"/>
      <c r="AK1393" s="111">
        <v>2840655.3</v>
      </c>
      <c r="AL1393" s="512"/>
      <c r="AM1393" s="513" t="s">
        <v>113</v>
      </c>
      <c r="AN1393" s="801">
        <v>31705615963</v>
      </c>
      <c r="AO1393" s="468" t="str">
        <f>РПЗ!AD1393</f>
        <v>Нет</v>
      </c>
      <c r="AP1393" s="472">
        <f>РПЗ!V1393</f>
        <v>0</v>
      </c>
      <c r="AQ1393" s="470">
        <f>IF(Таблица5[[#This Row],[11]]=0,,MONTH(Таблица5[[#This Row],[11]]))</f>
        <v>10</v>
      </c>
    </row>
    <row r="1394" spans="1:43" ht="38.25" x14ac:dyDescent="0.25">
      <c r="A1394" s="233" t="str">
        <f t="shared" si="21"/>
        <v>1004-2017-1379</v>
      </c>
      <c r="B1394" s="233" t="str">
        <f>РПЗ!$D1394</f>
        <v>1004-2017-1379 Поставка Электронные весы и весы напольные</v>
      </c>
      <c r="C1394" s="233" t="str">
        <f>РПЗ!$AA1394</f>
        <v>АО "НИИ "Полюс" им. М.Ф. Стельмаха" тел. отдела закупок 8-495-333-05-02</v>
      </c>
      <c r="D1394" s="633" t="str">
        <f>РПЗ!$AB1394</f>
        <v>Заказчик</v>
      </c>
      <c r="E1394" s="96" t="s">
        <v>46</v>
      </c>
      <c r="F1394" s="233" t="str">
        <f>РПЗ!Q1394</f>
        <v>ЕП</v>
      </c>
      <c r="G1394" s="237"/>
      <c r="H1394" s="237" t="str">
        <f>РПЗ!R1394</f>
        <v>Нет</v>
      </c>
      <c r="I1394" s="15">
        <f>РПЗ!W1394</f>
        <v>0</v>
      </c>
      <c r="J1394" s="233">
        <f>РПЗ!X1394</f>
        <v>0</v>
      </c>
      <c r="K1394" s="283">
        <f>РПЗ!Z1394</f>
        <v>0</v>
      </c>
      <c r="L1394" s="17"/>
      <c r="M1394" s="18">
        <f>РПЗ!O1394</f>
        <v>43009.625</v>
      </c>
      <c r="N1394" s="238">
        <f>Таблица5[[#This Row],[10]]</f>
        <v>43009.625</v>
      </c>
      <c r="O1394" s="17"/>
      <c r="P1394" s="17"/>
      <c r="Q1394" s="17"/>
      <c r="R1394" s="17"/>
      <c r="S1394" s="17"/>
      <c r="T1394" s="686"/>
      <c r="U1394" s="18">
        <f>РПЗ!P1394</f>
        <v>43070.625</v>
      </c>
      <c r="V1394" s="686"/>
      <c r="W1394" s="236">
        <f>РПЗ!L1394</f>
        <v>25000</v>
      </c>
      <c r="X1394" s="689"/>
      <c r="Y1394" s="689"/>
      <c r="Z1394" s="690"/>
      <c r="AA1394" s="691"/>
      <c r="AB1394" s="111"/>
      <c r="AC1394" s="17"/>
      <c r="AD1394" s="690"/>
      <c r="AE1394" s="686"/>
      <c r="AF1394" s="474"/>
      <c r="AG1394" s="692"/>
      <c r="AH1394" s="236" t="str">
        <f>IF(Таблица5[[#This Row],[30]]=0,"НД",Таблица5[[#This Row],[20]]-Таблица5[[#This Row],[30]])</f>
        <v>НД</v>
      </c>
      <c r="AI1394" s="511" t="str">
        <f>IF(((1-Таблица5[[#This Row],[30]]/Таблица5[[#This Row],[20]])=1),"НД",(1-Таблица5[[#This Row],[30]]/Таблица5[[#This Row],[20]]))</f>
        <v>НД</v>
      </c>
      <c r="AJ1394" s="111"/>
      <c r="AK1394" s="111"/>
      <c r="AL1394" s="512"/>
      <c r="AM1394" s="513"/>
      <c r="AN1394" s="465"/>
      <c r="AO1394" s="468" t="str">
        <f>РПЗ!AD1394</f>
        <v>Нет</v>
      </c>
      <c r="AP1394" s="472">
        <f>РПЗ!V1394</f>
        <v>0</v>
      </c>
      <c r="AQ1394" s="470">
        <f>IF(Таблица5[[#This Row],[11]]=0,,MONTH(Таблица5[[#This Row],[11]]))</f>
        <v>10</v>
      </c>
    </row>
    <row r="1395" spans="1:43" ht="38.25" x14ac:dyDescent="0.25">
      <c r="A1395" s="233" t="str">
        <f t="shared" si="21"/>
        <v>1004-2017-1380</v>
      </c>
      <c r="B1395" s="233" t="str">
        <f>РПЗ!$D1395</f>
        <v>1004-2017-1380 Поставка Дрель -  шуруповерт</v>
      </c>
      <c r="C1395" s="233" t="str">
        <f>РПЗ!$AA1395</f>
        <v>АО "НИИ "Полюс" им. М.Ф. Стельмаха" тел. отдела закупок 8-495-333-05-02</v>
      </c>
      <c r="D1395" s="633" t="str">
        <f>РПЗ!$AB1395</f>
        <v>Заказчик</v>
      </c>
      <c r="E1395" s="510" t="s">
        <v>62</v>
      </c>
      <c r="F1395" s="233" t="str">
        <f>РПЗ!Q1395</f>
        <v>ОЗК</v>
      </c>
      <c r="G1395" s="237" t="s">
        <v>108</v>
      </c>
      <c r="H1395" s="237" t="str">
        <f>РПЗ!R1395</f>
        <v>Да</v>
      </c>
      <c r="I1395" s="15">
        <f>РПЗ!W1395</f>
        <v>0</v>
      </c>
      <c r="J1395" s="233">
        <f>РПЗ!X1395</f>
        <v>0</v>
      </c>
      <c r="K1395" s="283">
        <f>РПЗ!Z1395</f>
        <v>0</v>
      </c>
      <c r="L1395" s="17">
        <v>43039</v>
      </c>
      <c r="M1395" s="18">
        <f>РПЗ!O1395</f>
        <v>43009.625</v>
      </c>
      <c r="N1395" s="238">
        <f>Таблица5[[#This Row],[10]]</f>
        <v>43009.625</v>
      </c>
      <c r="O1395" s="17">
        <v>43046</v>
      </c>
      <c r="P1395" s="17">
        <v>43049</v>
      </c>
      <c r="Q1395" s="17">
        <v>43049</v>
      </c>
      <c r="R1395" s="17">
        <v>43046</v>
      </c>
      <c r="S1395" s="17">
        <v>43046</v>
      </c>
      <c r="T1395" s="686">
        <v>43059</v>
      </c>
      <c r="U1395" s="18">
        <f>РПЗ!P1395</f>
        <v>43070.625</v>
      </c>
      <c r="V1395" s="686">
        <v>43100</v>
      </c>
      <c r="W1395" s="236">
        <f>РПЗ!L1395</f>
        <v>7830</v>
      </c>
      <c r="X1395" s="689">
        <v>1</v>
      </c>
      <c r="Y1395" s="689">
        <v>0</v>
      </c>
      <c r="Z1395" s="691">
        <v>7705579703</v>
      </c>
      <c r="AA1395" s="691" t="s">
        <v>3287</v>
      </c>
      <c r="AB1395" s="111">
        <v>7440.8</v>
      </c>
      <c r="AC1395" s="17">
        <v>43100</v>
      </c>
      <c r="AD1395" s="690" t="s">
        <v>8157</v>
      </c>
      <c r="AE1395" s="686">
        <v>43059</v>
      </c>
      <c r="AF1395" s="474"/>
      <c r="AG1395" s="692">
        <v>7440.8</v>
      </c>
      <c r="AH1395" s="236">
        <f>IF(Таблица5[[#This Row],[30]]=0,"НД",Таблица5[[#This Row],[20]]-Таблица5[[#This Row],[30]])</f>
        <v>389.19999999999982</v>
      </c>
      <c r="AI1395" s="511">
        <f>IF(((1-Таблица5[[#This Row],[30]]/Таблица5[[#This Row],[20]])=1),"НД",(1-Таблица5[[#This Row],[30]]/Таблица5[[#This Row],[20]]))</f>
        <v>4.9706257982120028E-2</v>
      </c>
      <c r="AJ1395" s="111"/>
      <c r="AK1395" s="111">
        <v>7440.8</v>
      </c>
      <c r="AL1395" s="512"/>
      <c r="AM1395" s="513" t="s">
        <v>113</v>
      </c>
      <c r="AN1395" s="801">
        <v>31705684595</v>
      </c>
      <c r="AO1395" s="468" t="str">
        <f>РПЗ!AD1395</f>
        <v>Нет</v>
      </c>
      <c r="AP1395" s="472">
        <f>РПЗ!V1395</f>
        <v>0</v>
      </c>
      <c r="AQ1395" s="470">
        <f>IF(Таблица5[[#This Row],[11]]=0,,MONTH(Таблица5[[#This Row],[11]]))</f>
        <v>10</v>
      </c>
    </row>
    <row r="1396" spans="1:43" ht="51" x14ac:dyDescent="0.25">
      <c r="A1396" s="233" t="str">
        <f t="shared" ref="A1396:A1459" si="22">INDEX(Диапазон1,ROW(), COLUMN())</f>
        <v>1004-2017-1381</v>
      </c>
      <c r="B1396" s="233" t="str">
        <f>РПЗ!$D1396</f>
        <v>1004-2017-1381 Поставка  Клапан AVB-KF16-M-E высоковакуумный угловой ручной, фл. KF16, корп. нерж. сталь, уплотнение FKM</v>
      </c>
      <c r="C1396" s="233" t="str">
        <f>РПЗ!$AA1396</f>
        <v>АО "НИИ "Полюс" им. М.Ф. Стельмаха" тел. отдела закупок 8-495-333-05-02</v>
      </c>
      <c r="D1396" s="633" t="str">
        <f>РПЗ!$AB1396</f>
        <v>Заказчик</v>
      </c>
      <c r="E1396" s="510" t="s">
        <v>62</v>
      </c>
      <c r="F1396" s="233" t="str">
        <f>РПЗ!Q1396</f>
        <v>ЕП</v>
      </c>
      <c r="G1396" s="237" t="str">
        <f>Таблица5[[#This Row],[6]]</f>
        <v>ЕП</v>
      </c>
      <c r="H1396" s="237" t="str">
        <f>РПЗ!R1396</f>
        <v>Нет</v>
      </c>
      <c r="I1396" s="15" t="str">
        <f>РПЗ!W1396</f>
        <v>6.6.2(9)</v>
      </c>
      <c r="J1396" s="233" t="str">
        <f>РПЗ!X1396</f>
        <v>7718609666</v>
      </c>
      <c r="K1396" s="283">
        <f>РПЗ!Z1396</f>
        <v>286740</v>
      </c>
      <c r="L1396" s="17">
        <v>43024</v>
      </c>
      <c r="M1396" s="18">
        <f>РПЗ!O1396</f>
        <v>43009.625</v>
      </c>
      <c r="N1396" s="238">
        <f>Таблица5[[#This Row],[10]]</f>
        <v>43009.625</v>
      </c>
      <c r="O1396" s="17"/>
      <c r="P1396" s="17"/>
      <c r="Q1396" s="17"/>
      <c r="R1396" s="17"/>
      <c r="S1396" s="17"/>
      <c r="T1396" s="686">
        <v>43031</v>
      </c>
      <c r="U1396" s="18">
        <f>РПЗ!P1396</f>
        <v>43040.625</v>
      </c>
      <c r="V1396" s="686">
        <v>43040</v>
      </c>
      <c r="W1396" s="236">
        <f>РПЗ!L1396</f>
        <v>286740</v>
      </c>
      <c r="X1396" s="689">
        <v>1</v>
      </c>
      <c r="Y1396" s="689">
        <v>0</v>
      </c>
      <c r="Z1396" s="691">
        <v>7718609666</v>
      </c>
      <c r="AA1396" s="691" t="s">
        <v>7246</v>
      </c>
      <c r="AB1396" s="111">
        <v>286740</v>
      </c>
      <c r="AC1396" s="17">
        <v>43040</v>
      </c>
      <c r="AD1396" s="690" t="s">
        <v>7247</v>
      </c>
      <c r="AE1396" s="686">
        <v>43031</v>
      </c>
      <c r="AF1396" s="474"/>
      <c r="AG1396" s="692">
        <v>286740</v>
      </c>
      <c r="AH1396" s="236">
        <f>IF(Таблица5[[#This Row],[30]]=0,"НД",Таблица5[[#This Row],[20]]-Таблица5[[#This Row],[30]])</f>
        <v>0</v>
      </c>
      <c r="AI1396" s="511">
        <f>IF(((1-Таблица5[[#This Row],[30]]/Таблица5[[#This Row],[20]])=1),"НД",(1-Таблица5[[#This Row],[30]]/Таблица5[[#This Row],[20]]))</f>
        <v>0</v>
      </c>
      <c r="AJ1396" s="111"/>
      <c r="AK1396" s="111"/>
      <c r="AL1396" s="512"/>
      <c r="AM1396" s="513" t="s">
        <v>113</v>
      </c>
      <c r="AN1396" s="801">
        <v>31705649471</v>
      </c>
      <c r="AO1396" s="468" t="str">
        <f>РПЗ!AD1396</f>
        <v>Нет</v>
      </c>
      <c r="AP1396" s="472">
        <f>РПЗ!V1396</f>
        <v>0</v>
      </c>
      <c r="AQ1396" s="470">
        <f>IF(Таблица5[[#This Row],[11]]=0,,MONTH(Таблица5[[#This Row],[11]]))</f>
        <v>10</v>
      </c>
    </row>
    <row r="1397" spans="1:43" ht="63.75" x14ac:dyDescent="0.25">
      <c r="A1397" s="233" t="str">
        <f t="shared" si="22"/>
        <v>1004-2017-1382</v>
      </c>
      <c r="B1397" s="233" t="str">
        <f>РПЗ!$D1397</f>
        <v>1004-2017-1382 Предоставление телекоммуникационных услуг</v>
      </c>
      <c r="C1397" s="233" t="str">
        <f>РПЗ!$AA1397</f>
        <v>АО "НИИ "Полюс" им. М.Ф. Стельмаха" тел. отдела закупок 8-495-333-05-02</v>
      </c>
      <c r="D1397" s="633" t="str">
        <f>РПЗ!$AB1397</f>
        <v>Заказчик</v>
      </c>
      <c r="E1397" s="510" t="s">
        <v>62</v>
      </c>
      <c r="F1397" s="233" t="str">
        <f>РПЗ!Q1397</f>
        <v>ЕП</v>
      </c>
      <c r="G1397" s="237" t="str">
        <f>Таблица5[[#This Row],[6]]</f>
        <v>ЕП</v>
      </c>
      <c r="H1397" s="237" t="str">
        <f>РПЗ!R1397</f>
        <v>Нет</v>
      </c>
      <c r="I1397" s="15" t="str">
        <f>РПЗ!W1397</f>
        <v>6.6.2(29)</v>
      </c>
      <c r="J1397" s="233" t="str">
        <f>РПЗ!X1397</f>
        <v>7713076301</v>
      </c>
      <c r="K1397" s="283">
        <f>РПЗ!Z1397</f>
        <v>862422.4</v>
      </c>
      <c r="L1397" s="17">
        <v>43032</v>
      </c>
      <c r="M1397" s="18">
        <f>РПЗ!O1397</f>
        <v>43009.625</v>
      </c>
      <c r="N1397" s="238">
        <f>Таблица5[[#This Row],[10]]</f>
        <v>43009.625</v>
      </c>
      <c r="O1397" s="17"/>
      <c r="P1397" s="17"/>
      <c r="Q1397" s="17"/>
      <c r="R1397" s="17"/>
      <c r="S1397" s="17"/>
      <c r="T1397" s="686">
        <v>43034</v>
      </c>
      <c r="U1397" s="18">
        <f>РПЗ!P1397</f>
        <v>43405.625</v>
      </c>
      <c r="V1397" s="686">
        <v>43406</v>
      </c>
      <c r="W1397" s="236">
        <f>РПЗ!L1397</f>
        <v>862422.4</v>
      </c>
      <c r="X1397" s="689">
        <v>1</v>
      </c>
      <c r="Y1397" s="689">
        <v>0</v>
      </c>
      <c r="Z1397" s="691">
        <v>7713076301</v>
      </c>
      <c r="AA1397" s="691" t="s">
        <v>7688</v>
      </c>
      <c r="AB1397" s="111">
        <v>862422.4</v>
      </c>
      <c r="AC1397" s="17">
        <v>43406</v>
      </c>
      <c r="AD1397" s="690" t="s">
        <v>7689</v>
      </c>
      <c r="AE1397" s="686">
        <v>43034</v>
      </c>
      <c r="AF1397" s="474"/>
      <c r="AG1397" s="692">
        <v>862422.4</v>
      </c>
      <c r="AH1397" s="236">
        <f>IF(Таблица5[[#This Row],[30]]=0,"НД",Таблица5[[#This Row],[20]]-Таблица5[[#This Row],[30]])</f>
        <v>0</v>
      </c>
      <c r="AI1397" s="511">
        <f>IF(((1-Таблица5[[#This Row],[30]]/Таблица5[[#This Row],[20]])=1),"НД",(1-Таблица5[[#This Row],[30]]/Таблица5[[#This Row],[20]]))</f>
        <v>0</v>
      </c>
      <c r="AJ1397" s="111"/>
      <c r="AK1397" s="111"/>
      <c r="AL1397" s="512"/>
      <c r="AM1397" s="513" t="s">
        <v>113</v>
      </c>
      <c r="AN1397" s="801">
        <v>31705665895</v>
      </c>
      <c r="AO1397" s="468" t="str">
        <f>РПЗ!AD1397</f>
        <v>Нет</v>
      </c>
      <c r="AP1397" s="472">
        <f>РПЗ!V1397</f>
        <v>0</v>
      </c>
      <c r="AQ1397" s="470">
        <f>IF(Таблица5[[#This Row],[11]]=0,,MONTH(Таблица5[[#This Row],[11]]))</f>
        <v>10</v>
      </c>
    </row>
    <row r="1398" spans="1:43" ht="229.5" x14ac:dyDescent="0.25">
      <c r="A1398" s="233" t="str">
        <f t="shared" si="22"/>
        <v>1004-2017-1383</v>
      </c>
      <c r="B1398" s="233" t="str">
        <f>РПЗ!$D1398</f>
        <v xml:space="preserve">1004-2017-1383 Поставка кристаллических затворов КПЛЗ АИГ: V (пластины из граната с ванадием), поставка активных элементов из КГВ с неодимом КП 3х50  </v>
      </c>
      <c r="C1398" s="233" t="str">
        <f>РПЗ!$AA1398</f>
        <v>АО "НИИ "Полюс" им. М.Ф. Стельмаха" тел. отдела закупок 8-495-333-05-02</v>
      </c>
      <c r="D1398" s="633" t="str">
        <f>РПЗ!$AB1398</f>
        <v>Заказчик</v>
      </c>
      <c r="E1398" s="510" t="s">
        <v>62</v>
      </c>
      <c r="F1398" s="233" t="str">
        <f>РПЗ!Q1398</f>
        <v>ЕП</v>
      </c>
      <c r="G1398" s="237" t="str">
        <f>Таблица5[[#This Row],[6]]</f>
        <v>ЕП</v>
      </c>
      <c r="H1398" s="237" t="str">
        <f>РПЗ!R1398</f>
        <v>Нет</v>
      </c>
      <c r="I1398" s="15" t="str">
        <f>РПЗ!W1398</f>
        <v>6.6.2(11)</v>
      </c>
      <c r="J1398" s="233" t="str">
        <f>РПЗ!X1398</f>
        <v>7811483834</v>
      </c>
      <c r="K1398" s="283">
        <f>РПЗ!Z1398</f>
        <v>1267075.3899999999</v>
      </c>
      <c r="L1398" s="17">
        <v>43032</v>
      </c>
      <c r="M1398" s="18">
        <f>РПЗ!O1398</f>
        <v>43009.625</v>
      </c>
      <c r="N1398" s="238">
        <f>Таблица5[[#This Row],[10]]</f>
        <v>43009.625</v>
      </c>
      <c r="O1398" s="17"/>
      <c r="P1398" s="17"/>
      <c r="Q1398" s="17"/>
      <c r="R1398" s="17"/>
      <c r="S1398" s="17"/>
      <c r="T1398" s="686">
        <v>43046</v>
      </c>
      <c r="U1398" s="18">
        <f>РПЗ!P1398</f>
        <v>43070.625</v>
      </c>
      <c r="V1398" s="686">
        <v>43190</v>
      </c>
      <c r="W1398" s="236">
        <f>РПЗ!L1398</f>
        <v>1267075.3899999999</v>
      </c>
      <c r="X1398" s="689">
        <v>1</v>
      </c>
      <c r="Y1398" s="689">
        <v>0</v>
      </c>
      <c r="Z1398" s="691">
        <v>7811483834</v>
      </c>
      <c r="AA1398" s="691" t="s">
        <v>7669</v>
      </c>
      <c r="AB1398" s="111">
        <v>1267075.3899999999</v>
      </c>
      <c r="AC1398" s="17">
        <v>43190</v>
      </c>
      <c r="AD1398" s="690" t="s">
        <v>7670</v>
      </c>
      <c r="AE1398" s="686">
        <v>43046</v>
      </c>
      <c r="AF1398" s="474"/>
      <c r="AG1398" s="692">
        <v>1267075.3899999999</v>
      </c>
      <c r="AH1398" s="236">
        <f>IF(Таблица5[[#This Row],[30]]=0,"НД",Таблица5[[#This Row],[20]]-Таблица5[[#This Row],[30]])</f>
        <v>0</v>
      </c>
      <c r="AI1398" s="511">
        <f>IF(((1-Таблица5[[#This Row],[30]]/Таблица5[[#This Row],[20]])=1),"НД",(1-Таблица5[[#This Row],[30]]/Таблица5[[#This Row],[20]]))</f>
        <v>0</v>
      </c>
      <c r="AJ1398" s="111"/>
      <c r="AK1398" s="111"/>
      <c r="AL1398" s="512"/>
      <c r="AM1398" s="513" t="s">
        <v>113</v>
      </c>
      <c r="AN1398" s="801">
        <v>31705664505</v>
      </c>
      <c r="AO1398" s="468" t="str">
        <f>РПЗ!AD1398</f>
        <v>Нет</v>
      </c>
      <c r="AP1398" s="472">
        <f>РПЗ!V1398</f>
        <v>0</v>
      </c>
      <c r="AQ1398" s="470">
        <f>IF(Таблица5[[#This Row],[11]]=0,,MONTH(Таблица5[[#This Row],[11]]))</f>
        <v>10</v>
      </c>
    </row>
    <row r="1399" spans="1:43" ht="38.25" x14ac:dyDescent="0.25">
      <c r="A1399" s="233" t="str">
        <f t="shared" si="22"/>
        <v>1004-2017-1384</v>
      </c>
      <c r="B1399" s="233" t="str">
        <f>РПЗ!$D1399</f>
        <v>1004-2017-1384Поставка  Строительно-отделочные материалы</v>
      </c>
      <c r="C1399" s="233" t="str">
        <f>РПЗ!$AA1399</f>
        <v>АО "НИИ "Полюс" им. М.Ф. Стельмаха" тел. отдела закупок 8-495-333-05-02</v>
      </c>
      <c r="D1399" s="633" t="str">
        <f>РПЗ!$AB1399</f>
        <v>Заказчик</v>
      </c>
      <c r="E1399" s="510" t="s">
        <v>59</v>
      </c>
      <c r="F1399" s="233" t="str">
        <f>РПЗ!Q1399</f>
        <v>ОЗК</v>
      </c>
      <c r="G1399" s="237" t="str">
        <f>Таблица5[[#This Row],[6]]</f>
        <v>ОЗК</v>
      </c>
      <c r="H1399" s="237" t="str">
        <f>РПЗ!R1399</f>
        <v>Да</v>
      </c>
      <c r="I1399" s="15">
        <f>РПЗ!W1399</f>
        <v>0</v>
      </c>
      <c r="J1399" s="233">
        <f>РПЗ!X1399</f>
        <v>0</v>
      </c>
      <c r="K1399" s="283">
        <f>РПЗ!Z1399</f>
        <v>0</v>
      </c>
      <c r="L1399" s="17">
        <v>43026</v>
      </c>
      <c r="M1399" s="18">
        <f>РПЗ!O1399</f>
        <v>43009.625</v>
      </c>
      <c r="N1399" s="238">
        <f>Таблица5[[#This Row],[10]]</f>
        <v>43009.625</v>
      </c>
      <c r="O1399" s="17">
        <v>43032</v>
      </c>
      <c r="P1399" s="17">
        <v>43038</v>
      </c>
      <c r="Q1399" s="17">
        <v>43038</v>
      </c>
      <c r="R1399" s="17">
        <v>43038</v>
      </c>
      <c r="S1399" s="17">
        <v>43038</v>
      </c>
      <c r="T1399" s="686"/>
      <c r="U1399" s="18">
        <f>РПЗ!P1399</f>
        <v>43040.625</v>
      </c>
      <c r="V1399" s="686"/>
      <c r="W1399" s="236">
        <f>РПЗ!L1399</f>
        <v>122846.98</v>
      </c>
      <c r="X1399" s="689">
        <v>0</v>
      </c>
      <c r="Y1399" s="689">
        <v>0</v>
      </c>
      <c r="Z1399" s="690"/>
      <c r="AA1399" s="691"/>
      <c r="AB1399" s="111"/>
      <c r="AC1399" s="17"/>
      <c r="AD1399" s="690"/>
      <c r="AE1399" s="686"/>
      <c r="AF1399" s="474"/>
      <c r="AG1399" s="692"/>
      <c r="AH1399" s="236" t="str">
        <f>IF(Таблица5[[#This Row],[30]]=0,"НД",Таблица5[[#This Row],[20]]-Таблица5[[#This Row],[30]])</f>
        <v>НД</v>
      </c>
      <c r="AI1399" s="511" t="str">
        <f>IF(((1-Таблица5[[#This Row],[30]]/Таблица5[[#This Row],[20]])=1),"НД",(1-Таблица5[[#This Row],[30]]/Таблица5[[#This Row],[20]]))</f>
        <v>НД</v>
      </c>
      <c r="AJ1399" s="111"/>
      <c r="AK1399" s="111"/>
      <c r="AL1399" s="512"/>
      <c r="AM1399" s="513" t="s">
        <v>113</v>
      </c>
      <c r="AN1399" s="801">
        <v>31705635593</v>
      </c>
      <c r="AO1399" s="468" t="str">
        <f>РПЗ!AD1399</f>
        <v>Нет</v>
      </c>
      <c r="AP1399" s="472">
        <f>РПЗ!V1399</f>
        <v>0</v>
      </c>
      <c r="AQ1399" s="470">
        <f>IF(Таблица5[[#This Row],[11]]=0,,MONTH(Таблица5[[#This Row],[11]]))</f>
        <v>10</v>
      </c>
    </row>
    <row r="1400" spans="1:43" ht="38.25" x14ac:dyDescent="0.25">
      <c r="A1400" s="233" t="str">
        <f t="shared" si="22"/>
        <v>1004-2017-1385</v>
      </c>
      <c r="B1400" s="233" t="str">
        <f>РПЗ!$D1400</f>
        <v>1004-2017-1384 Поставка  Металлические сплавы</v>
      </c>
      <c r="C1400" s="233" t="str">
        <f>РПЗ!$AA1400</f>
        <v>АО "НИИ "Полюс" им. М.Ф. Стельмаха" тел. отдела закупок 8-495-333-05-02</v>
      </c>
      <c r="D1400" s="633" t="str">
        <f>РПЗ!$AB1400</f>
        <v>Заказчик</v>
      </c>
      <c r="E1400" s="510" t="s">
        <v>62</v>
      </c>
      <c r="F1400" s="233" t="str">
        <f>РПЗ!Q1400</f>
        <v>ЕП</v>
      </c>
      <c r="G1400" s="237" t="str">
        <f>Таблица5[[#This Row],[6]]</f>
        <v>ЕП</v>
      </c>
      <c r="H1400" s="237" t="str">
        <f>РПЗ!R1400</f>
        <v>Нет</v>
      </c>
      <c r="I1400" s="15" t="str">
        <f>РПЗ!W1400</f>
        <v>6.6.2(9)</v>
      </c>
      <c r="J1400" s="233" t="str">
        <f>РПЗ!X1400</f>
        <v>5056004905</v>
      </c>
      <c r="K1400" s="283">
        <f>РПЗ!Z1400</f>
        <v>568669.16</v>
      </c>
      <c r="L1400" s="17">
        <v>43034</v>
      </c>
      <c r="M1400" s="18">
        <f>РПЗ!O1400</f>
        <v>43009.625</v>
      </c>
      <c r="N1400" s="238">
        <f>Таблица5[[#This Row],[10]]</f>
        <v>43009.625</v>
      </c>
      <c r="O1400" s="17"/>
      <c r="P1400" s="17"/>
      <c r="Q1400" s="17"/>
      <c r="R1400" s="17"/>
      <c r="S1400" s="17"/>
      <c r="T1400" s="686">
        <v>43042</v>
      </c>
      <c r="U1400" s="18">
        <f>РПЗ!P1400</f>
        <v>43040.625</v>
      </c>
      <c r="V1400" s="686">
        <v>43070</v>
      </c>
      <c r="W1400" s="236">
        <f>РПЗ!L1400</f>
        <v>568669.16</v>
      </c>
      <c r="X1400" s="689">
        <v>1</v>
      </c>
      <c r="Y1400" s="689">
        <v>0</v>
      </c>
      <c r="Z1400" s="691">
        <v>5056004905</v>
      </c>
      <c r="AA1400" s="691" t="s">
        <v>5968</v>
      </c>
      <c r="AB1400" s="111">
        <v>568669.16</v>
      </c>
      <c r="AC1400" s="17">
        <v>43070</v>
      </c>
      <c r="AD1400" s="690" t="s">
        <v>8063</v>
      </c>
      <c r="AE1400" s="686">
        <v>43042</v>
      </c>
      <c r="AF1400" s="474"/>
      <c r="AG1400" s="692">
        <v>568669.16</v>
      </c>
      <c r="AH1400" s="236">
        <f>IF(Таблица5[[#This Row],[30]]=0,"НД",Таблица5[[#This Row],[20]]-Таблица5[[#This Row],[30]])</f>
        <v>0</v>
      </c>
      <c r="AI1400" s="511">
        <f>IF(((1-Таблица5[[#This Row],[30]]/Таблица5[[#This Row],[20]])=1),"НД",(1-Таблица5[[#This Row],[30]]/Таблица5[[#This Row],[20]]))</f>
        <v>0</v>
      </c>
      <c r="AJ1400" s="111"/>
      <c r="AK1400" s="111"/>
      <c r="AL1400" s="512"/>
      <c r="AM1400" s="513" t="s">
        <v>113</v>
      </c>
      <c r="AN1400" s="801">
        <v>31705678145</v>
      </c>
      <c r="AO1400" s="468" t="str">
        <f>РПЗ!AD1400</f>
        <v>Нет</v>
      </c>
      <c r="AP1400" s="472" t="str">
        <f>РПЗ!V1400</f>
        <v>ГОЗ</v>
      </c>
      <c r="AQ1400" s="470">
        <f>IF(Таблица5[[#This Row],[11]]=0,,MONTH(Таблица5[[#This Row],[11]]))</f>
        <v>10</v>
      </c>
    </row>
    <row r="1401" spans="1:43" ht="51" x14ac:dyDescent="0.25">
      <c r="A1401" s="233" t="str">
        <f t="shared" si="22"/>
        <v>1004-2017-1386</v>
      </c>
      <c r="B1401" s="233" t="str">
        <f>РПЗ!$D1401</f>
        <v xml:space="preserve">1004-2017-1386 Поставка Электротехнические изделия </v>
      </c>
      <c r="C1401" s="233" t="str">
        <f>РПЗ!$AA1401</f>
        <v>АО "НИИ "Полюс" им. М.Ф. Стельмаха" тел. отдела закупок 8-495-333-05-02</v>
      </c>
      <c r="D1401" s="633" t="str">
        <f>РПЗ!$AB1401</f>
        <v>Заказчик</v>
      </c>
      <c r="E1401" s="510" t="s">
        <v>62</v>
      </c>
      <c r="F1401" s="233" t="str">
        <f>РПЗ!Q1401</f>
        <v>ОЗК</v>
      </c>
      <c r="G1401" s="237" t="str">
        <f>Таблица5[[#This Row],[6]]</f>
        <v>ОЗК</v>
      </c>
      <c r="H1401" s="237" t="str">
        <f>РПЗ!R1401</f>
        <v>Да</v>
      </c>
      <c r="I1401" s="15">
        <f>РПЗ!W1401</f>
        <v>0</v>
      </c>
      <c r="J1401" s="233">
        <f>РПЗ!X1401</f>
        <v>0</v>
      </c>
      <c r="K1401" s="283">
        <f>РПЗ!Z1401</f>
        <v>0</v>
      </c>
      <c r="L1401" s="17">
        <v>43026</v>
      </c>
      <c r="M1401" s="18">
        <f>РПЗ!O1401</f>
        <v>43009.625</v>
      </c>
      <c r="N1401" s="238">
        <f>Таблица5[[#This Row],[10]]</f>
        <v>43009.625</v>
      </c>
      <c r="O1401" s="17">
        <v>43032</v>
      </c>
      <c r="P1401" s="17">
        <v>43038</v>
      </c>
      <c r="Q1401" s="17">
        <v>43038</v>
      </c>
      <c r="R1401" s="17">
        <v>43033</v>
      </c>
      <c r="S1401" s="17">
        <v>43033</v>
      </c>
      <c r="T1401" s="686">
        <v>43046</v>
      </c>
      <c r="U1401" s="18">
        <f>РПЗ!P1401</f>
        <v>43040.625</v>
      </c>
      <c r="V1401" s="686">
        <v>43069</v>
      </c>
      <c r="W1401" s="236">
        <f>РПЗ!L1401</f>
        <v>210007.29</v>
      </c>
      <c r="X1401" s="689">
        <v>6</v>
      </c>
      <c r="Y1401" s="689">
        <v>0</v>
      </c>
      <c r="Z1401" s="691">
        <v>7720248167</v>
      </c>
      <c r="AA1401" s="691" t="s">
        <v>6820</v>
      </c>
      <c r="AB1401" s="111">
        <v>159273.03</v>
      </c>
      <c r="AC1401" s="17">
        <v>43069</v>
      </c>
      <c r="AD1401" s="690" t="s">
        <v>8182</v>
      </c>
      <c r="AE1401" s="686">
        <v>43046</v>
      </c>
      <c r="AF1401" s="474"/>
      <c r="AG1401" s="692">
        <v>159273.03</v>
      </c>
      <c r="AH1401" s="236">
        <f>IF(Таблица5[[#This Row],[30]]=0,"НД",Таблица5[[#This Row],[20]]-Таблица5[[#This Row],[30]])</f>
        <v>50734.260000000009</v>
      </c>
      <c r="AI1401" s="511">
        <f>IF(((1-Таблица5[[#This Row],[30]]/Таблица5[[#This Row],[20]])=1),"НД",(1-Таблица5[[#This Row],[30]]/Таблица5[[#This Row],[20]]))</f>
        <v>0.24158332789304604</v>
      </c>
      <c r="AJ1401" s="111"/>
      <c r="AK1401" s="111">
        <v>159273.03</v>
      </c>
      <c r="AL1401" s="512"/>
      <c r="AM1401" s="513" t="s">
        <v>113</v>
      </c>
      <c r="AN1401" s="801">
        <v>31705635577</v>
      </c>
      <c r="AO1401" s="468" t="str">
        <f>РПЗ!AD1401</f>
        <v>Нет</v>
      </c>
      <c r="AP1401" s="472">
        <f>РПЗ!V1401</f>
        <v>0</v>
      </c>
      <c r="AQ1401" s="470">
        <f>IF(Таблица5[[#This Row],[11]]=0,,MONTH(Таблица5[[#This Row],[11]]))</f>
        <v>10</v>
      </c>
    </row>
    <row r="1402" spans="1:43" ht="153" x14ac:dyDescent="0.25">
      <c r="A1402" s="233" t="str">
        <f t="shared" si="22"/>
        <v>1004-2017-1387</v>
      </c>
      <c r="B1402" s="233" t="str">
        <f>РПЗ!$D1402</f>
        <v>1004-2017-1387Научно-исследовательская экспериментальная работа «Разработка и экспериментальное подтверждение принципов построения мобильного лазерного комплекса с малоразмерными беспилотными летательными аппаратами. Экспериментальное подтверждение ключевых технических решений создания комплекса» Шифр «Комплекс – 1».</v>
      </c>
      <c r="C1402" s="233" t="str">
        <f>РПЗ!$AA1402</f>
        <v>АО "НИИ "Полюс" им. М.Ф. Стельмаха" тел. отдела закупок 8-495-333-05-02</v>
      </c>
      <c r="D1402" s="633" t="str">
        <f>РПЗ!$AB1402</f>
        <v>Заказчик</v>
      </c>
      <c r="E1402" s="510" t="s">
        <v>62</v>
      </c>
      <c r="F1402" s="233" t="str">
        <f>РПЗ!Q1402</f>
        <v>ОЗП</v>
      </c>
      <c r="G1402" s="237" t="str">
        <f>Таблица5[[#This Row],[6]]</f>
        <v>ОЗП</v>
      </c>
      <c r="H1402" s="237" t="str">
        <f>РПЗ!R1402</f>
        <v>Да</v>
      </c>
      <c r="I1402" s="15">
        <f>РПЗ!W1402</f>
        <v>0</v>
      </c>
      <c r="J1402" s="233">
        <f>РПЗ!X1402</f>
        <v>0</v>
      </c>
      <c r="K1402" s="283">
        <f>РПЗ!Z1402</f>
        <v>0</v>
      </c>
      <c r="L1402" s="17">
        <v>43028</v>
      </c>
      <c r="M1402" s="18">
        <f>РПЗ!O1402</f>
        <v>43009.625</v>
      </c>
      <c r="N1402" s="238">
        <f>Таблица5[[#This Row],[10]]</f>
        <v>43009.625</v>
      </c>
      <c r="O1402" s="17">
        <v>43039</v>
      </c>
      <c r="P1402" s="17">
        <v>43042</v>
      </c>
      <c r="Q1402" s="17">
        <v>43042</v>
      </c>
      <c r="R1402" s="17">
        <v>43046</v>
      </c>
      <c r="S1402" s="17">
        <v>43046</v>
      </c>
      <c r="T1402" s="686">
        <v>43049</v>
      </c>
      <c r="U1402" s="18">
        <f>РПЗ!P1402</f>
        <v>43070.625</v>
      </c>
      <c r="V1402" s="686">
        <v>43100</v>
      </c>
      <c r="W1402" s="236">
        <f>РПЗ!L1402</f>
        <v>9700000</v>
      </c>
      <c r="X1402" s="689">
        <v>1</v>
      </c>
      <c r="Y1402" s="689">
        <v>0</v>
      </c>
      <c r="Z1402" s="691">
        <v>7733759899</v>
      </c>
      <c r="AA1402" s="691" t="s">
        <v>8194</v>
      </c>
      <c r="AB1402" s="111">
        <v>9678000</v>
      </c>
      <c r="AC1402" s="17">
        <v>43100</v>
      </c>
      <c r="AD1402" s="690" t="s">
        <v>8206</v>
      </c>
      <c r="AE1402" s="686">
        <v>43049</v>
      </c>
      <c r="AF1402" s="474"/>
      <c r="AG1402" s="692">
        <v>9678000</v>
      </c>
      <c r="AH1402" s="236">
        <f>IF(Таблица5[[#This Row],[30]]=0,"НД",Таблица5[[#This Row],[20]]-Таблица5[[#This Row],[30]])</f>
        <v>22000</v>
      </c>
      <c r="AI1402" s="511">
        <f>IF(((1-Таблица5[[#This Row],[30]]/Таблица5[[#This Row],[20]])=1),"НД",(1-Таблица5[[#This Row],[30]]/Таблица5[[#This Row],[20]]))</f>
        <v>2.2680412371134384E-3</v>
      </c>
      <c r="AJ1402" s="111"/>
      <c r="AK1402" s="111"/>
      <c r="AL1402" s="512"/>
      <c r="AM1402" s="513" t="s">
        <v>113</v>
      </c>
      <c r="AN1402" s="801">
        <v>31705646284</v>
      </c>
      <c r="AO1402" s="468" t="str">
        <f>РПЗ!AD1402</f>
        <v>Нет</v>
      </c>
      <c r="AP1402" s="472">
        <f>РПЗ!V1402</f>
        <v>0</v>
      </c>
      <c r="AQ1402" s="470">
        <f>IF(Таблица5[[#This Row],[11]]=0,,MONTH(Таблица5[[#This Row],[11]]))</f>
        <v>10</v>
      </c>
    </row>
    <row r="1403" spans="1:43" ht="38.25" x14ac:dyDescent="0.25">
      <c r="A1403" s="233" t="str">
        <f t="shared" si="22"/>
        <v>1004-2017-1388</v>
      </c>
      <c r="B1403" s="233" t="str">
        <f>РПЗ!$D1403</f>
        <v>1004-2017-1388 Поставка  вилки,розетки</v>
      </c>
      <c r="C1403" s="233" t="str">
        <f>РПЗ!$AA1403</f>
        <v>АО "НИИ "Полюс" им. М.Ф. Стельмаха" тел. отдела закупок 8-495-333-05-02</v>
      </c>
      <c r="D1403" s="633" t="str">
        <f>РПЗ!$AB1403</f>
        <v>Заказчик</v>
      </c>
      <c r="E1403" s="510" t="s">
        <v>62</v>
      </c>
      <c r="F1403" s="233" t="str">
        <f>РПЗ!Q1403</f>
        <v>ЕП</v>
      </c>
      <c r="G1403" s="237" t="str">
        <f>Таблица5[[#This Row],[6]]</f>
        <v>ЕП</v>
      </c>
      <c r="H1403" s="237" t="str">
        <f>РПЗ!R1403</f>
        <v>Нет</v>
      </c>
      <c r="I1403" s="15" t="str">
        <f>РПЗ!W1403</f>
        <v>6.6.2(10)</v>
      </c>
      <c r="J1403" s="233" t="str">
        <f>РПЗ!X1403</f>
        <v>2607000333</v>
      </c>
      <c r="K1403" s="283">
        <f>РПЗ!Z1403</f>
        <v>143691.79</v>
      </c>
      <c r="L1403" s="17">
        <v>43019</v>
      </c>
      <c r="M1403" s="18">
        <f>РПЗ!O1403</f>
        <v>43009.625</v>
      </c>
      <c r="N1403" s="238">
        <f>Таблица5[[#This Row],[10]]</f>
        <v>43009.625</v>
      </c>
      <c r="O1403" s="17"/>
      <c r="P1403" s="17"/>
      <c r="Q1403" s="17"/>
      <c r="R1403" s="17"/>
      <c r="S1403" s="17"/>
      <c r="T1403" s="686">
        <v>43039</v>
      </c>
      <c r="U1403" s="18">
        <f>РПЗ!P1403</f>
        <v>43070.625</v>
      </c>
      <c r="V1403" s="686">
        <v>43100</v>
      </c>
      <c r="W1403" s="236">
        <f>РПЗ!L1403</f>
        <v>143691.79</v>
      </c>
      <c r="X1403" s="689">
        <v>1</v>
      </c>
      <c r="Y1403" s="689">
        <v>0</v>
      </c>
      <c r="Z1403" s="691">
        <v>2607000333</v>
      </c>
      <c r="AA1403" s="691" t="s">
        <v>3312</v>
      </c>
      <c r="AB1403" s="111">
        <v>143691.79</v>
      </c>
      <c r="AC1403" s="17">
        <v>43100</v>
      </c>
      <c r="AD1403" s="690" t="s">
        <v>7666</v>
      </c>
      <c r="AE1403" s="686">
        <v>43039</v>
      </c>
      <c r="AF1403" s="474"/>
      <c r="AG1403" s="692">
        <v>143691.79</v>
      </c>
      <c r="AH1403" s="236">
        <f>IF(Таблица5[[#This Row],[30]]=0,"НД",Таблица5[[#This Row],[20]]-Таблица5[[#This Row],[30]])</f>
        <v>0</v>
      </c>
      <c r="AI1403" s="511">
        <f>IF(((1-Таблица5[[#This Row],[30]]/Таблица5[[#This Row],[20]])=1),"НД",(1-Таблица5[[#This Row],[30]]/Таблица5[[#This Row],[20]]))</f>
        <v>0</v>
      </c>
      <c r="AJ1403" s="111"/>
      <c r="AK1403" s="111"/>
      <c r="AL1403" s="512"/>
      <c r="AM1403" s="513" t="s">
        <v>113</v>
      </c>
      <c r="AN1403" s="801">
        <v>31705666308</v>
      </c>
      <c r="AO1403" s="468" t="str">
        <f>РПЗ!AD1403</f>
        <v>Нет</v>
      </c>
      <c r="AP1403" s="472" t="str">
        <f>РПЗ!V1403</f>
        <v>ГОЗ</v>
      </c>
      <c r="AQ1403" s="470">
        <f>IF(Таблица5[[#This Row],[11]]=0,,MONTH(Таблица5[[#This Row],[11]]))</f>
        <v>10</v>
      </c>
    </row>
    <row r="1404" spans="1:43" ht="38.25" x14ac:dyDescent="0.25">
      <c r="A1404" s="233" t="str">
        <f t="shared" si="22"/>
        <v>1004-2017-1389</v>
      </c>
      <c r="B1404" s="233" t="str">
        <f>РПЗ!$D1404</f>
        <v>1004-2017-1389 Поставка  Конденсаторы</v>
      </c>
      <c r="C1404" s="233" t="str">
        <f>РПЗ!$AA1404</f>
        <v>АО "НИИ "Полюс" им. М.Ф. Стельмаха" тел. отдела закупок 8-495-333-05-02</v>
      </c>
      <c r="D1404" s="633" t="str">
        <f>РПЗ!$AB1404</f>
        <v>Заказчик</v>
      </c>
      <c r="E1404" s="510" t="s">
        <v>62</v>
      </c>
      <c r="F1404" s="233" t="str">
        <f>РПЗ!Q1404</f>
        <v>ЕП</v>
      </c>
      <c r="G1404" s="237" t="str">
        <f>Таблица5[[#This Row],[6]]</f>
        <v>ЕП</v>
      </c>
      <c r="H1404" s="237" t="str">
        <f>РПЗ!R1404</f>
        <v>Нет</v>
      </c>
      <c r="I1404" s="15" t="str">
        <f>РПЗ!W1404</f>
        <v>6.6.2(10)</v>
      </c>
      <c r="J1404" s="233" t="str">
        <f>РПЗ!X1404</f>
        <v>7802005951</v>
      </c>
      <c r="K1404" s="283">
        <f>РПЗ!Z1404</f>
        <v>265368.69</v>
      </c>
      <c r="L1404" s="17">
        <v>43028</v>
      </c>
      <c r="M1404" s="18">
        <f>РПЗ!O1404</f>
        <v>43009.625</v>
      </c>
      <c r="N1404" s="238">
        <f>Таблица5[[#This Row],[10]]</f>
        <v>43009.625</v>
      </c>
      <c r="O1404" s="17"/>
      <c r="P1404" s="17"/>
      <c r="Q1404" s="17"/>
      <c r="R1404" s="17"/>
      <c r="S1404" s="17"/>
      <c r="T1404" s="686">
        <v>43034</v>
      </c>
      <c r="U1404" s="18">
        <f>РПЗ!P1404</f>
        <v>43070.625</v>
      </c>
      <c r="V1404" s="686">
        <v>43190</v>
      </c>
      <c r="W1404" s="236">
        <f>РПЗ!L1404</f>
        <v>265368.69</v>
      </c>
      <c r="X1404" s="689">
        <v>1</v>
      </c>
      <c r="Y1404" s="689">
        <v>0</v>
      </c>
      <c r="Z1404" s="691">
        <v>7802005951</v>
      </c>
      <c r="AA1404" s="691" t="s">
        <v>3104</v>
      </c>
      <c r="AB1404" s="111">
        <v>265368.69</v>
      </c>
      <c r="AC1404" s="17">
        <v>43190</v>
      </c>
      <c r="AD1404" s="690" t="s">
        <v>7686</v>
      </c>
      <c r="AE1404" s="686">
        <v>43034</v>
      </c>
      <c r="AF1404" s="474"/>
      <c r="AG1404" s="692">
        <v>265368.69</v>
      </c>
      <c r="AH1404" s="236">
        <f>IF(Таблица5[[#This Row],[30]]=0,"НД",Таблица5[[#This Row],[20]]-Таблица5[[#This Row],[30]])</f>
        <v>0</v>
      </c>
      <c r="AI1404" s="511">
        <f>IF(((1-Таблица5[[#This Row],[30]]/Таблица5[[#This Row],[20]])=1),"НД",(1-Таблица5[[#This Row],[30]]/Таблица5[[#This Row],[20]]))</f>
        <v>0</v>
      </c>
      <c r="AJ1404" s="111"/>
      <c r="AK1404" s="111"/>
      <c r="AL1404" s="512"/>
      <c r="AM1404" s="513" t="s">
        <v>113</v>
      </c>
      <c r="AN1404" s="801">
        <v>31705659731</v>
      </c>
      <c r="AO1404" s="468" t="str">
        <f>РПЗ!AD1404</f>
        <v>Нет</v>
      </c>
      <c r="AP1404" s="472" t="str">
        <f>РПЗ!V1404</f>
        <v>ГОЗ</v>
      </c>
      <c r="AQ1404" s="470">
        <f>IF(Таблица5[[#This Row],[11]]=0,,MONTH(Таблица5[[#This Row],[11]]))</f>
        <v>10</v>
      </c>
    </row>
    <row r="1405" spans="1:43" ht="38.25" x14ac:dyDescent="0.25">
      <c r="A1405" s="233" t="str">
        <f t="shared" si="22"/>
        <v>1004-2017-1390</v>
      </c>
      <c r="B1405" s="233" t="str">
        <f>РПЗ!$D1405</f>
        <v>1004-2017-1390 Поставка  Конденсаторы</v>
      </c>
      <c r="C1405" s="233" t="str">
        <f>РПЗ!$AA1405</f>
        <v>АО "НИИ "Полюс" им. М.Ф. Стельмаха" тел. отдела закупок 8-495-333-05-02</v>
      </c>
      <c r="D1405" s="633" t="str">
        <f>РПЗ!$AB1405</f>
        <v>Заказчик</v>
      </c>
      <c r="E1405" s="510" t="s">
        <v>62</v>
      </c>
      <c r="F1405" s="233" t="str">
        <f>РПЗ!Q1405</f>
        <v>ЕП</v>
      </c>
      <c r="G1405" s="237" t="str">
        <f>Таблица5[[#This Row],[6]]</f>
        <v>ЕП</v>
      </c>
      <c r="H1405" s="237" t="str">
        <f>РПЗ!R1405</f>
        <v>Нет</v>
      </c>
      <c r="I1405" s="15" t="str">
        <f>РПЗ!W1405</f>
        <v>6.6.2(10)</v>
      </c>
      <c r="J1405" s="233" t="str">
        <f>РПЗ!X1405</f>
        <v>1827003592</v>
      </c>
      <c r="K1405" s="283">
        <f>РПЗ!Z1405</f>
        <v>0</v>
      </c>
      <c r="L1405" s="17">
        <v>43046</v>
      </c>
      <c r="M1405" s="18">
        <f>РПЗ!O1405</f>
        <v>43040.625</v>
      </c>
      <c r="N1405" s="238">
        <f>Таблица5[[#This Row],[10]]</f>
        <v>43040.625</v>
      </c>
      <c r="O1405" s="17"/>
      <c r="P1405" s="17"/>
      <c r="Q1405" s="17"/>
      <c r="R1405" s="17"/>
      <c r="S1405" s="17"/>
      <c r="T1405" s="686">
        <v>43084</v>
      </c>
      <c r="U1405" s="18">
        <f>РПЗ!P1405</f>
        <v>43070.625</v>
      </c>
      <c r="V1405" s="686">
        <v>43070</v>
      </c>
      <c r="W1405" s="236">
        <f>РПЗ!L1405</f>
        <v>278115.55</v>
      </c>
      <c r="X1405" s="689">
        <v>1</v>
      </c>
      <c r="Y1405" s="689">
        <v>0</v>
      </c>
      <c r="Z1405" s="691">
        <v>1827003592</v>
      </c>
      <c r="AA1405" s="691" t="s">
        <v>3078</v>
      </c>
      <c r="AB1405" s="111">
        <v>278115.55</v>
      </c>
      <c r="AC1405" s="17">
        <v>43070</v>
      </c>
      <c r="AD1405" s="690" t="s">
        <v>120</v>
      </c>
      <c r="AE1405" s="686">
        <v>43084</v>
      </c>
      <c r="AF1405" s="474"/>
      <c r="AG1405" s="692">
        <v>278115.55</v>
      </c>
      <c r="AH1405" s="236">
        <f>IF(Таблица5[[#This Row],[30]]=0,"НД",Таблица5[[#This Row],[20]]-Таблица5[[#This Row],[30]])</f>
        <v>0</v>
      </c>
      <c r="AI1405" s="511">
        <f>IF(((1-Таблица5[[#This Row],[30]]/Таблица5[[#This Row],[20]])=1),"НД",(1-Таблица5[[#This Row],[30]]/Таблица5[[#This Row],[20]]))</f>
        <v>0</v>
      </c>
      <c r="AJ1405" s="111"/>
      <c r="AK1405" s="111"/>
      <c r="AL1405" s="512"/>
      <c r="AM1405" s="513" t="s">
        <v>113</v>
      </c>
      <c r="AN1405" s="801">
        <v>31705726154</v>
      </c>
      <c r="AO1405" s="468" t="str">
        <f>РПЗ!AD1405</f>
        <v>Нет</v>
      </c>
      <c r="AP1405" s="472" t="str">
        <f>РПЗ!V1405</f>
        <v>ГОЗ</v>
      </c>
      <c r="AQ1405" s="470">
        <f>IF(Таблица5[[#This Row],[11]]=0,,MONTH(Таблица5[[#This Row],[11]]))</f>
        <v>11</v>
      </c>
    </row>
    <row r="1406" spans="1:43" ht="38.25" x14ac:dyDescent="0.25">
      <c r="A1406" s="233" t="str">
        <f t="shared" si="22"/>
        <v>1004-2017-1391</v>
      </c>
      <c r="B1406" s="233" t="str">
        <f>РПЗ!$D1406</f>
        <v>1004-2017-1391 Поставка  Конденсаторы</v>
      </c>
      <c r="C1406" s="233" t="str">
        <f>РПЗ!$AA1406</f>
        <v>АО "НИИ "Полюс" им. М.Ф. Стельмаха" тел. отдела закупок 8-495-333-05-02</v>
      </c>
      <c r="D1406" s="633" t="str">
        <f>РПЗ!$AB1406</f>
        <v>Заказчик</v>
      </c>
      <c r="E1406" s="510" t="s">
        <v>62</v>
      </c>
      <c r="F1406" s="233" t="str">
        <f>РПЗ!Q1406</f>
        <v>ЕП</v>
      </c>
      <c r="G1406" s="237" t="str">
        <f>Таблица5[[#This Row],[6]]</f>
        <v>ЕП</v>
      </c>
      <c r="H1406" s="237" t="str">
        <f>РПЗ!R1406</f>
        <v>Нет</v>
      </c>
      <c r="I1406" s="15" t="str">
        <f>РПЗ!W1406</f>
        <v>6.6.2(10)</v>
      </c>
      <c r="J1406" s="233" t="str">
        <f>РПЗ!X1406</f>
        <v>1827003592</v>
      </c>
      <c r="K1406" s="283">
        <f>РПЗ!Z1406</f>
        <v>601541.98</v>
      </c>
      <c r="L1406" s="17">
        <v>43041</v>
      </c>
      <c r="M1406" s="18">
        <f>РПЗ!O1406</f>
        <v>43040.625</v>
      </c>
      <c r="N1406" s="238">
        <f>Таблица5[[#This Row],[10]]</f>
        <v>43040.625</v>
      </c>
      <c r="O1406" s="17"/>
      <c r="P1406" s="17"/>
      <c r="Q1406" s="17"/>
      <c r="R1406" s="17"/>
      <c r="S1406" s="17"/>
      <c r="T1406" s="686">
        <v>43084</v>
      </c>
      <c r="U1406" s="18">
        <f>РПЗ!P1406</f>
        <v>43070.625</v>
      </c>
      <c r="V1406" s="686">
        <v>43070</v>
      </c>
      <c r="W1406" s="236">
        <f>РПЗ!L1406</f>
        <v>601541.98</v>
      </c>
      <c r="X1406" s="689">
        <v>1</v>
      </c>
      <c r="Y1406" s="689">
        <v>0</v>
      </c>
      <c r="Z1406" s="691">
        <v>1827003592</v>
      </c>
      <c r="AA1406" s="691" t="s">
        <v>3078</v>
      </c>
      <c r="AB1406" s="111">
        <v>601541.98</v>
      </c>
      <c r="AC1406" s="17">
        <v>43070</v>
      </c>
      <c r="AD1406" s="690" t="s">
        <v>7666</v>
      </c>
      <c r="AE1406" s="686">
        <v>43084</v>
      </c>
      <c r="AF1406" s="474"/>
      <c r="AG1406" s="692">
        <v>601541.98</v>
      </c>
      <c r="AH1406" s="236">
        <f>IF(Таблица5[[#This Row],[30]]=0,"НД",Таблица5[[#This Row],[20]]-Таблица5[[#This Row],[30]])</f>
        <v>0</v>
      </c>
      <c r="AI1406" s="511">
        <f>IF(((1-Таблица5[[#This Row],[30]]/Таблица5[[#This Row],[20]])=1),"НД",(1-Таблица5[[#This Row],[30]]/Таблица5[[#This Row],[20]]))</f>
        <v>0</v>
      </c>
      <c r="AJ1406" s="111"/>
      <c r="AK1406" s="111"/>
      <c r="AL1406" s="512"/>
      <c r="AM1406" s="513" t="s">
        <v>113</v>
      </c>
      <c r="AN1406" s="801">
        <v>31705712441</v>
      </c>
      <c r="AO1406" s="468" t="str">
        <f>РПЗ!AD1406</f>
        <v>Нет</v>
      </c>
      <c r="AP1406" s="472" t="str">
        <f>РПЗ!V1406</f>
        <v>ГОЗ</v>
      </c>
      <c r="AQ1406" s="470">
        <f>IF(Таблица5[[#This Row],[11]]=0,,MONTH(Таблица5[[#This Row],[11]]))</f>
        <v>11</v>
      </c>
    </row>
    <row r="1407" spans="1:43" ht="38.25" x14ac:dyDescent="0.25">
      <c r="A1407" s="233" t="str">
        <f t="shared" si="22"/>
        <v>1004-2017-1392</v>
      </c>
      <c r="B1407" s="233" t="str">
        <f>РПЗ!$D1407</f>
        <v>1004-2017-1392 Поставка термоусадочной трубки СТТК 140/42 (3:1) черной с клеем</v>
      </c>
      <c r="C1407" s="233" t="str">
        <f>РПЗ!$AA1407</f>
        <v>АО "НИИ "Полюс" им. М.Ф. Стельмаха" тел. отдела закупок 8-495-333-05-02</v>
      </c>
      <c r="D1407" s="633" t="str">
        <f>РПЗ!$AB1407</f>
        <v>Заказчик</v>
      </c>
      <c r="E1407" s="510" t="s">
        <v>59</v>
      </c>
      <c r="F1407" s="233" t="str">
        <f>РПЗ!Q1407</f>
        <v>ОЗК</v>
      </c>
      <c r="G1407" s="237" t="str">
        <f>Таблица5[[#This Row],[6]]</f>
        <v>ОЗК</v>
      </c>
      <c r="H1407" s="237" t="str">
        <f>РПЗ!R1407</f>
        <v>Да</v>
      </c>
      <c r="I1407" s="15">
        <f>РПЗ!W1407</f>
        <v>0</v>
      </c>
      <c r="J1407" s="233">
        <f>РПЗ!X1407</f>
        <v>0</v>
      </c>
      <c r="K1407" s="283">
        <f>РПЗ!Z1407</f>
        <v>0</v>
      </c>
      <c r="L1407" s="17">
        <v>43040</v>
      </c>
      <c r="M1407" s="18">
        <f>РПЗ!O1407</f>
        <v>43040.625</v>
      </c>
      <c r="N1407" s="238">
        <f>Таблица5[[#This Row],[10]]</f>
        <v>43040.625</v>
      </c>
      <c r="O1407" s="17">
        <v>43047</v>
      </c>
      <c r="P1407" s="17">
        <v>43052</v>
      </c>
      <c r="Q1407" s="17">
        <v>43052</v>
      </c>
      <c r="R1407" s="17">
        <v>43052</v>
      </c>
      <c r="S1407" s="17">
        <v>43052</v>
      </c>
      <c r="T1407" s="686"/>
      <c r="U1407" s="18">
        <f>РПЗ!P1407</f>
        <v>43070.625</v>
      </c>
      <c r="V1407" s="686"/>
      <c r="W1407" s="236">
        <f>РПЗ!L1407</f>
        <v>179028.65</v>
      </c>
      <c r="X1407" s="689">
        <v>0</v>
      </c>
      <c r="Y1407" s="689">
        <v>0</v>
      </c>
      <c r="Z1407" s="690"/>
      <c r="AA1407" s="691"/>
      <c r="AB1407" s="111"/>
      <c r="AC1407" s="17"/>
      <c r="AD1407" s="690"/>
      <c r="AE1407" s="686"/>
      <c r="AF1407" s="474"/>
      <c r="AG1407" s="692"/>
      <c r="AH1407" s="236" t="str">
        <f>IF(Таблица5[[#This Row],[30]]=0,"НД",Таблица5[[#This Row],[20]]-Таблица5[[#This Row],[30]])</f>
        <v>НД</v>
      </c>
      <c r="AI1407" s="511" t="str">
        <f>IF(((1-Таблица5[[#This Row],[30]]/Таблица5[[#This Row],[20]])=1),"НД",(1-Таблица5[[#This Row],[30]]/Таблица5[[#This Row],[20]]))</f>
        <v>НД</v>
      </c>
      <c r="AJ1407" s="111"/>
      <c r="AK1407" s="111"/>
      <c r="AL1407" s="512"/>
      <c r="AM1407" s="513" t="s">
        <v>113</v>
      </c>
      <c r="AN1407" s="801" t="s">
        <v>8225</v>
      </c>
      <c r="AO1407" s="468" t="str">
        <f>РПЗ!AD1407</f>
        <v>Нет</v>
      </c>
      <c r="AP1407" s="472">
        <f>РПЗ!V1407</f>
        <v>0</v>
      </c>
      <c r="AQ1407" s="470">
        <f>IF(Таблица5[[#This Row],[11]]=0,,MONTH(Таблица5[[#This Row],[11]]))</f>
        <v>11</v>
      </c>
    </row>
    <row r="1408" spans="1:43" ht="38.25" x14ac:dyDescent="0.25">
      <c r="A1408" s="233" t="str">
        <f t="shared" si="22"/>
        <v>1004-2017-1393</v>
      </c>
      <c r="B1408" s="233" t="str">
        <f>РПЗ!$D1408</f>
        <v>1004-2017-1393 Поставка жалюзи</v>
      </c>
      <c r="C1408" s="233" t="str">
        <f>РПЗ!$AA1408</f>
        <v>АО "НИИ "Полюс" им. М.Ф. Стельмаха" тел. отдела закупок 8-495-333-05-02</v>
      </c>
      <c r="D1408" s="633" t="str">
        <f>РПЗ!$AB1408</f>
        <v>Заказчик</v>
      </c>
      <c r="E1408" s="510" t="s">
        <v>59</v>
      </c>
      <c r="F1408" s="233" t="str">
        <f>РПЗ!Q1408</f>
        <v>ОЗК</v>
      </c>
      <c r="G1408" s="237" t="str">
        <f>Таблица5[[#This Row],[6]]</f>
        <v>ОЗК</v>
      </c>
      <c r="H1408" s="237" t="str">
        <f>РПЗ!R1408</f>
        <v>Да</v>
      </c>
      <c r="I1408" s="15">
        <f>РПЗ!W1408</f>
        <v>0</v>
      </c>
      <c r="J1408" s="233">
        <f>РПЗ!X1408</f>
        <v>0</v>
      </c>
      <c r="K1408" s="283">
        <f>РПЗ!Z1408</f>
        <v>0</v>
      </c>
      <c r="L1408" s="17">
        <v>43039</v>
      </c>
      <c r="M1408" s="18">
        <f>РПЗ!O1408</f>
        <v>43009.625</v>
      </c>
      <c r="N1408" s="238">
        <f>Таблица5[[#This Row],[10]]</f>
        <v>43009.625</v>
      </c>
      <c r="O1408" s="17">
        <v>43046</v>
      </c>
      <c r="P1408" s="17">
        <v>43049</v>
      </c>
      <c r="Q1408" s="17">
        <v>43049</v>
      </c>
      <c r="R1408" s="17">
        <v>43046</v>
      </c>
      <c r="S1408" s="17">
        <v>43046</v>
      </c>
      <c r="T1408" s="686"/>
      <c r="U1408" s="18">
        <f>РПЗ!P1408</f>
        <v>43070.625</v>
      </c>
      <c r="V1408" s="686"/>
      <c r="W1408" s="236">
        <f>РПЗ!L1408</f>
        <v>55774.31</v>
      </c>
      <c r="X1408" s="689">
        <v>1</v>
      </c>
      <c r="Y1408" s="689">
        <v>1</v>
      </c>
      <c r="Z1408" s="690"/>
      <c r="AA1408" s="691"/>
      <c r="AB1408" s="111"/>
      <c r="AC1408" s="17"/>
      <c r="AD1408" s="690"/>
      <c r="AE1408" s="686"/>
      <c r="AF1408" s="474"/>
      <c r="AG1408" s="692"/>
      <c r="AH1408" s="236" t="str">
        <f>IF(Таблица5[[#This Row],[30]]=0,"НД",Таблица5[[#This Row],[20]]-Таблица5[[#This Row],[30]])</f>
        <v>НД</v>
      </c>
      <c r="AI1408" s="511" t="str">
        <f>IF(((1-Таблица5[[#This Row],[30]]/Таблица5[[#This Row],[20]])=1),"НД",(1-Таблица5[[#This Row],[30]]/Таблица5[[#This Row],[20]]))</f>
        <v>НД</v>
      </c>
      <c r="AJ1408" s="111"/>
      <c r="AK1408" s="111"/>
      <c r="AL1408" s="512"/>
      <c r="AM1408" s="513" t="s">
        <v>113</v>
      </c>
      <c r="AN1408" s="801">
        <v>31705684590</v>
      </c>
      <c r="AO1408" s="468" t="str">
        <f>РПЗ!AD1408</f>
        <v>Нет</v>
      </c>
      <c r="AP1408" s="472">
        <f>РПЗ!V1408</f>
        <v>0</v>
      </c>
      <c r="AQ1408" s="470">
        <f>IF(Таблица5[[#This Row],[11]]=0,,MONTH(Таблица5[[#This Row],[11]]))</f>
        <v>10</v>
      </c>
    </row>
    <row r="1409" spans="1:43" ht="38.25" x14ac:dyDescent="0.25">
      <c r="A1409" s="233" t="str">
        <f t="shared" si="22"/>
        <v>1004-2017-1394</v>
      </c>
      <c r="B1409" s="233" t="str">
        <f>РПЗ!$D1409</f>
        <v>1004-2017-1394 Поставка карточек учета документов и папок архивных с завязками</v>
      </c>
      <c r="C1409" s="233" t="str">
        <f>РПЗ!$AA1409</f>
        <v>АО "НИИ "Полюс" им. М.Ф. Стельмаха" тел. отдела закупок 8-495-333-05-02</v>
      </c>
      <c r="D1409" s="633" t="str">
        <f>РПЗ!$AB1409</f>
        <v>Заказчик</v>
      </c>
      <c r="E1409" s="510" t="s">
        <v>59</v>
      </c>
      <c r="F1409" s="233" t="str">
        <f>РПЗ!Q1409</f>
        <v>ОЗК</v>
      </c>
      <c r="G1409" s="237" t="str">
        <f>Таблица5[[#This Row],[6]]</f>
        <v>ОЗК</v>
      </c>
      <c r="H1409" s="237" t="str">
        <f>РПЗ!R1409</f>
        <v>Да</v>
      </c>
      <c r="I1409" s="15">
        <f>РПЗ!W1409</f>
        <v>0</v>
      </c>
      <c r="J1409" s="233">
        <f>РПЗ!X1409</f>
        <v>0</v>
      </c>
      <c r="K1409" s="283">
        <f>РПЗ!Z1409</f>
        <v>0</v>
      </c>
      <c r="L1409" s="17">
        <v>43039</v>
      </c>
      <c r="M1409" s="18">
        <f>РПЗ!O1409</f>
        <v>43009.625</v>
      </c>
      <c r="N1409" s="238">
        <f>Таблица5[[#This Row],[10]]</f>
        <v>43009.625</v>
      </c>
      <c r="O1409" s="17">
        <v>43046</v>
      </c>
      <c r="P1409" s="17">
        <v>43049</v>
      </c>
      <c r="Q1409" s="17">
        <v>43049</v>
      </c>
      <c r="R1409" s="17">
        <v>43049</v>
      </c>
      <c r="S1409" s="17">
        <v>43049</v>
      </c>
      <c r="T1409" s="686"/>
      <c r="U1409" s="18">
        <f>РПЗ!P1409</f>
        <v>43070.625</v>
      </c>
      <c r="V1409" s="686"/>
      <c r="W1409" s="236">
        <f>РПЗ!L1409</f>
        <v>133836.67000000001</v>
      </c>
      <c r="X1409" s="689">
        <v>0</v>
      </c>
      <c r="Y1409" s="689">
        <v>0</v>
      </c>
      <c r="Z1409" s="690"/>
      <c r="AA1409" s="691"/>
      <c r="AB1409" s="111"/>
      <c r="AC1409" s="17"/>
      <c r="AD1409" s="690"/>
      <c r="AE1409" s="686"/>
      <c r="AF1409" s="474"/>
      <c r="AG1409" s="692"/>
      <c r="AH1409" s="236" t="str">
        <f>IF(Таблица5[[#This Row],[30]]=0,"НД",Таблица5[[#This Row],[20]]-Таблица5[[#This Row],[30]])</f>
        <v>НД</v>
      </c>
      <c r="AI1409" s="511" t="str">
        <f>IF(((1-Таблица5[[#This Row],[30]]/Таблица5[[#This Row],[20]])=1),"НД",(1-Таблица5[[#This Row],[30]]/Таблица5[[#This Row],[20]]))</f>
        <v>НД</v>
      </c>
      <c r="AJ1409" s="111"/>
      <c r="AK1409" s="111"/>
      <c r="AL1409" s="512"/>
      <c r="AM1409" s="513" t="s">
        <v>113</v>
      </c>
      <c r="AN1409" s="801">
        <v>31705687558</v>
      </c>
      <c r="AO1409" s="468" t="str">
        <f>РПЗ!AD1409</f>
        <v>Нет</v>
      </c>
      <c r="AP1409" s="472">
        <f>РПЗ!V1409</f>
        <v>0</v>
      </c>
      <c r="AQ1409" s="470">
        <f>IF(Таблица5[[#This Row],[11]]=0,,MONTH(Таблица5[[#This Row],[11]]))</f>
        <v>10</v>
      </c>
    </row>
    <row r="1410" spans="1:43" ht="38.25" x14ac:dyDescent="0.25">
      <c r="A1410" s="233" t="str">
        <f t="shared" si="22"/>
        <v>1004-2017-1395</v>
      </c>
      <c r="B1410" s="233" t="str">
        <f>РПЗ!$D1410</f>
        <v>1004-2017-1395 Поставка Тепловизионного модуля IRidium II-640/МП/120/М</v>
      </c>
      <c r="C1410" s="233" t="str">
        <f>РПЗ!$AA1410</f>
        <v>АО "НИИ "Полюс" им. М.Ф. Стельмаха" тел. отдела закупок 8-495-333-05-02</v>
      </c>
      <c r="D1410" s="633" t="str">
        <f>РПЗ!$AB1410</f>
        <v>Заказчик</v>
      </c>
      <c r="E1410" s="510" t="s">
        <v>62</v>
      </c>
      <c r="F1410" s="233" t="str">
        <f>РПЗ!Q1410</f>
        <v>ЕП</v>
      </c>
      <c r="G1410" s="237" t="str">
        <f>Таблица5[[#This Row],[6]]</f>
        <v>ЕП</v>
      </c>
      <c r="H1410" s="237" t="str">
        <f>РПЗ!R1410</f>
        <v>Нет</v>
      </c>
      <c r="I1410" s="15" t="str">
        <f>РПЗ!W1410</f>
        <v>6.6.2(11)</v>
      </c>
      <c r="J1410" s="233" t="str">
        <f>РПЗ!X1410</f>
        <v>5027224977</v>
      </c>
      <c r="K1410" s="283">
        <f>РПЗ!Z1410</f>
        <v>551684</v>
      </c>
      <c r="L1410" s="17">
        <v>43026</v>
      </c>
      <c r="M1410" s="18">
        <f>РПЗ!O1410</f>
        <v>43009.625</v>
      </c>
      <c r="N1410" s="238">
        <f>Таблица5[[#This Row],[10]]</f>
        <v>43009.625</v>
      </c>
      <c r="O1410" s="17"/>
      <c r="P1410" s="17"/>
      <c r="Q1410" s="17"/>
      <c r="R1410" s="17"/>
      <c r="S1410" s="17"/>
      <c r="T1410" s="686">
        <v>43032</v>
      </c>
      <c r="U1410" s="18">
        <f>РПЗ!P1410</f>
        <v>43009.625</v>
      </c>
      <c r="V1410" s="686">
        <v>43100</v>
      </c>
      <c r="W1410" s="236">
        <f>РПЗ!L1410</f>
        <v>551684</v>
      </c>
      <c r="X1410" s="689">
        <v>1</v>
      </c>
      <c r="Y1410" s="689">
        <v>0</v>
      </c>
      <c r="Z1410" s="691">
        <v>5027224977</v>
      </c>
      <c r="AA1410" s="691" t="s">
        <v>7684</v>
      </c>
      <c r="AB1410" s="111">
        <v>551684</v>
      </c>
      <c r="AC1410" s="17">
        <v>43100</v>
      </c>
      <c r="AD1410" s="690" t="s">
        <v>7685</v>
      </c>
      <c r="AE1410" s="686">
        <v>43032</v>
      </c>
      <c r="AF1410" s="474"/>
      <c r="AG1410" s="692">
        <v>551684</v>
      </c>
      <c r="AH1410" s="236">
        <f>IF(Таблица5[[#This Row],[30]]=0,"НД",Таблица5[[#This Row],[20]]-Таблица5[[#This Row],[30]])</f>
        <v>0</v>
      </c>
      <c r="AI1410" s="511">
        <f>IF(((1-Таблица5[[#This Row],[30]]/Таблица5[[#This Row],[20]])=1),"НД",(1-Таблица5[[#This Row],[30]]/Таблица5[[#This Row],[20]]))</f>
        <v>0</v>
      </c>
      <c r="AJ1410" s="111"/>
      <c r="AK1410" s="111"/>
      <c r="AL1410" s="512"/>
      <c r="AM1410" s="513" t="s">
        <v>113</v>
      </c>
      <c r="AN1410" s="801">
        <v>31705649760</v>
      </c>
      <c r="AO1410" s="468" t="str">
        <f>РПЗ!AD1410</f>
        <v>Нет</v>
      </c>
      <c r="AP1410" s="472">
        <f>РПЗ!V1410</f>
        <v>0</v>
      </c>
      <c r="AQ1410" s="470">
        <f>IF(Таблица5[[#This Row],[11]]=0,,MONTH(Таблица5[[#This Row],[11]]))</f>
        <v>10</v>
      </c>
    </row>
    <row r="1411" spans="1:43" ht="38.25" x14ac:dyDescent="0.25">
      <c r="A1411" s="233" t="str">
        <f t="shared" si="22"/>
        <v>1004-2017-1396</v>
      </c>
      <c r="B1411" s="233" t="str">
        <f>РПЗ!$D1411</f>
        <v>1004-2017-1396 Поставка и монтаж окон из ПВХ профиля</v>
      </c>
      <c r="C1411" s="233" t="str">
        <f>РПЗ!$AA1411</f>
        <v>АО "НИИ "Полюс" им. М.Ф. Стельмаха" тел. отдела закупок 8-495-333-05-02</v>
      </c>
      <c r="D1411" s="633" t="str">
        <f>РПЗ!$AB1411</f>
        <v>Заказчик</v>
      </c>
      <c r="E1411" s="510" t="s">
        <v>59</v>
      </c>
      <c r="F1411" s="233" t="str">
        <f>РПЗ!Q1411</f>
        <v>ОЗК</v>
      </c>
      <c r="G1411" s="237" t="str">
        <f>Таблица5[[#This Row],[6]]</f>
        <v>ОЗК</v>
      </c>
      <c r="H1411" s="237" t="str">
        <f>РПЗ!R1411</f>
        <v>Да</v>
      </c>
      <c r="I1411" s="15">
        <f>РПЗ!W1411</f>
        <v>0</v>
      </c>
      <c r="J1411" s="233">
        <f>РПЗ!X1411</f>
        <v>0</v>
      </c>
      <c r="K1411" s="283">
        <f>РПЗ!Z1411</f>
        <v>0</v>
      </c>
      <c r="L1411" s="17">
        <v>43033</v>
      </c>
      <c r="M1411" s="18">
        <f>РПЗ!O1411</f>
        <v>43009.625</v>
      </c>
      <c r="N1411" s="238">
        <f>Таблица5[[#This Row],[10]]</f>
        <v>43009.625</v>
      </c>
      <c r="O1411" s="17">
        <v>43039</v>
      </c>
      <c r="P1411" s="17">
        <v>43042</v>
      </c>
      <c r="Q1411" s="17">
        <v>43042</v>
      </c>
      <c r="R1411" s="17">
        <v>43042</v>
      </c>
      <c r="S1411" s="17">
        <v>43042</v>
      </c>
      <c r="T1411" s="686"/>
      <c r="U1411" s="18">
        <f>РПЗ!P1411</f>
        <v>43070.625</v>
      </c>
      <c r="V1411" s="686"/>
      <c r="W1411" s="236">
        <f>РПЗ!L1411</f>
        <v>244190.84</v>
      </c>
      <c r="X1411" s="689">
        <v>0</v>
      </c>
      <c r="Y1411" s="689">
        <v>0</v>
      </c>
      <c r="Z1411" s="690"/>
      <c r="AA1411" s="691"/>
      <c r="AB1411" s="111"/>
      <c r="AC1411" s="17"/>
      <c r="AD1411" s="690"/>
      <c r="AE1411" s="686"/>
      <c r="AF1411" s="474"/>
      <c r="AG1411" s="692"/>
      <c r="AH1411" s="236" t="str">
        <f>IF(Таблица5[[#This Row],[30]]=0,"НД",Таблица5[[#This Row],[20]]-Таблица5[[#This Row],[30]])</f>
        <v>НД</v>
      </c>
      <c r="AI1411" s="511" t="str">
        <f>IF(((1-Таблица5[[#This Row],[30]]/Таблица5[[#This Row],[20]])=1),"НД",(1-Таблица5[[#This Row],[30]]/Таблица5[[#This Row],[20]]))</f>
        <v>НД</v>
      </c>
      <c r="AJ1411" s="111"/>
      <c r="AK1411" s="111"/>
      <c r="AL1411" s="512"/>
      <c r="AM1411" s="513" t="s">
        <v>113</v>
      </c>
      <c r="AN1411" s="801">
        <v>31705662433</v>
      </c>
      <c r="AO1411" s="468" t="str">
        <f>РПЗ!AD1411</f>
        <v>Нет</v>
      </c>
      <c r="AP1411" s="472">
        <f>РПЗ!V1411</f>
        <v>0</v>
      </c>
      <c r="AQ1411" s="470">
        <f>IF(Таблица5[[#This Row],[11]]=0,,MONTH(Таблица5[[#This Row],[11]]))</f>
        <v>10</v>
      </c>
    </row>
    <row r="1412" spans="1:43" ht="51" x14ac:dyDescent="0.25">
      <c r="A1412" s="233" t="str">
        <f t="shared" si="22"/>
        <v>1004-2017-1397</v>
      </c>
      <c r="B1412" s="233" t="str">
        <f>РПЗ!$D1412</f>
        <v>1004-2017-1397 Поставка  Крышка ет.8.050.477; Контактная пластина ВАНЕ.741221.001; Корпус ЖГДК.711314.001</v>
      </c>
      <c r="C1412" s="233" t="str">
        <f>РПЗ!$AA1412</f>
        <v>АО "НИИ "Полюс" им. М.Ф. Стельмаха" тел. отдела закупок 8-495-333-05-02</v>
      </c>
      <c r="D1412" s="633" t="str">
        <f>РПЗ!$AB1412</f>
        <v>Заказчик</v>
      </c>
      <c r="E1412" s="510" t="s">
        <v>62</v>
      </c>
      <c r="F1412" s="233" t="str">
        <f>РПЗ!Q1412</f>
        <v>ЕП</v>
      </c>
      <c r="G1412" s="237" t="str">
        <f>Таблица5[[#This Row],[6]]</f>
        <v>ЕП</v>
      </c>
      <c r="H1412" s="237" t="str">
        <f>РПЗ!R1412</f>
        <v>Нет</v>
      </c>
      <c r="I1412" s="15" t="str">
        <f>РПЗ!W1412</f>
        <v>6.6.2(11)</v>
      </c>
      <c r="J1412" s="233" t="str">
        <f>РПЗ!X1412</f>
        <v>7729746311</v>
      </c>
      <c r="K1412" s="283">
        <f>РПЗ!Z1412</f>
        <v>3786300</v>
      </c>
      <c r="L1412" s="17">
        <v>43060</v>
      </c>
      <c r="M1412" s="18">
        <f>РПЗ!O1412</f>
        <v>43040.625</v>
      </c>
      <c r="N1412" s="238">
        <f>Таблица5[[#This Row],[10]]</f>
        <v>43040.625</v>
      </c>
      <c r="O1412" s="17"/>
      <c r="P1412" s="17"/>
      <c r="Q1412" s="17"/>
      <c r="R1412" s="17"/>
      <c r="S1412" s="17"/>
      <c r="T1412" s="686">
        <v>43070</v>
      </c>
      <c r="U1412" s="18">
        <f>РПЗ!P1412</f>
        <v>43313.625</v>
      </c>
      <c r="V1412" s="686">
        <v>43313</v>
      </c>
      <c r="W1412" s="236">
        <f>РПЗ!L1412</f>
        <v>3786300</v>
      </c>
      <c r="X1412" s="689">
        <v>1</v>
      </c>
      <c r="Y1412" s="689">
        <v>0</v>
      </c>
      <c r="Z1412" s="691">
        <v>7729746311</v>
      </c>
      <c r="AA1412" s="691" t="s">
        <v>5132</v>
      </c>
      <c r="AB1412" s="111">
        <v>3786300</v>
      </c>
      <c r="AC1412" s="17">
        <v>43313</v>
      </c>
      <c r="AD1412" s="690" t="s">
        <v>7719</v>
      </c>
      <c r="AE1412" s="686">
        <v>43070</v>
      </c>
      <c r="AF1412" s="474"/>
      <c r="AG1412" s="692">
        <v>3786300</v>
      </c>
      <c r="AH1412" s="236">
        <f>IF(Таблица5[[#This Row],[30]]=0,"НД",Таблица5[[#This Row],[20]]-Таблица5[[#This Row],[30]])</f>
        <v>0</v>
      </c>
      <c r="AI1412" s="511">
        <f>IF(((1-Таблица5[[#This Row],[30]]/Таблица5[[#This Row],[20]])=1),"НД",(1-Таблица5[[#This Row],[30]]/Таблица5[[#This Row],[20]]))</f>
        <v>0</v>
      </c>
      <c r="AJ1412" s="111"/>
      <c r="AK1412" s="111"/>
      <c r="AL1412" s="512"/>
      <c r="AM1412" s="513" t="s">
        <v>113</v>
      </c>
      <c r="AN1412" s="801">
        <v>31705795123</v>
      </c>
      <c r="AO1412" s="468" t="str">
        <f>РПЗ!AD1412</f>
        <v>Нет</v>
      </c>
      <c r="AP1412" s="472" t="str">
        <f>РПЗ!V1412</f>
        <v>ГОЗ</v>
      </c>
      <c r="AQ1412" s="470">
        <f>IF(Таблица5[[#This Row],[11]]=0,,MONTH(Таблица5[[#This Row],[11]]))</f>
        <v>11</v>
      </c>
    </row>
    <row r="1413" spans="1:43" ht="51" x14ac:dyDescent="0.25">
      <c r="A1413" s="233" t="str">
        <f t="shared" si="22"/>
        <v>1004-2017-1398</v>
      </c>
      <c r="B1413" s="233" t="str">
        <f>РПЗ!$D1413</f>
        <v>1004-2017-1398 Поставка  и Доработка корпуса ЖГДК 203129.010; Крышка ет.4.127.979</v>
      </c>
      <c r="C1413" s="233" t="str">
        <f>РПЗ!$AA1413</f>
        <v>АО "НИИ "Полюс" им. М.Ф. Стельмаха" тел. отдела закупок 8-495-333-05-02</v>
      </c>
      <c r="D1413" s="633" t="str">
        <f>РПЗ!$AB1413</f>
        <v>Заказчик</v>
      </c>
      <c r="E1413" s="510" t="s">
        <v>62</v>
      </c>
      <c r="F1413" s="233" t="str">
        <f>РПЗ!Q1413</f>
        <v>ЕП</v>
      </c>
      <c r="G1413" s="237" t="str">
        <f>Таблица5[[#This Row],[6]]</f>
        <v>ЕП</v>
      </c>
      <c r="H1413" s="237" t="str">
        <f>РПЗ!R1413</f>
        <v>Нет</v>
      </c>
      <c r="I1413" s="15" t="str">
        <f>РПЗ!W1413</f>
        <v>6.6.2(11)</v>
      </c>
      <c r="J1413" s="233" t="str">
        <f>РПЗ!X1413</f>
        <v>4026000108</v>
      </c>
      <c r="K1413" s="283">
        <f>РПЗ!Z1413</f>
        <v>1199257.6000000001</v>
      </c>
      <c r="L1413" s="17">
        <v>43062</v>
      </c>
      <c r="M1413" s="18">
        <f>РПЗ!O1413</f>
        <v>43040.625</v>
      </c>
      <c r="N1413" s="238">
        <f>Таблица5[[#This Row],[10]]</f>
        <v>43040.625</v>
      </c>
      <c r="O1413" s="17"/>
      <c r="P1413" s="17"/>
      <c r="Q1413" s="17"/>
      <c r="R1413" s="17"/>
      <c r="S1413" s="17"/>
      <c r="T1413" s="686">
        <v>43073</v>
      </c>
      <c r="U1413" s="18">
        <f>РПЗ!P1413</f>
        <v>43313.625</v>
      </c>
      <c r="V1413" s="686">
        <v>43160</v>
      </c>
      <c r="W1413" s="236">
        <f>РПЗ!L1413</f>
        <v>1199257.6000000001</v>
      </c>
      <c r="X1413" s="689">
        <v>1</v>
      </c>
      <c r="Y1413" s="689">
        <v>0</v>
      </c>
      <c r="Z1413" s="691">
        <v>4026000108</v>
      </c>
      <c r="AA1413" s="691" t="s">
        <v>5084</v>
      </c>
      <c r="AB1413" s="111">
        <v>1199257.6000000001</v>
      </c>
      <c r="AC1413" s="17">
        <v>43160</v>
      </c>
      <c r="AD1413" s="690" t="s">
        <v>7721</v>
      </c>
      <c r="AE1413" s="686">
        <v>43073</v>
      </c>
      <c r="AF1413" s="474"/>
      <c r="AG1413" s="692">
        <v>1199257.6000000001</v>
      </c>
      <c r="AH1413" s="236">
        <f>IF(Таблица5[[#This Row],[30]]=0,"НД",Таблица5[[#This Row],[20]]-Таблица5[[#This Row],[30]])</f>
        <v>0</v>
      </c>
      <c r="AI1413" s="511">
        <f>IF(((1-Таблица5[[#This Row],[30]]/Таблица5[[#This Row],[20]])=1),"НД",(1-Таблица5[[#This Row],[30]]/Таблица5[[#This Row],[20]]))</f>
        <v>0</v>
      </c>
      <c r="AJ1413" s="111"/>
      <c r="AK1413" s="111"/>
      <c r="AL1413" s="512"/>
      <c r="AM1413" s="513" t="s">
        <v>113</v>
      </c>
      <c r="AN1413" s="801">
        <v>31705802334</v>
      </c>
      <c r="AO1413" s="468" t="str">
        <f>РПЗ!AD1413</f>
        <v>Нет</v>
      </c>
      <c r="AP1413" s="472" t="str">
        <f>РПЗ!V1413</f>
        <v>ГОЗ</v>
      </c>
      <c r="AQ1413" s="470">
        <f>IF(Таблица5[[#This Row],[11]]=0,,MONTH(Таблица5[[#This Row],[11]]))</f>
        <v>11</v>
      </c>
    </row>
    <row r="1414" spans="1:43" ht="51.75" thickBot="1" x14ac:dyDescent="0.3">
      <c r="A1414" s="233" t="str">
        <f t="shared" si="22"/>
        <v>1004-2017-1399</v>
      </c>
      <c r="B1414" s="233" t="str">
        <f>РПЗ!$D1414</f>
        <v>1004-2017-1399 Разработка и изготовление измерителя параметров лазерных диодов "ИЛПД-комплекс"</v>
      </c>
      <c r="C1414" s="233" t="str">
        <f>РПЗ!$AA1414</f>
        <v>АО "НИИ "Полюс" им. М.Ф. Стельмаха" тел. отдела закупок 8-495-333-05-02</v>
      </c>
      <c r="D1414" s="633" t="str">
        <f>РПЗ!$AB1414</f>
        <v>Заказчик</v>
      </c>
      <c r="E1414" s="510" t="s">
        <v>62</v>
      </c>
      <c r="F1414" s="233" t="str">
        <f>РПЗ!Q1414</f>
        <v>ОЗК</v>
      </c>
      <c r="G1414" s="237" t="str">
        <f>Таблица5[[#This Row],[6]]</f>
        <v>ОЗК</v>
      </c>
      <c r="H1414" s="237" t="str">
        <f>РПЗ!R1414</f>
        <v>Да</v>
      </c>
      <c r="I1414" s="15">
        <f>РПЗ!W1414</f>
        <v>0</v>
      </c>
      <c r="J1414" s="233">
        <f>РПЗ!X1414</f>
        <v>0</v>
      </c>
      <c r="K1414" s="283">
        <f>РПЗ!Z1414</f>
        <v>0</v>
      </c>
      <c r="L1414" s="17">
        <v>43055</v>
      </c>
      <c r="M1414" s="18">
        <f>РПЗ!O1414</f>
        <v>43040.625</v>
      </c>
      <c r="N1414" s="238">
        <f>Таблица5[[#This Row],[10]]</f>
        <v>43040.625</v>
      </c>
      <c r="O1414" s="17">
        <v>43062</v>
      </c>
      <c r="P1414" s="17">
        <v>43067</v>
      </c>
      <c r="Q1414" s="17">
        <v>43067</v>
      </c>
      <c r="R1414" s="17">
        <v>43063</v>
      </c>
      <c r="S1414" s="17">
        <v>43063</v>
      </c>
      <c r="T1414" s="686">
        <v>43080</v>
      </c>
      <c r="U1414" s="18">
        <f>РПЗ!P1414</f>
        <v>43374.625</v>
      </c>
      <c r="V1414" s="686">
        <v>43357</v>
      </c>
      <c r="W1414" s="236">
        <f>РПЗ!L1414</f>
        <v>3808333.33</v>
      </c>
      <c r="X1414" s="689">
        <v>2</v>
      </c>
      <c r="Y1414" s="689">
        <v>0</v>
      </c>
      <c r="Z1414" s="691">
        <v>7826017040</v>
      </c>
      <c r="AA1414" s="691" t="s">
        <v>8111</v>
      </c>
      <c r="AB1414" s="111">
        <v>3500000</v>
      </c>
      <c r="AC1414" s="17">
        <v>43357</v>
      </c>
      <c r="AD1414" s="690" t="s">
        <v>8112</v>
      </c>
      <c r="AE1414" s="686">
        <v>43080</v>
      </c>
      <c r="AF1414" s="474"/>
      <c r="AG1414" s="692">
        <v>3500000</v>
      </c>
      <c r="AH1414" s="236">
        <f>IF(Таблица5[[#This Row],[30]]=0,"НД",Таблица5[[#This Row],[20]]-Таблица5[[#This Row],[30]])</f>
        <v>308333.33000000007</v>
      </c>
      <c r="AI1414" s="511">
        <f>IF(((1-Таблица5[[#This Row],[30]]/Таблица5[[#This Row],[20]])=1),"НД",(1-Таблица5[[#This Row],[30]]/Таблица5[[#This Row],[20]]))</f>
        <v>8.0962800070864649E-2</v>
      </c>
      <c r="AJ1414" s="111">
        <v>3500000</v>
      </c>
      <c r="AK1414" s="111"/>
      <c r="AL1414" s="512"/>
      <c r="AM1414" s="513" t="s">
        <v>113</v>
      </c>
      <c r="AN1414" s="801">
        <v>31705747296</v>
      </c>
      <c r="AO1414" s="468" t="str">
        <f>РПЗ!AD1414</f>
        <v>Нет</v>
      </c>
      <c r="AP1414" s="472">
        <f>РПЗ!V1414</f>
        <v>0</v>
      </c>
      <c r="AQ1414" s="470">
        <f>IF(Таблица5[[#This Row],[11]]=0,,MONTH(Таблица5[[#This Row],[11]]))</f>
        <v>11</v>
      </c>
    </row>
    <row r="1415" spans="1:43" ht="38.25" x14ac:dyDescent="0.25">
      <c r="A1415" s="233" t="str">
        <f t="shared" si="22"/>
        <v>1004-2017-1400</v>
      </c>
      <c r="B1415" s="233" t="str">
        <f>РПЗ!$D1415</f>
        <v>1004-2017-1400 Поставка  Активный элемент YAG  ГП3х50-Э.01</v>
      </c>
      <c r="C1415" s="233" t="str">
        <f>РПЗ!$AA1415</f>
        <v>АО "НИИ "Полюс" им. М.Ф. Стельмаха" тел. отдела закупок 8-495-333-05-02</v>
      </c>
      <c r="D1415" s="633" t="str">
        <f>РПЗ!$AB1415</f>
        <v>Заказчик</v>
      </c>
      <c r="E1415" s="96" t="s">
        <v>46</v>
      </c>
      <c r="F1415" s="233" t="str">
        <f>РПЗ!Q1415</f>
        <v>ЕП</v>
      </c>
      <c r="G1415" s="237"/>
      <c r="H1415" s="237" t="str">
        <f>РПЗ!R1415</f>
        <v>Нет</v>
      </c>
      <c r="I1415" s="15">
        <f>РПЗ!W1415</f>
        <v>0</v>
      </c>
      <c r="J1415" s="233">
        <f>РПЗ!X1415</f>
        <v>0</v>
      </c>
      <c r="K1415" s="283">
        <f>РПЗ!Z1415</f>
        <v>0</v>
      </c>
      <c r="L1415" s="17"/>
      <c r="M1415" s="18">
        <f>РПЗ!O1415</f>
        <v>43009.625</v>
      </c>
      <c r="N1415" s="238">
        <f>Таблица5[[#This Row],[10]]</f>
        <v>43009.625</v>
      </c>
      <c r="O1415" s="17"/>
      <c r="P1415" s="17"/>
      <c r="Q1415" s="17"/>
      <c r="R1415" s="17"/>
      <c r="S1415" s="17"/>
      <c r="T1415" s="686"/>
      <c r="U1415" s="18">
        <f>РПЗ!P1415</f>
        <v>43070.625</v>
      </c>
      <c r="V1415" s="686"/>
      <c r="W1415" s="236">
        <f>РПЗ!L1415</f>
        <v>2028837.78</v>
      </c>
      <c r="X1415" s="689"/>
      <c r="Y1415" s="689"/>
      <c r="Z1415" s="690"/>
      <c r="AA1415" s="691"/>
      <c r="AB1415" s="111"/>
      <c r="AC1415" s="17"/>
      <c r="AD1415" s="690"/>
      <c r="AE1415" s="686"/>
      <c r="AF1415" s="474"/>
      <c r="AG1415" s="692"/>
      <c r="AH1415" s="236" t="str">
        <f>IF(Таблица5[[#This Row],[30]]=0,"НД",Таблица5[[#This Row],[20]]-Таблица5[[#This Row],[30]])</f>
        <v>НД</v>
      </c>
      <c r="AI1415" s="511" t="str">
        <f>IF(((1-Таблица5[[#This Row],[30]]/Таблица5[[#This Row],[20]])=1),"НД",(1-Таблица5[[#This Row],[30]]/Таблица5[[#This Row],[20]]))</f>
        <v>НД</v>
      </c>
      <c r="AJ1415" s="111"/>
      <c r="AK1415" s="111"/>
      <c r="AL1415" s="512"/>
      <c r="AM1415" s="513"/>
      <c r="AN1415" s="465"/>
      <c r="AO1415" s="468" t="str">
        <f>РПЗ!AD1415</f>
        <v>Нет</v>
      </c>
      <c r="AP1415" s="472">
        <f>РПЗ!V1415</f>
        <v>0</v>
      </c>
      <c r="AQ1415" s="470">
        <f>IF(Таблица5[[#This Row],[11]]=0,,MONTH(Таблица5[[#This Row],[11]]))</f>
        <v>10</v>
      </c>
    </row>
    <row r="1416" spans="1:43" ht="38.25" x14ac:dyDescent="0.25">
      <c r="A1416" s="233" t="str">
        <f t="shared" si="22"/>
        <v>1004-2017-1401</v>
      </c>
      <c r="B1416" s="233" t="str">
        <f>РПЗ!$D1416</f>
        <v>1004-2017-1401 Поставка триэтилгаллия, триметилиндия, триметилалюминия, диэтилцинка</v>
      </c>
      <c r="C1416" s="233" t="str">
        <f>РПЗ!$AA1416</f>
        <v>АО "НИИ "Полюс" им. М.Ф. Стельмаха" тел. отдела закупок 8-495-333-05-02</v>
      </c>
      <c r="D1416" s="633" t="str">
        <f>РПЗ!$AB1416</f>
        <v>Заказчик</v>
      </c>
      <c r="E1416" s="510" t="s">
        <v>62</v>
      </c>
      <c r="F1416" s="233" t="str">
        <f>РПЗ!Q1416</f>
        <v>ЕП</v>
      </c>
      <c r="G1416" s="237" t="str">
        <f>Таблица5[[#This Row],[6]]</f>
        <v>ЕП</v>
      </c>
      <c r="H1416" s="237" t="str">
        <f>РПЗ!R1416</f>
        <v>Нет</v>
      </c>
      <c r="I1416" s="15" t="str">
        <f>РПЗ!W1416</f>
        <v>6.6.2(9)</v>
      </c>
      <c r="J1416" s="233" t="str">
        <f>РПЗ!X1416</f>
        <v>7735148768</v>
      </c>
      <c r="K1416" s="283">
        <f>РПЗ!Z1416</f>
        <v>315800</v>
      </c>
      <c r="L1416" s="17">
        <v>43024</v>
      </c>
      <c r="M1416" s="18">
        <f>РПЗ!O1416</f>
        <v>43009.625</v>
      </c>
      <c r="N1416" s="238">
        <f>Таблица5[[#This Row],[10]]</f>
        <v>43009.625</v>
      </c>
      <c r="O1416" s="17"/>
      <c r="P1416" s="17"/>
      <c r="Q1416" s="17"/>
      <c r="R1416" s="17"/>
      <c r="S1416" s="17"/>
      <c r="T1416" s="686">
        <v>43038</v>
      </c>
      <c r="U1416" s="18">
        <f>РПЗ!P1416</f>
        <v>43009.625</v>
      </c>
      <c r="V1416" s="686">
        <v>43100</v>
      </c>
      <c r="W1416" s="236">
        <f>РПЗ!L1416</f>
        <v>315800</v>
      </c>
      <c r="X1416" s="689">
        <v>1</v>
      </c>
      <c r="Y1416" s="689">
        <v>0</v>
      </c>
      <c r="Z1416" s="691">
        <v>7735148768</v>
      </c>
      <c r="AA1416" s="691" t="s">
        <v>3360</v>
      </c>
      <c r="AB1416" s="111">
        <v>315800</v>
      </c>
      <c r="AC1416" s="17">
        <v>43100</v>
      </c>
      <c r="AD1416" s="690" t="s">
        <v>7682</v>
      </c>
      <c r="AE1416" s="686">
        <v>43038</v>
      </c>
      <c r="AF1416" s="474"/>
      <c r="AG1416" s="692">
        <v>315800</v>
      </c>
      <c r="AH1416" s="236">
        <f>IF(Таблица5[[#This Row],[30]]=0,"НД",Таблица5[[#This Row],[20]]-Таблица5[[#This Row],[30]])</f>
        <v>0</v>
      </c>
      <c r="AI1416" s="511">
        <f>IF(((1-Таблица5[[#This Row],[30]]/Таблица5[[#This Row],[20]])=1),"НД",(1-Таблица5[[#This Row],[30]]/Таблица5[[#This Row],[20]]))</f>
        <v>0</v>
      </c>
      <c r="AJ1416" s="111">
        <v>315800</v>
      </c>
      <c r="AK1416" s="111"/>
      <c r="AL1416" s="512"/>
      <c r="AM1416" s="513" t="s">
        <v>113</v>
      </c>
      <c r="AN1416" s="801">
        <v>31705672007</v>
      </c>
      <c r="AO1416" s="468" t="str">
        <f>РПЗ!AD1416</f>
        <v>Нет</v>
      </c>
      <c r="AP1416" s="472" t="str">
        <f>РПЗ!V1416</f>
        <v>ГОЗ</v>
      </c>
      <c r="AQ1416" s="470">
        <f>IF(Таблица5[[#This Row],[11]]=0,,MONTH(Таблица5[[#This Row],[11]]))</f>
        <v>10</v>
      </c>
    </row>
    <row r="1417" spans="1:43" ht="38.25" x14ac:dyDescent="0.25">
      <c r="A1417" s="233" t="str">
        <f t="shared" si="22"/>
        <v>1004-2017-1402</v>
      </c>
      <c r="B1417" s="233" t="str">
        <f>РПЗ!$D1417</f>
        <v xml:space="preserve">1004-2017-1402 Изготовление и поставка активных элементов ИКЮШ.755711.015  </v>
      </c>
      <c r="C1417" s="233" t="str">
        <f>РПЗ!$AA1417</f>
        <v>АО "НИИ "Полюс" им. М.Ф. Стельмаха" тел. отдела закупок 8-495-333-05-02</v>
      </c>
      <c r="D1417" s="633" t="str">
        <f>РПЗ!$AB1417</f>
        <v>Заказчик</v>
      </c>
      <c r="E1417" s="510" t="s">
        <v>62</v>
      </c>
      <c r="F1417" s="233" t="str">
        <f>РПЗ!Q1417</f>
        <v>ЕП</v>
      </c>
      <c r="G1417" s="237" t="str">
        <f>Таблица5[[#This Row],[6]]</f>
        <v>ЕП</v>
      </c>
      <c r="H1417" s="237" t="str">
        <f>РПЗ!R1417</f>
        <v>Нет</v>
      </c>
      <c r="I1417" s="15" t="str">
        <f>РПЗ!W1417</f>
        <v>6.6.2(11)</v>
      </c>
      <c r="J1417" s="233" t="str">
        <f>РПЗ!X1417</f>
        <v>500022435</v>
      </c>
      <c r="K1417" s="283">
        <f>РПЗ!Z1417</f>
        <v>512200</v>
      </c>
      <c r="L1417" s="17">
        <v>43040</v>
      </c>
      <c r="M1417" s="18">
        <f>РПЗ!O1417</f>
        <v>43040.625</v>
      </c>
      <c r="N1417" s="238">
        <f>Таблица5[[#This Row],[10]]</f>
        <v>43040.625</v>
      </c>
      <c r="O1417" s="17"/>
      <c r="P1417" s="17"/>
      <c r="Q1417" s="17"/>
      <c r="R1417" s="17"/>
      <c r="S1417" s="17"/>
      <c r="T1417" s="686">
        <v>43047</v>
      </c>
      <c r="U1417" s="18">
        <f>РПЗ!P1417</f>
        <v>43160.625</v>
      </c>
      <c r="V1417" s="686">
        <v>43190</v>
      </c>
      <c r="W1417" s="236">
        <f>РПЗ!L1417</f>
        <v>512200</v>
      </c>
      <c r="X1417" s="689">
        <v>1</v>
      </c>
      <c r="Y1417" s="689">
        <v>0</v>
      </c>
      <c r="Z1417" s="691">
        <v>500022435</v>
      </c>
      <c r="AA1417" s="691" t="s">
        <v>7672</v>
      </c>
      <c r="AB1417" s="111">
        <v>512200</v>
      </c>
      <c r="AC1417" s="17">
        <v>43190</v>
      </c>
      <c r="AD1417" s="690" t="s">
        <v>7673</v>
      </c>
      <c r="AE1417" s="686">
        <v>43047</v>
      </c>
      <c r="AF1417" s="474"/>
      <c r="AG1417" s="692">
        <v>512200</v>
      </c>
      <c r="AH1417" s="236">
        <f>IF(Таблица5[[#This Row],[30]]=0,"НД",Таблица5[[#This Row],[20]]-Таблица5[[#This Row],[30]])</f>
        <v>0</v>
      </c>
      <c r="AI1417" s="511">
        <f>IF(((1-Таблица5[[#This Row],[30]]/Таблица5[[#This Row],[20]])=1),"НД",(1-Таблица5[[#This Row],[30]]/Таблица5[[#This Row],[20]]))</f>
        <v>0</v>
      </c>
      <c r="AJ1417" s="111"/>
      <c r="AK1417" s="111"/>
      <c r="AL1417" s="512"/>
      <c r="AM1417" s="513" t="s">
        <v>113</v>
      </c>
      <c r="AN1417" s="801">
        <v>31705702128</v>
      </c>
      <c r="AO1417" s="468" t="str">
        <f>РПЗ!AD1417</f>
        <v>Нет</v>
      </c>
      <c r="AP1417" s="472">
        <f>РПЗ!V1417</f>
        <v>0</v>
      </c>
      <c r="AQ1417" s="470">
        <f>IF(Таблица5[[#This Row],[11]]=0,,MONTH(Таблица5[[#This Row],[11]]))</f>
        <v>11</v>
      </c>
    </row>
    <row r="1418" spans="1:43" ht="191.25" x14ac:dyDescent="0.25">
      <c r="A1418" s="233" t="str">
        <f t="shared" si="22"/>
        <v>1004-2017-1403</v>
      </c>
      <c r="B1418" s="233" t="str">
        <f>РПЗ!$D1418</f>
        <v xml:space="preserve">1004-2017-1403 на составную часть научно-исследовательской экспериментальной работы «Разработка и экспериментальное подтверждение принципов построения мобильного лазерного комплекса борьбы с малоразмерными беспилотными летательными аппаратами. Разработка макета жидкостного лазера с моделированием основных устройств».
Шифр «Комплекс-1Ж»
</v>
      </c>
      <c r="C1418" s="233" t="str">
        <f>РПЗ!$AA1418</f>
        <v>АО "НИИ "Полюс" им. М.Ф. Стельмаха" тел. отдела закупок 8-495-333-05-02</v>
      </c>
      <c r="D1418" s="633" t="str">
        <f>РПЗ!$AB1418</f>
        <v>Заказчик</v>
      </c>
      <c r="E1418" s="510" t="s">
        <v>62</v>
      </c>
      <c r="F1418" s="233" t="str">
        <f>РПЗ!Q1418</f>
        <v>ОЗП</v>
      </c>
      <c r="G1418" s="237" t="str">
        <f>Таблица5[[#This Row],[6]]</f>
        <v>ОЗП</v>
      </c>
      <c r="H1418" s="237" t="str">
        <f>РПЗ!R1418</f>
        <v>Да</v>
      </c>
      <c r="I1418" s="15">
        <f>РПЗ!W1418</f>
        <v>0</v>
      </c>
      <c r="J1418" s="233">
        <f>РПЗ!X1418</f>
        <v>0</v>
      </c>
      <c r="K1418" s="283">
        <f>РПЗ!Z1418</f>
        <v>0</v>
      </c>
      <c r="L1418" s="17">
        <v>43038</v>
      </c>
      <c r="M1418" s="18">
        <f>РПЗ!O1418</f>
        <v>43009.625</v>
      </c>
      <c r="N1418" s="238">
        <f>Таблица5[[#This Row],[10]]</f>
        <v>43009.625</v>
      </c>
      <c r="O1418" s="17">
        <v>43048</v>
      </c>
      <c r="P1418" s="17">
        <v>43053</v>
      </c>
      <c r="Q1418" s="17">
        <v>43053</v>
      </c>
      <c r="R1418" s="17">
        <v>43056</v>
      </c>
      <c r="S1418" s="17">
        <v>43056</v>
      </c>
      <c r="T1418" s="686">
        <v>43059</v>
      </c>
      <c r="U1418" s="18">
        <f>РПЗ!P1418</f>
        <v>43070.625</v>
      </c>
      <c r="V1418" s="686">
        <v>43100</v>
      </c>
      <c r="W1418" s="236">
        <f>РПЗ!L1418</f>
        <v>9500000</v>
      </c>
      <c r="X1418" s="689">
        <v>1</v>
      </c>
      <c r="Y1418" s="689">
        <v>0</v>
      </c>
      <c r="Z1418" s="691">
        <v>7733759899</v>
      </c>
      <c r="AA1418" s="691" t="s">
        <v>8194</v>
      </c>
      <c r="AB1418" s="111">
        <v>9500000</v>
      </c>
      <c r="AC1418" s="17">
        <v>43100</v>
      </c>
      <c r="AD1418" s="690" t="s">
        <v>8205</v>
      </c>
      <c r="AE1418" s="686">
        <v>43059</v>
      </c>
      <c r="AF1418" s="474"/>
      <c r="AG1418" s="692">
        <v>9500000</v>
      </c>
      <c r="AH1418" s="236">
        <f>IF(Таблица5[[#This Row],[30]]=0,"НД",Таблица5[[#This Row],[20]]-Таблица5[[#This Row],[30]])</f>
        <v>0</v>
      </c>
      <c r="AI1418" s="511">
        <f>IF(((1-Таблица5[[#This Row],[30]]/Таблица5[[#This Row],[20]])=1),"НД",(1-Таблица5[[#This Row],[30]]/Таблица5[[#This Row],[20]]))</f>
        <v>0</v>
      </c>
      <c r="AJ1418" s="111"/>
      <c r="AK1418" s="111"/>
      <c r="AL1418" s="512"/>
      <c r="AM1418" s="513" t="s">
        <v>113</v>
      </c>
      <c r="AN1418" s="801">
        <v>31705679446</v>
      </c>
      <c r="AO1418" s="468" t="str">
        <f>РПЗ!AD1418</f>
        <v>Нет</v>
      </c>
      <c r="AP1418" s="472">
        <f>РПЗ!V1418</f>
        <v>0</v>
      </c>
      <c r="AQ1418" s="470">
        <f>IF(Таблица5[[#This Row],[11]]=0,,MONTH(Таблица5[[#This Row],[11]]))</f>
        <v>10</v>
      </c>
    </row>
    <row r="1419" spans="1:43" ht="38.25" x14ac:dyDescent="0.25">
      <c r="A1419" s="233" t="str">
        <f t="shared" si="22"/>
        <v>1004-2017-1404</v>
      </c>
      <c r="B1419" s="233" t="str">
        <f>РПЗ!$D1419</f>
        <v>1004-2017-1404 Поставка  Кристалл фоточувствительный</v>
      </c>
      <c r="C1419" s="233" t="str">
        <f>РПЗ!$AA1419</f>
        <v>АО "НИИ "Полюс" им. М.Ф. Стельмаха" тел. отдела закупок 8-495-333-05-02</v>
      </c>
      <c r="D1419" s="633" t="str">
        <f>РПЗ!$AB1419</f>
        <v>Заказчик</v>
      </c>
      <c r="E1419" s="510" t="s">
        <v>59</v>
      </c>
      <c r="F1419" s="233" t="str">
        <f>РПЗ!Q1419</f>
        <v>ОЗК</v>
      </c>
      <c r="G1419" s="237" t="str">
        <f>Таблица5[[#This Row],[6]]</f>
        <v>ОЗК</v>
      </c>
      <c r="H1419" s="237" t="str">
        <f>РПЗ!R1419</f>
        <v>Да</v>
      </c>
      <c r="I1419" s="15">
        <f>РПЗ!W1419</f>
        <v>0</v>
      </c>
      <c r="J1419" s="233">
        <f>РПЗ!X1419</f>
        <v>0</v>
      </c>
      <c r="K1419" s="283">
        <f>РПЗ!Z1419</f>
        <v>0</v>
      </c>
      <c r="L1419" s="17">
        <v>43039</v>
      </c>
      <c r="M1419" s="18">
        <f>РПЗ!O1419</f>
        <v>43009.625</v>
      </c>
      <c r="N1419" s="238">
        <f>Таблица5[[#This Row],[10]]</f>
        <v>43009.625</v>
      </c>
      <c r="O1419" s="17">
        <v>43046</v>
      </c>
      <c r="P1419" s="17">
        <v>43049</v>
      </c>
      <c r="Q1419" s="17">
        <v>43049</v>
      </c>
      <c r="R1419" s="17">
        <v>43049</v>
      </c>
      <c r="S1419" s="17">
        <v>43049</v>
      </c>
      <c r="T1419" s="686"/>
      <c r="U1419" s="18">
        <f>РПЗ!P1419</f>
        <v>43070.625</v>
      </c>
      <c r="V1419" s="686"/>
      <c r="W1419" s="236">
        <f>РПЗ!L1419</f>
        <v>768750</v>
      </c>
      <c r="X1419" s="689">
        <v>0</v>
      </c>
      <c r="Y1419" s="689">
        <v>0</v>
      </c>
      <c r="Z1419" s="690"/>
      <c r="AA1419" s="691"/>
      <c r="AB1419" s="111"/>
      <c r="AC1419" s="17"/>
      <c r="AD1419" s="690"/>
      <c r="AE1419" s="686"/>
      <c r="AF1419" s="474"/>
      <c r="AG1419" s="692"/>
      <c r="AH1419" s="236" t="str">
        <f>IF(Таблица5[[#This Row],[30]]=0,"НД",Таблица5[[#This Row],[20]]-Таблица5[[#This Row],[30]])</f>
        <v>НД</v>
      </c>
      <c r="AI1419" s="511" t="str">
        <f>IF(((1-Таблица5[[#This Row],[30]]/Таблица5[[#This Row],[20]])=1),"НД",(1-Таблица5[[#This Row],[30]]/Таблица5[[#This Row],[20]]))</f>
        <v>НД</v>
      </c>
      <c r="AJ1419" s="111"/>
      <c r="AK1419" s="111"/>
      <c r="AL1419" s="512"/>
      <c r="AM1419" s="513" t="s">
        <v>113</v>
      </c>
      <c r="AN1419" s="465" t="s">
        <v>8155</v>
      </c>
      <c r="AO1419" s="468" t="str">
        <f>РПЗ!AD1419</f>
        <v>Нет</v>
      </c>
      <c r="AP1419" s="472">
        <f>РПЗ!V1419</f>
        <v>0</v>
      </c>
      <c r="AQ1419" s="470">
        <f>IF(Таблица5[[#This Row],[11]]=0,,MONTH(Таблица5[[#This Row],[11]]))</f>
        <v>10</v>
      </c>
    </row>
    <row r="1420" spans="1:43" ht="38.25" x14ac:dyDescent="0.25">
      <c r="A1420" s="233" t="str">
        <f t="shared" si="22"/>
        <v>1004-2017-1405</v>
      </c>
      <c r="B1420" s="233" t="str">
        <f>РПЗ!$D1420</f>
        <v>1004-2017-1405 Поставка  Объектив SWIR M5018-SW</v>
      </c>
      <c r="C1420" s="233" t="str">
        <f>РПЗ!$AA1420</f>
        <v>АО "НИИ "Полюс" им. М.Ф. Стельмаха" тел. отдела закупок 8-495-333-05-02</v>
      </c>
      <c r="D1420" s="633" t="str">
        <f>РПЗ!$AB1420</f>
        <v>Заказчик</v>
      </c>
      <c r="E1420" s="510" t="s">
        <v>59</v>
      </c>
      <c r="F1420" s="233" t="str">
        <f>РПЗ!Q1420</f>
        <v>ОЗК</v>
      </c>
      <c r="G1420" s="237" t="str">
        <f>Таблица5[[#This Row],[6]]</f>
        <v>ОЗК</v>
      </c>
      <c r="H1420" s="237" t="str">
        <f>РПЗ!R1420</f>
        <v>Да</v>
      </c>
      <c r="I1420" s="15">
        <f>РПЗ!W1420</f>
        <v>0</v>
      </c>
      <c r="J1420" s="233">
        <f>РПЗ!X1420</f>
        <v>0</v>
      </c>
      <c r="K1420" s="283">
        <f>РПЗ!Z1420</f>
        <v>0</v>
      </c>
      <c r="L1420" s="17">
        <v>43039</v>
      </c>
      <c r="M1420" s="18">
        <f>РПЗ!O1420</f>
        <v>43009.625</v>
      </c>
      <c r="N1420" s="238">
        <f>Таблица5[[#This Row],[10]]</f>
        <v>43009.625</v>
      </c>
      <c r="O1420" s="17">
        <v>43046</v>
      </c>
      <c r="P1420" s="17">
        <v>43049</v>
      </c>
      <c r="Q1420" s="17">
        <v>43049</v>
      </c>
      <c r="R1420" s="17">
        <v>43049</v>
      </c>
      <c r="S1420" s="17">
        <v>43049</v>
      </c>
      <c r="T1420" s="686"/>
      <c r="U1420" s="18">
        <f>РПЗ!P1420</f>
        <v>43070.625</v>
      </c>
      <c r="V1420" s="686"/>
      <c r="W1420" s="236">
        <f>РПЗ!L1420</f>
        <v>80270</v>
      </c>
      <c r="X1420" s="689">
        <v>0</v>
      </c>
      <c r="Y1420" s="689">
        <v>0</v>
      </c>
      <c r="Z1420" s="690"/>
      <c r="AA1420" s="691"/>
      <c r="AB1420" s="111"/>
      <c r="AC1420" s="17"/>
      <c r="AD1420" s="690"/>
      <c r="AE1420" s="686"/>
      <c r="AF1420" s="474"/>
      <c r="AG1420" s="692"/>
      <c r="AH1420" s="236" t="str">
        <f>IF(Таблица5[[#This Row],[30]]=0,"НД",Таблица5[[#This Row],[20]]-Таблица5[[#This Row],[30]])</f>
        <v>НД</v>
      </c>
      <c r="AI1420" s="511" t="str">
        <f>IF(((1-Таблица5[[#This Row],[30]]/Таблица5[[#This Row],[20]])=1),"НД",(1-Таблица5[[#This Row],[30]]/Таблица5[[#This Row],[20]]))</f>
        <v>НД</v>
      </c>
      <c r="AJ1420" s="111"/>
      <c r="AK1420" s="111"/>
      <c r="AL1420" s="512"/>
      <c r="AM1420" s="513" t="s">
        <v>113</v>
      </c>
      <c r="AN1420" s="801">
        <v>31705684574</v>
      </c>
      <c r="AO1420" s="468" t="str">
        <f>РПЗ!AD1420</f>
        <v>Нет</v>
      </c>
      <c r="AP1420" s="472">
        <f>РПЗ!V1420</f>
        <v>0</v>
      </c>
      <c r="AQ1420" s="470">
        <f>IF(Таблица5[[#This Row],[11]]=0,,MONTH(Таблица5[[#This Row],[11]]))</f>
        <v>10</v>
      </c>
    </row>
    <row r="1421" spans="1:43" ht="38.25" x14ac:dyDescent="0.25">
      <c r="A1421" s="233" t="str">
        <f t="shared" si="22"/>
        <v>1004-2017-1406</v>
      </c>
      <c r="B1421" s="233" t="str">
        <f>РПЗ!$D1421</f>
        <v>1004-2017-1406 поставка структуры эпитаксиальной германиевой ЭГС39-2  Яе0.032.039 ТУ</v>
      </c>
      <c r="C1421" s="233" t="str">
        <f>РПЗ!$AA1421</f>
        <v>АО "НИИ "Полюс" им. М.Ф. Стельмаха" тел. отдела закупок 8-495-333-05-02</v>
      </c>
      <c r="D1421" s="633" t="str">
        <f>РПЗ!$AB1421</f>
        <v>Заказчик</v>
      </c>
      <c r="E1421" s="510" t="s">
        <v>62</v>
      </c>
      <c r="F1421" s="233" t="str">
        <f>РПЗ!Q1421</f>
        <v>ЕП</v>
      </c>
      <c r="G1421" s="237" t="str">
        <f>Таблица5[[#This Row],[6]]</f>
        <v>ЕП</v>
      </c>
      <c r="H1421" s="237" t="str">
        <f>РПЗ!R1421</f>
        <v>Нет</v>
      </c>
      <c r="I1421" s="15" t="str">
        <f>РПЗ!W1421</f>
        <v>6.6.2(11)</v>
      </c>
      <c r="J1421" s="233" t="str">
        <f>РПЗ!X1421</f>
        <v>5003005609</v>
      </c>
      <c r="K1421" s="283">
        <f>РПЗ!Z1421</f>
        <v>283200</v>
      </c>
      <c r="L1421" s="17">
        <v>43040</v>
      </c>
      <c r="M1421" s="18">
        <f>РПЗ!O1421</f>
        <v>43040.625</v>
      </c>
      <c r="N1421" s="238">
        <f>Таблица5[[#This Row],[10]]</f>
        <v>43040.625</v>
      </c>
      <c r="O1421" s="17"/>
      <c r="P1421" s="17"/>
      <c r="Q1421" s="17"/>
      <c r="R1421" s="17"/>
      <c r="S1421" s="17"/>
      <c r="T1421" s="686">
        <v>43046</v>
      </c>
      <c r="U1421" s="18">
        <f>РПЗ!P1421</f>
        <v>43040.625</v>
      </c>
      <c r="V1421" s="686">
        <v>43040</v>
      </c>
      <c r="W1421" s="236">
        <f>РПЗ!L1421</f>
        <v>283200</v>
      </c>
      <c r="X1421" s="689">
        <v>1</v>
      </c>
      <c r="Y1421" s="689">
        <v>0</v>
      </c>
      <c r="Z1421" s="691">
        <v>5003005609</v>
      </c>
      <c r="AA1421" s="691" t="s">
        <v>5120</v>
      </c>
      <c r="AB1421" s="111">
        <v>283200</v>
      </c>
      <c r="AC1421" s="17">
        <v>43040</v>
      </c>
      <c r="AD1421" s="690" t="s">
        <v>135</v>
      </c>
      <c r="AE1421" s="686">
        <v>43046</v>
      </c>
      <c r="AF1421" s="474"/>
      <c r="AG1421" s="692">
        <v>283200</v>
      </c>
      <c r="AH1421" s="236">
        <f>IF(Таблица5[[#This Row],[30]]=0,"НД",Таблица5[[#This Row],[20]]-Таблица5[[#This Row],[30]])</f>
        <v>0</v>
      </c>
      <c r="AI1421" s="511">
        <f>IF(((1-Таблица5[[#This Row],[30]]/Таблица5[[#This Row],[20]])=1),"НД",(1-Таблица5[[#This Row],[30]]/Таблица5[[#This Row],[20]]))</f>
        <v>0</v>
      </c>
      <c r="AJ1421" s="111">
        <v>283200</v>
      </c>
      <c r="AK1421" s="111"/>
      <c r="AL1421" s="512"/>
      <c r="AM1421" s="513" t="s">
        <v>113</v>
      </c>
      <c r="AN1421" s="801">
        <v>31705702131</v>
      </c>
      <c r="AO1421" s="468" t="str">
        <f>РПЗ!AD1421</f>
        <v>Нет</v>
      </c>
      <c r="AP1421" s="472" t="str">
        <f>РПЗ!V1421</f>
        <v>ГОЗ</v>
      </c>
      <c r="AQ1421" s="470">
        <f>IF(Таблица5[[#This Row],[11]]=0,,MONTH(Таблица5[[#This Row],[11]]))</f>
        <v>11</v>
      </c>
    </row>
    <row r="1422" spans="1:43" ht="38.25" x14ac:dyDescent="0.25">
      <c r="A1422" s="233" t="str">
        <f t="shared" si="22"/>
        <v>1004-2017-1407</v>
      </c>
      <c r="B1422" s="233" t="str">
        <f>РПЗ!$D1422</f>
        <v>1004-2017-1407 поставка Набора из 91 cверел Ruko 214223</v>
      </c>
      <c r="C1422" s="233" t="str">
        <f>РПЗ!$AA1422</f>
        <v>АО "НИИ "Полюс" им. М.Ф. Стельмаха" тел. отдела закупок 8-495-333-05-02</v>
      </c>
      <c r="D1422" s="633" t="str">
        <f>РПЗ!$AB1422</f>
        <v>Заказчик</v>
      </c>
      <c r="E1422" s="510" t="s">
        <v>59</v>
      </c>
      <c r="F1422" s="233" t="str">
        <f>РПЗ!Q1422</f>
        <v>ОЗК</v>
      </c>
      <c r="G1422" s="237" t="str">
        <f>Таблица5[[#This Row],[6]]</f>
        <v>ОЗК</v>
      </c>
      <c r="H1422" s="237" t="str">
        <f>РПЗ!R1422</f>
        <v>Да</v>
      </c>
      <c r="I1422" s="15">
        <f>РПЗ!W1422</f>
        <v>0</v>
      </c>
      <c r="J1422" s="233">
        <f>РПЗ!X1422</f>
        <v>0</v>
      </c>
      <c r="K1422" s="283">
        <f>РПЗ!Z1422</f>
        <v>0</v>
      </c>
      <c r="L1422" s="17">
        <v>43040</v>
      </c>
      <c r="M1422" s="18">
        <f>РПЗ!O1422</f>
        <v>43040.625</v>
      </c>
      <c r="N1422" s="238">
        <f>Таблица5[[#This Row],[10]]</f>
        <v>43040.625</v>
      </c>
      <c r="O1422" s="17">
        <v>43047</v>
      </c>
      <c r="P1422" s="17">
        <v>43052</v>
      </c>
      <c r="Q1422" s="17">
        <v>43052</v>
      </c>
      <c r="R1422" s="17">
        <v>43052</v>
      </c>
      <c r="S1422" s="17">
        <v>43052</v>
      </c>
      <c r="T1422" s="686"/>
      <c r="U1422" s="18">
        <f>РПЗ!P1422</f>
        <v>43070.625</v>
      </c>
      <c r="V1422" s="686"/>
      <c r="W1422" s="236">
        <f>РПЗ!L1422</f>
        <v>25605</v>
      </c>
      <c r="X1422" s="689">
        <v>0</v>
      </c>
      <c r="Y1422" s="689">
        <v>0</v>
      </c>
      <c r="Z1422" s="690"/>
      <c r="AA1422" s="691"/>
      <c r="AB1422" s="111"/>
      <c r="AC1422" s="17"/>
      <c r="AD1422" s="690"/>
      <c r="AE1422" s="686"/>
      <c r="AF1422" s="474"/>
      <c r="AG1422" s="692"/>
      <c r="AH1422" s="236" t="str">
        <f>IF(Таблица5[[#This Row],[30]]=0,"НД",Таблица5[[#This Row],[20]]-Таблица5[[#This Row],[30]])</f>
        <v>НД</v>
      </c>
      <c r="AI1422" s="511" t="str">
        <f>IF(((1-Таблица5[[#This Row],[30]]/Таблица5[[#This Row],[20]])=1),"НД",(1-Таблица5[[#This Row],[30]]/Таблица5[[#This Row],[20]]))</f>
        <v>НД</v>
      </c>
      <c r="AJ1422" s="111"/>
      <c r="AK1422" s="111"/>
      <c r="AL1422" s="512"/>
      <c r="AM1422" s="513" t="s">
        <v>113</v>
      </c>
      <c r="AN1422" s="801">
        <v>31705692004</v>
      </c>
      <c r="AO1422" s="468" t="str">
        <f>РПЗ!AD1422</f>
        <v>Нет</v>
      </c>
      <c r="AP1422" s="472">
        <f>РПЗ!V1422</f>
        <v>0</v>
      </c>
      <c r="AQ1422" s="470">
        <f>IF(Таблица5[[#This Row],[11]]=0,,MONTH(Таблица5[[#This Row],[11]]))</f>
        <v>11</v>
      </c>
    </row>
    <row r="1423" spans="1:43" ht="39" thickBot="1" x14ac:dyDescent="0.3">
      <c r="A1423" s="233" t="str">
        <f t="shared" si="22"/>
        <v>1004-2017-1408</v>
      </c>
      <c r="B1423" s="233" t="str">
        <f>РПЗ!$D1423</f>
        <v>1004-2017-1408 Поставка  печатные платы ЖГДК.758773.011</v>
      </c>
      <c r="C1423" s="233" t="str">
        <f>РПЗ!$AA1423</f>
        <v>АО "НИИ "Полюс" им. М.Ф. Стельмаха" тел. отдела закупок 8-495-333-05-02</v>
      </c>
      <c r="D1423" s="633" t="str">
        <f>РПЗ!$AB1423</f>
        <v>Заказчик</v>
      </c>
      <c r="E1423" s="510" t="s">
        <v>62</v>
      </c>
      <c r="F1423" s="233" t="str">
        <f>РПЗ!Q1423</f>
        <v>ЕП</v>
      </c>
      <c r="G1423" s="237" t="str">
        <f>Таблица5[[#This Row],[6]]</f>
        <v>ЕП</v>
      </c>
      <c r="H1423" s="237" t="str">
        <f>РПЗ!R1423</f>
        <v>Нет</v>
      </c>
      <c r="I1423" s="15" t="str">
        <f>РПЗ!W1423</f>
        <v>6.6.2(11)</v>
      </c>
      <c r="J1423" s="233" t="str">
        <f>РПЗ!X1423</f>
        <v>1831079259</v>
      </c>
      <c r="K1423" s="283">
        <f>РПЗ!Z1423</f>
        <v>1357094.4</v>
      </c>
      <c r="L1423" s="17">
        <v>43049</v>
      </c>
      <c r="M1423" s="18">
        <f>РПЗ!O1423</f>
        <v>43040.625</v>
      </c>
      <c r="N1423" s="238">
        <f>Таблица5[[#This Row],[10]]</f>
        <v>43040.625</v>
      </c>
      <c r="O1423" s="17"/>
      <c r="P1423" s="17"/>
      <c r="Q1423" s="17"/>
      <c r="R1423" s="17"/>
      <c r="S1423" s="17"/>
      <c r="T1423" s="686">
        <v>43063</v>
      </c>
      <c r="U1423" s="18">
        <f>РПЗ!P1423</f>
        <v>43070.625</v>
      </c>
      <c r="V1423" s="686">
        <v>43100</v>
      </c>
      <c r="W1423" s="236">
        <f>РПЗ!L1423</f>
        <v>1357094.4</v>
      </c>
      <c r="X1423" s="689">
        <v>1</v>
      </c>
      <c r="Y1423" s="689">
        <v>0</v>
      </c>
      <c r="Z1423" s="691">
        <v>1831079259</v>
      </c>
      <c r="AA1423" s="691" t="s">
        <v>5923</v>
      </c>
      <c r="AB1423" s="111">
        <v>1357094.4</v>
      </c>
      <c r="AC1423" s="17">
        <v>43100</v>
      </c>
      <c r="AD1423" s="690" t="s">
        <v>7712</v>
      </c>
      <c r="AE1423" s="686">
        <v>43063</v>
      </c>
      <c r="AF1423" s="474"/>
      <c r="AG1423" s="692">
        <v>1357094.4</v>
      </c>
      <c r="AH1423" s="236">
        <f>IF(Таблица5[[#This Row],[30]]=0,"НД",Таблица5[[#This Row],[20]]-Таблица5[[#This Row],[30]])</f>
        <v>0</v>
      </c>
      <c r="AI1423" s="511">
        <f>IF(((1-Таблица5[[#This Row],[30]]/Таблица5[[#This Row],[20]])=1),"НД",(1-Таблица5[[#This Row],[30]]/Таблица5[[#This Row],[20]]))</f>
        <v>0</v>
      </c>
      <c r="AJ1423" s="111"/>
      <c r="AK1423" s="111"/>
      <c r="AL1423" s="512"/>
      <c r="AM1423" s="513" t="s">
        <v>113</v>
      </c>
      <c r="AN1423" s="801">
        <v>31705739076</v>
      </c>
      <c r="AO1423" s="468" t="str">
        <f>РПЗ!AD1423</f>
        <v>Нет</v>
      </c>
      <c r="AP1423" s="472" t="str">
        <f>РПЗ!V1423</f>
        <v>ГОЗ</v>
      </c>
      <c r="AQ1423" s="470">
        <f>IF(Таблица5[[#This Row],[11]]=0,,MONTH(Таблица5[[#This Row],[11]]))</f>
        <v>11</v>
      </c>
    </row>
    <row r="1424" spans="1:43" ht="38.25" x14ac:dyDescent="0.25">
      <c r="A1424" s="233" t="str">
        <f t="shared" si="22"/>
        <v>1004-2017-1409</v>
      </c>
      <c r="B1424" s="233" t="str">
        <f>РПЗ!$D1424</f>
        <v>1004-2017-1409 Поставка  кожух ЖГДК.305143.001 корпус  ЖГДК.301172.013</v>
      </c>
      <c r="C1424" s="233" t="str">
        <f>РПЗ!$AA1424</f>
        <v>АО "НИИ "Полюс" им. М.Ф. Стельмаха" тел. отдела закупок 8-495-333-05-02</v>
      </c>
      <c r="D1424" s="633" t="str">
        <f>РПЗ!$AB1424</f>
        <v>Заказчик</v>
      </c>
      <c r="E1424" s="96" t="s">
        <v>46</v>
      </c>
      <c r="F1424" s="233" t="str">
        <f>РПЗ!Q1424</f>
        <v>ЕП</v>
      </c>
      <c r="G1424" s="237"/>
      <c r="H1424" s="237" t="str">
        <f>РПЗ!R1424</f>
        <v>Нет</v>
      </c>
      <c r="I1424" s="15">
        <f>РПЗ!W1424</f>
        <v>0</v>
      </c>
      <c r="J1424" s="233">
        <f>РПЗ!X1424</f>
        <v>0</v>
      </c>
      <c r="K1424" s="283">
        <f>РПЗ!Z1424</f>
        <v>0</v>
      </c>
      <c r="L1424" s="17"/>
      <c r="M1424" s="18">
        <f>РПЗ!O1424</f>
        <v>43040.625</v>
      </c>
      <c r="N1424" s="238">
        <f>Таблица5[[#This Row],[10]]</f>
        <v>43040.625</v>
      </c>
      <c r="O1424" s="17"/>
      <c r="P1424" s="17"/>
      <c r="Q1424" s="17"/>
      <c r="R1424" s="17"/>
      <c r="S1424" s="17"/>
      <c r="T1424" s="686"/>
      <c r="U1424" s="18">
        <f>РПЗ!P1424</f>
        <v>43070.625</v>
      </c>
      <c r="V1424" s="686"/>
      <c r="W1424" s="236">
        <f>РПЗ!L1424</f>
        <v>1279282</v>
      </c>
      <c r="X1424" s="689"/>
      <c r="Y1424" s="689"/>
      <c r="Z1424" s="690"/>
      <c r="AA1424" s="691"/>
      <c r="AB1424" s="111"/>
      <c r="AC1424" s="17"/>
      <c r="AD1424" s="690"/>
      <c r="AE1424" s="686"/>
      <c r="AF1424" s="474"/>
      <c r="AG1424" s="692"/>
      <c r="AH1424" s="236" t="str">
        <f>IF(Таблица5[[#This Row],[30]]=0,"НД",Таблица5[[#This Row],[20]]-Таблица5[[#This Row],[30]])</f>
        <v>НД</v>
      </c>
      <c r="AI1424" s="511" t="str">
        <f>IF(((1-Таблица5[[#This Row],[30]]/Таблица5[[#This Row],[20]])=1),"НД",(1-Таблица5[[#This Row],[30]]/Таблица5[[#This Row],[20]]))</f>
        <v>НД</v>
      </c>
      <c r="AJ1424" s="111"/>
      <c r="AK1424" s="111"/>
      <c r="AL1424" s="512"/>
      <c r="AM1424" s="513"/>
      <c r="AN1424" s="465"/>
      <c r="AO1424" s="468" t="str">
        <f>РПЗ!AD1424</f>
        <v>Нет</v>
      </c>
      <c r="AP1424" s="472">
        <f>РПЗ!V1424</f>
        <v>0</v>
      </c>
      <c r="AQ1424" s="470">
        <f>IF(Таблица5[[#This Row],[11]]=0,,MONTH(Таблица5[[#This Row],[11]]))</f>
        <v>11</v>
      </c>
    </row>
    <row r="1425" spans="1:43" ht="39" thickBot="1" x14ac:dyDescent="0.3">
      <c r="A1425" s="233" t="str">
        <f t="shared" si="22"/>
        <v>1004-2017-1410</v>
      </c>
      <c r="B1425" s="233" t="str">
        <f>РПЗ!$D1425</f>
        <v>1004-2017-1410 Поставка передающий оптический модуль ПОМ-14</v>
      </c>
      <c r="C1425" s="233" t="str">
        <f>РПЗ!$AA1425</f>
        <v>АО "НИИ "Полюс" им. М.Ф. Стельмаха" тел. отдела закупок 8-495-333-05-02</v>
      </c>
      <c r="D1425" s="633" t="str">
        <f>РПЗ!$AB1425</f>
        <v>Заказчик</v>
      </c>
      <c r="E1425" s="510" t="s">
        <v>62</v>
      </c>
      <c r="F1425" s="233" t="str">
        <f>РПЗ!Q1425</f>
        <v>ЕП</v>
      </c>
      <c r="G1425" s="237" t="str">
        <f>Таблица5[[#This Row],[6]]</f>
        <v>ЕП</v>
      </c>
      <c r="H1425" s="237" t="str">
        <f>РПЗ!R1425</f>
        <v>Нет</v>
      </c>
      <c r="I1425" s="15" t="str">
        <f>РПЗ!W1425</f>
        <v>6.6.2(11)</v>
      </c>
      <c r="J1425" s="233" t="str">
        <f>РПЗ!X1425</f>
        <v>7727052043</v>
      </c>
      <c r="K1425" s="283">
        <f>РПЗ!Z1425</f>
        <v>225000</v>
      </c>
      <c r="L1425" s="17">
        <v>43063</v>
      </c>
      <c r="M1425" s="18">
        <f>РПЗ!O1425</f>
        <v>43040.625</v>
      </c>
      <c r="N1425" s="238">
        <f>Таблица5[[#This Row],[10]]</f>
        <v>43040.625</v>
      </c>
      <c r="O1425" s="17"/>
      <c r="P1425" s="17"/>
      <c r="Q1425" s="17"/>
      <c r="R1425" s="17"/>
      <c r="S1425" s="17"/>
      <c r="T1425" s="686">
        <v>43074</v>
      </c>
      <c r="U1425" s="18">
        <f>РПЗ!P1425</f>
        <v>43070.625</v>
      </c>
      <c r="V1425" s="686">
        <v>43070</v>
      </c>
      <c r="W1425" s="236">
        <f>РПЗ!L1425</f>
        <v>225000</v>
      </c>
      <c r="X1425" s="689">
        <v>1</v>
      </c>
      <c r="Y1425" s="689">
        <v>0</v>
      </c>
      <c r="Z1425" s="691">
        <v>7727052043</v>
      </c>
      <c r="AA1425" s="691" t="s">
        <v>8045</v>
      </c>
      <c r="AB1425" s="111">
        <v>225000</v>
      </c>
      <c r="AC1425" s="17">
        <v>43070</v>
      </c>
      <c r="AD1425" s="690" t="s">
        <v>8046</v>
      </c>
      <c r="AE1425" s="686">
        <v>43074</v>
      </c>
      <c r="AF1425" s="474"/>
      <c r="AG1425" s="692">
        <v>225000</v>
      </c>
      <c r="AH1425" s="236">
        <f>IF(Таблица5[[#This Row],[30]]=0,"НД",Таблица5[[#This Row],[20]]-Таблица5[[#This Row],[30]])</f>
        <v>0</v>
      </c>
      <c r="AI1425" s="511">
        <f>IF(((1-Таблица5[[#This Row],[30]]/Таблица5[[#This Row],[20]])=1),"НД",(1-Таблица5[[#This Row],[30]]/Таблица5[[#This Row],[20]]))</f>
        <v>0</v>
      </c>
      <c r="AJ1425" s="111"/>
      <c r="AK1425" s="111"/>
      <c r="AL1425" s="512"/>
      <c r="AM1425" s="513" t="s">
        <v>113</v>
      </c>
      <c r="AN1425" s="801">
        <v>31705799510</v>
      </c>
      <c r="AO1425" s="468" t="str">
        <f>РПЗ!AD1425</f>
        <v>Нет</v>
      </c>
      <c r="AP1425" s="472">
        <f>РПЗ!V1425</f>
        <v>0</v>
      </c>
      <c r="AQ1425" s="470">
        <f>IF(Таблица5[[#This Row],[11]]=0,,MONTH(Таблица5[[#This Row],[11]]))</f>
        <v>11</v>
      </c>
    </row>
    <row r="1426" spans="1:43" ht="38.25" x14ac:dyDescent="0.25">
      <c r="A1426" s="233" t="str">
        <f t="shared" si="22"/>
        <v>1004-2017-1411</v>
      </c>
      <c r="B1426" s="233" t="str">
        <f>РПЗ!$D1426</f>
        <v>1004-2017-1411 Поставка  програмируемый оптический аттенюатор FOD5418</v>
      </c>
      <c r="C1426" s="233" t="str">
        <f>РПЗ!$AA1426</f>
        <v>АО "НИИ "Полюс" им. М.Ф. Стельмаха" тел. отдела закупок 8-495-333-05-02</v>
      </c>
      <c r="D1426" s="633" t="str">
        <f>РПЗ!$AB1426</f>
        <v>Заказчик</v>
      </c>
      <c r="E1426" s="96" t="s">
        <v>46</v>
      </c>
      <c r="F1426" s="233" t="str">
        <f>РПЗ!Q1426</f>
        <v>ЕП</v>
      </c>
      <c r="G1426" s="237"/>
      <c r="H1426" s="237" t="str">
        <f>РПЗ!R1426</f>
        <v>Нет</v>
      </c>
      <c r="I1426" s="15">
        <f>РПЗ!W1426</f>
        <v>0</v>
      </c>
      <c r="J1426" s="233">
        <f>РПЗ!X1426</f>
        <v>0</v>
      </c>
      <c r="K1426" s="283">
        <f>РПЗ!Z1426</f>
        <v>0</v>
      </c>
      <c r="L1426" s="17"/>
      <c r="M1426" s="18">
        <f>РПЗ!O1426</f>
        <v>43040.625</v>
      </c>
      <c r="N1426" s="238">
        <f>Таблица5[[#This Row],[10]]</f>
        <v>43040.625</v>
      </c>
      <c r="O1426" s="17"/>
      <c r="P1426" s="17"/>
      <c r="Q1426" s="17"/>
      <c r="R1426" s="17"/>
      <c r="S1426" s="17"/>
      <c r="T1426" s="686"/>
      <c r="U1426" s="18">
        <f>РПЗ!P1426</f>
        <v>43070.625</v>
      </c>
      <c r="V1426" s="686"/>
      <c r="W1426" s="236">
        <f>РПЗ!L1426</f>
        <v>1776574</v>
      </c>
      <c r="X1426" s="689"/>
      <c r="Y1426" s="689"/>
      <c r="Z1426" s="690"/>
      <c r="AA1426" s="691"/>
      <c r="AB1426" s="111"/>
      <c r="AC1426" s="17"/>
      <c r="AD1426" s="690"/>
      <c r="AE1426" s="686"/>
      <c r="AF1426" s="474"/>
      <c r="AG1426" s="692"/>
      <c r="AH1426" s="236" t="str">
        <f>IF(Таблица5[[#This Row],[30]]=0,"НД",Таблица5[[#This Row],[20]]-Таблица5[[#This Row],[30]])</f>
        <v>НД</v>
      </c>
      <c r="AI1426" s="511" t="str">
        <f>IF(((1-Таблица5[[#This Row],[30]]/Таблица5[[#This Row],[20]])=1),"НД",(1-Таблица5[[#This Row],[30]]/Таблица5[[#This Row],[20]]))</f>
        <v>НД</v>
      </c>
      <c r="AJ1426" s="111"/>
      <c r="AK1426" s="111"/>
      <c r="AL1426" s="512"/>
      <c r="AM1426" s="513"/>
      <c r="AN1426" s="465"/>
      <c r="AO1426" s="468" t="str">
        <f>РПЗ!AD1426</f>
        <v>Нет</v>
      </c>
      <c r="AP1426" s="472">
        <f>РПЗ!V1426</f>
        <v>0</v>
      </c>
      <c r="AQ1426" s="470">
        <f>IF(Таблица5[[#This Row],[11]]=0,,MONTH(Таблица5[[#This Row],[11]]))</f>
        <v>11</v>
      </c>
    </row>
    <row r="1427" spans="1:43" ht="38.25" x14ac:dyDescent="0.25">
      <c r="A1427" s="233" t="str">
        <f t="shared" si="22"/>
        <v>1004-2017-1412</v>
      </c>
      <c r="B1427" s="233" t="str">
        <f>РПЗ!$D1427</f>
        <v>1004-2017-1412 поставка комплектующих материалов для изготовления УФ установки</v>
      </c>
      <c r="C1427" s="233" t="str">
        <f>РПЗ!$AA1427</f>
        <v>АО "НИИ "Полюс" им. М.Ф. Стельмаха" тел. отдела закупок 8-495-333-05-02</v>
      </c>
      <c r="D1427" s="633" t="str">
        <f>РПЗ!$AB1427</f>
        <v>Заказчик</v>
      </c>
      <c r="E1427" s="510" t="s">
        <v>62</v>
      </c>
      <c r="F1427" s="233" t="str">
        <f>РПЗ!Q1427</f>
        <v>ОЗК</v>
      </c>
      <c r="G1427" s="237" t="str">
        <f>Таблица5[[#This Row],[6]]</f>
        <v>ОЗК</v>
      </c>
      <c r="H1427" s="237" t="str">
        <f>РПЗ!R1427</f>
        <v>Да</v>
      </c>
      <c r="I1427" s="15">
        <f>РПЗ!W1427</f>
        <v>0</v>
      </c>
      <c r="J1427" s="233">
        <f>РПЗ!X1427</f>
        <v>0</v>
      </c>
      <c r="K1427" s="283">
        <f>РПЗ!Z1427</f>
        <v>0</v>
      </c>
      <c r="L1427" s="17">
        <v>43048</v>
      </c>
      <c r="M1427" s="18">
        <f>РПЗ!O1427</f>
        <v>43040.625</v>
      </c>
      <c r="N1427" s="238">
        <f>Таблица5[[#This Row],[10]]</f>
        <v>43040.625</v>
      </c>
      <c r="O1427" s="17">
        <v>43055</v>
      </c>
      <c r="P1427" s="17">
        <v>43060</v>
      </c>
      <c r="Q1427" s="17">
        <v>43060</v>
      </c>
      <c r="R1427" s="17">
        <v>43055</v>
      </c>
      <c r="S1427" s="17">
        <v>43055</v>
      </c>
      <c r="T1427" s="686">
        <v>43066</v>
      </c>
      <c r="U1427" s="18">
        <f>РПЗ!P1427</f>
        <v>43070.625</v>
      </c>
      <c r="V1427" s="686">
        <v>43089</v>
      </c>
      <c r="W1427" s="236">
        <f>РПЗ!L1427</f>
        <v>1467186.33</v>
      </c>
      <c r="X1427" s="689">
        <v>2</v>
      </c>
      <c r="Y1427" s="689">
        <v>0</v>
      </c>
      <c r="Z1427" s="691">
        <v>7722381372</v>
      </c>
      <c r="AA1427" s="691" t="s">
        <v>8134</v>
      </c>
      <c r="AB1427" s="111">
        <v>1388990</v>
      </c>
      <c r="AC1427" s="17">
        <v>43089</v>
      </c>
      <c r="AD1427" s="690" t="s">
        <v>8135</v>
      </c>
      <c r="AE1427" s="686">
        <v>43066</v>
      </c>
      <c r="AF1427" s="474"/>
      <c r="AG1427" s="692">
        <v>1388990</v>
      </c>
      <c r="AH1427" s="236">
        <f>IF(Таблица5[[#This Row],[30]]=0,"НД",Таблица5[[#This Row],[20]]-Таблица5[[#This Row],[30]])</f>
        <v>78196.330000000075</v>
      </c>
      <c r="AI1427" s="511">
        <f>IF(((1-Таблица5[[#This Row],[30]]/Таблица5[[#This Row],[20]])=1),"НД",(1-Таблица5[[#This Row],[30]]/Таблица5[[#This Row],[20]]))</f>
        <v>5.3296795642854722E-2</v>
      </c>
      <c r="AJ1427" s="111"/>
      <c r="AK1427" s="111">
        <v>1388990</v>
      </c>
      <c r="AL1427" s="512"/>
      <c r="AM1427" s="513" t="s">
        <v>113</v>
      </c>
      <c r="AN1427" s="801">
        <v>31705717579</v>
      </c>
      <c r="AO1427" s="468" t="str">
        <f>РПЗ!AD1427</f>
        <v>Нет</v>
      </c>
      <c r="AP1427" s="472">
        <f>РПЗ!V1427</f>
        <v>0</v>
      </c>
      <c r="AQ1427" s="470">
        <f>IF(Таблица5[[#This Row],[11]]=0,,MONTH(Таблица5[[#This Row],[11]]))</f>
        <v>11</v>
      </c>
    </row>
    <row r="1428" spans="1:43" ht="51" x14ac:dyDescent="0.25">
      <c r="A1428" s="233" t="str">
        <f t="shared" si="22"/>
        <v>1004-2017-1413</v>
      </c>
      <c r="B1428" s="233" t="str">
        <f>РПЗ!$D1428</f>
        <v xml:space="preserve">1004-2017-1413 поставка высоковакуумной системы </v>
      </c>
      <c r="C1428" s="233" t="str">
        <f>РПЗ!$AA1428</f>
        <v>АО "НИИ "Полюс" им. М.Ф. Стельмаха" тел. отдела закупок 8-495-333-05-02</v>
      </c>
      <c r="D1428" s="633" t="str">
        <f>РПЗ!$AB1428</f>
        <v>Заказчик</v>
      </c>
      <c r="E1428" s="510" t="s">
        <v>62</v>
      </c>
      <c r="F1428" s="233" t="str">
        <f>РПЗ!Q1428</f>
        <v>ОЗК</v>
      </c>
      <c r="G1428" s="237" t="str">
        <f>Таблица5[[#This Row],[6]]</f>
        <v>ОЗК</v>
      </c>
      <c r="H1428" s="237" t="str">
        <f>РПЗ!R1428</f>
        <v>Да</v>
      </c>
      <c r="I1428" s="15">
        <f>РПЗ!W1428</f>
        <v>0</v>
      </c>
      <c r="J1428" s="233">
        <f>РПЗ!X1428</f>
        <v>0</v>
      </c>
      <c r="K1428" s="283">
        <f>РПЗ!Z1428</f>
        <v>0</v>
      </c>
      <c r="L1428" s="17">
        <v>43047</v>
      </c>
      <c r="M1428" s="18">
        <f>РПЗ!O1428</f>
        <v>43040.625</v>
      </c>
      <c r="N1428" s="238">
        <f>Таблица5[[#This Row],[10]]</f>
        <v>43040.625</v>
      </c>
      <c r="O1428" s="17">
        <v>43054</v>
      </c>
      <c r="P1428" s="17">
        <v>43059</v>
      </c>
      <c r="Q1428" s="17">
        <v>43059</v>
      </c>
      <c r="R1428" s="17">
        <v>43055</v>
      </c>
      <c r="S1428" s="17">
        <v>43055</v>
      </c>
      <c r="T1428" s="686">
        <v>43066</v>
      </c>
      <c r="U1428" s="18">
        <f>РПЗ!P1428</f>
        <v>43070.625</v>
      </c>
      <c r="V1428" s="686">
        <v>43089</v>
      </c>
      <c r="W1428" s="236">
        <f>РПЗ!L1428</f>
        <v>1051550</v>
      </c>
      <c r="X1428" s="689">
        <v>3</v>
      </c>
      <c r="Y1428" s="689">
        <v>0</v>
      </c>
      <c r="Z1428" s="691">
        <v>7717740996</v>
      </c>
      <c r="AA1428" s="691" t="s">
        <v>8137</v>
      </c>
      <c r="AB1428" s="111">
        <v>943970.16</v>
      </c>
      <c r="AC1428" s="17">
        <v>43089</v>
      </c>
      <c r="AD1428" s="690" t="s">
        <v>8138</v>
      </c>
      <c r="AE1428" s="686">
        <v>43066</v>
      </c>
      <c r="AF1428" s="474"/>
      <c r="AG1428" s="692">
        <v>943970.16</v>
      </c>
      <c r="AH1428" s="236">
        <f>IF(Таблица5[[#This Row],[30]]=0,"НД",Таблица5[[#This Row],[20]]-Таблица5[[#This Row],[30]])</f>
        <v>107579.83999999997</v>
      </c>
      <c r="AI1428" s="511">
        <f>IF(((1-Таблица5[[#This Row],[30]]/Таблица5[[#This Row],[20]])=1),"НД",(1-Таблица5[[#This Row],[30]]/Таблица5[[#This Row],[20]]))</f>
        <v>0.10230596738148445</v>
      </c>
      <c r="AJ1428" s="111"/>
      <c r="AK1428" s="111">
        <v>943970.16</v>
      </c>
      <c r="AL1428" s="512"/>
      <c r="AM1428" s="513" t="s">
        <v>113</v>
      </c>
      <c r="AN1428" s="801">
        <v>31705713472</v>
      </c>
      <c r="AO1428" s="468" t="str">
        <f>РПЗ!AD1428</f>
        <v>Нет</v>
      </c>
      <c r="AP1428" s="472">
        <f>РПЗ!V1428</f>
        <v>0</v>
      </c>
      <c r="AQ1428" s="470">
        <f>IF(Таблица5[[#This Row],[11]]=0,,MONTH(Таблица5[[#This Row],[11]]))</f>
        <v>11</v>
      </c>
    </row>
    <row r="1429" spans="1:43" ht="38.25" x14ac:dyDescent="0.25">
      <c r="A1429" s="233" t="str">
        <f t="shared" si="22"/>
        <v>1004-2017-1414</v>
      </c>
      <c r="B1429" s="233" t="str">
        <f>РПЗ!$D1429</f>
        <v>1004-2017-1414 Поставка  комплектующие для установки УФ интерференционной профиломитрии</v>
      </c>
      <c r="C1429" s="233" t="str">
        <f>РПЗ!$AA1429</f>
        <v>АО "НИИ "Полюс" им. М.Ф. Стельмаха" тел. отдела закупок 8-495-333-05-02</v>
      </c>
      <c r="D1429" s="633" t="str">
        <f>РПЗ!$AB1429</f>
        <v>Заказчик</v>
      </c>
      <c r="E1429" s="510" t="s">
        <v>62</v>
      </c>
      <c r="F1429" s="233" t="str">
        <f>РПЗ!Q1429</f>
        <v>ОЗК</v>
      </c>
      <c r="G1429" s="237" t="str">
        <f>Таблица5[[#This Row],[6]]</f>
        <v>ОЗК</v>
      </c>
      <c r="H1429" s="237" t="str">
        <f>РПЗ!R1429</f>
        <v>Да</v>
      </c>
      <c r="I1429" s="15">
        <f>РПЗ!W1429</f>
        <v>0</v>
      </c>
      <c r="J1429" s="233">
        <f>РПЗ!X1429</f>
        <v>0</v>
      </c>
      <c r="K1429" s="283">
        <f>РПЗ!Z1429</f>
        <v>0</v>
      </c>
      <c r="L1429" s="17">
        <v>43046</v>
      </c>
      <c r="M1429" s="18">
        <f>РПЗ!O1429</f>
        <v>43040.625</v>
      </c>
      <c r="N1429" s="238">
        <f>Таблица5[[#This Row],[10]]</f>
        <v>43040.625</v>
      </c>
      <c r="O1429" s="17">
        <v>43053</v>
      </c>
      <c r="P1429" s="17">
        <v>43056</v>
      </c>
      <c r="Q1429" s="17">
        <v>43056</v>
      </c>
      <c r="R1429" s="17">
        <v>43055</v>
      </c>
      <c r="S1429" s="17">
        <v>43055</v>
      </c>
      <c r="T1429" s="686">
        <v>43067</v>
      </c>
      <c r="U1429" s="18">
        <f>РПЗ!P1429</f>
        <v>43070.625</v>
      </c>
      <c r="V1429" s="686">
        <v>43143</v>
      </c>
      <c r="W1429" s="236">
        <f>РПЗ!L1429</f>
        <v>1078049.18</v>
      </c>
      <c r="X1429" s="689">
        <v>2</v>
      </c>
      <c r="Y1429" s="689">
        <v>0</v>
      </c>
      <c r="Z1429" s="691">
        <v>7840422875</v>
      </c>
      <c r="AA1429" s="691" t="s">
        <v>6044</v>
      </c>
      <c r="AB1429" s="111">
        <v>869584.23</v>
      </c>
      <c r="AC1429" s="17">
        <v>43143</v>
      </c>
      <c r="AD1429" s="690" t="s">
        <v>8145</v>
      </c>
      <c r="AE1429" s="686">
        <v>43067</v>
      </c>
      <c r="AF1429" s="474"/>
      <c r="AG1429" s="692">
        <v>869584.23</v>
      </c>
      <c r="AH1429" s="236">
        <f>IF(Таблица5[[#This Row],[30]]=0,"НД",Таблица5[[#This Row],[20]]-Таблица5[[#This Row],[30]])</f>
        <v>208464.94999999995</v>
      </c>
      <c r="AI1429" s="511">
        <f>IF(((1-Таблица5[[#This Row],[30]]/Таблица5[[#This Row],[20]])=1),"НД",(1-Таблица5[[#This Row],[30]]/Таблица5[[#This Row],[20]]))</f>
        <v>0.19337239327059264</v>
      </c>
      <c r="AJ1429" s="111"/>
      <c r="AK1429" s="111">
        <v>869584.23</v>
      </c>
      <c r="AL1429" s="512"/>
      <c r="AM1429" s="513" t="s">
        <v>113</v>
      </c>
      <c r="AN1429" s="801">
        <v>31705710947</v>
      </c>
      <c r="AO1429" s="468" t="str">
        <f>РПЗ!AD1429</f>
        <v>Нет</v>
      </c>
      <c r="AP1429" s="472">
        <f>РПЗ!V1429</f>
        <v>0</v>
      </c>
      <c r="AQ1429" s="470">
        <f>IF(Таблица5[[#This Row],[11]]=0,,MONTH(Таблица5[[#This Row],[11]]))</f>
        <v>11</v>
      </c>
    </row>
    <row r="1430" spans="1:43" ht="39" thickBot="1" x14ac:dyDescent="0.3">
      <c r="A1430" s="233" t="str">
        <f t="shared" si="22"/>
        <v>1004-2017-1415</v>
      </c>
      <c r="B1430" s="233" t="str">
        <f>РПЗ!$D1430</f>
        <v>1004-2017-1415 поставка газового лазера ГКЛ-10У(И)</v>
      </c>
      <c r="C1430" s="233" t="str">
        <f>РПЗ!$AA1430</f>
        <v>АО "НИИ "Полюс" им. М.Ф. Стельмаха" тел. отдела закупок 8-495-333-05-02</v>
      </c>
      <c r="D1430" s="633" t="str">
        <f>РПЗ!$AB1430</f>
        <v>Заказчик</v>
      </c>
      <c r="E1430" s="510" t="s">
        <v>62</v>
      </c>
      <c r="F1430" s="233" t="str">
        <f>РПЗ!Q1430</f>
        <v>ОЗК</v>
      </c>
      <c r="G1430" s="237" t="str">
        <f>Таблица5[[#This Row],[6]]</f>
        <v>ОЗК</v>
      </c>
      <c r="H1430" s="237" t="str">
        <f>РПЗ!R1430</f>
        <v>Да</v>
      </c>
      <c r="I1430" s="15">
        <f>РПЗ!W1430</f>
        <v>0</v>
      </c>
      <c r="J1430" s="233">
        <f>РПЗ!X1430</f>
        <v>0</v>
      </c>
      <c r="K1430" s="283">
        <f>РПЗ!Z1430</f>
        <v>0</v>
      </c>
      <c r="L1430" s="17">
        <v>43041</v>
      </c>
      <c r="M1430" s="18">
        <f>РПЗ!O1430</f>
        <v>43040.625</v>
      </c>
      <c r="N1430" s="238">
        <f>Таблица5[[#This Row],[10]]</f>
        <v>43040.625</v>
      </c>
      <c r="O1430" s="17">
        <v>43048</v>
      </c>
      <c r="P1430" s="17">
        <v>43053</v>
      </c>
      <c r="Q1430" s="17">
        <v>43053</v>
      </c>
      <c r="R1430" s="17">
        <v>43048</v>
      </c>
      <c r="S1430" s="17">
        <v>43048</v>
      </c>
      <c r="T1430" s="686">
        <v>43062</v>
      </c>
      <c r="U1430" s="18">
        <f>РПЗ!P1430</f>
        <v>43070.625</v>
      </c>
      <c r="V1430" s="686">
        <v>43174</v>
      </c>
      <c r="W1430" s="236">
        <f>РПЗ!L1430</f>
        <v>803955.63</v>
      </c>
      <c r="X1430" s="689">
        <v>1</v>
      </c>
      <c r="Y1430" s="689">
        <v>0</v>
      </c>
      <c r="Z1430" s="691">
        <v>6230005886</v>
      </c>
      <c r="AA1430" s="691" t="s">
        <v>6005</v>
      </c>
      <c r="AB1430" s="111">
        <v>767271.4</v>
      </c>
      <c r="AC1430" s="17">
        <v>43174</v>
      </c>
      <c r="AD1430" s="690" t="s">
        <v>8146</v>
      </c>
      <c r="AE1430" s="686">
        <v>43062</v>
      </c>
      <c r="AF1430" s="474"/>
      <c r="AG1430" s="692">
        <v>767271.4</v>
      </c>
      <c r="AH1430" s="236">
        <f>IF(Таблица5[[#This Row],[30]]=0,"НД",Таблица5[[#This Row],[20]]-Таблица5[[#This Row],[30]])</f>
        <v>36684.229999999981</v>
      </c>
      <c r="AI1430" s="511">
        <f>IF(((1-Таблица5[[#This Row],[30]]/Таблица5[[#This Row],[20]])=1),"НД",(1-Таблица5[[#This Row],[30]]/Таблица5[[#This Row],[20]]))</f>
        <v>4.5629669886135371E-2</v>
      </c>
      <c r="AJ1430" s="111"/>
      <c r="AK1430" s="111"/>
      <c r="AL1430" s="512"/>
      <c r="AM1430" s="513" t="s">
        <v>113</v>
      </c>
      <c r="AN1430" s="801">
        <v>31705697841</v>
      </c>
      <c r="AO1430" s="468" t="str">
        <f>РПЗ!AD1430</f>
        <v>Нет</v>
      </c>
      <c r="AP1430" s="472">
        <f>РПЗ!V1430</f>
        <v>0</v>
      </c>
      <c r="AQ1430" s="470">
        <f>IF(Таблица5[[#This Row],[11]]=0,,MONTH(Таблица5[[#This Row],[11]]))</f>
        <v>11</v>
      </c>
    </row>
    <row r="1431" spans="1:43" ht="38.25" x14ac:dyDescent="0.25">
      <c r="A1431" s="233" t="str">
        <f t="shared" si="22"/>
        <v>1004-2017-1416</v>
      </c>
      <c r="B1431" s="233" t="str">
        <f>РПЗ!$D1431</f>
        <v>1004-2017-1416 поставка лабораторного оборудования и лабораторной мебели </v>
      </c>
      <c r="C1431" s="233" t="str">
        <f>РПЗ!$AA1431</f>
        <v>АО "НИИ "Полюс" им. М.Ф. Стельмаха" тел. отдела закупок 8-495-333-05-02</v>
      </c>
      <c r="D1431" s="633" t="str">
        <f>РПЗ!$AB1431</f>
        <v>Заказчик</v>
      </c>
      <c r="E1431" s="96" t="s">
        <v>46</v>
      </c>
      <c r="F1431" s="233" t="str">
        <f>РПЗ!Q1431</f>
        <v>ОЗК</v>
      </c>
      <c r="G1431" s="237"/>
      <c r="H1431" s="237" t="str">
        <f>РПЗ!R1431</f>
        <v>Да</v>
      </c>
      <c r="I1431" s="15">
        <f>РПЗ!W1431</f>
        <v>0</v>
      </c>
      <c r="J1431" s="233">
        <f>РПЗ!X1431</f>
        <v>0</v>
      </c>
      <c r="K1431" s="283">
        <f>РПЗ!Z1431</f>
        <v>0</v>
      </c>
      <c r="L1431" s="17"/>
      <c r="M1431" s="18">
        <f>РПЗ!O1431</f>
        <v>43040.625</v>
      </c>
      <c r="N1431" s="238">
        <f>Таблица5[[#This Row],[10]]</f>
        <v>43040.625</v>
      </c>
      <c r="O1431" s="17"/>
      <c r="P1431" s="17"/>
      <c r="Q1431" s="17"/>
      <c r="R1431" s="17"/>
      <c r="S1431" s="17"/>
      <c r="T1431" s="686"/>
      <c r="U1431" s="18">
        <f>РПЗ!P1431</f>
        <v>43160.625</v>
      </c>
      <c r="V1431" s="686"/>
      <c r="W1431" s="236">
        <f>РПЗ!L1431</f>
        <v>4168184.15</v>
      </c>
      <c r="X1431" s="689"/>
      <c r="Y1431" s="689"/>
      <c r="Z1431" s="690"/>
      <c r="AA1431" s="691"/>
      <c r="AB1431" s="111"/>
      <c r="AC1431" s="17"/>
      <c r="AD1431" s="690"/>
      <c r="AE1431" s="686"/>
      <c r="AF1431" s="474"/>
      <c r="AG1431" s="692"/>
      <c r="AH1431" s="236" t="str">
        <f>IF(Таблица5[[#This Row],[30]]=0,"НД",Таблица5[[#This Row],[20]]-Таблица5[[#This Row],[30]])</f>
        <v>НД</v>
      </c>
      <c r="AI1431" s="511" t="str">
        <f>IF(((1-Таблица5[[#This Row],[30]]/Таблица5[[#This Row],[20]])=1),"НД",(1-Таблица5[[#This Row],[30]]/Таблица5[[#This Row],[20]]))</f>
        <v>НД</v>
      </c>
      <c r="AJ1431" s="111"/>
      <c r="AK1431" s="111"/>
      <c r="AL1431" s="512"/>
      <c r="AM1431" s="513"/>
      <c r="AN1431" s="465"/>
      <c r="AO1431" s="468" t="str">
        <f>РПЗ!AD1431</f>
        <v>Нет</v>
      </c>
      <c r="AP1431" s="472">
        <f>РПЗ!V1431</f>
        <v>0</v>
      </c>
      <c r="AQ1431" s="470">
        <f>IF(Таблица5[[#This Row],[11]]=0,,MONTH(Таблица5[[#This Row],[11]]))</f>
        <v>11</v>
      </c>
    </row>
    <row r="1432" spans="1:43" ht="39" thickBot="1" x14ac:dyDescent="0.3">
      <c r="A1432" s="233" t="str">
        <f t="shared" si="22"/>
        <v>1004-2017-1417</v>
      </c>
      <c r="B1432" s="233" t="str">
        <f>РПЗ!$D1432</f>
        <v>1004-2017-1417 Поставка  Электротехнические изделия - 1 комплект</v>
      </c>
      <c r="C1432" s="233" t="str">
        <f>РПЗ!$AA1432</f>
        <v>АО "НИИ "Полюс" им. М.Ф. Стельмаха" тел. отдела закупок 8-495-333-05-02</v>
      </c>
      <c r="D1432" s="633" t="str">
        <f>РПЗ!$AB1432</f>
        <v>Заказчик</v>
      </c>
      <c r="E1432" s="510" t="s">
        <v>62</v>
      </c>
      <c r="F1432" s="233" t="str">
        <f>РПЗ!Q1432</f>
        <v>ОЗК</v>
      </c>
      <c r="G1432" s="237" t="str">
        <f>Таблица5[[#This Row],[6]]</f>
        <v>ОЗК</v>
      </c>
      <c r="H1432" s="237" t="str">
        <f>РПЗ!R1432</f>
        <v>Да</v>
      </c>
      <c r="I1432" s="15">
        <f>РПЗ!W1432</f>
        <v>0</v>
      </c>
      <c r="J1432" s="233">
        <f>РПЗ!X1432</f>
        <v>0</v>
      </c>
      <c r="K1432" s="283">
        <f>РПЗ!Z1432</f>
        <v>0</v>
      </c>
      <c r="L1432" s="17">
        <v>43052</v>
      </c>
      <c r="M1432" s="18">
        <f>РПЗ!O1432</f>
        <v>43040.625</v>
      </c>
      <c r="N1432" s="238">
        <f>Таблица5[[#This Row],[10]]</f>
        <v>43040.625</v>
      </c>
      <c r="O1432" s="17">
        <v>43060</v>
      </c>
      <c r="P1432" s="17">
        <v>43062</v>
      </c>
      <c r="Q1432" s="17">
        <v>43062</v>
      </c>
      <c r="R1432" s="17">
        <v>43061</v>
      </c>
      <c r="S1432" s="17">
        <v>43061</v>
      </c>
      <c r="T1432" s="686">
        <v>43073</v>
      </c>
      <c r="U1432" s="18">
        <f>РПЗ!P1432</f>
        <v>43070.625</v>
      </c>
      <c r="V1432" s="686">
        <v>43100</v>
      </c>
      <c r="W1432" s="236">
        <f>РПЗ!L1432</f>
        <v>732529.52</v>
      </c>
      <c r="X1432" s="689">
        <v>12</v>
      </c>
      <c r="Y1432" s="689">
        <v>0</v>
      </c>
      <c r="Z1432" s="691">
        <v>7611019167</v>
      </c>
      <c r="AA1432" s="691" t="s">
        <v>8123</v>
      </c>
      <c r="AB1432" s="111">
        <v>533756.32999999996</v>
      </c>
      <c r="AC1432" s="17">
        <v>43100</v>
      </c>
      <c r="AD1432" s="690" t="s">
        <v>8124</v>
      </c>
      <c r="AE1432" s="686">
        <v>43073</v>
      </c>
      <c r="AF1432" s="474"/>
      <c r="AG1432" s="692">
        <v>533756.32999999996</v>
      </c>
      <c r="AH1432" s="236">
        <f>IF(Таблица5[[#This Row],[30]]=0,"НД",Таблица5[[#This Row],[20]]-Таблица5[[#This Row],[30]])</f>
        <v>198773.19000000006</v>
      </c>
      <c r="AI1432" s="511">
        <f>IF(((1-Таблица5[[#This Row],[30]]/Таблица5[[#This Row],[20]])=1),"НД",(1-Таблица5[[#This Row],[30]]/Таблица5[[#This Row],[20]]))</f>
        <v>0.27135178115415748</v>
      </c>
      <c r="AJ1432" s="111"/>
      <c r="AK1432" s="111">
        <v>533756.32999999996</v>
      </c>
      <c r="AL1432" s="512"/>
      <c r="AM1432" s="513" t="s">
        <v>113</v>
      </c>
      <c r="AN1432" s="801">
        <v>31705728558</v>
      </c>
      <c r="AO1432" s="468" t="str">
        <f>РПЗ!AD1432</f>
        <v>Нет</v>
      </c>
      <c r="AP1432" s="472">
        <f>РПЗ!V1432</f>
        <v>0</v>
      </c>
      <c r="AQ1432" s="470">
        <f>IF(Таблица5[[#This Row],[11]]=0,,MONTH(Таблица5[[#This Row],[11]]))</f>
        <v>11</v>
      </c>
    </row>
    <row r="1433" spans="1:43" ht="39" thickBot="1" x14ac:dyDescent="0.3">
      <c r="A1433" s="233" t="str">
        <f t="shared" si="22"/>
        <v>1004-2017-1418</v>
      </c>
      <c r="B1433" s="233" t="str">
        <f>РПЗ!$D1433</f>
        <v>1004-2017-1418 Поставка  Канцелярские товары</v>
      </c>
      <c r="C1433" s="233" t="str">
        <f>РПЗ!$AA1433</f>
        <v>АО "НИИ "Полюс" им. М.Ф. Стельмаха" тел. отдела закупок 8-495-333-05-02</v>
      </c>
      <c r="D1433" s="633" t="str">
        <f>РПЗ!$AB1433</f>
        <v>Заказчик</v>
      </c>
      <c r="E1433" s="96" t="s">
        <v>46</v>
      </c>
      <c r="F1433" s="233" t="str">
        <f>РПЗ!Q1433</f>
        <v>ЕП</v>
      </c>
      <c r="G1433" s="237"/>
      <c r="H1433" s="237" t="str">
        <f>РПЗ!R1433</f>
        <v>Нет</v>
      </c>
      <c r="I1433" s="15">
        <f>РПЗ!W1433</f>
        <v>0</v>
      </c>
      <c r="J1433" s="233">
        <f>РПЗ!X1433</f>
        <v>0</v>
      </c>
      <c r="K1433" s="283">
        <f>РПЗ!Z1433</f>
        <v>0</v>
      </c>
      <c r="L1433" s="17"/>
      <c r="M1433" s="18">
        <f>РПЗ!O1433</f>
        <v>43040.625</v>
      </c>
      <c r="N1433" s="238">
        <f>Таблица5[[#This Row],[10]]</f>
        <v>43040.625</v>
      </c>
      <c r="O1433" s="17"/>
      <c r="P1433" s="17"/>
      <c r="Q1433" s="17"/>
      <c r="R1433" s="17"/>
      <c r="S1433" s="17"/>
      <c r="T1433" s="686"/>
      <c r="U1433" s="18">
        <f>РПЗ!P1433</f>
        <v>43070.625</v>
      </c>
      <c r="V1433" s="686"/>
      <c r="W1433" s="236">
        <f>РПЗ!L1433</f>
        <v>733113</v>
      </c>
      <c r="X1433" s="689"/>
      <c r="Y1433" s="689"/>
      <c r="Z1433" s="690"/>
      <c r="AA1433" s="691"/>
      <c r="AB1433" s="111"/>
      <c r="AC1433" s="17"/>
      <c r="AD1433" s="690"/>
      <c r="AE1433" s="686"/>
      <c r="AF1433" s="474"/>
      <c r="AG1433" s="692"/>
      <c r="AH1433" s="236" t="str">
        <f>IF(Таблица5[[#This Row],[30]]=0,"НД",Таблица5[[#This Row],[20]]-Таблица5[[#This Row],[30]])</f>
        <v>НД</v>
      </c>
      <c r="AI1433" s="511" t="str">
        <f>IF(((1-Таблица5[[#This Row],[30]]/Таблица5[[#This Row],[20]])=1),"НД",(1-Таблица5[[#This Row],[30]]/Таблица5[[#This Row],[20]]))</f>
        <v>НД</v>
      </c>
      <c r="AJ1433" s="111"/>
      <c r="AK1433" s="111"/>
      <c r="AL1433" s="512"/>
      <c r="AM1433" s="513"/>
      <c r="AN1433" s="465"/>
      <c r="AO1433" s="468" t="str">
        <f>РПЗ!AD1433</f>
        <v>Нет</v>
      </c>
      <c r="AP1433" s="472">
        <f>РПЗ!V1433</f>
        <v>0</v>
      </c>
      <c r="AQ1433" s="470">
        <f>IF(Таблица5[[#This Row],[11]]=0,,MONTH(Таблица5[[#This Row],[11]]))</f>
        <v>11</v>
      </c>
    </row>
    <row r="1434" spans="1:43" ht="38.25" x14ac:dyDescent="0.25">
      <c r="A1434" s="233" t="str">
        <f t="shared" si="22"/>
        <v>1004-2017-1419</v>
      </c>
      <c r="B1434" s="233" t="str">
        <f>РПЗ!$D1434</f>
        <v>1004-2017-1419 Поставка  конденсаторы</v>
      </c>
      <c r="C1434" s="233" t="str">
        <f>РПЗ!$AA1434</f>
        <v>АО "НИИ "Полюс" им. М.Ф. Стельмаха" тел. отдела закупок 8-495-333-05-02</v>
      </c>
      <c r="D1434" s="633" t="str">
        <f>РПЗ!$AB1434</f>
        <v>Заказчик</v>
      </c>
      <c r="E1434" s="96" t="s">
        <v>46</v>
      </c>
      <c r="F1434" s="233" t="str">
        <f>РПЗ!Q1434</f>
        <v>ЕП</v>
      </c>
      <c r="G1434" s="237"/>
      <c r="H1434" s="237" t="str">
        <f>РПЗ!R1434</f>
        <v>Нет</v>
      </c>
      <c r="I1434" s="15">
        <f>РПЗ!W1434</f>
        <v>0</v>
      </c>
      <c r="J1434" s="233">
        <f>РПЗ!X1434</f>
        <v>0</v>
      </c>
      <c r="K1434" s="283">
        <f>РПЗ!Z1434</f>
        <v>0</v>
      </c>
      <c r="L1434" s="17"/>
      <c r="M1434" s="18">
        <f>РПЗ!O1434</f>
        <v>43040.625</v>
      </c>
      <c r="N1434" s="238">
        <f>Таблица5[[#This Row],[10]]</f>
        <v>43040.625</v>
      </c>
      <c r="O1434" s="17"/>
      <c r="P1434" s="17"/>
      <c r="Q1434" s="17"/>
      <c r="R1434" s="17"/>
      <c r="S1434" s="17"/>
      <c r="T1434" s="686"/>
      <c r="U1434" s="18">
        <f>РПЗ!P1434</f>
        <v>43070.625</v>
      </c>
      <c r="V1434" s="686"/>
      <c r="W1434" s="236">
        <f>РПЗ!L1434</f>
        <v>417000</v>
      </c>
      <c r="X1434" s="689"/>
      <c r="Y1434" s="689"/>
      <c r="Z1434" s="690"/>
      <c r="AA1434" s="691"/>
      <c r="AB1434" s="111"/>
      <c r="AC1434" s="17"/>
      <c r="AD1434" s="690"/>
      <c r="AE1434" s="686"/>
      <c r="AF1434" s="474"/>
      <c r="AG1434" s="692"/>
      <c r="AH1434" s="236" t="str">
        <f>IF(Таблица5[[#This Row],[30]]=0,"НД",Таблица5[[#This Row],[20]]-Таблица5[[#This Row],[30]])</f>
        <v>НД</v>
      </c>
      <c r="AI1434" s="511" t="str">
        <f>IF(((1-Таблица5[[#This Row],[30]]/Таблица5[[#This Row],[20]])=1),"НД",(1-Таблица5[[#This Row],[30]]/Таблица5[[#This Row],[20]]))</f>
        <v>НД</v>
      </c>
      <c r="AJ1434" s="111"/>
      <c r="AK1434" s="111"/>
      <c r="AL1434" s="512"/>
      <c r="AM1434" s="513"/>
      <c r="AN1434" s="465"/>
      <c r="AO1434" s="468" t="str">
        <f>РПЗ!AD1434</f>
        <v>Нет</v>
      </c>
      <c r="AP1434" s="472">
        <f>РПЗ!V1434</f>
        <v>0</v>
      </c>
      <c r="AQ1434" s="470">
        <f>IF(Таблица5[[#This Row],[11]]=0,,MONTH(Таблица5[[#This Row],[11]]))</f>
        <v>11</v>
      </c>
    </row>
    <row r="1435" spans="1:43" ht="38.25" x14ac:dyDescent="0.25">
      <c r="A1435" s="233" t="str">
        <f t="shared" si="22"/>
        <v>1004-2017-1420</v>
      </c>
      <c r="B1435" s="233" t="str">
        <f>РПЗ!$D1435</f>
        <v>1004-2017-1420 Поставка  резисторы</v>
      </c>
      <c r="C1435" s="233" t="str">
        <f>РПЗ!$AA1435</f>
        <v>АО "НИИ "Полюс" им. М.Ф. Стельмаха" тел. отдела закупок 8-495-333-05-02</v>
      </c>
      <c r="D1435" s="633" t="str">
        <f>РПЗ!$AB1435</f>
        <v>Заказчик</v>
      </c>
      <c r="E1435" s="510" t="s">
        <v>62</v>
      </c>
      <c r="F1435" s="233" t="str">
        <f>РПЗ!Q1435</f>
        <v>ЕП</v>
      </c>
      <c r="G1435" s="237" t="str">
        <f>Таблица5[[#This Row],[6]]</f>
        <v>ЕП</v>
      </c>
      <c r="H1435" s="237" t="str">
        <f>РПЗ!R1435</f>
        <v>Нет</v>
      </c>
      <c r="I1435" s="15" t="str">
        <f>РПЗ!W1435</f>
        <v>6.6.2(10)</v>
      </c>
      <c r="J1435" s="233" t="str">
        <f>РПЗ!X1435</f>
        <v>7112000210</v>
      </c>
      <c r="K1435" s="283">
        <f>РПЗ!Z1435</f>
        <v>129309.47</v>
      </c>
      <c r="L1435" s="17">
        <v>43040</v>
      </c>
      <c r="M1435" s="18">
        <f>РПЗ!O1435</f>
        <v>43040.625</v>
      </c>
      <c r="N1435" s="238">
        <f>Таблица5[[#This Row],[10]]</f>
        <v>43040.625</v>
      </c>
      <c r="O1435" s="17"/>
      <c r="P1435" s="17"/>
      <c r="Q1435" s="17"/>
      <c r="R1435" s="17"/>
      <c r="S1435" s="17"/>
      <c r="T1435" s="686">
        <v>43047</v>
      </c>
      <c r="U1435" s="18">
        <f>РПЗ!P1435</f>
        <v>43070.625</v>
      </c>
      <c r="V1435" s="686">
        <v>43100</v>
      </c>
      <c r="W1435" s="236">
        <f>РПЗ!L1435</f>
        <v>129309.47</v>
      </c>
      <c r="X1435" s="689">
        <v>1</v>
      </c>
      <c r="Y1435" s="689">
        <v>0</v>
      </c>
      <c r="Z1435" s="691">
        <v>7112000210</v>
      </c>
      <c r="AA1435" s="691" t="s">
        <v>2367</v>
      </c>
      <c r="AB1435" s="111">
        <v>129309.47</v>
      </c>
      <c r="AC1435" s="17">
        <v>43100</v>
      </c>
      <c r="AD1435" s="690" t="s">
        <v>7674</v>
      </c>
      <c r="AE1435" s="686">
        <v>43047</v>
      </c>
      <c r="AF1435" s="474"/>
      <c r="AG1435" s="692">
        <v>129309.47</v>
      </c>
      <c r="AH1435" s="236">
        <f>IF(Таблица5[[#This Row],[30]]=0,"НД",Таблица5[[#This Row],[20]]-Таблица5[[#This Row],[30]])</f>
        <v>0</v>
      </c>
      <c r="AI1435" s="511">
        <f>IF(((1-Таблица5[[#This Row],[30]]/Таблица5[[#This Row],[20]])=1),"НД",(1-Таблица5[[#This Row],[30]]/Таблица5[[#This Row],[20]]))</f>
        <v>0</v>
      </c>
      <c r="AJ1435" s="111"/>
      <c r="AK1435" s="111"/>
      <c r="AL1435" s="512"/>
      <c r="AM1435" s="513" t="s">
        <v>113</v>
      </c>
      <c r="AN1435" s="801">
        <v>31705702129</v>
      </c>
      <c r="AO1435" s="468" t="str">
        <f>РПЗ!AD1435</f>
        <v>Нет</v>
      </c>
      <c r="AP1435" s="472" t="str">
        <f>РПЗ!V1435</f>
        <v>ГОЗ</v>
      </c>
      <c r="AQ1435" s="470">
        <f>IF(Таблица5[[#This Row],[11]]=0,,MONTH(Таблица5[[#This Row],[11]]))</f>
        <v>11</v>
      </c>
    </row>
    <row r="1436" spans="1:43" ht="64.5" thickBot="1" x14ac:dyDescent="0.3">
      <c r="A1436" s="233" t="str">
        <f t="shared" si="22"/>
        <v>1004-2017-1421</v>
      </c>
      <c r="B1436" s="233" t="str">
        <f>РПЗ!$D1436</f>
        <v>1004-2017-1421 Поставка  модули питания</v>
      </c>
      <c r="C1436" s="233" t="str">
        <f>РПЗ!$AA1436</f>
        <v>АО "НИИ "Полюс" им. М.Ф. Стельмаха" тел. отдела закупок 8-495-333-05-02</v>
      </c>
      <c r="D1436" s="633" t="str">
        <f>РПЗ!$AB1436</f>
        <v>Заказчик</v>
      </c>
      <c r="E1436" s="510" t="s">
        <v>62</v>
      </c>
      <c r="F1436" s="233" t="str">
        <f>РПЗ!Q1436</f>
        <v>ЕП</v>
      </c>
      <c r="G1436" s="237" t="str">
        <f>Таблица5[[#This Row],[6]]</f>
        <v>ЕП</v>
      </c>
      <c r="H1436" s="237" t="str">
        <f>РПЗ!R1436</f>
        <v>Нет</v>
      </c>
      <c r="I1436" s="15" t="str">
        <f>РПЗ!W1436</f>
        <v>6.6.2(10)</v>
      </c>
      <c r="J1436" s="233" t="str">
        <f>РПЗ!X1436</f>
        <v>7702231308</v>
      </c>
      <c r="K1436" s="283">
        <f>РПЗ!Z1436</f>
        <v>889463.06</v>
      </c>
      <c r="L1436" s="17">
        <v>43053</v>
      </c>
      <c r="M1436" s="18">
        <f>РПЗ!O1436</f>
        <v>43040.625</v>
      </c>
      <c r="N1436" s="238">
        <f>Таблица5[[#This Row],[10]]</f>
        <v>43040.625</v>
      </c>
      <c r="O1436" s="17"/>
      <c r="P1436" s="17"/>
      <c r="Q1436" s="17"/>
      <c r="R1436" s="17"/>
      <c r="S1436" s="17"/>
      <c r="T1436" s="686">
        <v>43066</v>
      </c>
      <c r="U1436" s="18">
        <f>РПЗ!P1436</f>
        <v>43070.625</v>
      </c>
      <c r="V1436" s="686">
        <v>44196</v>
      </c>
      <c r="W1436" s="236">
        <f>РПЗ!L1436</f>
        <v>889463.06</v>
      </c>
      <c r="X1436" s="689">
        <v>1</v>
      </c>
      <c r="Y1436" s="689">
        <v>0</v>
      </c>
      <c r="Z1436" s="691">
        <v>7702231308</v>
      </c>
      <c r="AA1436" s="691" t="s">
        <v>3331</v>
      </c>
      <c r="AB1436" s="111">
        <v>889463.06</v>
      </c>
      <c r="AC1436" s="17">
        <v>44196</v>
      </c>
      <c r="AD1436" s="691">
        <v>3</v>
      </c>
      <c r="AE1436" s="686">
        <v>43066</v>
      </c>
      <c r="AF1436" s="474"/>
      <c r="AG1436" s="692">
        <v>889463.06</v>
      </c>
      <c r="AH1436" s="236">
        <f>IF(Таблица5[[#This Row],[30]]=0,"НД",Таблица5[[#This Row],[20]]-Таблица5[[#This Row],[30]])</f>
        <v>0</v>
      </c>
      <c r="AI1436" s="511">
        <f>IF(((1-Таблица5[[#This Row],[30]]/Таблица5[[#This Row],[20]])=1),"НД",(1-Таблица5[[#This Row],[30]]/Таблица5[[#This Row],[20]]))</f>
        <v>0</v>
      </c>
      <c r="AJ1436" s="111"/>
      <c r="AK1436" s="111"/>
      <c r="AL1436" s="512"/>
      <c r="AM1436" s="513" t="s">
        <v>113</v>
      </c>
      <c r="AN1436" s="801">
        <v>31705763320</v>
      </c>
      <c r="AO1436" s="468" t="str">
        <f>РПЗ!AD1436</f>
        <v>Нет</v>
      </c>
      <c r="AP1436" s="472" t="str">
        <f>РПЗ!V1436</f>
        <v>ГОЗ</v>
      </c>
      <c r="AQ1436" s="470">
        <f>IF(Таблица5[[#This Row],[11]]=0,,MONTH(Таблица5[[#This Row],[11]]))</f>
        <v>11</v>
      </c>
    </row>
    <row r="1437" spans="1:43" ht="38.25" x14ac:dyDescent="0.25">
      <c r="A1437" s="233" t="str">
        <f t="shared" si="22"/>
        <v>1004-2017-1422</v>
      </c>
      <c r="B1437" s="233" t="str">
        <f>РПЗ!$D1437</f>
        <v>1004-2017-1422 Поставка вакуумных масел</v>
      </c>
      <c r="C1437" s="233" t="str">
        <f>РПЗ!$AA1437</f>
        <v>АО "НИИ "Полюс" им. М.Ф. Стельмаха" тел. отдела закупок 8-495-333-05-02</v>
      </c>
      <c r="D1437" s="633" t="str">
        <f>РПЗ!$AB1437</f>
        <v>Заказчик</v>
      </c>
      <c r="E1437" s="96" t="s">
        <v>46</v>
      </c>
      <c r="F1437" s="233" t="str">
        <f>РПЗ!Q1437</f>
        <v>ОЗК</v>
      </c>
      <c r="G1437" s="237"/>
      <c r="H1437" s="237" t="str">
        <f>РПЗ!R1437</f>
        <v>Да</v>
      </c>
      <c r="I1437" s="15">
        <f>РПЗ!W1437</f>
        <v>0</v>
      </c>
      <c r="J1437" s="233">
        <f>РПЗ!X1437</f>
        <v>0</v>
      </c>
      <c r="K1437" s="283">
        <f>РПЗ!Z1437</f>
        <v>0</v>
      </c>
      <c r="L1437" s="17"/>
      <c r="M1437" s="18">
        <f>РПЗ!O1437</f>
        <v>43040.625</v>
      </c>
      <c r="N1437" s="238">
        <f>Таблица5[[#This Row],[10]]</f>
        <v>43040.625</v>
      </c>
      <c r="O1437" s="17"/>
      <c r="P1437" s="17"/>
      <c r="Q1437" s="17"/>
      <c r="R1437" s="17"/>
      <c r="S1437" s="17"/>
      <c r="T1437" s="686"/>
      <c r="U1437" s="18">
        <f>РПЗ!P1437</f>
        <v>43070.625</v>
      </c>
      <c r="V1437" s="686"/>
      <c r="W1437" s="236">
        <f>РПЗ!L1437</f>
        <v>780000</v>
      </c>
      <c r="X1437" s="689"/>
      <c r="Y1437" s="689"/>
      <c r="Z1437" s="690"/>
      <c r="AA1437" s="691"/>
      <c r="AB1437" s="111"/>
      <c r="AC1437" s="17"/>
      <c r="AD1437" s="690"/>
      <c r="AE1437" s="686"/>
      <c r="AF1437" s="474"/>
      <c r="AG1437" s="692"/>
      <c r="AH1437" s="236" t="str">
        <f>IF(Таблица5[[#This Row],[30]]=0,"НД",Таблица5[[#This Row],[20]]-Таблица5[[#This Row],[30]])</f>
        <v>НД</v>
      </c>
      <c r="AI1437" s="511" t="str">
        <f>IF(((1-Таблица5[[#This Row],[30]]/Таблица5[[#This Row],[20]])=1),"НД",(1-Таблица5[[#This Row],[30]]/Таблица5[[#This Row],[20]]))</f>
        <v>НД</v>
      </c>
      <c r="AJ1437" s="111"/>
      <c r="AK1437" s="111"/>
      <c r="AL1437" s="512"/>
      <c r="AM1437" s="513"/>
      <c r="AN1437" s="465"/>
      <c r="AO1437" s="468" t="str">
        <f>РПЗ!AD1437</f>
        <v>Нет</v>
      </c>
      <c r="AP1437" s="472">
        <f>РПЗ!V1437</f>
        <v>0</v>
      </c>
      <c r="AQ1437" s="470">
        <f>IF(Таблица5[[#This Row],[11]]=0,,MONTH(Таблица5[[#This Row],[11]]))</f>
        <v>11</v>
      </c>
    </row>
    <row r="1438" spans="1:43" ht="38.25" x14ac:dyDescent="0.25">
      <c r="A1438" s="233" t="str">
        <f t="shared" si="22"/>
        <v>1004-2017-1423</v>
      </c>
      <c r="B1438" s="233" t="str">
        <f>РПЗ!$D1438</f>
        <v>1004-2017-1423 Поставка  стабилитроны</v>
      </c>
      <c r="C1438" s="233" t="str">
        <f>РПЗ!$AA1438</f>
        <v>АО "НИИ "Полюс" им. М.Ф. Стельмаха" тел. отдела закупок 8-495-333-05-02</v>
      </c>
      <c r="D1438" s="633" t="str">
        <f>РПЗ!$AB1438</f>
        <v>Заказчик</v>
      </c>
      <c r="E1438" s="510" t="s">
        <v>62</v>
      </c>
      <c r="F1438" s="233" t="str">
        <f>РПЗ!Q1438</f>
        <v>ЕП</v>
      </c>
      <c r="G1438" s="237" t="str">
        <f>Таблица5[[#This Row],[6]]</f>
        <v>ЕП</v>
      </c>
      <c r="H1438" s="237" t="str">
        <f>РПЗ!R1438</f>
        <v>Нет</v>
      </c>
      <c r="I1438" s="15" t="str">
        <f>РПЗ!W1438</f>
        <v>6.6.2(10)</v>
      </c>
      <c r="J1438" s="233" t="str">
        <f>РПЗ!X1438</f>
        <v>5402546039</v>
      </c>
      <c r="K1438" s="283">
        <f>РПЗ!Z1438</f>
        <v>156981.49</v>
      </c>
      <c r="L1438" s="17">
        <v>43034</v>
      </c>
      <c r="M1438" s="18">
        <f>РПЗ!O1438</f>
        <v>43040.625</v>
      </c>
      <c r="N1438" s="238">
        <f>Таблица5[[#This Row],[10]]</f>
        <v>43040.625</v>
      </c>
      <c r="O1438" s="17"/>
      <c r="P1438" s="17"/>
      <c r="Q1438" s="17"/>
      <c r="R1438" s="17"/>
      <c r="S1438" s="17"/>
      <c r="T1438" s="686">
        <v>43066</v>
      </c>
      <c r="U1438" s="18">
        <f>РПЗ!P1438</f>
        <v>43070.625</v>
      </c>
      <c r="V1438" s="686">
        <v>43465</v>
      </c>
      <c r="W1438" s="236">
        <f>РПЗ!L1438</f>
        <v>156981.49</v>
      </c>
      <c r="X1438" s="689">
        <v>1</v>
      </c>
      <c r="Y1438" s="689">
        <v>0</v>
      </c>
      <c r="Z1438" s="691">
        <v>5402546039</v>
      </c>
      <c r="AA1438" s="691" t="s">
        <v>7711</v>
      </c>
      <c r="AB1438" s="111">
        <v>156981.49</v>
      </c>
      <c r="AC1438" s="17">
        <v>43465</v>
      </c>
      <c r="AD1438" s="690" t="s">
        <v>122</v>
      </c>
      <c r="AE1438" s="686">
        <v>43066</v>
      </c>
      <c r="AF1438" s="474"/>
      <c r="AG1438" s="692">
        <v>156981.49</v>
      </c>
      <c r="AH1438" s="236">
        <f>IF(Таблица5[[#This Row],[30]]=0,"НД",Таблица5[[#This Row],[20]]-Таблица5[[#This Row],[30]])</f>
        <v>0</v>
      </c>
      <c r="AI1438" s="511">
        <f>IF(((1-Таблица5[[#This Row],[30]]/Таблица5[[#This Row],[20]])=1),"НД",(1-Таблица5[[#This Row],[30]]/Таблица5[[#This Row],[20]]))</f>
        <v>0</v>
      </c>
      <c r="AJ1438" s="111"/>
      <c r="AK1438" s="111"/>
      <c r="AL1438" s="512"/>
      <c r="AM1438" s="513" t="s">
        <v>113</v>
      </c>
      <c r="AN1438" s="801">
        <v>31705748855</v>
      </c>
      <c r="AO1438" s="468" t="str">
        <f>РПЗ!AD1438</f>
        <v>Нет</v>
      </c>
      <c r="AP1438" s="472" t="str">
        <f>РПЗ!V1438</f>
        <v>ГОЗ</v>
      </c>
      <c r="AQ1438" s="470">
        <f>IF(Таблица5[[#This Row],[11]]=0,,MONTH(Таблица5[[#This Row],[11]]))</f>
        <v>11</v>
      </c>
    </row>
    <row r="1439" spans="1:43" ht="39" thickBot="1" x14ac:dyDescent="0.3">
      <c r="A1439" s="233" t="str">
        <f t="shared" si="22"/>
        <v>1004-2017-1424</v>
      </c>
      <c r="B1439" s="233" t="str">
        <f>РПЗ!$D1439</f>
        <v>1004-2017-1424 Поставка  диоды</v>
      </c>
      <c r="C1439" s="233" t="str">
        <f>РПЗ!$AA1439</f>
        <v>АО "НИИ "Полюс" им. М.Ф. Стельмаха" тел. отдела закупок 8-495-333-05-02</v>
      </c>
      <c r="D1439" s="633" t="str">
        <f>РПЗ!$AB1439</f>
        <v>Заказчик</v>
      </c>
      <c r="E1439" s="510" t="s">
        <v>62</v>
      </c>
      <c r="F1439" s="233" t="str">
        <f>РПЗ!Q1439</f>
        <v>ЕП</v>
      </c>
      <c r="G1439" s="237" t="str">
        <f>Таблица5[[#This Row],[6]]</f>
        <v>ЕП</v>
      </c>
      <c r="H1439" s="237" t="str">
        <f>РПЗ!R1439</f>
        <v>Нет</v>
      </c>
      <c r="I1439" s="15" t="str">
        <f>РПЗ!W1439</f>
        <v>6.6.2(10)</v>
      </c>
      <c r="J1439" s="233" t="str">
        <f>РПЗ!X1439</f>
        <v>6829000109</v>
      </c>
      <c r="K1439" s="283">
        <f>РПЗ!Z1439</f>
        <v>406923</v>
      </c>
      <c r="L1439" s="17">
        <v>43032</v>
      </c>
      <c r="M1439" s="18">
        <f>РПЗ!O1439</f>
        <v>43040.625</v>
      </c>
      <c r="N1439" s="238">
        <f>Таблица5[[#This Row],[10]]</f>
        <v>43040.625</v>
      </c>
      <c r="O1439" s="17"/>
      <c r="P1439" s="17"/>
      <c r="Q1439" s="17"/>
      <c r="R1439" s="17"/>
      <c r="S1439" s="17"/>
      <c r="T1439" s="686">
        <v>43062</v>
      </c>
      <c r="U1439" s="18">
        <f>РПЗ!P1439</f>
        <v>43070.625</v>
      </c>
      <c r="V1439" s="686">
        <v>43190</v>
      </c>
      <c r="W1439" s="236">
        <f>РПЗ!L1439</f>
        <v>406923</v>
      </c>
      <c r="X1439" s="689">
        <v>1</v>
      </c>
      <c r="Y1439" s="689">
        <v>0</v>
      </c>
      <c r="Z1439" s="691">
        <v>6829000109</v>
      </c>
      <c r="AA1439" s="691" t="s">
        <v>2384</v>
      </c>
      <c r="AB1439" s="111">
        <v>406923</v>
      </c>
      <c r="AC1439" s="17">
        <v>43190</v>
      </c>
      <c r="AD1439" s="690" t="s">
        <v>7714</v>
      </c>
      <c r="AE1439" s="686">
        <v>43062</v>
      </c>
      <c r="AF1439" s="474"/>
      <c r="AG1439" s="692">
        <v>406923</v>
      </c>
      <c r="AH1439" s="236">
        <f>IF(Таблица5[[#This Row],[30]]=0,"НД",Таблица5[[#This Row],[20]]-Таблица5[[#This Row],[30]])</f>
        <v>0</v>
      </c>
      <c r="AI1439" s="511">
        <f>IF(((1-Таблица5[[#This Row],[30]]/Таблица5[[#This Row],[20]])=1),"НД",(1-Таблица5[[#This Row],[30]]/Таблица5[[#This Row],[20]]))</f>
        <v>0</v>
      </c>
      <c r="AJ1439" s="111"/>
      <c r="AK1439" s="111"/>
      <c r="AL1439" s="512"/>
      <c r="AM1439" s="513" t="s">
        <v>113</v>
      </c>
      <c r="AN1439" s="801">
        <v>31705665875</v>
      </c>
      <c r="AO1439" s="468" t="str">
        <f>РПЗ!AD1439</f>
        <v>Нет</v>
      </c>
      <c r="AP1439" s="472" t="str">
        <f>РПЗ!V1439</f>
        <v>ГОЗ</v>
      </c>
      <c r="AQ1439" s="470">
        <f>IF(Таблица5[[#This Row],[11]]=0,,MONTH(Таблица5[[#This Row],[11]]))</f>
        <v>11</v>
      </c>
    </row>
    <row r="1440" spans="1:43" ht="39" thickBot="1" x14ac:dyDescent="0.3">
      <c r="A1440" s="233" t="str">
        <f t="shared" si="22"/>
        <v>1004-2017-1425</v>
      </c>
      <c r="B1440" s="233" t="str">
        <f>РПЗ!$D1440</f>
        <v>1004-2017-1425 Поставка  диоды, транзисторы</v>
      </c>
      <c r="C1440" s="233" t="str">
        <f>РПЗ!$AA1440</f>
        <v>АО "НИИ "Полюс" им. М.Ф. Стельмаха" тел. отдела закупок 8-495-333-05-02</v>
      </c>
      <c r="D1440" s="633" t="str">
        <f>РПЗ!$AB1440</f>
        <v>Заказчик</v>
      </c>
      <c r="E1440" s="96" t="s">
        <v>46</v>
      </c>
      <c r="F1440" s="233" t="str">
        <f>РПЗ!Q1440</f>
        <v>ЕП</v>
      </c>
      <c r="G1440" s="237"/>
      <c r="H1440" s="237" t="str">
        <f>РПЗ!R1440</f>
        <v>Нет</v>
      </c>
      <c r="I1440" s="15">
        <f>РПЗ!W1440</f>
        <v>0</v>
      </c>
      <c r="J1440" s="233">
        <f>РПЗ!X1440</f>
        <v>0</v>
      </c>
      <c r="K1440" s="283">
        <f>РПЗ!Z1440</f>
        <v>0</v>
      </c>
      <c r="L1440" s="17"/>
      <c r="M1440" s="18">
        <f>РПЗ!O1440</f>
        <v>43040.625</v>
      </c>
      <c r="N1440" s="238">
        <f>Таблица5[[#This Row],[10]]</f>
        <v>43040.625</v>
      </c>
      <c r="O1440" s="17"/>
      <c r="P1440" s="17"/>
      <c r="Q1440" s="17"/>
      <c r="R1440" s="17"/>
      <c r="S1440" s="17"/>
      <c r="T1440" s="686"/>
      <c r="U1440" s="18">
        <f>РПЗ!P1440</f>
        <v>43070.625</v>
      </c>
      <c r="V1440" s="686"/>
      <c r="W1440" s="236">
        <f>РПЗ!L1440</f>
        <v>601356.30000000005</v>
      </c>
      <c r="X1440" s="689"/>
      <c r="Y1440" s="689"/>
      <c r="Z1440" s="690"/>
      <c r="AA1440" s="691"/>
      <c r="AB1440" s="111"/>
      <c r="AC1440" s="17"/>
      <c r="AD1440" s="690"/>
      <c r="AE1440" s="686"/>
      <c r="AF1440" s="474"/>
      <c r="AG1440" s="692"/>
      <c r="AH1440" s="236" t="str">
        <f>IF(Таблица5[[#This Row],[30]]=0,"НД",Таблица5[[#This Row],[20]]-Таблица5[[#This Row],[30]])</f>
        <v>НД</v>
      </c>
      <c r="AI1440" s="511" t="str">
        <f>IF(((1-Таблица5[[#This Row],[30]]/Таблица5[[#This Row],[20]])=1),"НД",(1-Таблица5[[#This Row],[30]]/Таблица5[[#This Row],[20]]))</f>
        <v>НД</v>
      </c>
      <c r="AJ1440" s="111"/>
      <c r="AK1440" s="111"/>
      <c r="AL1440" s="512"/>
      <c r="AM1440" s="513"/>
      <c r="AN1440" s="465"/>
      <c r="AO1440" s="468" t="str">
        <f>РПЗ!AD1440</f>
        <v>Нет</v>
      </c>
      <c r="AP1440" s="472">
        <f>РПЗ!V1440</f>
        <v>0</v>
      </c>
      <c r="AQ1440" s="470">
        <f>IF(Таблица5[[#This Row],[11]]=0,,MONTH(Таблица5[[#This Row],[11]]))</f>
        <v>11</v>
      </c>
    </row>
    <row r="1441" spans="1:43" ht="38.25" x14ac:dyDescent="0.25">
      <c r="A1441" s="233" t="str">
        <f t="shared" si="22"/>
        <v>1004-2017-1426</v>
      </c>
      <c r="B1441" s="233" t="str">
        <f>РПЗ!$D1441</f>
        <v>1004-2017-1426 Поставка  лампы импульсные</v>
      </c>
      <c r="C1441" s="233" t="str">
        <f>РПЗ!$AA1441</f>
        <v>АО "НИИ "Полюс" им. М.Ф. Стельмаха" тел. отдела закупок 8-495-333-05-02</v>
      </c>
      <c r="D1441" s="633" t="str">
        <f>РПЗ!$AB1441</f>
        <v>Заказчик</v>
      </c>
      <c r="E1441" s="96" t="s">
        <v>46</v>
      </c>
      <c r="F1441" s="233" t="str">
        <f>РПЗ!Q1441</f>
        <v>ЕП</v>
      </c>
      <c r="G1441" s="237"/>
      <c r="H1441" s="237" t="str">
        <f>РПЗ!R1441</f>
        <v>Нет</v>
      </c>
      <c r="I1441" s="15">
        <f>РПЗ!W1441</f>
        <v>0</v>
      </c>
      <c r="J1441" s="233">
        <f>РПЗ!X1441</f>
        <v>0</v>
      </c>
      <c r="K1441" s="283">
        <f>РПЗ!Z1441</f>
        <v>0</v>
      </c>
      <c r="L1441" s="17"/>
      <c r="M1441" s="18">
        <f>РПЗ!O1441</f>
        <v>43040.625</v>
      </c>
      <c r="N1441" s="238">
        <f>Таблица5[[#This Row],[10]]</f>
        <v>43040.625</v>
      </c>
      <c r="O1441" s="17"/>
      <c r="P1441" s="17"/>
      <c r="Q1441" s="17"/>
      <c r="R1441" s="17"/>
      <c r="S1441" s="17"/>
      <c r="T1441" s="686"/>
      <c r="U1441" s="18">
        <f>РПЗ!P1441</f>
        <v>43070.625</v>
      </c>
      <c r="V1441" s="686"/>
      <c r="W1441" s="236">
        <f>РПЗ!L1441</f>
        <v>1103290.56</v>
      </c>
      <c r="X1441" s="689"/>
      <c r="Y1441" s="689"/>
      <c r="Z1441" s="690"/>
      <c r="AA1441" s="691"/>
      <c r="AB1441" s="111"/>
      <c r="AC1441" s="17"/>
      <c r="AD1441" s="690"/>
      <c r="AE1441" s="686"/>
      <c r="AF1441" s="474"/>
      <c r="AG1441" s="692"/>
      <c r="AH1441" s="236" t="str">
        <f>IF(Таблица5[[#This Row],[30]]=0,"НД",Таблица5[[#This Row],[20]]-Таблица5[[#This Row],[30]])</f>
        <v>НД</v>
      </c>
      <c r="AI1441" s="511" t="str">
        <f>IF(((1-Таблица5[[#This Row],[30]]/Таблица5[[#This Row],[20]])=1),"НД",(1-Таблица5[[#This Row],[30]]/Таблица5[[#This Row],[20]]))</f>
        <v>НД</v>
      </c>
      <c r="AJ1441" s="111"/>
      <c r="AK1441" s="111"/>
      <c r="AL1441" s="512"/>
      <c r="AM1441" s="513"/>
      <c r="AN1441" s="465"/>
      <c r="AO1441" s="468" t="str">
        <f>РПЗ!AD1441</f>
        <v>Нет</v>
      </c>
      <c r="AP1441" s="472">
        <f>РПЗ!V1441</f>
        <v>0</v>
      </c>
      <c r="AQ1441" s="470">
        <f>IF(Таблица5[[#This Row],[11]]=0,,MONTH(Таблица5[[#This Row],[11]]))</f>
        <v>11</v>
      </c>
    </row>
    <row r="1442" spans="1:43" ht="39" thickBot="1" x14ac:dyDescent="0.3">
      <c r="A1442" s="233" t="str">
        <f t="shared" si="22"/>
        <v>1004-2017-1427</v>
      </c>
      <c r="B1442" s="233" t="str">
        <f>РПЗ!$D1442</f>
        <v>1004-2017-1427 Поставка товаров общехозяйственного назначения</v>
      </c>
      <c r="C1442" s="233" t="str">
        <f>РПЗ!$AA1442</f>
        <v>АО "НИИ "Полюс" им. М.Ф. Стельмаха" тел. отдела закупок 8-495-333-05-02</v>
      </c>
      <c r="D1442" s="633" t="str">
        <f>РПЗ!$AB1442</f>
        <v>Заказчик</v>
      </c>
      <c r="E1442" s="510" t="s">
        <v>62</v>
      </c>
      <c r="F1442" s="233" t="str">
        <f>РПЗ!Q1442</f>
        <v>ОЗК</v>
      </c>
      <c r="G1442" s="237" t="str">
        <f>Таблица5[[#This Row],[6]]</f>
        <v>ОЗК</v>
      </c>
      <c r="H1442" s="237" t="str">
        <f>РПЗ!R1442</f>
        <v>Да</v>
      </c>
      <c r="I1442" s="15">
        <f>РПЗ!W1442</f>
        <v>0</v>
      </c>
      <c r="J1442" s="233">
        <f>РПЗ!X1442</f>
        <v>0</v>
      </c>
      <c r="K1442" s="283">
        <f>РПЗ!Z1442</f>
        <v>0</v>
      </c>
      <c r="L1442" s="17">
        <v>43040</v>
      </c>
      <c r="M1442" s="18">
        <f>РПЗ!O1442</f>
        <v>43040.625</v>
      </c>
      <c r="N1442" s="238">
        <f>Таблица5[[#This Row],[10]]</f>
        <v>43040.625</v>
      </c>
      <c r="O1442" s="17">
        <v>43047</v>
      </c>
      <c r="P1442" s="17">
        <v>43052</v>
      </c>
      <c r="Q1442" s="17">
        <v>43052</v>
      </c>
      <c r="R1442" s="17">
        <v>43048</v>
      </c>
      <c r="S1442" s="17">
        <v>43048</v>
      </c>
      <c r="T1442" s="686">
        <v>43059</v>
      </c>
      <c r="U1442" s="18">
        <f>РПЗ!P1442</f>
        <v>43070.625</v>
      </c>
      <c r="V1442" s="686">
        <v>43074</v>
      </c>
      <c r="W1442" s="236">
        <f>РПЗ!L1442</f>
        <v>187562.03</v>
      </c>
      <c r="X1442" s="689">
        <v>1</v>
      </c>
      <c r="Y1442" s="689">
        <v>0</v>
      </c>
      <c r="Z1442" s="691">
        <v>6234159661</v>
      </c>
      <c r="AA1442" s="691" t="s">
        <v>8159</v>
      </c>
      <c r="AB1442" s="111">
        <v>160188.6</v>
      </c>
      <c r="AC1442" s="17">
        <v>43074</v>
      </c>
      <c r="AD1442" s="690" t="s">
        <v>8160</v>
      </c>
      <c r="AE1442" s="686">
        <v>43059</v>
      </c>
      <c r="AF1442" s="474"/>
      <c r="AG1442" s="692">
        <v>160188.6</v>
      </c>
      <c r="AH1442" s="236">
        <f>IF(Таблица5[[#This Row],[30]]=0,"НД",Таблица5[[#This Row],[20]]-Таблица5[[#This Row],[30]])</f>
        <v>27373.429999999993</v>
      </c>
      <c r="AI1442" s="511">
        <f>IF(((1-Таблица5[[#This Row],[30]]/Таблица5[[#This Row],[20]])=1),"НД",(1-Таблица5[[#This Row],[30]]/Таблица5[[#This Row],[20]]))</f>
        <v>0.1459433447164119</v>
      </c>
      <c r="AJ1442" s="111"/>
      <c r="AK1442" s="111">
        <v>160188.6</v>
      </c>
      <c r="AL1442" s="512"/>
      <c r="AM1442" s="513" t="s">
        <v>113</v>
      </c>
      <c r="AN1442" s="801">
        <v>31705692002</v>
      </c>
      <c r="AO1442" s="468" t="str">
        <f>РПЗ!AD1442</f>
        <v>Нет</v>
      </c>
      <c r="AP1442" s="472">
        <f>РПЗ!V1442</f>
        <v>0</v>
      </c>
      <c r="AQ1442" s="470">
        <f>IF(Таблица5[[#This Row],[11]]=0,,MONTH(Таблица5[[#This Row],[11]]))</f>
        <v>11</v>
      </c>
    </row>
    <row r="1443" spans="1:43" ht="38.25" x14ac:dyDescent="0.25">
      <c r="A1443" s="233" t="str">
        <f t="shared" si="22"/>
        <v>1004-2017-1428</v>
      </c>
      <c r="B1443" s="233" t="str">
        <f>РПЗ!$D1443</f>
        <v>1004-2017-1428 Поставка Корпус фильтра пятипатронный В-5-20-110 ТУ 4859.008.27572664.16</v>
      </c>
      <c r="C1443" s="233" t="str">
        <f>РПЗ!$AA1443</f>
        <v>АО "НИИ "Полюс" им. М.Ф. Стельмаха" тел. отдела закупок 8-495-333-05-02</v>
      </c>
      <c r="D1443" s="633" t="str">
        <f>РПЗ!$AB1443</f>
        <v>Заказчик</v>
      </c>
      <c r="E1443" s="96" t="s">
        <v>46</v>
      </c>
      <c r="F1443" s="233" t="str">
        <f>РПЗ!Q1443</f>
        <v>ЕП</v>
      </c>
      <c r="G1443" s="237"/>
      <c r="H1443" s="237" t="str">
        <f>РПЗ!R1443</f>
        <v>Нет</v>
      </c>
      <c r="I1443" s="15">
        <f>РПЗ!W1443</f>
        <v>0</v>
      </c>
      <c r="J1443" s="233">
        <f>РПЗ!X1443</f>
        <v>0</v>
      </c>
      <c r="K1443" s="283">
        <f>РПЗ!Z1443</f>
        <v>0</v>
      </c>
      <c r="L1443" s="17"/>
      <c r="M1443" s="18">
        <f>РПЗ!O1443</f>
        <v>43040.625</v>
      </c>
      <c r="N1443" s="238">
        <f>Таблица5[[#This Row],[10]]</f>
        <v>43040.625</v>
      </c>
      <c r="O1443" s="17"/>
      <c r="P1443" s="17"/>
      <c r="Q1443" s="17"/>
      <c r="R1443" s="17"/>
      <c r="S1443" s="17"/>
      <c r="T1443" s="686"/>
      <c r="U1443" s="18">
        <f>РПЗ!P1443</f>
        <v>43070.625</v>
      </c>
      <c r="V1443" s="686"/>
      <c r="W1443" s="236">
        <f>РПЗ!L1443</f>
        <v>62400</v>
      </c>
      <c r="X1443" s="689"/>
      <c r="Y1443" s="689"/>
      <c r="Z1443" s="690"/>
      <c r="AA1443" s="691"/>
      <c r="AB1443" s="111"/>
      <c r="AC1443" s="17"/>
      <c r="AD1443" s="690"/>
      <c r="AE1443" s="686"/>
      <c r="AF1443" s="474"/>
      <c r="AG1443" s="692"/>
      <c r="AH1443" s="236" t="str">
        <f>IF(Таблица5[[#This Row],[30]]=0,"НД",Таблица5[[#This Row],[20]]-Таблица5[[#This Row],[30]])</f>
        <v>НД</v>
      </c>
      <c r="AI1443" s="511" t="str">
        <f>IF(((1-Таблица5[[#This Row],[30]]/Таблица5[[#This Row],[20]])=1),"НД",(1-Таблица5[[#This Row],[30]]/Таблица5[[#This Row],[20]]))</f>
        <v>НД</v>
      </c>
      <c r="AJ1443" s="111"/>
      <c r="AK1443" s="111"/>
      <c r="AL1443" s="512"/>
      <c r="AM1443" s="513"/>
      <c r="AN1443" s="465"/>
      <c r="AO1443" s="468" t="str">
        <f>РПЗ!AD1443</f>
        <v>Нет</v>
      </c>
      <c r="AP1443" s="472">
        <f>РПЗ!V1443</f>
        <v>0</v>
      </c>
      <c r="AQ1443" s="470">
        <f>IF(Таблица5[[#This Row],[11]]=0,,MONTH(Таблица5[[#This Row],[11]]))</f>
        <v>11</v>
      </c>
    </row>
    <row r="1444" spans="1:43" ht="38.25" x14ac:dyDescent="0.25">
      <c r="A1444" s="233" t="str">
        <f t="shared" si="22"/>
        <v>1004-2017-1429</v>
      </c>
      <c r="B1444" s="233" t="str">
        <f>РПЗ!$D1444</f>
        <v>1004-2017-1429 Поставка Оптические детали Металлист</v>
      </c>
      <c r="C1444" s="233" t="str">
        <f>РПЗ!$AA1444</f>
        <v>АО "НИИ "Полюс" им. М.Ф. Стельмаха" тел. отдела закупок 8-495-333-05-02</v>
      </c>
      <c r="D1444" s="633" t="str">
        <f>РПЗ!$AB1444</f>
        <v>Заказчик</v>
      </c>
      <c r="E1444" s="510" t="s">
        <v>62</v>
      </c>
      <c r="F1444" s="233" t="str">
        <f>РПЗ!Q1444</f>
        <v>ЕП</v>
      </c>
      <c r="G1444" s="237" t="str">
        <f>Таблица5[[#This Row],[6]]</f>
        <v>ЕП</v>
      </c>
      <c r="H1444" s="237" t="str">
        <f>РПЗ!R1444</f>
        <v>Нет</v>
      </c>
      <c r="I1444" s="15" t="str">
        <f>РПЗ!W1444</f>
        <v>6.6.2(11)</v>
      </c>
      <c r="J1444" s="233" t="str">
        <f>РПЗ!X1444</f>
        <v>5043012881</v>
      </c>
      <c r="K1444" s="283">
        <f>РПЗ!Z1444</f>
        <v>308876.79999999999</v>
      </c>
      <c r="L1444" s="17">
        <v>43049</v>
      </c>
      <c r="M1444" s="18">
        <f>РПЗ!O1444</f>
        <v>43040.625</v>
      </c>
      <c r="N1444" s="238">
        <f>Таблица5[[#This Row],[10]]</f>
        <v>43040.625</v>
      </c>
      <c r="O1444" s="17"/>
      <c r="P1444" s="17"/>
      <c r="Q1444" s="17"/>
      <c r="R1444" s="17"/>
      <c r="S1444" s="17"/>
      <c r="T1444" s="686">
        <v>43055</v>
      </c>
      <c r="U1444" s="18">
        <f>РПЗ!P1444</f>
        <v>43070.625</v>
      </c>
      <c r="V1444" s="686">
        <v>43100</v>
      </c>
      <c r="W1444" s="236">
        <f>РПЗ!L1444</f>
        <v>308876.79999999999</v>
      </c>
      <c r="X1444" s="689">
        <v>1</v>
      </c>
      <c r="Y1444" s="689">
        <v>0</v>
      </c>
      <c r="Z1444" s="691">
        <v>5043012881</v>
      </c>
      <c r="AA1444" s="691" t="s">
        <v>7653</v>
      </c>
      <c r="AB1444" s="111">
        <v>308876.79999999999</v>
      </c>
      <c r="AC1444" s="17">
        <v>43100</v>
      </c>
      <c r="AD1444" s="690" t="s">
        <v>7654</v>
      </c>
      <c r="AE1444" s="686">
        <v>43055</v>
      </c>
      <c r="AF1444" s="474"/>
      <c r="AG1444" s="692">
        <v>308876.79999999999</v>
      </c>
      <c r="AH1444" s="236">
        <f>IF(Таблица5[[#This Row],[30]]=0,"НД",Таблица5[[#This Row],[20]]-Таблица5[[#This Row],[30]])</f>
        <v>0</v>
      </c>
      <c r="AI1444" s="511">
        <f>IF(((1-Таблица5[[#This Row],[30]]/Таблица5[[#This Row],[20]])=1),"НД",(1-Таблица5[[#This Row],[30]]/Таблица5[[#This Row],[20]]))</f>
        <v>0</v>
      </c>
      <c r="AJ1444" s="111"/>
      <c r="AK1444" s="111"/>
      <c r="AL1444" s="512"/>
      <c r="AM1444" s="513" t="s">
        <v>113</v>
      </c>
      <c r="AN1444" s="801">
        <v>31705730507</v>
      </c>
      <c r="AO1444" s="468" t="str">
        <f>РПЗ!AD1444</f>
        <v>Нет</v>
      </c>
      <c r="AP1444" s="472">
        <f>РПЗ!V1444</f>
        <v>0</v>
      </c>
      <c r="AQ1444" s="470">
        <f>IF(Таблица5[[#This Row],[11]]=0,,MONTH(Таблица5[[#This Row],[11]]))</f>
        <v>11</v>
      </c>
    </row>
    <row r="1445" spans="1:43" ht="39" thickBot="1" x14ac:dyDescent="0.3">
      <c r="A1445" s="233" t="str">
        <f t="shared" si="22"/>
        <v>1004-2017-1430</v>
      </c>
      <c r="B1445" s="233" t="str">
        <f>РПЗ!$D1445</f>
        <v>1004-2017-1430 Поставка  Воздушный ресивер РВ 900/10</v>
      </c>
      <c r="C1445" s="233" t="str">
        <f>РПЗ!$AA1445</f>
        <v>АО "НИИ "Полюс" им. М.Ф. Стельмаха" тел. отдела закупок 8-495-333-05-02</v>
      </c>
      <c r="D1445" s="633" t="str">
        <f>РПЗ!$AB1445</f>
        <v>Заказчик</v>
      </c>
      <c r="E1445" s="510" t="s">
        <v>62</v>
      </c>
      <c r="F1445" s="233" t="str">
        <f>РПЗ!Q1445</f>
        <v>ОЗК</v>
      </c>
      <c r="G1445" s="237" t="str">
        <f>Таблица5[[#This Row],[6]]</f>
        <v>ОЗК</v>
      </c>
      <c r="H1445" s="237" t="str">
        <f>РПЗ!R1445</f>
        <v>Да</v>
      </c>
      <c r="I1445" s="15">
        <f>РПЗ!W1445</f>
        <v>0</v>
      </c>
      <c r="J1445" s="233">
        <f>РПЗ!X1445</f>
        <v>0</v>
      </c>
      <c r="K1445" s="283">
        <f>РПЗ!Z1445</f>
        <v>0</v>
      </c>
      <c r="L1445" s="17">
        <v>43041</v>
      </c>
      <c r="M1445" s="18">
        <f>РПЗ!O1445</f>
        <v>43040.625</v>
      </c>
      <c r="N1445" s="238">
        <f>Таблица5[[#This Row],[10]]</f>
        <v>43040.625</v>
      </c>
      <c r="O1445" s="17">
        <v>43048</v>
      </c>
      <c r="P1445" s="17">
        <v>43053</v>
      </c>
      <c r="Q1445" s="17">
        <v>43053</v>
      </c>
      <c r="R1445" s="17">
        <v>43048</v>
      </c>
      <c r="S1445" s="17">
        <v>43048</v>
      </c>
      <c r="T1445" s="686">
        <v>43062</v>
      </c>
      <c r="U1445" s="18">
        <f>РПЗ!P1445</f>
        <v>43070.625</v>
      </c>
      <c r="V1445" s="686">
        <v>43098</v>
      </c>
      <c r="W1445" s="236">
        <f>РПЗ!L1445</f>
        <v>55583.33</v>
      </c>
      <c r="X1445" s="689">
        <v>1</v>
      </c>
      <c r="Y1445" s="689">
        <v>0</v>
      </c>
      <c r="Z1445" s="691">
        <v>2312103020</v>
      </c>
      <c r="AA1445" s="691" t="s">
        <v>8153</v>
      </c>
      <c r="AB1445" s="111">
        <v>55500</v>
      </c>
      <c r="AC1445" s="17">
        <v>43098</v>
      </c>
      <c r="AD1445" s="690" t="s">
        <v>8154</v>
      </c>
      <c r="AE1445" s="686">
        <v>43062</v>
      </c>
      <c r="AF1445" s="474"/>
      <c r="AG1445" s="692">
        <v>55500</v>
      </c>
      <c r="AH1445" s="236">
        <f>IF(Таблица5[[#This Row],[30]]=0,"НД",Таблица5[[#This Row],[20]]-Таблица5[[#This Row],[30]])</f>
        <v>83.330000000001746</v>
      </c>
      <c r="AI1445" s="511">
        <f>IF(((1-Таблица5[[#This Row],[30]]/Таблица5[[#This Row],[20]])=1),"НД",(1-Таблица5[[#This Row],[30]]/Таблица5[[#This Row],[20]]))</f>
        <v>1.4991904947041501E-3</v>
      </c>
      <c r="AJ1445" s="111"/>
      <c r="AK1445" s="111">
        <v>55500</v>
      </c>
      <c r="AL1445" s="512"/>
      <c r="AM1445" s="513" t="s">
        <v>113</v>
      </c>
      <c r="AN1445" s="801">
        <v>31705697120</v>
      </c>
      <c r="AO1445" s="468" t="str">
        <f>РПЗ!AD1445</f>
        <v>Нет</v>
      </c>
      <c r="AP1445" s="472">
        <f>РПЗ!V1445</f>
        <v>0</v>
      </c>
      <c r="AQ1445" s="470">
        <f>IF(Таблица5[[#This Row],[11]]=0,,MONTH(Таблица5[[#This Row],[11]]))</f>
        <v>11</v>
      </c>
    </row>
    <row r="1446" spans="1:43" ht="38.25" x14ac:dyDescent="0.25">
      <c r="A1446" s="233" t="str">
        <f t="shared" si="22"/>
        <v>1004-2017-1431</v>
      </c>
      <c r="B1446" s="233" t="str">
        <f>РПЗ!$D1446</f>
        <v>1004-2017-1431 Поставка Харктериограф</v>
      </c>
      <c r="C1446" s="233" t="str">
        <f>РПЗ!$AA1446</f>
        <v>АО "НИИ "Полюс" им. М.Ф. Стельмаха" тел. отдела закупок 8-495-333-05-02</v>
      </c>
      <c r="D1446" s="633" t="str">
        <f>РПЗ!$AB1446</f>
        <v>Заказчик</v>
      </c>
      <c r="E1446" s="96" t="s">
        <v>46</v>
      </c>
      <c r="F1446" s="233" t="str">
        <f>РПЗ!Q1446</f>
        <v>ОЗК</v>
      </c>
      <c r="G1446" s="237"/>
      <c r="H1446" s="237" t="str">
        <f>РПЗ!R1446</f>
        <v>Да</v>
      </c>
      <c r="I1446" s="15">
        <f>РПЗ!W1446</f>
        <v>0</v>
      </c>
      <c r="J1446" s="233">
        <f>РПЗ!X1446</f>
        <v>0</v>
      </c>
      <c r="K1446" s="283">
        <f>РПЗ!Z1446</f>
        <v>0</v>
      </c>
      <c r="L1446" s="17"/>
      <c r="M1446" s="18">
        <f>РПЗ!O1446</f>
        <v>43040.625</v>
      </c>
      <c r="N1446" s="238">
        <f>Таблица5[[#This Row],[10]]</f>
        <v>43040.625</v>
      </c>
      <c r="O1446" s="17"/>
      <c r="P1446" s="17"/>
      <c r="Q1446" s="17"/>
      <c r="R1446" s="17"/>
      <c r="S1446" s="17"/>
      <c r="T1446" s="686"/>
      <c r="U1446" s="18">
        <f>РПЗ!P1446</f>
        <v>43070.625</v>
      </c>
      <c r="V1446" s="686"/>
      <c r="W1446" s="236">
        <f>РПЗ!L1446</f>
        <v>385000</v>
      </c>
      <c r="X1446" s="689"/>
      <c r="Y1446" s="689"/>
      <c r="Z1446" s="690"/>
      <c r="AA1446" s="691"/>
      <c r="AB1446" s="111"/>
      <c r="AC1446" s="17"/>
      <c r="AD1446" s="690"/>
      <c r="AE1446" s="686"/>
      <c r="AF1446" s="474"/>
      <c r="AG1446" s="692"/>
      <c r="AH1446" s="236" t="str">
        <f>IF(Таблица5[[#This Row],[30]]=0,"НД",Таблица5[[#This Row],[20]]-Таблица5[[#This Row],[30]])</f>
        <v>НД</v>
      </c>
      <c r="AI1446" s="511" t="str">
        <f>IF(((1-Таблица5[[#This Row],[30]]/Таблица5[[#This Row],[20]])=1),"НД",(1-Таблица5[[#This Row],[30]]/Таблица5[[#This Row],[20]]))</f>
        <v>НД</v>
      </c>
      <c r="AJ1446" s="111"/>
      <c r="AK1446" s="111"/>
      <c r="AL1446" s="512"/>
      <c r="AM1446" s="513"/>
      <c r="AN1446" s="465"/>
      <c r="AO1446" s="468" t="str">
        <f>РПЗ!AD1446</f>
        <v>Нет</v>
      </c>
      <c r="AP1446" s="472">
        <f>РПЗ!V1446</f>
        <v>0</v>
      </c>
      <c r="AQ1446" s="470">
        <f>IF(Таблица5[[#This Row],[11]]=0,,MONTH(Таблица5[[#This Row],[11]]))</f>
        <v>11</v>
      </c>
    </row>
    <row r="1447" spans="1:43" ht="63.75" x14ac:dyDescent="0.25">
      <c r="A1447" s="233" t="str">
        <f t="shared" si="22"/>
        <v>1004-2017-1432</v>
      </c>
      <c r="B1447" s="233" t="str">
        <f>РПЗ!$D1447</f>
        <v>1004-2017-1432 Поставка Комплект паяльного оборудования</v>
      </c>
      <c r="C1447" s="233" t="str">
        <f>РПЗ!$AA1447</f>
        <v>АО "НИИ "Полюс" им. М.Ф. Стельмаха" тел. отдела закупок 8-495-333-05-02</v>
      </c>
      <c r="D1447" s="633" t="str">
        <f>РПЗ!$AB1447</f>
        <v>Заказчик</v>
      </c>
      <c r="E1447" s="510" t="s">
        <v>62</v>
      </c>
      <c r="F1447" s="233" t="str">
        <f>РПЗ!Q1447</f>
        <v>ОЗК</v>
      </c>
      <c r="G1447" s="237" t="str">
        <f>Таблица5[[#This Row],[6]]</f>
        <v>ОЗК</v>
      </c>
      <c r="H1447" s="237" t="str">
        <f>РПЗ!R1447</f>
        <v>Да</v>
      </c>
      <c r="I1447" s="15">
        <f>РПЗ!W1447</f>
        <v>0</v>
      </c>
      <c r="J1447" s="233">
        <f>РПЗ!X1447</f>
        <v>0</v>
      </c>
      <c r="K1447" s="283">
        <f>РПЗ!Z1447</f>
        <v>0</v>
      </c>
      <c r="L1447" s="17">
        <v>43048</v>
      </c>
      <c r="M1447" s="18">
        <f>РПЗ!O1447</f>
        <v>43040.625</v>
      </c>
      <c r="N1447" s="238">
        <f>Таблица5[[#This Row],[10]]</f>
        <v>43040.625</v>
      </c>
      <c r="O1447" s="17">
        <v>43055</v>
      </c>
      <c r="P1447" s="17">
        <v>43060</v>
      </c>
      <c r="Q1447" s="17">
        <v>43060</v>
      </c>
      <c r="R1447" s="17">
        <v>43055</v>
      </c>
      <c r="S1447" s="17">
        <v>43055</v>
      </c>
      <c r="T1447" s="686">
        <v>43066</v>
      </c>
      <c r="U1447" s="18">
        <f>РПЗ!P1447</f>
        <v>43070.625</v>
      </c>
      <c r="V1447" s="686">
        <v>43098</v>
      </c>
      <c r="W1447" s="236">
        <f>РПЗ!L1447</f>
        <v>134145</v>
      </c>
      <c r="X1447" s="689">
        <v>4</v>
      </c>
      <c r="Y1447" s="689">
        <v>0</v>
      </c>
      <c r="Z1447" s="691">
        <v>7723924550</v>
      </c>
      <c r="AA1447" s="691" t="s">
        <v>8128</v>
      </c>
      <c r="AB1447" s="111">
        <v>122911</v>
      </c>
      <c r="AC1447" s="17">
        <v>43098</v>
      </c>
      <c r="AD1447" s="690" t="s">
        <v>8129</v>
      </c>
      <c r="AE1447" s="686">
        <v>43066</v>
      </c>
      <c r="AF1447" s="474"/>
      <c r="AG1447" s="692">
        <v>122911</v>
      </c>
      <c r="AH1447" s="236">
        <f>IF(Таблица5[[#This Row],[30]]=0,"НД",Таблица5[[#This Row],[20]]-Таблица5[[#This Row],[30]])</f>
        <v>11234</v>
      </c>
      <c r="AI1447" s="511">
        <f>IF(((1-Таблица5[[#This Row],[30]]/Таблица5[[#This Row],[20]])=1),"НД",(1-Таблица5[[#This Row],[30]]/Таблица5[[#This Row],[20]]))</f>
        <v>8.3745201088374466E-2</v>
      </c>
      <c r="AJ1447" s="111"/>
      <c r="AK1447" s="111">
        <v>122911</v>
      </c>
      <c r="AL1447" s="512"/>
      <c r="AM1447" s="513" t="s">
        <v>113</v>
      </c>
      <c r="AN1447" s="801">
        <v>31705717585</v>
      </c>
      <c r="AO1447" s="468" t="str">
        <f>РПЗ!AD1447</f>
        <v>Нет</v>
      </c>
      <c r="AP1447" s="472">
        <f>РПЗ!V1447</f>
        <v>0</v>
      </c>
      <c r="AQ1447" s="470">
        <f>IF(Таблица5[[#This Row],[11]]=0,,MONTH(Таблица5[[#This Row],[11]]))</f>
        <v>11</v>
      </c>
    </row>
    <row r="1448" spans="1:43" ht="39" thickBot="1" x14ac:dyDescent="0.3">
      <c r="A1448" s="233" t="str">
        <f t="shared" si="22"/>
        <v>1004-2017-1433</v>
      </c>
      <c r="B1448" s="233" t="str">
        <f>РПЗ!$D1448</f>
        <v>1004-2017-1433 Поставка  Уничтожители документов</v>
      </c>
      <c r="C1448" s="233" t="str">
        <f>РПЗ!$AA1448</f>
        <v>АО "НИИ "Полюс" им. М.Ф. Стельмаха" тел. отдела закупок 8-495-333-05-02</v>
      </c>
      <c r="D1448" s="633" t="str">
        <f>РПЗ!$AB1448</f>
        <v>Заказчик</v>
      </c>
      <c r="E1448" s="510" t="s">
        <v>62</v>
      </c>
      <c r="F1448" s="233" t="str">
        <f>РПЗ!Q1448</f>
        <v>ОЗК</v>
      </c>
      <c r="G1448" s="237" t="str">
        <f>Таблица5[[#This Row],[6]]</f>
        <v>ОЗК</v>
      </c>
      <c r="H1448" s="237" t="str">
        <f>РПЗ!R1448</f>
        <v>Да</v>
      </c>
      <c r="I1448" s="15">
        <f>РПЗ!W1448</f>
        <v>0</v>
      </c>
      <c r="J1448" s="233">
        <f>РПЗ!X1448</f>
        <v>0</v>
      </c>
      <c r="K1448" s="283">
        <f>РПЗ!Z1448</f>
        <v>0</v>
      </c>
      <c r="L1448" s="17">
        <v>43059</v>
      </c>
      <c r="M1448" s="18">
        <f>РПЗ!O1448</f>
        <v>43040.625</v>
      </c>
      <c r="N1448" s="238">
        <f>Таблица5[[#This Row],[10]]</f>
        <v>43040.625</v>
      </c>
      <c r="O1448" s="17">
        <v>43066</v>
      </c>
      <c r="P1448" s="17">
        <v>43069</v>
      </c>
      <c r="Q1448" s="17">
        <v>43069</v>
      </c>
      <c r="R1448" s="17">
        <v>43066</v>
      </c>
      <c r="S1448" s="17">
        <v>43066</v>
      </c>
      <c r="T1448" s="686">
        <v>43080</v>
      </c>
      <c r="U1448" s="18">
        <f>РПЗ!P1448</f>
        <v>43070.625</v>
      </c>
      <c r="V1448" s="686">
        <v>43115</v>
      </c>
      <c r="W1448" s="236">
        <f>РПЗ!L1448</f>
        <v>133118.87</v>
      </c>
      <c r="X1448" s="689">
        <v>2</v>
      </c>
      <c r="Y1448" s="689">
        <v>0</v>
      </c>
      <c r="Z1448" s="691">
        <v>1650134148</v>
      </c>
      <c r="AA1448" s="691" t="s">
        <v>8107</v>
      </c>
      <c r="AB1448" s="111">
        <v>126000</v>
      </c>
      <c r="AC1448" s="17">
        <v>43115</v>
      </c>
      <c r="AD1448" s="690" t="s">
        <v>8109</v>
      </c>
      <c r="AE1448" s="686" t="s">
        <v>8108</v>
      </c>
      <c r="AF1448" s="474"/>
      <c r="AG1448" s="692">
        <v>126000</v>
      </c>
      <c r="AH1448" s="236">
        <f>IF(Таблица5[[#This Row],[30]]=0,"НД",Таблица5[[#This Row],[20]]-Таблица5[[#This Row],[30]])</f>
        <v>7118.8699999999953</v>
      </c>
      <c r="AI1448" s="511">
        <f>IF(((1-Таблица5[[#This Row],[30]]/Таблица5[[#This Row],[20]])=1),"НД",(1-Таблица5[[#This Row],[30]]/Таблица5[[#This Row],[20]]))</f>
        <v>5.347754228983459E-2</v>
      </c>
      <c r="AJ1448" s="111">
        <v>126000</v>
      </c>
      <c r="AK1448" s="111"/>
      <c r="AL1448" s="512"/>
      <c r="AM1448" s="513"/>
      <c r="AN1448" s="801">
        <v>31705760852</v>
      </c>
      <c r="AO1448" s="468" t="str">
        <f>РПЗ!AD1448</f>
        <v>Нет</v>
      </c>
      <c r="AP1448" s="472">
        <f>РПЗ!V1448</f>
        <v>0</v>
      </c>
      <c r="AQ1448" s="470">
        <f>IF(Таблица5[[#This Row],[11]]=0,,MONTH(Таблица5[[#This Row],[11]]))</f>
        <v>11</v>
      </c>
    </row>
    <row r="1449" spans="1:43" ht="38.25" x14ac:dyDescent="0.25">
      <c r="A1449" s="233" t="str">
        <f t="shared" si="22"/>
        <v>1004-2017-1434</v>
      </c>
      <c r="B1449" s="233" t="str">
        <f>РПЗ!$D1449</f>
        <v>1004-2017-1434 Поставка  Ручной электроинструмент</v>
      </c>
      <c r="C1449" s="233" t="str">
        <f>РПЗ!$AA1449</f>
        <v>АО "НИИ "Полюс" им. М.Ф. Стельмаха" тел. отдела закупок 8-495-333-05-02</v>
      </c>
      <c r="D1449" s="633" t="str">
        <f>РПЗ!$AB1449</f>
        <v>Заказчик</v>
      </c>
      <c r="E1449" s="96" t="s">
        <v>46</v>
      </c>
      <c r="F1449" s="233" t="str">
        <f>РПЗ!Q1449</f>
        <v>ОЗК</v>
      </c>
      <c r="G1449" s="237"/>
      <c r="H1449" s="237" t="str">
        <f>РПЗ!R1449</f>
        <v>Да</v>
      </c>
      <c r="I1449" s="15">
        <f>РПЗ!W1449</f>
        <v>0</v>
      </c>
      <c r="J1449" s="233">
        <f>РПЗ!X1449</f>
        <v>0</v>
      </c>
      <c r="K1449" s="283">
        <f>РПЗ!Z1449</f>
        <v>0</v>
      </c>
      <c r="L1449" s="17"/>
      <c r="M1449" s="18">
        <f>РПЗ!O1449</f>
        <v>43040.625</v>
      </c>
      <c r="N1449" s="238">
        <f>Таблица5[[#This Row],[10]]</f>
        <v>43040.625</v>
      </c>
      <c r="O1449" s="17"/>
      <c r="P1449" s="17"/>
      <c r="Q1449" s="17"/>
      <c r="R1449" s="17"/>
      <c r="S1449" s="17"/>
      <c r="T1449" s="686"/>
      <c r="U1449" s="18">
        <f>РПЗ!P1449</f>
        <v>43070.625</v>
      </c>
      <c r="V1449" s="686"/>
      <c r="W1449" s="236">
        <f>РПЗ!L1449</f>
        <v>13000</v>
      </c>
      <c r="X1449" s="689"/>
      <c r="Y1449" s="689"/>
      <c r="Z1449" s="690"/>
      <c r="AA1449" s="691"/>
      <c r="AB1449" s="111"/>
      <c r="AC1449" s="17"/>
      <c r="AD1449" s="690"/>
      <c r="AE1449" s="686"/>
      <c r="AF1449" s="474"/>
      <c r="AG1449" s="692"/>
      <c r="AH1449" s="236" t="str">
        <f>IF(Таблица5[[#This Row],[30]]=0,"НД",Таблица5[[#This Row],[20]]-Таблица5[[#This Row],[30]])</f>
        <v>НД</v>
      </c>
      <c r="AI1449" s="511" t="str">
        <f>IF(((1-Таблица5[[#This Row],[30]]/Таблица5[[#This Row],[20]])=1),"НД",(1-Таблица5[[#This Row],[30]]/Таблица5[[#This Row],[20]]))</f>
        <v>НД</v>
      </c>
      <c r="AJ1449" s="111"/>
      <c r="AK1449" s="111"/>
      <c r="AL1449" s="512"/>
      <c r="AM1449" s="513"/>
      <c r="AN1449" s="465"/>
      <c r="AO1449" s="468" t="str">
        <f>РПЗ!AD1449</f>
        <v>Нет</v>
      </c>
      <c r="AP1449" s="472">
        <f>РПЗ!V1449</f>
        <v>0</v>
      </c>
      <c r="AQ1449" s="470">
        <f>IF(Таблица5[[#This Row],[11]]=0,,MONTH(Таблица5[[#This Row],[11]]))</f>
        <v>11</v>
      </c>
    </row>
    <row r="1450" spans="1:43" ht="38.25" x14ac:dyDescent="0.25">
      <c r="A1450" s="233" t="str">
        <f t="shared" si="22"/>
        <v>1004-2017-1435</v>
      </c>
      <c r="B1450" s="233" t="str">
        <f>РПЗ!$D1450</f>
        <v>1004-2017-1435 Проведение работ по обслуживанию системы контроля и управления доступом (СКУД)</v>
      </c>
      <c r="C1450" s="233" t="str">
        <f>РПЗ!$AA1450</f>
        <v>АО "НИИ "Полюс" им. М.Ф. Стельмаха" тел. отдела закупок 8-495-333-05-02</v>
      </c>
      <c r="D1450" s="633" t="str">
        <f>РПЗ!$AB1450</f>
        <v>Заказчик</v>
      </c>
      <c r="E1450" s="510" t="s">
        <v>62</v>
      </c>
      <c r="F1450" s="233" t="str">
        <f>РПЗ!Q1450</f>
        <v>ОЗК</v>
      </c>
      <c r="G1450" s="237" t="str">
        <f>Таблица5[[#This Row],[6]]</f>
        <v>ОЗК</v>
      </c>
      <c r="H1450" s="237" t="str">
        <f>РПЗ!R1450</f>
        <v>Да</v>
      </c>
      <c r="I1450" s="15">
        <f>РПЗ!W1450</f>
        <v>0</v>
      </c>
      <c r="J1450" s="233">
        <f>РПЗ!X1450</f>
        <v>0</v>
      </c>
      <c r="K1450" s="283">
        <f>РПЗ!Z1450</f>
        <v>0</v>
      </c>
      <c r="L1450" s="17">
        <v>43052</v>
      </c>
      <c r="M1450" s="18">
        <f>РПЗ!O1450</f>
        <v>43040.625</v>
      </c>
      <c r="N1450" s="238">
        <f>Таблица5[[#This Row],[10]]</f>
        <v>43040.625</v>
      </c>
      <c r="O1450" s="17">
        <v>43059</v>
      </c>
      <c r="P1450" s="17">
        <v>43062</v>
      </c>
      <c r="Q1450" s="17">
        <v>43062</v>
      </c>
      <c r="R1450" s="17">
        <v>43059</v>
      </c>
      <c r="S1450" s="17">
        <v>43059</v>
      </c>
      <c r="T1450" s="686">
        <v>43073</v>
      </c>
      <c r="U1450" s="18">
        <f>РПЗ!P1450</f>
        <v>43435.625</v>
      </c>
      <c r="V1450" s="686">
        <v>43439</v>
      </c>
      <c r="W1450" s="236">
        <f>РПЗ!L1450</f>
        <v>159792.72</v>
      </c>
      <c r="X1450" s="689">
        <v>1</v>
      </c>
      <c r="Y1450" s="689">
        <v>0</v>
      </c>
      <c r="Z1450" s="691">
        <v>7704437008</v>
      </c>
      <c r="AA1450" s="691" t="s">
        <v>8121</v>
      </c>
      <c r="AB1450" s="111">
        <v>139944</v>
      </c>
      <c r="AC1450" s="17">
        <v>43439</v>
      </c>
      <c r="AD1450" s="690" t="s">
        <v>8122</v>
      </c>
      <c r="AE1450" s="686">
        <v>43073</v>
      </c>
      <c r="AF1450" s="474"/>
      <c r="AG1450" s="692">
        <v>139944</v>
      </c>
      <c r="AH1450" s="236">
        <f>IF(Таблица5[[#This Row],[30]]=0,"НД",Таблица5[[#This Row],[20]]-Таблица5[[#This Row],[30]])</f>
        <v>19848.72</v>
      </c>
      <c r="AI1450" s="511">
        <f>IF(((1-Таблица5[[#This Row],[30]]/Таблица5[[#This Row],[20]])=1),"НД",(1-Таблица5[[#This Row],[30]]/Таблица5[[#This Row],[20]]))</f>
        <v>0.12421542107800654</v>
      </c>
      <c r="AJ1450" s="111"/>
      <c r="AK1450" s="111">
        <v>139944</v>
      </c>
      <c r="AL1450" s="512"/>
      <c r="AM1450" s="513" t="s">
        <v>113</v>
      </c>
      <c r="AN1450" s="801">
        <v>31705728510</v>
      </c>
      <c r="AO1450" s="468" t="str">
        <f>РПЗ!AD1450</f>
        <v>Нет</v>
      </c>
      <c r="AP1450" s="472">
        <f>РПЗ!V1450</f>
        <v>0</v>
      </c>
      <c r="AQ1450" s="470">
        <f>IF(Таблица5[[#This Row],[11]]=0,,MONTH(Таблица5[[#This Row],[11]]))</f>
        <v>11</v>
      </c>
    </row>
    <row r="1451" spans="1:43" ht="38.25" x14ac:dyDescent="0.25">
      <c r="A1451" s="233" t="str">
        <f t="shared" si="22"/>
        <v>1004-2017-1436</v>
      </c>
      <c r="B1451" s="233" t="str">
        <f>РПЗ!$D1451</f>
        <v>1004-2017-1436 Поставка  Шкафы металлические</v>
      </c>
      <c r="C1451" s="233" t="str">
        <f>РПЗ!$AA1451</f>
        <v>АО "НИИ "Полюс" им. М.Ф. Стельмаха" тел. отдела закупок 8-495-333-05-02</v>
      </c>
      <c r="D1451" s="633" t="str">
        <f>РПЗ!$AB1451</f>
        <v>Заказчик</v>
      </c>
      <c r="E1451" s="510" t="s">
        <v>62</v>
      </c>
      <c r="F1451" s="233" t="str">
        <f>РПЗ!Q1451</f>
        <v>ОЗК</v>
      </c>
      <c r="G1451" s="237" t="str">
        <f>Таблица5[[#This Row],[6]]</f>
        <v>ОЗК</v>
      </c>
      <c r="H1451" s="237" t="str">
        <f>РПЗ!R1451</f>
        <v>Да</v>
      </c>
      <c r="I1451" s="15">
        <f>РПЗ!W1451</f>
        <v>0</v>
      </c>
      <c r="J1451" s="233">
        <f>РПЗ!X1451</f>
        <v>0</v>
      </c>
      <c r="K1451" s="283">
        <f>РПЗ!Z1451</f>
        <v>0</v>
      </c>
      <c r="L1451" s="17">
        <v>43087</v>
      </c>
      <c r="M1451" s="18">
        <f>РПЗ!O1451</f>
        <v>43070</v>
      </c>
      <c r="N1451" s="238">
        <f>Таблица5[[#This Row],[10]]</f>
        <v>43070</v>
      </c>
      <c r="O1451" s="17">
        <v>43094</v>
      </c>
      <c r="P1451" s="17">
        <v>43097</v>
      </c>
      <c r="Q1451" s="17">
        <v>43097</v>
      </c>
      <c r="R1451" s="17">
        <v>43094</v>
      </c>
      <c r="S1451" s="17">
        <v>43094</v>
      </c>
      <c r="T1451" s="686">
        <v>43109</v>
      </c>
      <c r="U1451" s="18">
        <f>РПЗ!P1451</f>
        <v>43070.625</v>
      </c>
      <c r="V1451" s="686">
        <v>43146</v>
      </c>
      <c r="W1451" s="236">
        <f>РПЗ!L1451</f>
        <v>83702.080000000002</v>
      </c>
      <c r="X1451" s="689">
        <v>2</v>
      </c>
      <c r="Y1451" s="689">
        <v>0</v>
      </c>
      <c r="Z1451" s="691">
        <v>6950156487</v>
      </c>
      <c r="AA1451" s="691" t="s">
        <v>8116</v>
      </c>
      <c r="AB1451" s="111">
        <v>79662</v>
      </c>
      <c r="AC1451" s="17">
        <v>43146</v>
      </c>
      <c r="AD1451" s="690" t="s">
        <v>8282</v>
      </c>
      <c r="AE1451" s="686">
        <v>43109</v>
      </c>
      <c r="AF1451" s="474"/>
      <c r="AG1451" s="692">
        <v>79662</v>
      </c>
      <c r="AH1451" s="236">
        <f>IF(Таблица5[[#This Row],[30]]=0,"НД",Таблица5[[#This Row],[20]]-Таблица5[[#This Row],[30]])</f>
        <v>4040.0800000000017</v>
      </c>
      <c r="AI1451" s="511">
        <f>IF(((1-Таблица5[[#This Row],[30]]/Таблица5[[#This Row],[20]])=1),"НД",(1-Таблица5[[#This Row],[30]]/Таблица5[[#This Row],[20]]))</f>
        <v>4.8267378779595416E-2</v>
      </c>
      <c r="AJ1451" s="111">
        <v>79662</v>
      </c>
      <c r="AK1451" s="111"/>
      <c r="AL1451" s="512"/>
      <c r="AM1451" s="513" t="s">
        <v>113</v>
      </c>
      <c r="AN1451" s="801">
        <v>31705898761</v>
      </c>
      <c r="AO1451" s="468" t="str">
        <f>РПЗ!AD1451</f>
        <v>Нет</v>
      </c>
      <c r="AP1451" s="472">
        <f>РПЗ!V1451</f>
        <v>0</v>
      </c>
      <c r="AQ1451" s="470">
        <f>IF(Таблица5[[#This Row],[11]]=0,,MONTH(Таблица5[[#This Row],[11]]))</f>
        <v>12</v>
      </c>
    </row>
    <row r="1452" spans="1:43" ht="39" thickBot="1" x14ac:dyDescent="0.3">
      <c r="A1452" s="233" t="str">
        <f t="shared" si="22"/>
        <v>1004-2017-1437</v>
      </c>
      <c r="B1452" s="233" t="str">
        <f>РПЗ!$D1452</f>
        <v>1004-2017-1437 Поставка и монтаж окон из ПВХ профиля</v>
      </c>
      <c r="C1452" s="233" t="str">
        <f>РПЗ!$AA1452</f>
        <v>АО "НИИ "Полюс" им. М.Ф. Стельмаха" тел. отдела закупок 8-495-333-05-02</v>
      </c>
      <c r="D1452" s="633" t="str">
        <f>РПЗ!$AB1452</f>
        <v>Заказчик</v>
      </c>
      <c r="E1452" s="510" t="s">
        <v>62</v>
      </c>
      <c r="F1452" s="233" t="str">
        <f>РПЗ!Q1452</f>
        <v>ОЗК</v>
      </c>
      <c r="G1452" s="237" t="str">
        <f>Таблица5[[#This Row],[6]]</f>
        <v>ОЗК</v>
      </c>
      <c r="H1452" s="237" t="str">
        <f>РПЗ!R1452</f>
        <v>Да</v>
      </c>
      <c r="I1452" s="15">
        <f>РПЗ!W1452</f>
        <v>0</v>
      </c>
      <c r="J1452" s="233">
        <f>РПЗ!X1452</f>
        <v>0</v>
      </c>
      <c r="K1452" s="283">
        <f>РПЗ!Z1452</f>
        <v>0</v>
      </c>
      <c r="L1452" s="17">
        <v>43041</v>
      </c>
      <c r="M1452" s="18">
        <f>РПЗ!O1452</f>
        <v>43040.625</v>
      </c>
      <c r="N1452" s="238">
        <f>Таблица5[[#This Row],[10]]</f>
        <v>43040.625</v>
      </c>
      <c r="O1452" s="17">
        <v>43048</v>
      </c>
      <c r="P1452" s="17">
        <v>43053</v>
      </c>
      <c r="Q1452" s="17">
        <v>43053</v>
      </c>
      <c r="R1452" s="17">
        <v>43049</v>
      </c>
      <c r="S1452" s="17">
        <v>43049</v>
      </c>
      <c r="T1452" s="686">
        <v>43063</v>
      </c>
      <c r="U1452" s="18">
        <f>РПЗ!P1452</f>
        <v>43070.625</v>
      </c>
      <c r="V1452" s="686">
        <v>43100</v>
      </c>
      <c r="W1452" s="236">
        <f>РПЗ!L1452</f>
        <v>244190.84</v>
      </c>
      <c r="X1452" s="689">
        <v>2</v>
      </c>
      <c r="Y1452" s="689">
        <v>0</v>
      </c>
      <c r="Z1452" s="691">
        <v>621303480702</v>
      </c>
      <c r="AA1452" s="691" t="s">
        <v>8081</v>
      </c>
      <c r="AB1452" s="111">
        <v>227620</v>
      </c>
      <c r="AC1452" s="17">
        <v>43100</v>
      </c>
      <c r="AD1452" s="690" t="s">
        <v>8147</v>
      </c>
      <c r="AE1452" s="686">
        <v>43063</v>
      </c>
      <c r="AF1452" s="474"/>
      <c r="AG1452" s="692">
        <v>227620</v>
      </c>
      <c r="AH1452" s="236">
        <f>IF(Таблица5[[#This Row],[30]]=0,"НД",Таблица5[[#This Row],[20]]-Таблица5[[#This Row],[30]])</f>
        <v>16570.839999999997</v>
      </c>
      <c r="AI1452" s="511">
        <f>IF(((1-Таблица5[[#This Row],[30]]/Таблица5[[#This Row],[20]])=1),"НД",(1-Таблица5[[#This Row],[30]]/Таблица5[[#This Row],[20]]))</f>
        <v>6.7860203109993744E-2</v>
      </c>
      <c r="AJ1452" s="111">
        <v>227620</v>
      </c>
      <c r="AK1452" s="111"/>
      <c r="AL1452" s="512"/>
      <c r="AM1452" s="513" t="s">
        <v>113</v>
      </c>
      <c r="AN1452" s="801">
        <v>31705700668</v>
      </c>
      <c r="AO1452" s="468" t="str">
        <f>РПЗ!AD1452</f>
        <v>Нет</v>
      </c>
      <c r="AP1452" s="472">
        <f>РПЗ!V1452</f>
        <v>0</v>
      </c>
      <c r="AQ1452" s="470">
        <f>IF(Таблица5[[#This Row],[11]]=0,,MONTH(Таблица5[[#This Row],[11]]))</f>
        <v>11</v>
      </c>
    </row>
    <row r="1453" spans="1:43" ht="38.25" x14ac:dyDescent="0.25">
      <c r="A1453" s="233" t="str">
        <f t="shared" si="22"/>
        <v>1004-2017-1438</v>
      </c>
      <c r="B1453" s="233" t="str">
        <f>РПЗ!$D1453</f>
        <v>1004-2017-1438 Поставка Активный элемент YAG  ГП3х50-Э.01</v>
      </c>
      <c r="C1453" s="233" t="str">
        <f>РПЗ!$AA1453</f>
        <v>АО "НИИ "Полюс" им. М.Ф. Стельмаха" тел. отдела закупок 8-495-333-05-02</v>
      </c>
      <c r="D1453" s="633" t="str">
        <f>РПЗ!$AB1453</f>
        <v>Заказчик</v>
      </c>
      <c r="E1453" s="96" t="s">
        <v>62</v>
      </c>
      <c r="F1453" s="233" t="str">
        <f>РПЗ!Q1453</f>
        <v>ЕП</v>
      </c>
      <c r="G1453" s="237" t="str">
        <f>Таблица5[[#This Row],[6]]</f>
        <v>ЕП</v>
      </c>
      <c r="H1453" s="237" t="str">
        <f>РПЗ!R1453</f>
        <v>Нет</v>
      </c>
      <c r="I1453" s="15" t="str">
        <f>РПЗ!W1453</f>
        <v>6.6.2(11)</v>
      </c>
      <c r="J1453" s="233" t="str">
        <f>РПЗ!X1453</f>
        <v>2635063350</v>
      </c>
      <c r="K1453" s="283">
        <f>РПЗ!Z1453</f>
        <v>2028837.78</v>
      </c>
      <c r="L1453" s="17">
        <v>43074</v>
      </c>
      <c r="M1453" s="18">
        <f>РПЗ!O1453</f>
        <v>43070</v>
      </c>
      <c r="N1453" s="238">
        <f>Таблица5[[#This Row],[10]]</f>
        <v>43070</v>
      </c>
      <c r="O1453" s="17"/>
      <c r="P1453" s="17"/>
      <c r="Q1453" s="17"/>
      <c r="R1453" s="17"/>
      <c r="S1453" s="17"/>
      <c r="T1453" s="686">
        <v>43091</v>
      </c>
      <c r="U1453" s="18">
        <f>РПЗ!P1453</f>
        <v>43070.625</v>
      </c>
      <c r="V1453" s="686">
        <v>43099</v>
      </c>
      <c r="W1453" s="236">
        <f>РПЗ!L1453</f>
        <v>2028837.78</v>
      </c>
      <c r="X1453" s="689">
        <v>1</v>
      </c>
      <c r="Y1453" s="689">
        <v>0</v>
      </c>
      <c r="Z1453" s="691">
        <v>2635063350</v>
      </c>
      <c r="AA1453" s="691" t="s">
        <v>2410</v>
      </c>
      <c r="AB1453" s="111">
        <v>2028837.78</v>
      </c>
      <c r="AC1453" s="17">
        <v>43099</v>
      </c>
      <c r="AD1453" s="690" t="s">
        <v>7212</v>
      </c>
      <c r="AE1453" s="686">
        <v>43091</v>
      </c>
      <c r="AF1453" s="474"/>
      <c r="AG1453" s="692">
        <v>2028837.78</v>
      </c>
      <c r="AH1453" s="236">
        <f>IF(Таблица5[[#This Row],[30]]=0,"НД",Таблица5[[#This Row],[20]]-Таблица5[[#This Row],[30]])</f>
        <v>0</v>
      </c>
      <c r="AI1453" s="511">
        <f>IF(((1-Таблица5[[#This Row],[30]]/Таблица5[[#This Row],[20]])=1),"НД",(1-Таблица5[[#This Row],[30]]/Таблица5[[#This Row],[20]]))</f>
        <v>0</v>
      </c>
      <c r="AJ1453" s="111"/>
      <c r="AK1453" s="111"/>
      <c r="AL1453" s="512"/>
      <c r="AM1453" s="513" t="s">
        <v>113</v>
      </c>
      <c r="AN1453" s="801">
        <v>31705872395</v>
      </c>
      <c r="AO1453" s="468" t="str">
        <f>РПЗ!AD1453</f>
        <v>Нет</v>
      </c>
      <c r="AP1453" s="472" t="str">
        <f>РПЗ!V1453</f>
        <v>ГОЗ</v>
      </c>
      <c r="AQ1453" s="470">
        <f>IF(Таблица5[[#This Row],[11]]=0,,MONTH(Таблица5[[#This Row],[11]]))</f>
        <v>12</v>
      </c>
    </row>
    <row r="1454" spans="1:43" s="1" customFormat="1" ht="38.25" x14ac:dyDescent="0.25">
      <c r="A1454" s="233" t="str">
        <f t="shared" si="22"/>
        <v>1004-2017-1439</v>
      </c>
      <c r="B1454" s="233" t="str">
        <f>РПЗ!$D1454</f>
        <v>1004-2017-1439 Поставка  Комплекты механических деталей для изд. МТД</v>
      </c>
      <c r="C1454" s="233" t="str">
        <f>РПЗ!$AA1454</f>
        <v>АО "НИИ "Полюс" им. М.Ф. Стельмаха" тел. отдела закупок 8-495-333-05-02</v>
      </c>
      <c r="D1454" s="870" t="str">
        <f>РПЗ!$AB1454</f>
        <v>Заказчик</v>
      </c>
      <c r="E1454" s="510" t="s">
        <v>62</v>
      </c>
      <c r="F1454" s="233" t="str">
        <f>РПЗ!Q1454</f>
        <v>ЕП</v>
      </c>
      <c r="G1454" s="237" t="str">
        <f>Таблица5[[#This Row],[6]]</f>
        <v>ЕП</v>
      </c>
      <c r="H1454" s="237" t="str">
        <f>РПЗ!R1454</f>
        <v>Нет</v>
      </c>
      <c r="I1454" s="15" t="str">
        <f>РПЗ!W1454</f>
        <v>6.6.2(11)</v>
      </c>
      <c r="J1454" s="233" t="str">
        <f>РПЗ!X1454</f>
        <v>190437885</v>
      </c>
      <c r="K1454" s="283">
        <f>РПЗ!Z1454</f>
        <v>0</v>
      </c>
      <c r="L1454" s="17">
        <v>43060</v>
      </c>
      <c r="M1454" s="18">
        <f>РПЗ!O1454</f>
        <v>43040.625</v>
      </c>
      <c r="N1454" s="238">
        <f>Таблица5[[#This Row],[10]]</f>
        <v>43040.625</v>
      </c>
      <c r="O1454" s="17"/>
      <c r="P1454" s="17"/>
      <c r="Q1454" s="17"/>
      <c r="R1454" s="17"/>
      <c r="S1454" s="17"/>
      <c r="T1454" s="686">
        <v>43068</v>
      </c>
      <c r="U1454" s="18">
        <f>РПЗ!P1454</f>
        <v>43070.625</v>
      </c>
      <c r="V1454" s="686">
        <v>43220</v>
      </c>
      <c r="W1454" s="236">
        <f>РПЗ!L1454</f>
        <v>16875000</v>
      </c>
      <c r="X1454" s="689">
        <v>1</v>
      </c>
      <c r="Y1454" s="689">
        <v>0</v>
      </c>
      <c r="Z1454" s="691">
        <v>190437885</v>
      </c>
      <c r="AA1454" s="691" t="s">
        <v>2335</v>
      </c>
      <c r="AB1454" s="111">
        <v>16875000</v>
      </c>
      <c r="AC1454" s="17">
        <v>43220</v>
      </c>
      <c r="AD1454" s="690" t="s">
        <v>7709</v>
      </c>
      <c r="AE1454" s="686">
        <v>43068</v>
      </c>
      <c r="AF1454" s="474"/>
      <c r="AG1454" s="692">
        <v>16875000</v>
      </c>
      <c r="AH1454" s="236">
        <f>IF(Таблица5[[#This Row],[30]]=0,"НД",Таблица5[[#This Row],[20]]-Таблица5[[#This Row],[30]])</f>
        <v>0</v>
      </c>
      <c r="AI1454" s="511">
        <f>IF(((1-Таблица5[[#This Row],[30]]/Таблица5[[#This Row],[20]])=1),"НД",(1-Таблица5[[#This Row],[30]]/Таблица5[[#This Row],[20]]))</f>
        <v>0</v>
      </c>
      <c r="AJ1454" s="111"/>
      <c r="AK1454" s="111"/>
      <c r="AL1454" s="111"/>
      <c r="AM1454" s="910" t="s">
        <v>113</v>
      </c>
      <c r="AN1454" s="801">
        <v>31705786175</v>
      </c>
      <c r="AO1454" s="468" t="str">
        <f>РПЗ!AD1454</f>
        <v>Нет</v>
      </c>
      <c r="AP1454" s="472" t="str">
        <f>РПЗ!V1454</f>
        <v>ГОЗ</v>
      </c>
      <c r="AQ1454" s="470">
        <f>IF(Таблица5[[#This Row],[11]]=0,,MONTH(Таблица5[[#This Row],[11]]))</f>
        <v>11</v>
      </c>
    </row>
    <row r="1455" spans="1:43" s="1" customFormat="1" ht="42" customHeight="1" x14ac:dyDescent="0.25">
      <c r="A1455" s="233" t="str">
        <f t="shared" si="22"/>
        <v>1004-2017-1440</v>
      </c>
      <c r="B1455" s="233" t="str">
        <f>РПЗ!$D1455</f>
        <v>1004-2017-1440 Поставка  Печатные платы для изделия 9Б918</v>
      </c>
      <c r="C1455" s="233" t="str">
        <f>РПЗ!$AA1455</f>
        <v>АО "НИИ "Полюс" им. М.Ф. Стельмаха" тел. отдела закупок 8-495-333-05-02</v>
      </c>
      <c r="D1455" s="870" t="str">
        <f>РПЗ!$AB1455</f>
        <v>Заказчик</v>
      </c>
      <c r="E1455" s="510" t="s">
        <v>62</v>
      </c>
      <c r="F1455" s="233" t="str">
        <f>РПЗ!Q1455</f>
        <v>ЕП</v>
      </c>
      <c r="G1455" s="237" t="str">
        <f>Таблица5[[#This Row],[6]]</f>
        <v>ЕП</v>
      </c>
      <c r="H1455" s="237">
        <f>РПЗ!R1683</f>
        <v>0</v>
      </c>
      <c r="I1455" s="15" t="str">
        <f>РПЗ!W1455</f>
        <v>6.6.2(11)</v>
      </c>
      <c r="J1455" s="233" t="str">
        <f>РПЗ!X1455</f>
        <v>7735127006</v>
      </c>
      <c r="K1455" s="283">
        <f>РПЗ!Z1455</f>
        <v>112355.64</v>
      </c>
      <c r="L1455" s="17">
        <v>43042</v>
      </c>
      <c r="M1455" s="18">
        <f>РПЗ!O1455</f>
        <v>43040.625</v>
      </c>
      <c r="N1455" s="238">
        <f>Таблица5[[#This Row],[10]]</f>
        <v>43040.625</v>
      </c>
      <c r="O1455" s="17"/>
      <c r="P1455" s="17"/>
      <c r="Q1455" s="17"/>
      <c r="R1455" s="17"/>
      <c r="S1455" s="17"/>
      <c r="T1455" s="686">
        <v>43053</v>
      </c>
      <c r="U1455" s="18">
        <f>РПЗ!P1455</f>
        <v>43070.625</v>
      </c>
      <c r="V1455" s="686">
        <v>43100</v>
      </c>
      <c r="W1455" s="236">
        <f>РПЗ!L1455</f>
        <v>112355.64</v>
      </c>
      <c r="X1455" s="689">
        <v>1</v>
      </c>
      <c r="Y1455" s="689">
        <v>0</v>
      </c>
      <c r="Z1455" s="691">
        <v>7735127006</v>
      </c>
      <c r="AA1455" s="691" t="s">
        <v>5767</v>
      </c>
      <c r="AB1455" s="111">
        <v>112355.64</v>
      </c>
      <c r="AC1455" s="17">
        <v>43100</v>
      </c>
      <c r="AD1455" s="690" t="s">
        <v>7655</v>
      </c>
      <c r="AE1455" s="686">
        <v>43053</v>
      </c>
      <c r="AF1455" s="474"/>
      <c r="AG1455" s="692">
        <v>112355.64</v>
      </c>
      <c r="AH1455" s="236">
        <f>IF(Таблица5[[#This Row],[30]]=0,"НД",Таблица5[[#This Row],[20]]-Таблица5[[#This Row],[30]])</f>
        <v>0</v>
      </c>
      <c r="AI1455" s="511">
        <f>IF(((1-Таблица5[[#This Row],[30]]/Таблица5[[#This Row],[20]])=1),"НД",(1-Таблица5[[#This Row],[30]]/Таблица5[[#This Row],[20]]))</f>
        <v>0</v>
      </c>
      <c r="AJ1455" s="111"/>
      <c r="AK1455" s="111"/>
      <c r="AL1455" s="111"/>
      <c r="AM1455" s="910" t="s">
        <v>113</v>
      </c>
      <c r="AN1455" s="801">
        <v>31705717273</v>
      </c>
      <c r="AO1455" s="468" t="str">
        <f>РПЗ!AD1455</f>
        <v>Нет</v>
      </c>
      <c r="AP1455" s="472" t="str">
        <f>РПЗ!V1455</f>
        <v>ГОЗ</v>
      </c>
      <c r="AQ1455" s="470">
        <f>IF(Таблица5[[#This Row],[11]]=0,,MONTH(Таблица5[[#This Row],[11]]))</f>
        <v>11</v>
      </c>
    </row>
    <row r="1456" spans="1:43" s="1" customFormat="1" ht="38.25" x14ac:dyDescent="0.25">
      <c r="A1456" s="233" t="str">
        <f t="shared" si="22"/>
        <v>1004-2017-1441</v>
      </c>
      <c r="B1456" s="233" t="str">
        <f>РПЗ!$D1456</f>
        <v>1004-2017-1441 Поставка аквадисстиляторы</v>
      </c>
      <c r="C1456" s="233" t="str">
        <f>РПЗ!$AA1456</f>
        <v>АО "НИИ "Полюс" им. М.Ф. Стельмаха" тел. отдела закупок 8-495-333-05-02</v>
      </c>
      <c r="D1456" s="870" t="str">
        <f>РПЗ!$AB1456</f>
        <v>Заказчик</v>
      </c>
      <c r="E1456" s="510" t="s">
        <v>62</v>
      </c>
      <c r="F1456" s="233" t="str">
        <f>РПЗ!Q1456</f>
        <v>ОЗК</v>
      </c>
      <c r="G1456" s="237" t="str">
        <f>Таблица5[[#This Row],[6]]</f>
        <v>ОЗК</v>
      </c>
      <c r="H1456" s="237" t="str">
        <f>РПЗ!R1456</f>
        <v>Да</v>
      </c>
      <c r="I1456" s="15">
        <f>РПЗ!W1456</f>
        <v>0</v>
      </c>
      <c r="J1456" s="233">
        <f>РПЗ!X1456</f>
        <v>0</v>
      </c>
      <c r="K1456" s="283">
        <f>РПЗ!Z1456</f>
        <v>0</v>
      </c>
      <c r="L1456" s="17">
        <v>43046</v>
      </c>
      <c r="M1456" s="18">
        <f>РПЗ!O1456</f>
        <v>43040.625</v>
      </c>
      <c r="N1456" s="238">
        <f>Таблица5[[#This Row],[10]]</f>
        <v>43040.625</v>
      </c>
      <c r="O1456" s="17">
        <v>43053</v>
      </c>
      <c r="P1456" s="17">
        <v>43056</v>
      </c>
      <c r="Q1456" s="17">
        <v>43056</v>
      </c>
      <c r="R1456" s="17">
        <v>43055</v>
      </c>
      <c r="S1456" s="17">
        <v>43055</v>
      </c>
      <c r="T1456" s="686">
        <v>43066</v>
      </c>
      <c r="U1456" s="18">
        <f>РПЗ!P1456</f>
        <v>43040.625</v>
      </c>
      <c r="V1456" s="686">
        <v>43085</v>
      </c>
      <c r="W1456" s="236">
        <f>РПЗ!L1456</f>
        <v>106192.58</v>
      </c>
      <c r="X1456" s="689">
        <v>2</v>
      </c>
      <c r="Y1456" s="689">
        <v>0</v>
      </c>
      <c r="Z1456" s="691">
        <v>9715253140</v>
      </c>
      <c r="AA1456" s="691" t="s">
        <v>8139</v>
      </c>
      <c r="AB1456" s="111">
        <v>85257</v>
      </c>
      <c r="AC1456" s="17">
        <v>43085</v>
      </c>
      <c r="AD1456" s="690" t="s">
        <v>8140</v>
      </c>
      <c r="AE1456" s="686">
        <v>43066</v>
      </c>
      <c r="AF1456" s="474"/>
      <c r="AG1456" s="692">
        <v>85257</v>
      </c>
      <c r="AH1456" s="236">
        <f>IF(Таблица5[[#This Row],[30]]=0,"НД",Таблица5[[#This Row],[20]]-Таблица5[[#This Row],[30]])</f>
        <v>20935.580000000002</v>
      </c>
      <c r="AI1456" s="511">
        <f>IF(((1-Таблица5[[#This Row],[30]]/Таблица5[[#This Row],[20]])=1),"НД",(1-Таблица5[[#This Row],[30]]/Таблица5[[#This Row],[20]]))</f>
        <v>0.1971472959786833</v>
      </c>
      <c r="AJ1456" s="111"/>
      <c r="AK1456" s="111">
        <v>85257</v>
      </c>
      <c r="AL1456" s="111"/>
      <c r="AM1456" s="910" t="s">
        <v>113</v>
      </c>
      <c r="AN1456" s="801">
        <v>31705710904</v>
      </c>
      <c r="AO1456" s="468" t="str">
        <f>РПЗ!AD1456</f>
        <v>Нет</v>
      </c>
      <c r="AP1456" s="472">
        <f>РПЗ!V1456</f>
        <v>0</v>
      </c>
      <c r="AQ1456" s="470">
        <f>IF(Таблица5[[#This Row],[11]]=0,,MONTH(Таблица5[[#This Row],[11]]))</f>
        <v>11</v>
      </c>
    </row>
    <row r="1457" spans="1:43" s="1" customFormat="1" ht="39" thickBot="1" x14ac:dyDescent="0.3">
      <c r="A1457" s="233" t="str">
        <f t="shared" si="22"/>
        <v>1004-2017-1442</v>
      </c>
      <c r="B1457" s="233" t="str">
        <f>РПЗ!$D1457</f>
        <v>1004-2017-1442 Поставка ионообменных смол</v>
      </c>
      <c r="C1457" s="233" t="str">
        <f>РПЗ!$AA1457</f>
        <v>АО "НИИ "Полюс" им. М.Ф. Стельмаха" тел. отдела закупок 8-495-333-05-02</v>
      </c>
      <c r="D1457" s="870" t="str">
        <f>РПЗ!$AB1457</f>
        <v>Заказчик</v>
      </c>
      <c r="E1457" s="510" t="s">
        <v>59</v>
      </c>
      <c r="F1457" s="233" t="str">
        <f>РПЗ!Q1457</f>
        <v>ОЗК</v>
      </c>
      <c r="G1457" s="237" t="str">
        <f>Таблица5[[#This Row],[6]]</f>
        <v>ОЗК</v>
      </c>
      <c r="H1457" s="237" t="str">
        <f>РПЗ!R1457</f>
        <v>Да</v>
      </c>
      <c r="I1457" s="15">
        <f>РПЗ!W1457</f>
        <v>0</v>
      </c>
      <c r="J1457" s="233">
        <f>РПЗ!X1457</f>
        <v>0</v>
      </c>
      <c r="K1457" s="283">
        <f>РПЗ!Z1457</f>
        <v>0</v>
      </c>
      <c r="L1457" s="17">
        <v>43054</v>
      </c>
      <c r="M1457" s="18">
        <f>РПЗ!O1457</f>
        <v>43040.625</v>
      </c>
      <c r="N1457" s="238">
        <f>Таблица5[[#This Row],[10]]</f>
        <v>43040.625</v>
      </c>
      <c r="O1457" s="17">
        <v>43061</v>
      </c>
      <c r="P1457" s="17">
        <v>43066</v>
      </c>
      <c r="Q1457" s="17">
        <v>43066</v>
      </c>
      <c r="R1457" s="17">
        <v>43066</v>
      </c>
      <c r="S1457" s="17">
        <v>43066</v>
      </c>
      <c r="T1457" s="686"/>
      <c r="U1457" s="18">
        <f>РПЗ!P1457</f>
        <v>43070.625</v>
      </c>
      <c r="V1457" s="686"/>
      <c r="W1457" s="236">
        <f>РПЗ!L1457</f>
        <v>64000.9</v>
      </c>
      <c r="X1457" s="689">
        <v>0</v>
      </c>
      <c r="Y1457" s="689">
        <v>0</v>
      </c>
      <c r="Z1457" s="690"/>
      <c r="AA1457" s="691"/>
      <c r="AB1457" s="111"/>
      <c r="AC1457" s="17"/>
      <c r="AD1457" s="690"/>
      <c r="AE1457" s="686"/>
      <c r="AF1457" s="474"/>
      <c r="AG1457" s="692"/>
      <c r="AH1457" s="236" t="str">
        <f>IF(Таблица5[[#This Row],[30]]=0,"НД",Таблица5[[#This Row],[20]]-Таблица5[[#This Row],[30]])</f>
        <v>НД</v>
      </c>
      <c r="AI1457" s="511" t="str">
        <f>IF(((1-Таблица5[[#This Row],[30]]/Таблица5[[#This Row],[20]])=1),"НД",(1-Таблица5[[#This Row],[30]]/Таблица5[[#This Row],[20]]))</f>
        <v>НД</v>
      </c>
      <c r="AJ1457" s="111"/>
      <c r="AK1457" s="111"/>
      <c r="AL1457" s="111"/>
      <c r="AM1457" s="910" t="s">
        <v>113</v>
      </c>
      <c r="AN1457" s="801">
        <v>31705741745</v>
      </c>
      <c r="AO1457" s="468" t="str">
        <f>РПЗ!AD1457</f>
        <v>Нет</v>
      </c>
      <c r="AP1457" s="472">
        <f>РПЗ!V1457</f>
        <v>0</v>
      </c>
      <c r="AQ1457" s="470">
        <f>IF(Таблица5[[#This Row],[11]]=0,,MONTH(Таблица5[[#This Row],[11]]))</f>
        <v>11</v>
      </c>
    </row>
    <row r="1458" spans="1:43" s="1" customFormat="1" ht="38.25" x14ac:dyDescent="0.25">
      <c r="A1458" s="233" t="str">
        <f t="shared" si="22"/>
        <v>1004-2017-1443</v>
      </c>
      <c r="B1458" s="233" t="str">
        <f>РПЗ!$D1458</f>
        <v>1004-2017-1443 Поставка  конденсаторы     К53-68  АЖЯР. 673546.007ТУ</v>
      </c>
      <c r="C1458" s="233" t="str">
        <f>РПЗ!$AA1458</f>
        <v>АО "НИИ "Полюс" им. М.Ф. Стельмаха" тел. отдела закупок 8-495-333-05-02</v>
      </c>
      <c r="D1458" s="870" t="str">
        <f>РПЗ!$AB1458</f>
        <v>Заказчик</v>
      </c>
      <c r="E1458" s="96" t="s">
        <v>46</v>
      </c>
      <c r="F1458" s="233" t="str">
        <f>РПЗ!Q1458</f>
        <v>ЕП</v>
      </c>
      <c r="G1458" s="237"/>
      <c r="H1458" s="237" t="str">
        <f>РПЗ!R1458</f>
        <v>Нет</v>
      </c>
      <c r="I1458" s="15">
        <f>РПЗ!W1458</f>
        <v>0</v>
      </c>
      <c r="J1458" s="233">
        <f>РПЗ!X1458</f>
        <v>0</v>
      </c>
      <c r="K1458" s="283">
        <f>РПЗ!Z1458</f>
        <v>0</v>
      </c>
      <c r="L1458" s="17"/>
      <c r="M1458" s="18">
        <f>РПЗ!O1458</f>
        <v>43040.625</v>
      </c>
      <c r="N1458" s="238">
        <f>Таблица5[[#This Row],[10]]</f>
        <v>43040.625</v>
      </c>
      <c r="O1458" s="17"/>
      <c r="P1458" s="17"/>
      <c r="Q1458" s="17"/>
      <c r="R1458" s="17"/>
      <c r="S1458" s="17"/>
      <c r="T1458" s="686"/>
      <c r="U1458" s="18">
        <f>РПЗ!P1458</f>
        <v>43040.625</v>
      </c>
      <c r="V1458" s="686"/>
      <c r="W1458" s="236">
        <f>РПЗ!L1458</f>
        <v>202134.71</v>
      </c>
      <c r="X1458" s="689"/>
      <c r="Y1458" s="689"/>
      <c r="Z1458" s="690"/>
      <c r="AA1458" s="691"/>
      <c r="AB1458" s="111"/>
      <c r="AC1458" s="17"/>
      <c r="AD1458" s="690"/>
      <c r="AE1458" s="686"/>
      <c r="AF1458" s="474"/>
      <c r="AG1458" s="692"/>
      <c r="AH1458" s="236" t="str">
        <f>IF(Таблица5[[#This Row],[30]]=0,"НД",Таблица5[[#This Row],[20]]-Таблица5[[#This Row],[30]])</f>
        <v>НД</v>
      </c>
      <c r="AI1458" s="511" t="str">
        <f>IF(((1-Таблица5[[#This Row],[30]]/Таблица5[[#This Row],[20]])=1),"НД",(1-Таблица5[[#This Row],[30]]/Таблица5[[#This Row],[20]]))</f>
        <v>НД</v>
      </c>
      <c r="AJ1458" s="111"/>
      <c r="AK1458" s="111"/>
      <c r="AL1458" s="111"/>
      <c r="AM1458" s="910"/>
      <c r="AN1458" s="465"/>
      <c r="AO1458" s="468" t="str">
        <f>РПЗ!AD1458</f>
        <v>Нет</v>
      </c>
      <c r="AP1458" s="472">
        <f>РПЗ!V1458</f>
        <v>0</v>
      </c>
      <c r="AQ1458" s="470">
        <f>IF(Таблица5[[#This Row],[11]]=0,,MONTH(Таблица5[[#This Row],[11]]))</f>
        <v>11</v>
      </c>
    </row>
    <row r="1459" spans="1:43" s="1" customFormat="1" ht="38.25" x14ac:dyDescent="0.25">
      <c r="A1459" s="233" t="str">
        <f t="shared" si="22"/>
        <v>1004-2017-1444</v>
      </c>
      <c r="B1459" s="233" t="str">
        <f>РПЗ!$D1459</f>
        <v>1004-2017-1444 выполнение услуг по оценке стоимости оборудования</v>
      </c>
      <c r="C1459" s="233" t="str">
        <f>РПЗ!$AA1459</f>
        <v>АО "НИИ "Полюс" им. М.Ф. Стельмаха" тел. отдела закупок 8-495-333-05-02</v>
      </c>
      <c r="D1459" s="870" t="str">
        <f>РПЗ!$AB1459</f>
        <v>Заказчик</v>
      </c>
      <c r="E1459" s="510" t="s">
        <v>62</v>
      </c>
      <c r="F1459" s="233" t="str">
        <f>РПЗ!Q1459</f>
        <v>ОЗК</v>
      </c>
      <c r="G1459" s="237" t="str">
        <f>Таблица5[[#This Row],[6]]</f>
        <v>ОЗК</v>
      </c>
      <c r="H1459" s="237" t="str">
        <f>РПЗ!R1459</f>
        <v>Да</v>
      </c>
      <c r="I1459" s="15">
        <f>РПЗ!W1459</f>
        <v>0</v>
      </c>
      <c r="J1459" s="233">
        <f>РПЗ!X1459</f>
        <v>0</v>
      </c>
      <c r="K1459" s="283">
        <f>РПЗ!Z1459</f>
        <v>0</v>
      </c>
      <c r="L1459" s="17">
        <v>43052</v>
      </c>
      <c r="M1459" s="18">
        <f>РПЗ!O1459</f>
        <v>43040.625</v>
      </c>
      <c r="N1459" s="238">
        <f>Таблица5[[#This Row],[10]]</f>
        <v>43040.625</v>
      </c>
      <c r="O1459" s="17">
        <v>43059</v>
      </c>
      <c r="P1459" s="17">
        <v>43062</v>
      </c>
      <c r="Q1459" s="17">
        <v>43062</v>
      </c>
      <c r="R1459" s="17">
        <v>43061</v>
      </c>
      <c r="S1459" s="17">
        <v>43061</v>
      </c>
      <c r="T1459" s="686">
        <v>43074</v>
      </c>
      <c r="U1459" s="18">
        <f>РПЗ!P1459</f>
        <v>43040.625</v>
      </c>
      <c r="V1459" s="686">
        <v>43086</v>
      </c>
      <c r="W1459" s="236">
        <f>РПЗ!L1459</f>
        <v>46000</v>
      </c>
      <c r="X1459" s="689">
        <v>5</v>
      </c>
      <c r="Y1459" s="689">
        <v>0</v>
      </c>
      <c r="Z1459" s="691">
        <v>5017101912</v>
      </c>
      <c r="AA1459" s="691" t="s">
        <v>8141</v>
      </c>
      <c r="AB1459" s="111">
        <v>26000</v>
      </c>
      <c r="AC1459" s="17">
        <v>43086</v>
      </c>
      <c r="AD1459" s="690" t="s">
        <v>8142</v>
      </c>
      <c r="AE1459" s="686">
        <v>43074</v>
      </c>
      <c r="AF1459" s="474"/>
      <c r="AG1459" s="692">
        <v>26000</v>
      </c>
      <c r="AH1459" s="236">
        <f>IF(Таблица5[[#This Row],[30]]=0,"НД",Таблица5[[#This Row],[20]]-Таблица5[[#This Row],[30]])</f>
        <v>20000</v>
      </c>
      <c r="AI1459" s="511">
        <f>IF(((1-Таблица5[[#This Row],[30]]/Таблица5[[#This Row],[20]])=1),"НД",(1-Таблица5[[#This Row],[30]]/Таблица5[[#This Row],[20]]))</f>
        <v>0.43478260869565222</v>
      </c>
      <c r="AJ1459" s="111"/>
      <c r="AK1459" s="111">
        <v>26000</v>
      </c>
      <c r="AL1459" s="111"/>
      <c r="AM1459" s="910" t="s">
        <v>113</v>
      </c>
      <c r="AN1459" s="801">
        <v>31705733012</v>
      </c>
      <c r="AO1459" s="468" t="str">
        <f>РПЗ!AD1459</f>
        <v>Нет</v>
      </c>
      <c r="AP1459" s="472">
        <f>РПЗ!V1459</f>
        <v>0</v>
      </c>
      <c r="AQ1459" s="470">
        <f>IF(Таблица5[[#This Row],[11]]=0,,MONTH(Таблица5[[#This Row],[11]]))</f>
        <v>11</v>
      </c>
    </row>
    <row r="1460" spans="1:43" s="1" customFormat="1" ht="76.5" x14ac:dyDescent="0.25">
      <c r="A1460" s="233" t="str">
        <f t="shared" ref="A1460:A1523" si="23">INDEX(Диапазон1,ROW(), COLUMN())</f>
        <v>1004-2017-1445</v>
      </c>
      <c r="B1460" s="233" t="str">
        <f>РПЗ!$D1460</f>
        <v>1004-2017-1445 Поставка  Электроды ЭК1 – 25 - 120 Я2М4.088.172, Электроды ЭК4 – 25 – 120 ПГАМ4.088.005, Электроды ЭК1 – 30 – 140 Я2М4.088.172, Электроды ЭК4 – 30 – 140 ПГАМ4.088.005</v>
      </c>
      <c r="C1460" s="233" t="str">
        <f>РПЗ!$AA1460</f>
        <v>АО "НИИ "Полюс" им. М.Ф. Стельмаха" тел. отдела закупок 8-495-333-05-02</v>
      </c>
      <c r="D1460" s="870" t="str">
        <f>РПЗ!$AB1460</f>
        <v>Заказчик</v>
      </c>
      <c r="E1460" s="510" t="s">
        <v>62</v>
      </c>
      <c r="F1460" s="233" t="str">
        <f>РПЗ!Q1460</f>
        <v>ОЗК</v>
      </c>
      <c r="G1460" s="237" t="str">
        <f>Таблица5[[#This Row],[6]]</f>
        <v>ОЗК</v>
      </c>
      <c r="H1460" s="237" t="str">
        <f>РПЗ!R1460</f>
        <v>Да</v>
      </c>
      <c r="I1460" s="15">
        <f>РПЗ!W1460</f>
        <v>0</v>
      </c>
      <c r="J1460" s="233">
        <f>РПЗ!X1460</f>
        <v>0</v>
      </c>
      <c r="K1460" s="283">
        <f>РПЗ!Z1460</f>
        <v>0</v>
      </c>
      <c r="L1460" s="17">
        <v>43048</v>
      </c>
      <c r="M1460" s="18">
        <f>РПЗ!O1460</f>
        <v>43040.625</v>
      </c>
      <c r="N1460" s="238">
        <f>Таблица5[[#This Row],[10]]</f>
        <v>43040.625</v>
      </c>
      <c r="O1460" s="17">
        <v>43055</v>
      </c>
      <c r="P1460" s="17">
        <v>43060</v>
      </c>
      <c r="Q1460" s="17">
        <v>43060</v>
      </c>
      <c r="R1460" s="17">
        <v>43055</v>
      </c>
      <c r="S1460" s="17">
        <v>43055</v>
      </c>
      <c r="T1460" s="686">
        <v>43073</v>
      </c>
      <c r="U1460" s="18">
        <f>РПЗ!P1460</f>
        <v>43070.625</v>
      </c>
      <c r="V1460" s="686">
        <v>43083</v>
      </c>
      <c r="W1460" s="236">
        <f>РПЗ!L1460</f>
        <v>268769</v>
      </c>
      <c r="X1460" s="689">
        <v>2</v>
      </c>
      <c r="Y1460" s="689">
        <v>0</v>
      </c>
      <c r="Z1460" s="691">
        <v>2130037277</v>
      </c>
      <c r="AA1460" s="691" t="s">
        <v>3351</v>
      </c>
      <c r="AB1460" s="111">
        <v>249216</v>
      </c>
      <c r="AC1460" s="17">
        <v>43083</v>
      </c>
      <c r="AD1460" s="690" t="s">
        <v>8127</v>
      </c>
      <c r="AE1460" s="686">
        <v>43073</v>
      </c>
      <c r="AF1460" s="474"/>
      <c r="AG1460" s="692">
        <v>249216</v>
      </c>
      <c r="AH1460" s="236">
        <f>IF(Таблица5[[#This Row],[30]]=0,"НД",Таблица5[[#This Row],[20]]-Таблица5[[#This Row],[30]])</f>
        <v>19553</v>
      </c>
      <c r="AI1460" s="511">
        <f>IF(((1-Таблица5[[#This Row],[30]]/Таблица5[[#This Row],[20]])=1),"НД",(1-Таблица5[[#This Row],[30]]/Таблица5[[#This Row],[20]]))</f>
        <v>7.2750205566862292E-2</v>
      </c>
      <c r="AJ1460" s="111"/>
      <c r="AK1460" s="111">
        <v>249216</v>
      </c>
      <c r="AL1460" s="111"/>
      <c r="AM1460" s="910" t="s">
        <v>113</v>
      </c>
      <c r="AN1460" s="801">
        <v>31705718451</v>
      </c>
      <c r="AO1460" s="468" t="str">
        <f>РПЗ!AD1460</f>
        <v>Нет</v>
      </c>
      <c r="AP1460" s="472">
        <f>РПЗ!V1460</f>
        <v>0</v>
      </c>
      <c r="AQ1460" s="470">
        <f>IF(Таблица5[[#This Row],[11]]=0,,MONTH(Таблица5[[#This Row],[11]]))</f>
        <v>11</v>
      </c>
    </row>
    <row r="1461" spans="1:43" s="1" customFormat="1" ht="39" thickBot="1" x14ac:dyDescent="0.3">
      <c r="A1461" s="233" t="str">
        <f t="shared" si="23"/>
        <v>1004-2017-1446</v>
      </c>
      <c r="B1461" s="233" t="str">
        <f>РПЗ!$D1461</f>
        <v>1004-2017-1446 Поставка Дозиметр гамма-излучения</v>
      </c>
      <c r="C1461" s="233" t="str">
        <f>РПЗ!$AA1461</f>
        <v>АО "НИИ "Полюс" им. М.Ф. Стельмаха" тел. отдела закупок 8-495-333-05-02</v>
      </c>
      <c r="D1461" s="870" t="str">
        <f>РПЗ!$AB1461</f>
        <v>Заказчик</v>
      </c>
      <c r="E1461" s="510" t="s">
        <v>62</v>
      </c>
      <c r="F1461" s="233" t="str">
        <f>РПЗ!Q1461</f>
        <v>ОЗК</v>
      </c>
      <c r="G1461" s="237" t="str">
        <f>Таблица5[[#This Row],[6]]</f>
        <v>ОЗК</v>
      </c>
      <c r="H1461" s="237" t="str">
        <f>РПЗ!R1461</f>
        <v>Да</v>
      </c>
      <c r="I1461" s="15">
        <f>РПЗ!W1461</f>
        <v>0</v>
      </c>
      <c r="J1461" s="233">
        <f>РПЗ!X1461</f>
        <v>0</v>
      </c>
      <c r="K1461" s="283">
        <f>РПЗ!Z1461</f>
        <v>0</v>
      </c>
      <c r="L1461" s="17">
        <v>43053</v>
      </c>
      <c r="M1461" s="18">
        <f>РПЗ!O1461</f>
        <v>43040.625</v>
      </c>
      <c r="N1461" s="238">
        <f>Таблица5[[#This Row],[10]]</f>
        <v>43040.625</v>
      </c>
      <c r="O1461" s="17">
        <v>43060</v>
      </c>
      <c r="P1461" s="17">
        <v>43063</v>
      </c>
      <c r="Q1461" s="17">
        <v>43063</v>
      </c>
      <c r="R1461" s="17">
        <v>43063</v>
      </c>
      <c r="S1461" s="17">
        <v>43063</v>
      </c>
      <c r="T1461" s="686">
        <v>43073</v>
      </c>
      <c r="U1461" s="18">
        <f>РПЗ!P1461</f>
        <v>43070.625</v>
      </c>
      <c r="V1461" s="686">
        <v>43146</v>
      </c>
      <c r="W1461" s="236">
        <f>РПЗ!L1461</f>
        <v>66896</v>
      </c>
      <c r="X1461" s="689">
        <v>2</v>
      </c>
      <c r="Y1461" s="689">
        <v>0</v>
      </c>
      <c r="Z1461" s="691">
        <v>7724187733</v>
      </c>
      <c r="AA1461" s="691" t="s">
        <v>8118</v>
      </c>
      <c r="AB1461" s="111">
        <v>57800</v>
      </c>
      <c r="AC1461" s="17">
        <v>43146</v>
      </c>
      <c r="AD1461" s="690" t="s">
        <v>8119</v>
      </c>
      <c r="AE1461" s="686">
        <v>43073</v>
      </c>
      <c r="AF1461" s="474"/>
      <c r="AG1461" s="692">
        <v>57800</v>
      </c>
      <c r="AH1461" s="236">
        <f>IF(Таблица5[[#This Row],[30]]=0,"НД",Таблица5[[#This Row],[20]]-Таблица5[[#This Row],[30]])</f>
        <v>9096</v>
      </c>
      <c r="AI1461" s="511">
        <f>IF(((1-Таблица5[[#This Row],[30]]/Таблица5[[#This Row],[20]])=1),"НД",(1-Таблица5[[#This Row],[30]]/Таблица5[[#This Row],[20]]))</f>
        <v>0.135972255441282</v>
      </c>
      <c r="AJ1461" s="111"/>
      <c r="AK1461" s="111">
        <v>57800</v>
      </c>
      <c r="AL1461" s="111"/>
      <c r="AM1461" s="910" t="s">
        <v>113</v>
      </c>
      <c r="AN1461" s="801">
        <v>31705733731</v>
      </c>
      <c r="AO1461" s="468" t="str">
        <f>РПЗ!AD1461</f>
        <v>Нет</v>
      </c>
      <c r="AP1461" s="472">
        <f>РПЗ!V1461</f>
        <v>0</v>
      </c>
      <c r="AQ1461" s="470">
        <f>IF(Таблица5[[#This Row],[11]]=0,,MONTH(Таблица5[[#This Row],[11]]))</f>
        <v>11</v>
      </c>
    </row>
    <row r="1462" spans="1:43" s="1" customFormat="1" ht="39" thickBot="1" x14ac:dyDescent="0.3">
      <c r="A1462" s="233" t="str">
        <f t="shared" si="23"/>
        <v>1004-2017-1447</v>
      </c>
      <c r="B1462" s="233" t="str">
        <f>РПЗ!$D1462</f>
        <v>1004-2017-1447 Поставка  Комплект радиоизмерительных приборов 1 к-т</v>
      </c>
      <c r="C1462" s="233" t="str">
        <f>РПЗ!$AA1462</f>
        <v>АО "НИИ "Полюс" им. М.Ф. Стельмаха" тел. отдела закупок 8-495-333-05-02</v>
      </c>
      <c r="D1462" s="870" t="str">
        <f>РПЗ!$AB1462</f>
        <v>Заказчик</v>
      </c>
      <c r="E1462" s="96" t="s">
        <v>46</v>
      </c>
      <c r="F1462" s="233" t="str">
        <f>РПЗ!Q1462</f>
        <v>ОЗК</v>
      </c>
      <c r="G1462" s="237"/>
      <c r="H1462" s="237" t="str">
        <f>РПЗ!R1462</f>
        <v>Да</v>
      </c>
      <c r="I1462" s="15">
        <f>РПЗ!W1462</f>
        <v>0</v>
      </c>
      <c r="J1462" s="233">
        <f>РПЗ!X1462</f>
        <v>0</v>
      </c>
      <c r="K1462" s="283">
        <f>РПЗ!Z1462</f>
        <v>0</v>
      </c>
      <c r="L1462" s="17"/>
      <c r="M1462" s="18">
        <f>РПЗ!O1462</f>
        <v>43040.625</v>
      </c>
      <c r="N1462" s="238">
        <f>Таблица5[[#This Row],[10]]</f>
        <v>43040.625</v>
      </c>
      <c r="O1462" s="17"/>
      <c r="P1462" s="17"/>
      <c r="Q1462" s="17"/>
      <c r="R1462" s="17"/>
      <c r="S1462" s="17"/>
      <c r="T1462" s="686"/>
      <c r="U1462" s="18">
        <f>РПЗ!P1462</f>
        <v>43070.625</v>
      </c>
      <c r="V1462" s="686"/>
      <c r="W1462" s="236">
        <f>РПЗ!L1462</f>
        <v>1422077.39</v>
      </c>
      <c r="X1462" s="689"/>
      <c r="Y1462" s="689"/>
      <c r="Z1462" s="690"/>
      <c r="AA1462" s="691"/>
      <c r="AB1462" s="111"/>
      <c r="AC1462" s="17"/>
      <c r="AD1462" s="690"/>
      <c r="AE1462" s="686"/>
      <c r="AF1462" s="474"/>
      <c r="AG1462" s="692"/>
      <c r="AH1462" s="236" t="str">
        <f>IF(Таблица5[[#This Row],[30]]=0,"НД",Таблица5[[#This Row],[20]]-Таблица5[[#This Row],[30]])</f>
        <v>НД</v>
      </c>
      <c r="AI1462" s="511" t="str">
        <f>IF(((1-Таблица5[[#This Row],[30]]/Таблица5[[#This Row],[20]])=1),"НД",(1-Таблица5[[#This Row],[30]]/Таблица5[[#This Row],[20]]))</f>
        <v>НД</v>
      </c>
      <c r="AJ1462" s="111"/>
      <c r="AK1462" s="111"/>
      <c r="AL1462" s="111"/>
      <c r="AM1462" s="910"/>
      <c r="AN1462" s="465"/>
      <c r="AO1462" s="468" t="str">
        <f>РПЗ!AD1462</f>
        <v>Нет</v>
      </c>
      <c r="AP1462" s="472">
        <f>РПЗ!V1462</f>
        <v>0</v>
      </c>
      <c r="AQ1462" s="470">
        <f>IF(Таблица5[[#This Row],[11]]=0,,MONTH(Таблица5[[#This Row],[11]]))</f>
        <v>11</v>
      </c>
    </row>
    <row r="1463" spans="1:43" s="1" customFormat="1" ht="38.25" x14ac:dyDescent="0.25">
      <c r="A1463" s="233" t="str">
        <f t="shared" si="23"/>
        <v>1004-2017-1448</v>
      </c>
      <c r="B1463" s="233" t="str">
        <f>РПЗ!$D1463</f>
        <v>1004-2017-1448 Поставка Комплект измерителя мощности лазерного излучения 1 к-т</v>
      </c>
      <c r="C1463" s="233" t="str">
        <f>РПЗ!$AA1463</f>
        <v>АО "НИИ "Полюс" им. М.Ф. Стельмаха" тел. отдела закупок 8-495-333-05-02</v>
      </c>
      <c r="D1463" s="870" t="str">
        <f>РПЗ!$AB1463</f>
        <v>Заказчик</v>
      </c>
      <c r="E1463" s="96" t="s">
        <v>46</v>
      </c>
      <c r="F1463" s="233" t="str">
        <f>РПЗ!Q1463</f>
        <v>ОЗК</v>
      </c>
      <c r="G1463" s="237"/>
      <c r="H1463" s="237" t="str">
        <f>РПЗ!R1463</f>
        <v>Да</v>
      </c>
      <c r="I1463" s="15">
        <f>РПЗ!W1463</f>
        <v>0</v>
      </c>
      <c r="J1463" s="233">
        <f>РПЗ!X1463</f>
        <v>0</v>
      </c>
      <c r="K1463" s="283">
        <f>РПЗ!Z1463</f>
        <v>0</v>
      </c>
      <c r="L1463" s="17"/>
      <c r="M1463" s="18">
        <f>РПЗ!O1463</f>
        <v>43040.625</v>
      </c>
      <c r="N1463" s="238">
        <f>Таблица5[[#This Row],[10]]</f>
        <v>43040.625</v>
      </c>
      <c r="O1463" s="17"/>
      <c r="P1463" s="17"/>
      <c r="Q1463" s="17"/>
      <c r="R1463" s="17"/>
      <c r="S1463" s="17"/>
      <c r="T1463" s="686"/>
      <c r="U1463" s="18">
        <f>РПЗ!P1463</f>
        <v>43070.625</v>
      </c>
      <c r="V1463" s="686"/>
      <c r="W1463" s="236">
        <f>РПЗ!L1463</f>
        <v>475958.48</v>
      </c>
      <c r="X1463" s="689"/>
      <c r="Y1463" s="689"/>
      <c r="Z1463" s="690"/>
      <c r="AA1463" s="691"/>
      <c r="AB1463" s="111"/>
      <c r="AC1463" s="17"/>
      <c r="AD1463" s="690"/>
      <c r="AE1463" s="686"/>
      <c r="AF1463" s="474"/>
      <c r="AG1463" s="692"/>
      <c r="AH1463" s="236" t="str">
        <f>IF(Таблица5[[#This Row],[30]]=0,"НД",Таблица5[[#This Row],[20]]-Таблица5[[#This Row],[30]])</f>
        <v>НД</v>
      </c>
      <c r="AI1463" s="511" t="str">
        <f>IF(((1-Таблица5[[#This Row],[30]]/Таблица5[[#This Row],[20]])=1),"НД",(1-Таблица5[[#This Row],[30]]/Таблица5[[#This Row],[20]]))</f>
        <v>НД</v>
      </c>
      <c r="AJ1463" s="111"/>
      <c r="AK1463" s="111"/>
      <c r="AL1463" s="111"/>
      <c r="AM1463" s="910"/>
      <c r="AN1463" s="465"/>
      <c r="AO1463" s="468" t="str">
        <f>РПЗ!AD1463</f>
        <v>Нет</v>
      </c>
      <c r="AP1463" s="472">
        <f>РПЗ!V1463</f>
        <v>0</v>
      </c>
      <c r="AQ1463" s="470">
        <f>IF(Таблица5[[#This Row],[11]]=0,,MONTH(Таблица5[[#This Row],[11]]))</f>
        <v>11</v>
      </c>
    </row>
    <row r="1464" spans="1:43" s="1" customFormat="1" ht="153" x14ac:dyDescent="0.25">
      <c r="A1464" s="233" t="str">
        <f t="shared" si="23"/>
        <v>1004-2017-1449</v>
      </c>
      <c r="B1464" s="233" t="str">
        <f>РПЗ!$D1464</f>
        <v>1004-2017-1449 на составную часть научно-исследовательской экспериментальной работы «Разработка и экспериментальное подтверждение принципов построения мобильного лазерного комплекса борьбы с малоразмерными беспилотными летательными аппаратами. Изготовление макета жидкостного лазера, доработка технологического комплекса и проведение испытаний»</v>
      </c>
      <c r="C1464" s="233" t="str">
        <f>РПЗ!$AA1464</f>
        <v>АО "НИИ "Полюс" им. М.Ф. Стельмаха" тел. отдела закупок 8-495-333-05-02</v>
      </c>
      <c r="D1464" s="870" t="str">
        <f>РПЗ!$AB1464</f>
        <v>Заказчик</v>
      </c>
      <c r="E1464" s="510" t="s">
        <v>62</v>
      </c>
      <c r="F1464" s="233" t="str">
        <f>РПЗ!Q1464</f>
        <v>ОК</v>
      </c>
      <c r="G1464" s="237" t="str">
        <f>Таблица5[[#This Row],[6]]</f>
        <v>ОК</v>
      </c>
      <c r="H1464" s="237" t="str">
        <f>РПЗ!R1464</f>
        <v>Да</v>
      </c>
      <c r="I1464" s="15">
        <f>РПЗ!W1464</f>
        <v>0</v>
      </c>
      <c r="J1464" s="233">
        <f>РПЗ!X1464</f>
        <v>0</v>
      </c>
      <c r="K1464" s="283">
        <f>РПЗ!Z1464</f>
        <v>0</v>
      </c>
      <c r="L1464" s="17">
        <v>43048</v>
      </c>
      <c r="M1464" s="18">
        <f>РПЗ!O1464</f>
        <v>43040.625</v>
      </c>
      <c r="N1464" s="238">
        <f>Таблица5[[#This Row],[10]]</f>
        <v>43040.625</v>
      </c>
      <c r="O1464" s="17">
        <v>43077</v>
      </c>
      <c r="P1464" s="17">
        <v>43082</v>
      </c>
      <c r="Q1464" s="17">
        <v>43082</v>
      </c>
      <c r="R1464" s="17">
        <v>43087</v>
      </c>
      <c r="S1464" s="17">
        <v>43087</v>
      </c>
      <c r="T1464" s="686">
        <v>43091</v>
      </c>
      <c r="U1464" s="18">
        <f>РПЗ!P1464</f>
        <v>43191.625</v>
      </c>
      <c r="V1464" s="686">
        <v>42855</v>
      </c>
      <c r="W1464" s="236">
        <f>РПЗ!L1464</f>
        <v>23500000</v>
      </c>
      <c r="X1464" s="689">
        <v>1</v>
      </c>
      <c r="Y1464" s="689">
        <v>0</v>
      </c>
      <c r="Z1464" s="691">
        <v>7733759899</v>
      </c>
      <c r="AA1464" s="691" t="s">
        <v>8194</v>
      </c>
      <c r="AB1464" s="111">
        <v>23500000</v>
      </c>
      <c r="AC1464" s="17">
        <v>42855</v>
      </c>
      <c r="AD1464" s="690" t="s">
        <v>8195</v>
      </c>
      <c r="AE1464" s="686">
        <v>43091</v>
      </c>
      <c r="AF1464" s="474"/>
      <c r="AG1464" s="692">
        <v>23500000</v>
      </c>
      <c r="AH1464" s="236">
        <f>IF(Таблица5[[#This Row],[30]]=0,"НД",Таблица5[[#This Row],[20]]-Таблица5[[#This Row],[30]])</f>
        <v>0</v>
      </c>
      <c r="AI1464" s="511">
        <f>IF(((1-Таблица5[[#This Row],[30]]/Таблица5[[#This Row],[20]])=1),"НД",(1-Таблица5[[#This Row],[30]]/Таблица5[[#This Row],[20]]))</f>
        <v>0</v>
      </c>
      <c r="AJ1464" s="111"/>
      <c r="AK1464" s="111"/>
      <c r="AL1464" s="111"/>
      <c r="AM1464" s="910" t="s">
        <v>113</v>
      </c>
      <c r="AN1464" s="801">
        <v>31705721643</v>
      </c>
      <c r="AO1464" s="468" t="str">
        <f>РПЗ!AD1464</f>
        <v>Нет</v>
      </c>
      <c r="AP1464" s="472">
        <f>РПЗ!V1464</f>
        <v>0</v>
      </c>
      <c r="AQ1464" s="470">
        <f>IF(Таблица5[[#This Row],[11]]=0,,MONTH(Таблица5[[#This Row],[11]]))</f>
        <v>11</v>
      </c>
    </row>
    <row r="1465" spans="1:43" s="1" customFormat="1" ht="51" x14ac:dyDescent="0.25">
      <c r="A1465" s="233" t="str">
        <f t="shared" si="23"/>
        <v>1004-2017-1450</v>
      </c>
      <c r="B1465" s="233" t="str">
        <f>РПЗ!$D1465</f>
        <v>1004-2017-1450 поставка Набора из 91 cверел Ruko 214223</v>
      </c>
      <c r="C1465" s="233" t="str">
        <f>РПЗ!$AA1465</f>
        <v>АО "НИИ "Полюс" им. М.Ф. Стельмаха" тел. отдела закупок 8-495-333-05-02</v>
      </c>
      <c r="D1465" s="870" t="str">
        <f>РПЗ!$AB1465</f>
        <v>Заказчик</v>
      </c>
      <c r="E1465" s="510" t="s">
        <v>62</v>
      </c>
      <c r="F1465" s="233" t="str">
        <f>РПЗ!Q1465</f>
        <v>ОЗК</v>
      </c>
      <c r="G1465" s="237" t="str">
        <f>Таблица5[[#This Row],[6]]</f>
        <v>ОЗК</v>
      </c>
      <c r="H1465" s="237" t="str">
        <f>РПЗ!R1465</f>
        <v>Да</v>
      </c>
      <c r="I1465" s="15">
        <f>РПЗ!W1465</f>
        <v>0</v>
      </c>
      <c r="J1465" s="233">
        <f>РПЗ!X1465</f>
        <v>0</v>
      </c>
      <c r="K1465" s="283">
        <f>РПЗ!Z1465</f>
        <v>0</v>
      </c>
      <c r="L1465" s="17">
        <v>43048</v>
      </c>
      <c r="M1465" s="18">
        <f>РПЗ!O1465</f>
        <v>43040.625</v>
      </c>
      <c r="N1465" s="238">
        <f>Таблица5[[#This Row],[10]]</f>
        <v>43040.625</v>
      </c>
      <c r="O1465" s="17">
        <v>43055</v>
      </c>
      <c r="P1465" s="17">
        <v>43059</v>
      </c>
      <c r="Q1465" s="17">
        <v>43059</v>
      </c>
      <c r="R1465" s="17">
        <v>43056</v>
      </c>
      <c r="S1465" s="17">
        <v>43056</v>
      </c>
      <c r="T1465" s="686">
        <v>43066</v>
      </c>
      <c r="U1465" s="18">
        <f>РПЗ!P1465</f>
        <v>43070.625</v>
      </c>
      <c r="V1465" s="686">
        <v>43159</v>
      </c>
      <c r="W1465" s="236">
        <f>РПЗ!L1465</f>
        <v>25605</v>
      </c>
      <c r="X1465" s="689">
        <v>1</v>
      </c>
      <c r="Y1465" s="689">
        <v>0</v>
      </c>
      <c r="Z1465" s="691">
        <v>6732030149</v>
      </c>
      <c r="AA1465" s="691" t="s">
        <v>7692</v>
      </c>
      <c r="AB1465" s="111">
        <v>24957</v>
      </c>
      <c r="AC1465" s="17">
        <v>43159</v>
      </c>
      <c r="AD1465" s="690" t="s">
        <v>7693</v>
      </c>
      <c r="AE1465" s="686">
        <v>43066</v>
      </c>
      <c r="AF1465" s="474"/>
      <c r="AG1465" s="692">
        <v>24957</v>
      </c>
      <c r="AH1465" s="236">
        <f>IF(Таблица5[[#This Row],[30]]=0,"НД",Таблица5[[#This Row],[20]]-Таблица5[[#This Row],[30]])</f>
        <v>648</v>
      </c>
      <c r="AI1465" s="511">
        <f>IF(((1-Таблица5[[#This Row],[30]]/Таблица5[[#This Row],[20]])=1),"НД",(1-Таблица5[[#This Row],[30]]/Таблица5[[#This Row],[20]]))</f>
        <v>2.5307557117750457E-2</v>
      </c>
      <c r="AJ1465" s="111"/>
      <c r="AK1465" s="111">
        <v>24957</v>
      </c>
      <c r="AL1465" s="111"/>
      <c r="AM1465" s="910" t="s">
        <v>113</v>
      </c>
      <c r="AN1465" s="801">
        <v>31705721127</v>
      </c>
      <c r="AO1465" s="468" t="str">
        <f>РПЗ!AD1465</f>
        <v>Нет</v>
      </c>
      <c r="AP1465" s="472">
        <f>РПЗ!V1465</f>
        <v>0</v>
      </c>
      <c r="AQ1465" s="470">
        <f>IF(Таблица5[[#This Row],[11]]=0,,MONTH(Таблица5[[#This Row],[11]]))</f>
        <v>11</v>
      </c>
    </row>
    <row r="1466" spans="1:43" s="1" customFormat="1" ht="38.25" x14ac:dyDescent="0.25">
      <c r="A1466" s="233" t="str">
        <f t="shared" si="23"/>
        <v>1004-2017-1451</v>
      </c>
      <c r="B1466" s="233" t="str">
        <f>РПЗ!$D1466</f>
        <v>1004-2017-1451 Поставка жалюзи</v>
      </c>
      <c r="C1466" s="233" t="str">
        <f>РПЗ!$AA1466</f>
        <v>АО "НИИ "Полюс" им. М.Ф. Стельмаха" тел. отдела закупок 8-495-333-05-02</v>
      </c>
      <c r="D1466" s="870" t="str">
        <f>РПЗ!$AB1466</f>
        <v>Заказчик</v>
      </c>
      <c r="E1466" s="510" t="s">
        <v>62</v>
      </c>
      <c r="F1466" s="233" t="str">
        <f>РПЗ!Q1466</f>
        <v>ОЗК</v>
      </c>
      <c r="G1466" s="237" t="str">
        <f>Таблица5[[#This Row],[6]]</f>
        <v>ОЗК</v>
      </c>
      <c r="H1466" s="237" t="str">
        <f>РПЗ!R1466</f>
        <v>Да</v>
      </c>
      <c r="I1466" s="15">
        <f>РПЗ!W1466</f>
        <v>0</v>
      </c>
      <c r="J1466" s="233">
        <f>РПЗ!X1466</f>
        <v>0</v>
      </c>
      <c r="K1466" s="283">
        <f>РПЗ!Z1466</f>
        <v>0</v>
      </c>
      <c r="L1466" s="17">
        <v>43048</v>
      </c>
      <c r="M1466" s="18">
        <f>РПЗ!O1466</f>
        <v>43040.625</v>
      </c>
      <c r="N1466" s="238">
        <f>Таблица5[[#This Row],[10]]</f>
        <v>43040.625</v>
      </c>
      <c r="O1466" s="17">
        <v>43055</v>
      </c>
      <c r="P1466" s="17">
        <v>43059</v>
      </c>
      <c r="Q1466" s="17">
        <v>43059</v>
      </c>
      <c r="R1466" s="17">
        <v>43056</v>
      </c>
      <c r="S1466" s="17">
        <v>43056</v>
      </c>
      <c r="T1466" s="686">
        <v>43073</v>
      </c>
      <c r="U1466" s="18">
        <f>РПЗ!P1466</f>
        <v>43070.625</v>
      </c>
      <c r="V1466" s="686">
        <v>43100</v>
      </c>
      <c r="W1466" s="236">
        <f>РПЗ!L1466</f>
        <v>55774.31</v>
      </c>
      <c r="X1466" s="689">
        <v>2</v>
      </c>
      <c r="Y1466" s="689">
        <v>0</v>
      </c>
      <c r="Z1466" s="691">
        <v>770170128837</v>
      </c>
      <c r="AA1466" s="691" t="s">
        <v>8125</v>
      </c>
      <c r="AB1466" s="111">
        <v>40667</v>
      </c>
      <c r="AC1466" s="17">
        <v>43100</v>
      </c>
      <c r="AD1466" s="690" t="s">
        <v>8126</v>
      </c>
      <c r="AE1466" s="686">
        <v>43073</v>
      </c>
      <c r="AF1466" s="474"/>
      <c r="AG1466" s="692">
        <v>40667</v>
      </c>
      <c r="AH1466" s="236">
        <f>IF(Таблица5[[#This Row],[30]]=0,"НД",Таблица5[[#This Row],[20]]-Таблица5[[#This Row],[30]])</f>
        <v>15107.309999999998</v>
      </c>
      <c r="AI1466" s="511">
        <f>IF(((1-Таблица5[[#This Row],[30]]/Таблица5[[#This Row],[20]])=1),"НД",(1-Таблица5[[#This Row],[30]]/Таблица5[[#This Row],[20]]))</f>
        <v>0.27086502728585971</v>
      </c>
      <c r="AJ1466" s="111"/>
      <c r="AK1466" s="111">
        <v>40667</v>
      </c>
      <c r="AL1466" s="111"/>
      <c r="AM1466" s="910" t="s">
        <v>113</v>
      </c>
      <c r="AN1466" s="801">
        <v>31705721389</v>
      </c>
      <c r="AO1466" s="468" t="str">
        <f>РПЗ!AD1466</f>
        <v>Нет</v>
      </c>
      <c r="AP1466" s="472">
        <f>РПЗ!V1466</f>
        <v>0</v>
      </c>
      <c r="AQ1466" s="470">
        <f>IF(Таблица5[[#This Row],[11]]=0,,MONTH(Таблица5[[#This Row],[11]]))</f>
        <v>11</v>
      </c>
    </row>
    <row r="1467" spans="1:43" s="1" customFormat="1" ht="38.25" x14ac:dyDescent="0.25">
      <c r="A1467" s="233" t="str">
        <f t="shared" si="23"/>
        <v>1004-2017-1452</v>
      </c>
      <c r="B1467" s="233" t="str">
        <f>РПЗ!$D1467</f>
        <v>1004-2017-1452 Поставка карточек учета документов и папок архивных с завязками</v>
      </c>
      <c r="C1467" s="233" t="str">
        <f>РПЗ!$AA1467</f>
        <v>АО "НИИ "Полюс" им. М.Ф. Стельмаха" тел. отдела закупок 8-495-333-05-02</v>
      </c>
      <c r="D1467" s="870" t="str">
        <f>РПЗ!$AB1467</f>
        <v>Заказчик</v>
      </c>
      <c r="E1467" s="510" t="s">
        <v>59</v>
      </c>
      <c r="F1467" s="233" t="str">
        <f>РПЗ!Q1467</f>
        <v>ОЗК</v>
      </c>
      <c r="G1467" s="237" t="str">
        <f>Таблица5[[#This Row],[6]]</f>
        <v>ОЗК</v>
      </c>
      <c r="H1467" s="237" t="str">
        <f>РПЗ!R1467</f>
        <v>Да</v>
      </c>
      <c r="I1467" s="15">
        <f>РПЗ!W1467</f>
        <v>0</v>
      </c>
      <c r="J1467" s="233">
        <f>РПЗ!X1467</f>
        <v>0</v>
      </c>
      <c r="K1467" s="283">
        <f>РПЗ!Z1467</f>
        <v>0</v>
      </c>
      <c r="L1467" s="17">
        <v>43048</v>
      </c>
      <c r="M1467" s="18">
        <f>РПЗ!O1467</f>
        <v>43040.625</v>
      </c>
      <c r="N1467" s="238">
        <f>Таблица5[[#This Row],[10]]</f>
        <v>43040.625</v>
      </c>
      <c r="O1467" s="17">
        <v>43055</v>
      </c>
      <c r="P1467" s="17">
        <v>43059</v>
      </c>
      <c r="Q1467" s="17">
        <v>43059</v>
      </c>
      <c r="R1467" s="17">
        <v>43059</v>
      </c>
      <c r="S1467" s="17">
        <v>43059</v>
      </c>
      <c r="T1467" s="686"/>
      <c r="U1467" s="18">
        <f>РПЗ!P1467</f>
        <v>43070.625</v>
      </c>
      <c r="V1467" s="686"/>
      <c r="W1467" s="236">
        <f>РПЗ!L1467</f>
        <v>133836.67000000001</v>
      </c>
      <c r="X1467" s="689">
        <v>0</v>
      </c>
      <c r="Y1467" s="689">
        <v>0</v>
      </c>
      <c r="Z1467" s="690"/>
      <c r="AA1467" s="691"/>
      <c r="AB1467" s="111"/>
      <c r="AC1467" s="17"/>
      <c r="AD1467" s="690"/>
      <c r="AE1467" s="686"/>
      <c r="AF1467" s="474"/>
      <c r="AG1467" s="692"/>
      <c r="AH1467" s="236" t="str">
        <f>IF(Таблица5[[#This Row],[30]]=0,"НД",Таблица5[[#This Row],[20]]-Таблица5[[#This Row],[30]])</f>
        <v>НД</v>
      </c>
      <c r="AI1467" s="511" t="str">
        <f>IF(((1-Таблица5[[#This Row],[30]]/Таблица5[[#This Row],[20]])=1),"НД",(1-Таблица5[[#This Row],[30]]/Таблица5[[#This Row],[20]]))</f>
        <v>НД</v>
      </c>
      <c r="AJ1467" s="111"/>
      <c r="AK1467" s="111"/>
      <c r="AL1467" s="111"/>
      <c r="AM1467" s="910" t="s">
        <v>113</v>
      </c>
      <c r="AN1467" s="801">
        <v>31705721694</v>
      </c>
      <c r="AO1467" s="468" t="str">
        <f>РПЗ!AD1467</f>
        <v>Нет</v>
      </c>
      <c r="AP1467" s="472">
        <f>РПЗ!V1467</f>
        <v>0</v>
      </c>
      <c r="AQ1467" s="470">
        <f>IF(Таблица5[[#This Row],[11]]=0,,MONTH(Таблица5[[#This Row],[11]]))</f>
        <v>11</v>
      </c>
    </row>
    <row r="1468" spans="1:43" s="1" customFormat="1" ht="38.25" x14ac:dyDescent="0.25">
      <c r="A1468" s="233" t="str">
        <f t="shared" si="23"/>
        <v>1004-2017-1453</v>
      </c>
      <c r="B1468" s="233" t="str">
        <f>РПЗ!$D1468</f>
        <v>1004-2017-1453 Поставка установка вентиляционная пылеулавливающая</v>
      </c>
      <c r="C1468" s="233" t="str">
        <f>РПЗ!$AA1468</f>
        <v>АО "НИИ "Полюс" им. М.Ф. Стельмаха" тел. отдела закупок 8-495-333-05-02</v>
      </c>
      <c r="D1468" s="870" t="str">
        <f>РПЗ!$AB1468</f>
        <v>Заказчик</v>
      </c>
      <c r="E1468" s="510" t="s">
        <v>59</v>
      </c>
      <c r="F1468" s="233" t="str">
        <f>РПЗ!Q1468</f>
        <v>ОЗК</v>
      </c>
      <c r="G1468" s="237" t="str">
        <f>Таблица5[[#This Row],[6]]</f>
        <v>ОЗК</v>
      </c>
      <c r="H1468" s="237" t="str">
        <f>РПЗ!R1468</f>
        <v>Да</v>
      </c>
      <c r="I1468" s="15">
        <f>РПЗ!W1468</f>
        <v>0</v>
      </c>
      <c r="J1468" s="233">
        <f>РПЗ!X1468</f>
        <v>0</v>
      </c>
      <c r="K1468" s="283">
        <f>РПЗ!Z1468</f>
        <v>0</v>
      </c>
      <c r="L1468" s="17">
        <v>43048</v>
      </c>
      <c r="M1468" s="18">
        <f>РПЗ!O1468</f>
        <v>43040.625</v>
      </c>
      <c r="N1468" s="238">
        <f>Таблица5[[#This Row],[10]]</f>
        <v>43040.625</v>
      </c>
      <c r="O1468" s="17">
        <v>43055</v>
      </c>
      <c r="P1468" s="17">
        <v>43059</v>
      </c>
      <c r="Q1468" s="17">
        <v>43059</v>
      </c>
      <c r="R1468" s="17">
        <v>43059</v>
      </c>
      <c r="S1468" s="17">
        <v>43059</v>
      </c>
      <c r="T1468" s="686"/>
      <c r="U1468" s="18">
        <f>РПЗ!P1468</f>
        <v>43070.625</v>
      </c>
      <c r="V1468" s="686"/>
      <c r="W1468" s="236">
        <f>РПЗ!L1468</f>
        <v>69933.33</v>
      </c>
      <c r="X1468" s="689">
        <v>0</v>
      </c>
      <c r="Y1468" s="689">
        <v>0</v>
      </c>
      <c r="Z1468" s="690"/>
      <c r="AA1468" s="691"/>
      <c r="AB1468" s="111"/>
      <c r="AC1468" s="17"/>
      <c r="AD1468" s="690"/>
      <c r="AE1468" s="686"/>
      <c r="AF1468" s="474"/>
      <c r="AG1468" s="692"/>
      <c r="AH1468" s="236" t="str">
        <f>IF(Таблица5[[#This Row],[30]]=0,"НД",Таблица5[[#This Row],[20]]-Таблица5[[#This Row],[30]])</f>
        <v>НД</v>
      </c>
      <c r="AI1468" s="511" t="str">
        <f>IF(((1-Таблица5[[#This Row],[30]]/Таблица5[[#This Row],[20]])=1),"НД",(1-Таблица5[[#This Row],[30]]/Таблица5[[#This Row],[20]]))</f>
        <v>НД</v>
      </c>
      <c r="AJ1468" s="111"/>
      <c r="AK1468" s="111"/>
      <c r="AL1468" s="111"/>
      <c r="AM1468" s="910"/>
      <c r="AN1468" s="801">
        <v>31705721155</v>
      </c>
      <c r="AO1468" s="468" t="str">
        <f>РПЗ!AD1468</f>
        <v>Нет</v>
      </c>
      <c r="AP1468" s="472">
        <f>РПЗ!V1468</f>
        <v>0</v>
      </c>
      <c r="AQ1468" s="470">
        <f>IF(Таблица5[[#This Row],[11]]=0,,MONTH(Таблица5[[#This Row],[11]]))</f>
        <v>11</v>
      </c>
    </row>
    <row r="1469" spans="1:43" s="1" customFormat="1" ht="39" thickBot="1" x14ac:dyDescent="0.3">
      <c r="A1469" s="233" t="str">
        <f t="shared" si="23"/>
        <v>1004-2017-1454</v>
      </c>
      <c r="B1469" s="233" t="str">
        <f>РПЗ!$D1469</f>
        <v>1004-2017-1454 Поставка термоусадочной трубки СТТК 140/42 (3:1) черной с клеем</v>
      </c>
      <c r="C1469" s="233" t="str">
        <f>РПЗ!$AA1469</f>
        <v>АО "НИИ "Полюс" им. М.Ф. Стельмаха" тел. отдела закупок 8-495-333-05-02</v>
      </c>
      <c r="D1469" s="870" t="str">
        <f>РПЗ!$AB1469</f>
        <v>Заказчик</v>
      </c>
      <c r="E1469" s="510" t="s">
        <v>59</v>
      </c>
      <c r="F1469" s="233" t="str">
        <f>РПЗ!Q1469</f>
        <v>ОЗК</v>
      </c>
      <c r="G1469" s="237" t="str">
        <f>Таблица5[[#This Row],[6]]</f>
        <v>ОЗК</v>
      </c>
      <c r="H1469" s="237" t="str">
        <f>РПЗ!R1469</f>
        <v>Да</v>
      </c>
      <c r="I1469" s="15">
        <f>РПЗ!W1469</f>
        <v>0</v>
      </c>
      <c r="J1469" s="233">
        <f>РПЗ!X1469</f>
        <v>0</v>
      </c>
      <c r="K1469" s="283">
        <f>РПЗ!Z1469</f>
        <v>0</v>
      </c>
      <c r="L1469" s="17">
        <v>43048</v>
      </c>
      <c r="M1469" s="18">
        <f>РПЗ!O1469</f>
        <v>43040.625</v>
      </c>
      <c r="N1469" s="238">
        <f>Таблица5[[#This Row],[10]]</f>
        <v>43040.625</v>
      </c>
      <c r="O1469" s="17">
        <v>43055</v>
      </c>
      <c r="P1469" s="17">
        <v>43059</v>
      </c>
      <c r="Q1469" s="17">
        <v>43059</v>
      </c>
      <c r="R1469" s="17">
        <v>43059</v>
      </c>
      <c r="S1469" s="17">
        <v>43059</v>
      </c>
      <c r="T1469" s="686"/>
      <c r="U1469" s="18">
        <f>РПЗ!P1469</f>
        <v>43070.625</v>
      </c>
      <c r="V1469" s="686"/>
      <c r="W1469" s="236">
        <f>РПЗ!L1469</f>
        <v>179028.65</v>
      </c>
      <c r="X1469" s="689">
        <v>0</v>
      </c>
      <c r="Y1469" s="689">
        <v>0</v>
      </c>
      <c r="Z1469" s="690"/>
      <c r="AA1469" s="691"/>
      <c r="AB1469" s="111"/>
      <c r="AC1469" s="17"/>
      <c r="AD1469" s="690"/>
      <c r="AE1469" s="686"/>
      <c r="AF1469" s="474"/>
      <c r="AG1469" s="692"/>
      <c r="AH1469" s="236" t="str">
        <f>IF(Таблица5[[#This Row],[30]]=0,"НД",Таблица5[[#This Row],[20]]-Таблица5[[#This Row],[30]])</f>
        <v>НД</v>
      </c>
      <c r="AI1469" s="511" t="str">
        <f>IF(((1-Таблица5[[#This Row],[30]]/Таблица5[[#This Row],[20]])=1),"НД",(1-Таблица5[[#This Row],[30]]/Таблица5[[#This Row],[20]]))</f>
        <v>НД</v>
      </c>
      <c r="AJ1469" s="111"/>
      <c r="AK1469" s="111"/>
      <c r="AL1469" s="111"/>
      <c r="AM1469" s="910" t="s">
        <v>113</v>
      </c>
      <c r="AN1469" s="801" t="s">
        <v>8224</v>
      </c>
      <c r="AO1469" s="468" t="str">
        <f>РПЗ!AD1469</f>
        <v>Нет</v>
      </c>
      <c r="AP1469" s="472">
        <f>РПЗ!V1469</f>
        <v>0</v>
      </c>
      <c r="AQ1469" s="470">
        <f>IF(Таблица5[[#This Row],[11]]=0,,MONTH(Таблица5[[#This Row],[11]]))</f>
        <v>11</v>
      </c>
    </row>
    <row r="1470" spans="1:43" s="1" customFormat="1" ht="38.25" x14ac:dyDescent="0.25">
      <c r="A1470" s="233" t="str">
        <f t="shared" si="23"/>
        <v>1004-2017-1455</v>
      </c>
      <c r="B1470" s="233" t="str">
        <f>РПЗ!$D1470</f>
        <v>1004-2017-1455 Поставка  Крепежные материалы для вентиляции –  5440 шт.</v>
      </c>
      <c r="C1470" s="233" t="str">
        <f>РПЗ!$AA1470</f>
        <v>АО "НИИ "Полюс" им. М.Ф. Стельмаха" тел. отдела закупок 8-495-333-05-02</v>
      </c>
      <c r="D1470" s="870" t="str">
        <f>РПЗ!$AB1470</f>
        <v>Заказчик</v>
      </c>
      <c r="E1470" s="96" t="s">
        <v>46</v>
      </c>
      <c r="F1470" s="233" t="str">
        <f>РПЗ!Q1470</f>
        <v>ОЗК</v>
      </c>
      <c r="G1470" s="237"/>
      <c r="H1470" s="237" t="str">
        <f>РПЗ!R1470</f>
        <v>Да</v>
      </c>
      <c r="I1470" s="15">
        <f>РПЗ!W1470</f>
        <v>0</v>
      </c>
      <c r="J1470" s="233">
        <f>РПЗ!X1470</f>
        <v>0</v>
      </c>
      <c r="K1470" s="283">
        <f>РПЗ!Z1470</f>
        <v>0</v>
      </c>
      <c r="L1470" s="17"/>
      <c r="M1470" s="18">
        <f>РПЗ!O1470</f>
        <v>43040.625</v>
      </c>
      <c r="N1470" s="238">
        <f>Таблица5[[#This Row],[10]]</f>
        <v>43040.625</v>
      </c>
      <c r="O1470" s="17"/>
      <c r="P1470" s="17"/>
      <c r="Q1470" s="17"/>
      <c r="R1470" s="17"/>
      <c r="S1470" s="17"/>
      <c r="T1470" s="686"/>
      <c r="U1470" s="18">
        <f>РПЗ!P1470</f>
        <v>43070.625</v>
      </c>
      <c r="V1470" s="686"/>
      <c r="W1470" s="236">
        <f>РПЗ!L1470</f>
        <v>229877.6</v>
      </c>
      <c r="X1470" s="689"/>
      <c r="Y1470" s="689"/>
      <c r="Z1470" s="690"/>
      <c r="AA1470" s="691"/>
      <c r="AB1470" s="111"/>
      <c r="AC1470" s="17"/>
      <c r="AD1470" s="690"/>
      <c r="AE1470" s="686"/>
      <c r="AF1470" s="474"/>
      <c r="AG1470" s="692"/>
      <c r="AH1470" s="236" t="str">
        <f>IF(Таблица5[[#This Row],[30]]=0,"НД",Таблица5[[#This Row],[20]]-Таблица5[[#This Row],[30]])</f>
        <v>НД</v>
      </c>
      <c r="AI1470" s="511" t="str">
        <f>IF(((1-Таблица5[[#This Row],[30]]/Таблица5[[#This Row],[20]])=1),"НД",(1-Таблица5[[#This Row],[30]]/Таблица5[[#This Row],[20]]))</f>
        <v>НД</v>
      </c>
      <c r="AJ1470" s="111"/>
      <c r="AK1470" s="111"/>
      <c r="AL1470" s="111"/>
      <c r="AM1470" s="910"/>
      <c r="AN1470" s="465"/>
      <c r="AO1470" s="468" t="str">
        <f>РПЗ!AD1470</f>
        <v>Нет</v>
      </c>
      <c r="AP1470" s="472">
        <f>РПЗ!V1470</f>
        <v>0</v>
      </c>
      <c r="AQ1470" s="470">
        <f>IF(Таблица5[[#This Row],[11]]=0,,MONTH(Таблица5[[#This Row],[11]]))</f>
        <v>11</v>
      </c>
    </row>
    <row r="1471" spans="1:43" s="1" customFormat="1" ht="38.25" x14ac:dyDescent="0.25">
      <c r="A1471" s="233" t="str">
        <f t="shared" si="23"/>
        <v>1004-2017-1456</v>
      </c>
      <c r="B1471" s="233" t="str">
        <f>РПЗ!$D1471</f>
        <v>1004-2017-1456 Поставка Сантехнические материалы – 1004 м, 1305 шт.</v>
      </c>
      <c r="C1471" s="233" t="str">
        <f>РПЗ!$AA1471</f>
        <v>АО "НИИ "Полюс" им. М.Ф. Стельмаха" тел. отдела закупок 8-495-333-05-02</v>
      </c>
      <c r="D1471" s="870" t="str">
        <f>РПЗ!$AB1471</f>
        <v>Заказчик</v>
      </c>
      <c r="E1471" s="510" t="s">
        <v>59</v>
      </c>
      <c r="F1471" s="233" t="str">
        <f>РПЗ!Q1471</f>
        <v>ОЗК</v>
      </c>
      <c r="G1471" s="237" t="str">
        <f>Таблица5[[#This Row],[6]]</f>
        <v>ОЗК</v>
      </c>
      <c r="H1471" s="237" t="str">
        <f>РПЗ!R1471</f>
        <v>Да</v>
      </c>
      <c r="I1471" s="15">
        <f>РПЗ!W1471</f>
        <v>0</v>
      </c>
      <c r="J1471" s="233">
        <f>РПЗ!X1471</f>
        <v>0</v>
      </c>
      <c r="K1471" s="283">
        <f>РПЗ!Z1471</f>
        <v>0</v>
      </c>
      <c r="L1471" s="17">
        <v>43061</v>
      </c>
      <c r="M1471" s="18">
        <f>РПЗ!O1471</f>
        <v>43040.625</v>
      </c>
      <c r="N1471" s="238">
        <f>Таблица5[[#This Row],[10]]</f>
        <v>43040.625</v>
      </c>
      <c r="O1471" s="17">
        <v>43068</v>
      </c>
      <c r="P1471" s="17">
        <v>43073</v>
      </c>
      <c r="Q1471" s="17">
        <v>43073</v>
      </c>
      <c r="R1471" s="17">
        <v>43073</v>
      </c>
      <c r="S1471" s="17">
        <v>43073</v>
      </c>
      <c r="T1471" s="686"/>
      <c r="U1471" s="18">
        <f>РПЗ!P1471</f>
        <v>43070.625</v>
      </c>
      <c r="V1471" s="686"/>
      <c r="W1471" s="236">
        <f>РПЗ!L1471</f>
        <v>195290.74</v>
      </c>
      <c r="X1471" s="689">
        <v>0</v>
      </c>
      <c r="Y1471" s="689">
        <v>0</v>
      </c>
      <c r="Z1471" s="690"/>
      <c r="AA1471" s="691"/>
      <c r="AB1471" s="111"/>
      <c r="AC1471" s="17"/>
      <c r="AD1471" s="690"/>
      <c r="AE1471" s="686"/>
      <c r="AF1471" s="474"/>
      <c r="AG1471" s="692"/>
      <c r="AH1471" s="236" t="str">
        <f>IF(Таблица5[[#This Row],[30]]=0,"НД",Таблица5[[#This Row],[20]]-Таблица5[[#This Row],[30]])</f>
        <v>НД</v>
      </c>
      <c r="AI1471" s="511" t="str">
        <f>IF(((1-Таблица5[[#This Row],[30]]/Таблица5[[#This Row],[20]])=1),"НД",(1-Таблица5[[#This Row],[30]]/Таблица5[[#This Row],[20]]))</f>
        <v>НД</v>
      </c>
      <c r="AJ1471" s="111"/>
      <c r="AK1471" s="111"/>
      <c r="AL1471" s="111"/>
      <c r="AM1471" s="910" t="s">
        <v>113</v>
      </c>
      <c r="AN1471" s="801">
        <v>31705774666</v>
      </c>
      <c r="AO1471" s="468" t="str">
        <f>РПЗ!AD1471</f>
        <v>Нет</v>
      </c>
      <c r="AP1471" s="472">
        <f>РПЗ!V1471</f>
        <v>0</v>
      </c>
      <c r="AQ1471" s="470">
        <f>IF(Таблица5[[#This Row],[11]]=0,,MONTH(Таблица5[[#This Row],[11]]))</f>
        <v>11</v>
      </c>
    </row>
    <row r="1472" spans="1:43" s="1" customFormat="1" ht="51" x14ac:dyDescent="0.25">
      <c r="A1472" s="233" t="str">
        <f t="shared" si="23"/>
        <v>1004-2017-1457</v>
      </c>
      <c r="B1472" s="233" t="str">
        <f>РПЗ!$D1472</f>
        <v>1004-2017-1457 Поставка Металлические сплавы</v>
      </c>
      <c r="C1472" s="233" t="str">
        <f>РПЗ!$AA1472</f>
        <v>АО "НИИ "Полюс" им. М.Ф. Стельмаха" тел. отдела закупок 8-495-333-05-02</v>
      </c>
      <c r="D1472" s="870" t="str">
        <f>РПЗ!$AB1472</f>
        <v>Заказчик</v>
      </c>
      <c r="E1472" s="510" t="s">
        <v>62</v>
      </c>
      <c r="F1472" s="233" t="str">
        <f>РПЗ!Q1472</f>
        <v>ОЗК</v>
      </c>
      <c r="G1472" s="237" t="str">
        <f>Таблица5[[#This Row],[6]]</f>
        <v>ОЗК</v>
      </c>
      <c r="H1472" s="237" t="str">
        <f>РПЗ!R1472</f>
        <v>Да</v>
      </c>
      <c r="I1472" s="15">
        <f>РПЗ!W1472</f>
        <v>0</v>
      </c>
      <c r="J1472" s="233">
        <f>РПЗ!X1472</f>
        <v>0</v>
      </c>
      <c r="K1472" s="283">
        <f>РПЗ!Z1472</f>
        <v>0</v>
      </c>
      <c r="L1472" s="17">
        <v>43055</v>
      </c>
      <c r="M1472" s="18">
        <f>РПЗ!O1472</f>
        <v>43040.625</v>
      </c>
      <c r="N1472" s="238">
        <f>Таблица5[[#This Row],[10]]</f>
        <v>43040.625</v>
      </c>
      <c r="O1472" s="17">
        <v>43062</v>
      </c>
      <c r="P1472" s="17">
        <v>43067</v>
      </c>
      <c r="Q1472" s="17">
        <v>43067</v>
      </c>
      <c r="R1472" s="17">
        <v>43062</v>
      </c>
      <c r="S1472" s="17">
        <v>43062</v>
      </c>
      <c r="T1472" s="686">
        <v>43073</v>
      </c>
      <c r="U1472" s="18">
        <f>РПЗ!P1472</f>
        <v>43070.625</v>
      </c>
      <c r="V1472" s="686">
        <v>43100</v>
      </c>
      <c r="W1472" s="236">
        <f>РПЗ!L1472</f>
        <v>59101.93</v>
      </c>
      <c r="X1472" s="689">
        <v>2</v>
      </c>
      <c r="Y1472" s="689">
        <v>0</v>
      </c>
      <c r="Z1472" s="691">
        <v>7726758220</v>
      </c>
      <c r="AA1472" s="691" t="s">
        <v>8114</v>
      </c>
      <c r="AB1472" s="111">
        <v>58300</v>
      </c>
      <c r="AC1472" s="17">
        <v>43100</v>
      </c>
      <c r="AD1472" s="690" t="s">
        <v>8115</v>
      </c>
      <c r="AE1472" s="686">
        <v>43073</v>
      </c>
      <c r="AF1472" s="474"/>
      <c r="AG1472" s="692">
        <v>58300</v>
      </c>
      <c r="AH1472" s="236">
        <f>IF(Таблица5[[#This Row],[30]]=0,"НД",Таблица5[[#This Row],[20]]-Таблица5[[#This Row],[30]])</f>
        <v>801.93000000000029</v>
      </c>
      <c r="AI1472" s="511">
        <f>IF(((1-Таблица5[[#This Row],[30]]/Таблица5[[#This Row],[20]])=1),"НД",(1-Таблица5[[#This Row],[30]]/Таблица5[[#This Row],[20]]))</f>
        <v>1.3568592430061033E-2</v>
      </c>
      <c r="AJ1472" s="111"/>
      <c r="AK1472" s="111">
        <v>58300</v>
      </c>
      <c r="AL1472" s="111"/>
      <c r="AM1472" s="910" t="s">
        <v>113</v>
      </c>
      <c r="AN1472" s="801">
        <v>31705744729</v>
      </c>
      <c r="AO1472" s="468" t="str">
        <f>РПЗ!AD1472</f>
        <v>Нет</v>
      </c>
      <c r="AP1472" s="472">
        <f>РПЗ!V1472</f>
        <v>0</v>
      </c>
      <c r="AQ1472" s="470">
        <f>IF(Таблица5[[#This Row],[11]]=0,,MONTH(Таблица5[[#This Row],[11]]))</f>
        <v>11</v>
      </c>
    </row>
    <row r="1473" spans="1:43" s="1" customFormat="1" ht="38.25" x14ac:dyDescent="0.25">
      <c r="A1473" s="233" t="str">
        <f t="shared" si="23"/>
        <v>1004-2017-1458</v>
      </c>
      <c r="B1473" s="233" t="str">
        <f>РПЗ!$D1473</f>
        <v>1004-2017-1458 Поставка Металлические сплавы</v>
      </c>
      <c r="C1473" s="233" t="str">
        <f>РПЗ!$AA1473</f>
        <v>АО "НИИ "Полюс" им. М.Ф. Стельмаха" тел. отдела закупок 8-495-333-05-02</v>
      </c>
      <c r="D1473" s="870" t="str">
        <f>РПЗ!$AB1473</f>
        <v>Заказчик</v>
      </c>
      <c r="E1473" s="510" t="s">
        <v>62</v>
      </c>
      <c r="F1473" s="233" t="str">
        <f>РПЗ!Q1473</f>
        <v>ОЗК</v>
      </c>
      <c r="G1473" s="237" t="str">
        <f>Таблица5[[#This Row],[6]]</f>
        <v>ОЗК</v>
      </c>
      <c r="H1473" s="237" t="str">
        <f>РПЗ!R1473</f>
        <v>Да</v>
      </c>
      <c r="I1473" s="15">
        <f>РПЗ!W1473</f>
        <v>0</v>
      </c>
      <c r="J1473" s="233">
        <f>РПЗ!X1473</f>
        <v>0</v>
      </c>
      <c r="K1473" s="283">
        <f>РПЗ!Z1473</f>
        <v>0</v>
      </c>
      <c r="L1473" s="17">
        <v>43061</v>
      </c>
      <c r="M1473" s="18">
        <f>РПЗ!O1473</f>
        <v>43040.625</v>
      </c>
      <c r="N1473" s="238">
        <f>Таблица5[[#This Row],[10]]</f>
        <v>43040.625</v>
      </c>
      <c r="O1473" s="17">
        <v>43069</v>
      </c>
      <c r="P1473" s="17">
        <v>43074</v>
      </c>
      <c r="Q1473" s="17">
        <v>43074</v>
      </c>
      <c r="R1473" s="17">
        <v>43070</v>
      </c>
      <c r="S1473" s="17">
        <v>43070</v>
      </c>
      <c r="T1473" s="686">
        <v>43080</v>
      </c>
      <c r="U1473" s="18">
        <f>РПЗ!P1473</f>
        <v>43070.625</v>
      </c>
      <c r="V1473" s="686">
        <v>43131</v>
      </c>
      <c r="W1473" s="236">
        <f>РПЗ!L1473</f>
        <v>686440.22</v>
      </c>
      <c r="X1473" s="689">
        <v>6</v>
      </c>
      <c r="Y1473" s="689">
        <v>0</v>
      </c>
      <c r="Z1473" s="691">
        <v>7453262374</v>
      </c>
      <c r="AA1473" s="691" t="s">
        <v>8095</v>
      </c>
      <c r="AB1473" s="111">
        <v>624317.93999999994</v>
      </c>
      <c r="AC1473" s="17">
        <v>43131</v>
      </c>
      <c r="AD1473" s="690" t="s">
        <v>8096</v>
      </c>
      <c r="AE1473" s="686">
        <v>43080</v>
      </c>
      <c r="AF1473" s="474"/>
      <c r="AG1473" s="692">
        <v>624317.93999999994</v>
      </c>
      <c r="AH1473" s="236">
        <f>IF(Таблица5[[#This Row],[30]]=0,"НД",Таблица5[[#This Row],[20]]-Таблица5[[#This Row],[30]])</f>
        <v>62122.280000000028</v>
      </c>
      <c r="AI1473" s="511">
        <f>IF(((1-Таблица5[[#This Row],[30]]/Таблица5[[#This Row],[20]])=1),"НД",(1-Таблица5[[#This Row],[30]]/Таблица5[[#This Row],[20]]))</f>
        <v>9.0499184328097781E-2</v>
      </c>
      <c r="AJ1473" s="111"/>
      <c r="AK1473" s="111">
        <v>624317.93999999994</v>
      </c>
      <c r="AL1473" s="111"/>
      <c r="AM1473" s="910" t="s">
        <v>113</v>
      </c>
      <c r="AN1473" s="801">
        <v>31705770871</v>
      </c>
      <c r="AO1473" s="468" t="str">
        <f>РПЗ!AD1473</f>
        <v>Нет</v>
      </c>
      <c r="AP1473" s="472">
        <f>РПЗ!V1473</f>
        <v>0</v>
      </c>
      <c r="AQ1473" s="470">
        <f>IF(Таблица5[[#This Row],[11]]=0,,MONTH(Таблица5[[#This Row],[11]]))</f>
        <v>11</v>
      </c>
    </row>
    <row r="1474" spans="1:43" s="1" customFormat="1" ht="38.25" x14ac:dyDescent="0.25">
      <c r="A1474" s="233" t="str">
        <f t="shared" si="23"/>
        <v>1004-2017-1459</v>
      </c>
      <c r="B1474" s="233" t="str">
        <f>РПЗ!$D1474</f>
        <v>1004-2017-1459 Поставка Металлические сплавы</v>
      </c>
      <c r="C1474" s="233" t="str">
        <f>РПЗ!$AA1474</f>
        <v>АО "НИИ "Полюс" им. М.Ф. Стельмаха" тел. отдела закупок 8-495-333-05-02</v>
      </c>
      <c r="D1474" s="870" t="str">
        <f>РПЗ!$AB1474</f>
        <v>Заказчик</v>
      </c>
      <c r="E1474" s="510" t="s">
        <v>62</v>
      </c>
      <c r="F1474" s="233" t="str">
        <f>РПЗ!Q1474</f>
        <v>ОЗК</v>
      </c>
      <c r="G1474" s="237" t="str">
        <f>Таблица5[[#This Row],[6]]</f>
        <v>ОЗК</v>
      </c>
      <c r="H1474" s="237" t="str">
        <f>РПЗ!R1474</f>
        <v>Да</v>
      </c>
      <c r="I1474" s="15">
        <f>РПЗ!W1474</f>
        <v>0</v>
      </c>
      <c r="J1474" s="233">
        <f>РПЗ!X1474</f>
        <v>0</v>
      </c>
      <c r="K1474" s="283">
        <f>РПЗ!Z1474</f>
        <v>0</v>
      </c>
      <c r="L1474" s="17">
        <v>43059</v>
      </c>
      <c r="M1474" s="18">
        <f>РПЗ!O1474</f>
        <v>43040.625</v>
      </c>
      <c r="N1474" s="238">
        <f>Таблица5[[#This Row],[10]]</f>
        <v>43040.625</v>
      </c>
      <c r="O1474" s="17">
        <v>43066</v>
      </c>
      <c r="P1474" s="17">
        <v>43069</v>
      </c>
      <c r="Q1474" s="17">
        <v>43069</v>
      </c>
      <c r="R1474" s="17">
        <v>43066</v>
      </c>
      <c r="S1474" s="17">
        <v>43066</v>
      </c>
      <c r="T1474" s="686">
        <v>43090</v>
      </c>
      <c r="U1474" s="18">
        <f>РПЗ!P1474</f>
        <v>43070.625</v>
      </c>
      <c r="V1474" s="686">
        <v>43465</v>
      </c>
      <c r="W1474" s="236">
        <f>РПЗ!L1474</f>
        <v>760228.25</v>
      </c>
      <c r="X1474" s="689">
        <v>3</v>
      </c>
      <c r="Y1474" s="689">
        <v>0</v>
      </c>
      <c r="Z1474" s="691">
        <v>7705903798</v>
      </c>
      <c r="AA1474" s="691" t="s">
        <v>8104</v>
      </c>
      <c r="AB1474" s="111">
        <v>693202.56</v>
      </c>
      <c r="AC1474" s="17">
        <v>43465</v>
      </c>
      <c r="AD1474" s="690" t="s">
        <v>8105</v>
      </c>
      <c r="AE1474" s="686">
        <v>43090</v>
      </c>
      <c r="AF1474" s="474"/>
      <c r="AG1474" s="692">
        <v>693202.56</v>
      </c>
      <c r="AH1474" s="236">
        <f>IF(Таблица5[[#This Row],[30]]=0,"НД",Таблица5[[#This Row],[20]]-Таблица5[[#This Row],[30]])</f>
        <v>67025.689999999944</v>
      </c>
      <c r="AI1474" s="511">
        <f>IF(((1-Таблица5[[#This Row],[30]]/Таблица5[[#This Row],[20]])=1),"НД",(1-Таблица5[[#This Row],[30]]/Таблица5[[#This Row],[20]]))</f>
        <v>8.8165218801063983E-2</v>
      </c>
      <c r="AJ1474" s="111"/>
      <c r="AK1474" s="111">
        <v>693202.56</v>
      </c>
      <c r="AL1474" s="111"/>
      <c r="AM1474" s="910" t="s">
        <v>113</v>
      </c>
      <c r="AN1474" s="801">
        <v>31705760859</v>
      </c>
      <c r="AO1474" s="468" t="str">
        <f>РПЗ!AD1474</f>
        <v>Нет</v>
      </c>
      <c r="AP1474" s="472">
        <f>РПЗ!V1474</f>
        <v>0</v>
      </c>
      <c r="AQ1474" s="470">
        <f>IF(Таблица5[[#This Row],[11]]=0,,MONTH(Таблица5[[#This Row],[11]]))</f>
        <v>11</v>
      </c>
    </row>
    <row r="1475" spans="1:43" s="1" customFormat="1" ht="38.25" x14ac:dyDescent="0.25">
      <c r="A1475" s="233" t="str">
        <f t="shared" si="23"/>
        <v>1004-2017-1460</v>
      </c>
      <c r="B1475" s="233" t="str">
        <f>РПЗ!$D1475</f>
        <v>1004-2017-1460 Поставка Металлопрокат</v>
      </c>
      <c r="C1475" s="233" t="str">
        <f>РПЗ!$AA1475</f>
        <v>АО "НИИ "Полюс" им. М.Ф. Стельмаха" тел. отдела закупок 8-495-333-05-02</v>
      </c>
      <c r="D1475" s="870" t="str">
        <f>РПЗ!$AB1475</f>
        <v>Заказчик</v>
      </c>
      <c r="E1475" s="510" t="s">
        <v>62</v>
      </c>
      <c r="F1475" s="233" t="str">
        <f>РПЗ!Q1475</f>
        <v>ОЗК</v>
      </c>
      <c r="G1475" s="237" t="str">
        <f>Таблица5[[#This Row],[6]]</f>
        <v>ОЗК</v>
      </c>
      <c r="H1475" s="237" t="str">
        <f>РПЗ!R1475</f>
        <v>Да</v>
      </c>
      <c r="I1475" s="15">
        <f>РПЗ!W1475</f>
        <v>0</v>
      </c>
      <c r="J1475" s="233">
        <f>РПЗ!X1475</f>
        <v>0</v>
      </c>
      <c r="K1475" s="283">
        <f>РПЗ!Z1475</f>
        <v>0</v>
      </c>
      <c r="L1475" s="17">
        <v>43061</v>
      </c>
      <c r="M1475" s="18">
        <f>РПЗ!O1475</f>
        <v>43040.625</v>
      </c>
      <c r="N1475" s="238">
        <f>Таблица5[[#This Row],[10]]</f>
        <v>43040.625</v>
      </c>
      <c r="O1475" s="17">
        <v>43068</v>
      </c>
      <c r="P1475" s="17">
        <v>43073</v>
      </c>
      <c r="Q1475" s="17">
        <v>43073</v>
      </c>
      <c r="R1475" s="17">
        <v>43070</v>
      </c>
      <c r="S1475" s="17">
        <v>43070</v>
      </c>
      <c r="T1475" s="686">
        <v>43087</v>
      </c>
      <c r="U1475" s="18">
        <f>РПЗ!P1475</f>
        <v>43070.625</v>
      </c>
      <c r="V1475" s="686">
        <v>43091</v>
      </c>
      <c r="W1475" s="236">
        <f>РПЗ!L1475</f>
        <v>543480.34</v>
      </c>
      <c r="X1475" s="689">
        <v>7</v>
      </c>
      <c r="Y1475" s="689">
        <v>0</v>
      </c>
      <c r="Z1475" s="691">
        <v>5257169978</v>
      </c>
      <c r="AA1475" s="691" t="s">
        <v>8101</v>
      </c>
      <c r="AB1475" s="111">
        <v>519279.35</v>
      </c>
      <c r="AC1475" s="17">
        <v>43091</v>
      </c>
      <c r="AD1475" s="690" t="s">
        <v>8102</v>
      </c>
      <c r="AE1475" s="686">
        <v>43087</v>
      </c>
      <c r="AF1475" s="474"/>
      <c r="AG1475" s="692">
        <v>519279.35</v>
      </c>
      <c r="AH1475" s="236">
        <f>IF(Таблица5[[#This Row],[30]]=0,"НД",Таблица5[[#This Row],[20]]-Таблица5[[#This Row],[30]])</f>
        <v>24200.989999999991</v>
      </c>
      <c r="AI1475" s="511">
        <f>IF(((1-Таблица5[[#This Row],[30]]/Таблица5[[#This Row],[20]])=1),"НД",(1-Таблица5[[#This Row],[30]]/Таблица5[[#This Row],[20]]))</f>
        <v>4.4529651247366187E-2</v>
      </c>
      <c r="AJ1475" s="111"/>
      <c r="AK1475" s="111">
        <v>519279.35</v>
      </c>
      <c r="AL1475" s="111"/>
      <c r="AM1475" s="910" t="s">
        <v>113</v>
      </c>
      <c r="AN1475" s="801">
        <v>31705770900</v>
      </c>
      <c r="AO1475" s="468" t="str">
        <f>РПЗ!AD1475</f>
        <v>Нет</v>
      </c>
      <c r="AP1475" s="472">
        <f>РПЗ!V1475</f>
        <v>0</v>
      </c>
      <c r="AQ1475" s="470">
        <f>IF(Таблица5[[#This Row],[11]]=0,,MONTH(Таблица5[[#This Row],[11]]))</f>
        <v>11</v>
      </c>
    </row>
    <row r="1476" spans="1:43" s="1" customFormat="1" ht="63.75" x14ac:dyDescent="0.25">
      <c r="A1476" s="233" t="str">
        <f t="shared" si="23"/>
        <v>1004-2017-1461</v>
      </c>
      <c r="B1476" s="233" t="str">
        <f>РПЗ!$D1476</f>
        <v>1004-2017-1461 Поставка Электромонтажные материалы и изделия в количестве 12153 шт., 6084 м, 7 комплектов, 150 рулонов, 1 кг.</v>
      </c>
      <c r="C1476" s="233" t="str">
        <f>РПЗ!$AA1476</f>
        <v>АО "НИИ "Полюс" им. М.Ф. Стельмаха" тел. отдела закупок 8-495-333-05-02</v>
      </c>
      <c r="D1476" s="870" t="str">
        <f>РПЗ!$AB1476</f>
        <v>Заказчик</v>
      </c>
      <c r="E1476" s="510" t="s">
        <v>62</v>
      </c>
      <c r="F1476" s="233" t="str">
        <f>РПЗ!Q1476</f>
        <v>ОЗК</v>
      </c>
      <c r="G1476" s="237" t="str">
        <f>Таблица5[[#This Row],[6]]</f>
        <v>ОЗК</v>
      </c>
      <c r="H1476" s="237" t="str">
        <f>РПЗ!R1476</f>
        <v>Да</v>
      </c>
      <c r="I1476" s="15">
        <f>РПЗ!W1476</f>
        <v>0</v>
      </c>
      <c r="J1476" s="233">
        <f>РПЗ!X1476</f>
        <v>0</v>
      </c>
      <c r="K1476" s="283">
        <f>РПЗ!Z1476</f>
        <v>0</v>
      </c>
      <c r="L1476" s="17">
        <v>43055</v>
      </c>
      <c r="M1476" s="18">
        <f>РПЗ!O1476</f>
        <v>43040.625</v>
      </c>
      <c r="N1476" s="238">
        <f>Таблица5[[#This Row],[10]]</f>
        <v>43040.625</v>
      </c>
      <c r="O1476" s="17">
        <v>43062</v>
      </c>
      <c r="P1476" s="17">
        <v>43067</v>
      </c>
      <c r="Q1476" s="17">
        <v>43067</v>
      </c>
      <c r="R1476" s="17">
        <v>43063</v>
      </c>
      <c r="S1476" s="17">
        <v>43063</v>
      </c>
      <c r="T1476" s="686">
        <v>43073</v>
      </c>
      <c r="U1476" s="18">
        <f>РПЗ!P1476</f>
        <v>43070.625</v>
      </c>
      <c r="V1476" s="686">
        <v>43084</v>
      </c>
      <c r="W1476" s="236">
        <f>РПЗ!L1476</f>
        <v>1944921.26</v>
      </c>
      <c r="X1476" s="689">
        <v>2</v>
      </c>
      <c r="Y1476" s="689">
        <v>0</v>
      </c>
      <c r="Z1476" s="691">
        <v>7720248167</v>
      </c>
      <c r="AA1476" s="691" t="s">
        <v>6820</v>
      </c>
      <c r="AB1476" s="111">
        <v>1738370.69</v>
      </c>
      <c r="AC1476" s="17">
        <v>43084</v>
      </c>
      <c r="AD1476" s="690" t="s">
        <v>8113</v>
      </c>
      <c r="AE1476" s="686">
        <v>43073</v>
      </c>
      <c r="AF1476" s="474"/>
      <c r="AG1476" s="692">
        <v>1738370.69</v>
      </c>
      <c r="AH1476" s="236">
        <f>IF(Таблица5[[#This Row],[30]]=0,"НД",Таблица5[[#This Row],[20]]-Таблица5[[#This Row],[30]])</f>
        <v>206550.57000000007</v>
      </c>
      <c r="AI1476" s="511">
        <f>IF(((1-Таблица5[[#This Row],[30]]/Таблица5[[#This Row],[20]])=1),"НД",(1-Таблица5[[#This Row],[30]]/Таблица5[[#This Row],[20]]))</f>
        <v>0.10619996513380703</v>
      </c>
      <c r="AJ1476" s="111"/>
      <c r="AK1476" s="111">
        <v>1738370.69</v>
      </c>
      <c r="AL1476" s="111"/>
      <c r="AM1476" s="910" t="s">
        <v>113</v>
      </c>
      <c r="AN1476" s="801">
        <v>31705747268</v>
      </c>
      <c r="AO1476" s="468" t="str">
        <f>РПЗ!AD1476</f>
        <v>Нет</v>
      </c>
      <c r="AP1476" s="472">
        <f>РПЗ!V1476</f>
        <v>0</v>
      </c>
      <c r="AQ1476" s="470">
        <f>IF(Таблица5[[#This Row],[11]]=0,,MONTH(Таблица5[[#This Row],[11]]))</f>
        <v>11</v>
      </c>
    </row>
    <row r="1477" spans="1:43" s="1" customFormat="1" ht="39" thickBot="1" x14ac:dyDescent="0.3">
      <c r="A1477" s="233" t="str">
        <f t="shared" si="23"/>
        <v>1004-2017-1462</v>
      </c>
      <c r="B1477" s="233" t="str">
        <f>РПЗ!$D1477</f>
        <v>1004-2017-1462 Поставка конденсаторы</v>
      </c>
      <c r="C1477" s="233" t="str">
        <f>РПЗ!$AA1477</f>
        <v>АО "НИИ "Полюс" им. М.Ф. Стельмаха" тел. отдела закупок 8-495-333-05-02</v>
      </c>
      <c r="D1477" s="870" t="str">
        <f>РПЗ!$AB1477</f>
        <v>Заказчик</v>
      </c>
      <c r="E1477" s="510" t="s">
        <v>62</v>
      </c>
      <c r="F1477" s="233" t="str">
        <f>РПЗ!Q1477</f>
        <v>ЕП</v>
      </c>
      <c r="G1477" s="237" t="str">
        <f>Таблица5[[#This Row],[6]]</f>
        <v>ЕП</v>
      </c>
      <c r="H1477" s="237" t="str">
        <f>РПЗ!R1477</f>
        <v>Нет</v>
      </c>
      <c r="I1477" s="15" t="str">
        <f>РПЗ!W1477</f>
        <v>6.6.2(9)</v>
      </c>
      <c r="J1477" s="233" t="str">
        <f>РПЗ!X1477</f>
        <v>3525023010</v>
      </c>
      <c r="K1477" s="283">
        <f>РПЗ!Z1477</f>
        <v>833080</v>
      </c>
      <c r="L1477" s="17">
        <v>43080</v>
      </c>
      <c r="M1477" s="18">
        <f>РПЗ!O1477</f>
        <v>43070</v>
      </c>
      <c r="N1477" s="238">
        <f>Таблица5[[#This Row],[10]]</f>
        <v>43070</v>
      </c>
      <c r="O1477" s="17"/>
      <c r="P1477" s="17"/>
      <c r="Q1477" s="17"/>
      <c r="R1477" s="17"/>
      <c r="S1477" s="17"/>
      <c r="T1477" s="686">
        <v>43087</v>
      </c>
      <c r="U1477" s="18">
        <f>РПЗ!P1477</f>
        <v>43070.625</v>
      </c>
      <c r="V1477" s="686">
        <v>43435</v>
      </c>
      <c r="W1477" s="236">
        <f>РПЗ!L1477</f>
        <v>833080</v>
      </c>
      <c r="X1477" s="689">
        <v>1</v>
      </c>
      <c r="Y1477" s="689">
        <v>0</v>
      </c>
      <c r="Z1477" s="691">
        <v>3525023010</v>
      </c>
      <c r="AA1477" s="691" t="s">
        <v>2388</v>
      </c>
      <c r="AB1477" s="111">
        <v>833080</v>
      </c>
      <c r="AC1477" s="17">
        <v>43435</v>
      </c>
      <c r="AD1477" s="690" t="s">
        <v>8032</v>
      </c>
      <c r="AE1477" s="686">
        <v>43087</v>
      </c>
      <c r="AF1477" s="474"/>
      <c r="AG1477" s="692">
        <v>833080</v>
      </c>
      <c r="AH1477" s="236">
        <f>IF(Таблица5[[#This Row],[30]]=0,"НД",Таблица5[[#This Row],[20]]-Таблица5[[#This Row],[30]])</f>
        <v>0</v>
      </c>
      <c r="AI1477" s="511">
        <f>IF(((1-Таблица5[[#This Row],[30]]/Таблица5[[#This Row],[20]])=1),"НД",(1-Таблица5[[#This Row],[30]]/Таблица5[[#This Row],[20]]))</f>
        <v>0</v>
      </c>
      <c r="AJ1477" s="111"/>
      <c r="AK1477" s="111"/>
      <c r="AL1477" s="111"/>
      <c r="AM1477" s="910" t="s">
        <v>113</v>
      </c>
      <c r="AN1477" s="801">
        <v>31705868220</v>
      </c>
      <c r="AO1477" s="468" t="str">
        <f>РПЗ!AD1477</f>
        <v>Нет</v>
      </c>
      <c r="AP1477" s="472" t="str">
        <f>РПЗ!V1477</f>
        <v>ГОЗ</v>
      </c>
      <c r="AQ1477" s="470">
        <f>IF(Таблица5[[#This Row],[11]]=0,,MONTH(Таблица5[[#This Row],[11]]))</f>
        <v>12</v>
      </c>
    </row>
    <row r="1478" spans="1:43" s="1" customFormat="1" ht="38.25" x14ac:dyDescent="0.25">
      <c r="A1478" s="233" t="str">
        <f t="shared" si="23"/>
        <v>1004-2017-1463</v>
      </c>
      <c r="B1478" s="233" t="str">
        <f>РПЗ!$D1478</f>
        <v>1004-2017-1463 Поставка ТВ-камеры</v>
      </c>
      <c r="C1478" s="233" t="str">
        <f>РПЗ!$AA1478</f>
        <v>АО "НИИ "Полюс" им. М.Ф. Стельмаха" тел. отдела закупок 8-495-333-05-02</v>
      </c>
      <c r="D1478" s="870" t="str">
        <f>РПЗ!$AB1478</f>
        <v>Заказчик</v>
      </c>
      <c r="E1478" s="96" t="s">
        <v>46</v>
      </c>
      <c r="F1478" s="233" t="str">
        <f>РПЗ!Q1478</f>
        <v>ЕП</v>
      </c>
      <c r="G1478" s="237"/>
      <c r="H1478" s="237" t="str">
        <f>РПЗ!R1478</f>
        <v>Нет</v>
      </c>
      <c r="I1478" s="15">
        <f>РПЗ!W1478</f>
        <v>0</v>
      </c>
      <c r="J1478" s="233">
        <f>РПЗ!X1478</f>
        <v>0</v>
      </c>
      <c r="K1478" s="283">
        <f>РПЗ!Z1478</f>
        <v>0</v>
      </c>
      <c r="L1478" s="17"/>
      <c r="M1478" s="18">
        <f>РПЗ!O1478</f>
        <v>43040.625</v>
      </c>
      <c r="N1478" s="238">
        <f>Таблица5[[#This Row],[10]]</f>
        <v>43040.625</v>
      </c>
      <c r="O1478" s="17"/>
      <c r="P1478" s="17"/>
      <c r="Q1478" s="17"/>
      <c r="R1478" s="17"/>
      <c r="S1478" s="17"/>
      <c r="T1478" s="686"/>
      <c r="U1478" s="18">
        <f>РПЗ!P1478</f>
        <v>43070.625</v>
      </c>
      <c r="V1478" s="686"/>
      <c r="W1478" s="236">
        <f>РПЗ!L1478</f>
        <v>8238800</v>
      </c>
      <c r="X1478" s="689"/>
      <c r="Y1478" s="689"/>
      <c r="Z1478" s="690"/>
      <c r="AA1478" s="691"/>
      <c r="AB1478" s="111"/>
      <c r="AC1478" s="17"/>
      <c r="AD1478" s="690"/>
      <c r="AE1478" s="686"/>
      <c r="AF1478" s="474"/>
      <c r="AG1478" s="692"/>
      <c r="AH1478" s="236" t="str">
        <f>IF(Таблица5[[#This Row],[30]]=0,"НД",Таблица5[[#This Row],[20]]-Таблица5[[#This Row],[30]])</f>
        <v>НД</v>
      </c>
      <c r="AI1478" s="511" t="str">
        <f>IF(((1-Таблица5[[#This Row],[30]]/Таблица5[[#This Row],[20]])=1),"НД",(1-Таблица5[[#This Row],[30]]/Таблица5[[#This Row],[20]]))</f>
        <v>НД</v>
      </c>
      <c r="AJ1478" s="111"/>
      <c r="AK1478" s="111"/>
      <c r="AL1478" s="111"/>
      <c r="AM1478" s="910"/>
      <c r="AN1478" s="465"/>
      <c r="AO1478" s="468" t="str">
        <f>РПЗ!AD1478</f>
        <v>Нет</v>
      </c>
      <c r="AP1478" s="472">
        <f>РПЗ!V1478</f>
        <v>0</v>
      </c>
      <c r="AQ1478" s="470">
        <f>IF(Таблица5[[#This Row],[11]]=0,,MONTH(Таблица5[[#This Row],[11]]))</f>
        <v>11</v>
      </c>
    </row>
    <row r="1479" spans="1:43" s="1" customFormat="1" ht="38.25" x14ac:dyDescent="0.25">
      <c r="A1479" s="233" t="str">
        <f t="shared" si="23"/>
        <v>1004-2017-1464</v>
      </c>
      <c r="B1479" s="233" t="str">
        <f>РПЗ!$D1479</f>
        <v>1004-2017-1464 Поставка вакуумных масел</v>
      </c>
      <c r="C1479" s="233" t="str">
        <f>РПЗ!$AA1479</f>
        <v>АО "НИИ "Полюс" им. М.Ф. Стельмаха" тел. отдела закупок 8-495-333-05-02</v>
      </c>
      <c r="D1479" s="870" t="str">
        <f>РПЗ!$AB1479</f>
        <v>Заказчик</v>
      </c>
      <c r="E1479" s="510" t="s">
        <v>62</v>
      </c>
      <c r="F1479" s="233" t="str">
        <f>РПЗ!Q1479</f>
        <v>ОЗК</v>
      </c>
      <c r="G1479" s="237" t="str">
        <f>Таблица5[[#This Row],[6]]</f>
        <v>ОЗК</v>
      </c>
      <c r="H1479" s="237" t="str">
        <f>РПЗ!R1479</f>
        <v>Да</v>
      </c>
      <c r="I1479" s="15">
        <f>РПЗ!W1479</f>
        <v>0</v>
      </c>
      <c r="J1479" s="233">
        <f>РПЗ!X1479</f>
        <v>0</v>
      </c>
      <c r="K1479" s="283">
        <f>РПЗ!Z1479</f>
        <v>0</v>
      </c>
      <c r="L1479" s="17">
        <v>43068</v>
      </c>
      <c r="M1479" s="18">
        <f>РПЗ!O1479</f>
        <v>43040.625</v>
      </c>
      <c r="N1479" s="238">
        <f>Таблица5[[#This Row],[10]]</f>
        <v>43040.625</v>
      </c>
      <c r="O1479" s="17">
        <v>43075</v>
      </c>
      <c r="P1479" s="17">
        <v>43080</v>
      </c>
      <c r="Q1479" s="17">
        <v>43080</v>
      </c>
      <c r="R1479" s="17">
        <v>43076</v>
      </c>
      <c r="S1479" s="17">
        <v>43076</v>
      </c>
      <c r="T1479" s="686">
        <v>43087</v>
      </c>
      <c r="U1479" s="18">
        <f>РПЗ!P1479</f>
        <v>43070.625</v>
      </c>
      <c r="V1479" s="686">
        <v>43465</v>
      </c>
      <c r="W1479" s="236">
        <f>РПЗ!L1479</f>
        <v>500427.99</v>
      </c>
      <c r="X1479" s="689">
        <v>3</v>
      </c>
      <c r="Y1479" s="689">
        <v>0</v>
      </c>
      <c r="Z1479" s="691">
        <v>5047128326</v>
      </c>
      <c r="AA1479" s="691" t="s">
        <v>8090</v>
      </c>
      <c r="AB1479" s="111">
        <v>444608.66</v>
      </c>
      <c r="AC1479" s="17">
        <v>43465</v>
      </c>
      <c r="AD1479" s="690" t="s">
        <v>8091</v>
      </c>
      <c r="AE1479" s="686">
        <v>43087</v>
      </c>
      <c r="AF1479" s="474"/>
      <c r="AG1479" s="692">
        <v>444608.66</v>
      </c>
      <c r="AH1479" s="236">
        <f>IF(Таблица5[[#This Row],[30]]=0,"НД",Таблица5[[#This Row],[20]]-Таблица5[[#This Row],[30]])</f>
        <v>55819.330000000016</v>
      </c>
      <c r="AI1479" s="511">
        <f>IF(((1-Таблица5[[#This Row],[30]]/Таблица5[[#This Row],[20]])=1),"НД",(1-Таблица5[[#This Row],[30]]/Таблица5[[#This Row],[20]]))</f>
        <v>0.11154318126769847</v>
      </c>
      <c r="AJ1479" s="111"/>
      <c r="AK1479" s="111">
        <v>444608.66</v>
      </c>
      <c r="AL1479" s="111"/>
      <c r="AM1479" s="910" t="s">
        <v>113</v>
      </c>
      <c r="AN1479" s="801">
        <v>31705807138</v>
      </c>
      <c r="AO1479" s="468" t="str">
        <f>РПЗ!AD1479</f>
        <v>Нет</v>
      </c>
      <c r="AP1479" s="472">
        <f>РПЗ!V1479</f>
        <v>0</v>
      </c>
      <c r="AQ1479" s="470">
        <f>IF(Таблица5[[#This Row],[11]]=0,,MONTH(Таблица5[[#This Row],[11]]))</f>
        <v>11</v>
      </c>
    </row>
    <row r="1480" spans="1:43" s="1" customFormat="1" ht="38.25" x14ac:dyDescent="0.25">
      <c r="A1480" s="233" t="str">
        <f t="shared" si="23"/>
        <v>1004-2017-1465</v>
      </c>
      <c r="B1480" s="233" t="str">
        <f>РПЗ!$D1480</f>
        <v>1004-2017-1465 Поставка оксида алюминия и оксида циркония </v>
      </c>
      <c r="C1480" s="233" t="str">
        <f>РПЗ!$AA1480</f>
        <v>АО "НИИ "Полюс" им. М.Ф. Стельмаха" тел. отдела закупок 8-495-333-05-02</v>
      </c>
      <c r="D1480" s="870" t="str">
        <f>РПЗ!$AB1480</f>
        <v>Заказчик</v>
      </c>
      <c r="E1480" s="510" t="s">
        <v>62</v>
      </c>
      <c r="F1480" s="233" t="str">
        <f>РПЗ!Q1480</f>
        <v>ОЗК</v>
      </c>
      <c r="G1480" s="237" t="str">
        <f>Таблица5[[#This Row],[6]]</f>
        <v>ОЗК</v>
      </c>
      <c r="H1480" s="237" t="str">
        <f>РПЗ!R1480</f>
        <v>Да</v>
      </c>
      <c r="I1480" s="15">
        <f>РПЗ!W1480</f>
        <v>0</v>
      </c>
      <c r="J1480" s="233">
        <f>РПЗ!X1480</f>
        <v>0</v>
      </c>
      <c r="K1480" s="283">
        <f>РПЗ!Z1480</f>
        <v>0</v>
      </c>
      <c r="L1480" s="17">
        <v>43066</v>
      </c>
      <c r="M1480" s="18">
        <f>РПЗ!O1480</f>
        <v>43040.625</v>
      </c>
      <c r="N1480" s="238">
        <f>Таблица5[[#This Row],[10]]</f>
        <v>43040.625</v>
      </c>
      <c r="O1480" s="17">
        <v>43073</v>
      </c>
      <c r="P1480" s="17">
        <v>43076</v>
      </c>
      <c r="Q1480" s="17">
        <v>43076</v>
      </c>
      <c r="R1480" s="17">
        <v>43074</v>
      </c>
      <c r="S1480" s="17">
        <v>43074</v>
      </c>
      <c r="T1480" s="686">
        <v>43088</v>
      </c>
      <c r="U1480" s="18">
        <f>РПЗ!P1480</f>
        <v>43070.625</v>
      </c>
      <c r="V1480" s="686">
        <v>43151</v>
      </c>
      <c r="W1480" s="236">
        <f>РПЗ!L1480</f>
        <v>218170</v>
      </c>
      <c r="X1480" s="689">
        <v>3</v>
      </c>
      <c r="Y1480" s="689">
        <v>0</v>
      </c>
      <c r="Z1480" s="691">
        <v>6230059610</v>
      </c>
      <c r="AA1480" s="691" t="s">
        <v>3357</v>
      </c>
      <c r="AB1480" s="111">
        <v>183100</v>
      </c>
      <c r="AC1480" s="17">
        <v>43151</v>
      </c>
      <c r="AD1480" s="690" t="s">
        <v>8097</v>
      </c>
      <c r="AE1480" s="686">
        <v>43088</v>
      </c>
      <c r="AF1480" s="474"/>
      <c r="AG1480" s="692">
        <v>183100</v>
      </c>
      <c r="AH1480" s="236">
        <f>IF(Таблица5[[#This Row],[30]]=0,"НД",Таблица5[[#This Row],[20]]-Таблица5[[#This Row],[30]])</f>
        <v>35070</v>
      </c>
      <c r="AI1480" s="511">
        <f>IF(((1-Таблица5[[#This Row],[30]]/Таблица5[[#This Row],[20]])=1),"НД",(1-Таблица5[[#This Row],[30]]/Таблица5[[#This Row],[20]]))</f>
        <v>0.16074620708621712</v>
      </c>
      <c r="AJ1480" s="111"/>
      <c r="AK1480" s="111">
        <v>183100</v>
      </c>
      <c r="AL1480" s="111"/>
      <c r="AM1480" s="910" t="s">
        <v>113</v>
      </c>
      <c r="AN1480" s="801">
        <v>31705789922</v>
      </c>
      <c r="AO1480" s="468" t="str">
        <f>РПЗ!AD1480</f>
        <v>Нет</v>
      </c>
      <c r="AP1480" s="472">
        <f>РПЗ!V1480</f>
        <v>0</v>
      </c>
      <c r="AQ1480" s="470">
        <f>IF(Таблица5[[#This Row],[11]]=0,,MONTH(Таблица5[[#This Row],[11]]))</f>
        <v>11</v>
      </c>
    </row>
    <row r="1481" spans="1:43" s="1" customFormat="1" ht="38.25" x14ac:dyDescent="0.25">
      <c r="A1481" s="233" t="str">
        <f t="shared" si="23"/>
        <v>1004-2017-1466</v>
      </c>
      <c r="B1481" s="233" t="str">
        <f>РПЗ!$D1481</f>
        <v>1004-2017-1466 Поставка  реконструкция тепловых сетей</v>
      </c>
      <c r="C1481" s="233" t="str">
        <f>РПЗ!$AA1481</f>
        <v>АО "НИИ "Полюс" им. М.Ф. Стельмаха" тел. отдела закупок 8-495-333-05-02</v>
      </c>
      <c r="D1481" s="870" t="str">
        <f>РПЗ!$AB1481</f>
        <v>Заказчик</v>
      </c>
      <c r="E1481" s="510" t="s">
        <v>59</v>
      </c>
      <c r="F1481" s="233" t="str">
        <f>РПЗ!Q1481</f>
        <v>ОЗК</v>
      </c>
      <c r="G1481" s="237" t="str">
        <f>Таблица5[[#This Row],[6]]</f>
        <v>ОЗК</v>
      </c>
      <c r="H1481" s="237" t="str">
        <f>РПЗ!R1481</f>
        <v>Да</v>
      </c>
      <c r="I1481" s="15">
        <f>РПЗ!W1481</f>
        <v>0</v>
      </c>
      <c r="J1481" s="233">
        <f>РПЗ!X1481</f>
        <v>0</v>
      </c>
      <c r="K1481" s="283">
        <f>РПЗ!Z1481</f>
        <v>0</v>
      </c>
      <c r="L1481" s="17">
        <v>43056</v>
      </c>
      <c r="M1481" s="18">
        <f>РПЗ!O1481</f>
        <v>43040.625</v>
      </c>
      <c r="N1481" s="238">
        <f>Таблица5[[#This Row],[10]]</f>
        <v>43040.625</v>
      </c>
      <c r="O1481" s="17">
        <v>43062</v>
      </c>
      <c r="P1481" s="17">
        <v>43066</v>
      </c>
      <c r="Q1481" s="17">
        <v>43066</v>
      </c>
      <c r="R1481" s="17">
        <v>43066</v>
      </c>
      <c r="S1481" s="17">
        <v>43066</v>
      </c>
      <c r="T1481" s="686"/>
      <c r="U1481" s="18">
        <f>РПЗ!P1481</f>
        <v>43040.625</v>
      </c>
      <c r="V1481" s="686"/>
      <c r="W1481" s="236">
        <f>РПЗ!L1481</f>
        <v>815781.32</v>
      </c>
      <c r="X1481" s="689">
        <v>0</v>
      </c>
      <c r="Y1481" s="689">
        <v>0</v>
      </c>
      <c r="Z1481" s="690"/>
      <c r="AA1481" s="691"/>
      <c r="AB1481" s="111"/>
      <c r="AC1481" s="17"/>
      <c r="AD1481" s="690"/>
      <c r="AE1481" s="686"/>
      <c r="AF1481" s="474"/>
      <c r="AG1481" s="692"/>
      <c r="AH1481" s="236" t="str">
        <f>IF(Таблица5[[#This Row],[30]]=0,"НД",Таблица5[[#This Row],[20]]-Таблица5[[#This Row],[30]])</f>
        <v>НД</v>
      </c>
      <c r="AI1481" s="511" t="str">
        <f>IF(((1-Таблица5[[#This Row],[30]]/Таблица5[[#This Row],[20]])=1),"НД",(1-Таблица5[[#This Row],[30]]/Таблица5[[#This Row],[20]]))</f>
        <v>НД</v>
      </c>
      <c r="AJ1481" s="111"/>
      <c r="AK1481" s="111"/>
      <c r="AL1481" s="111"/>
      <c r="AM1481" s="910" t="s">
        <v>113</v>
      </c>
      <c r="AN1481" s="801">
        <v>31705756366</v>
      </c>
      <c r="AO1481" s="468" t="str">
        <f>РПЗ!AD1481</f>
        <v>Нет</v>
      </c>
      <c r="AP1481" s="472">
        <f>РПЗ!V1481</f>
        <v>0</v>
      </c>
      <c r="AQ1481" s="470">
        <f>IF(Таблица5[[#This Row],[11]]=0,,MONTH(Таблица5[[#This Row],[11]]))</f>
        <v>11</v>
      </c>
    </row>
    <row r="1482" spans="1:43" s="1" customFormat="1" ht="38.25" x14ac:dyDescent="0.25">
      <c r="A1482" s="233" t="str">
        <f t="shared" si="23"/>
        <v>1004-2017-1467</v>
      </c>
      <c r="B1482" s="233" t="str">
        <f>РПЗ!$D1482</f>
        <v>1004-2017-1467 Поставка офисной мебели</v>
      </c>
      <c r="C1482" s="233" t="str">
        <f>РПЗ!$AA1482</f>
        <v>АО "НИИ "Полюс" им. М.Ф. Стельмаха" тел. отдела закупок 8-495-333-05-02</v>
      </c>
      <c r="D1482" s="870" t="str">
        <f>РПЗ!$AB1482</f>
        <v>Заказчик</v>
      </c>
      <c r="E1482" s="510" t="s">
        <v>59</v>
      </c>
      <c r="F1482" s="233" t="str">
        <f>РПЗ!Q1482</f>
        <v>ОЗК</v>
      </c>
      <c r="G1482" s="237" t="str">
        <f>Таблица5[[#This Row],[6]]</f>
        <v>ОЗК</v>
      </c>
      <c r="H1482" s="237" t="str">
        <f>РПЗ!R1482</f>
        <v>Да</v>
      </c>
      <c r="I1482" s="15">
        <f>РПЗ!W1482</f>
        <v>0</v>
      </c>
      <c r="J1482" s="233">
        <f>РПЗ!X1482</f>
        <v>0</v>
      </c>
      <c r="K1482" s="283">
        <f>РПЗ!Z1482</f>
        <v>0</v>
      </c>
      <c r="L1482" s="17">
        <v>43080</v>
      </c>
      <c r="M1482" s="18">
        <f>РПЗ!O1482</f>
        <v>43070</v>
      </c>
      <c r="N1482" s="238">
        <f>Таблица5[[#This Row],[10]]</f>
        <v>43070</v>
      </c>
      <c r="O1482" s="17">
        <v>43087</v>
      </c>
      <c r="P1482" s="17">
        <v>43090</v>
      </c>
      <c r="Q1482" s="17">
        <v>43090</v>
      </c>
      <c r="R1482" s="17">
        <v>43090</v>
      </c>
      <c r="S1482" s="17">
        <v>43090</v>
      </c>
      <c r="T1482" s="686"/>
      <c r="U1482" s="18">
        <f>РПЗ!P1482</f>
        <v>43070.625</v>
      </c>
      <c r="V1482" s="686"/>
      <c r="W1482" s="236">
        <f>РПЗ!L1482</f>
        <v>290771.20000000001</v>
      </c>
      <c r="X1482" s="689">
        <v>0</v>
      </c>
      <c r="Y1482" s="689">
        <v>0</v>
      </c>
      <c r="Z1482" s="690"/>
      <c r="AA1482" s="691"/>
      <c r="AB1482" s="111"/>
      <c r="AC1482" s="17"/>
      <c r="AD1482" s="690"/>
      <c r="AE1482" s="686"/>
      <c r="AF1482" s="474"/>
      <c r="AG1482" s="692"/>
      <c r="AH1482" s="236" t="str">
        <f>IF(Таблица5[[#This Row],[30]]=0,"НД",Таблица5[[#This Row],[20]]-Таблица5[[#This Row],[30]])</f>
        <v>НД</v>
      </c>
      <c r="AI1482" s="511" t="str">
        <f>IF(((1-Таблица5[[#This Row],[30]]/Таблица5[[#This Row],[20]])=1),"НД",(1-Таблица5[[#This Row],[30]]/Таблица5[[#This Row],[20]]))</f>
        <v>НД</v>
      </c>
      <c r="AJ1482" s="111"/>
      <c r="AK1482" s="111"/>
      <c r="AL1482" s="111"/>
      <c r="AM1482" s="910" t="s">
        <v>113</v>
      </c>
      <c r="AN1482" s="801">
        <v>31705861509</v>
      </c>
      <c r="AO1482" s="468" t="str">
        <f>РПЗ!AD1482</f>
        <v>Нет</v>
      </c>
      <c r="AP1482" s="472">
        <f>РПЗ!V1482</f>
        <v>0</v>
      </c>
      <c r="AQ1482" s="470">
        <f>IF(Таблица5[[#This Row],[11]]=0,,MONTH(Таблица5[[#This Row],[11]]))</f>
        <v>12</v>
      </c>
    </row>
    <row r="1483" spans="1:43" s="1" customFormat="1" ht="51" x14ac:dyDescent="0.25">
      <c r="A1483" s="233" t="str">
        <f t="shared" si="23"/>
        <v>1004-2017-1468</v>
      </c>
      <c r="B1483" s="233" t="str">
        <f>РПЗ!$D1483</f>
        <v>1004-2017-1468 Поставка  Комплект измерителя оптической мощности PM122D ( PM100D,  S122C, S120-FC,  BA2, PH2, TR2)</v>
      </c>
      <c r="C1483" s="233" t="str">
        <f>РПЗ!$AA1483</f>
        <v>АО "НИИ "Полюс" им. М.Ф. Стельмаха" тел. отдела закупок 8-495-333-05-02</v>
      </c>
      <c r="D1483" s="870" t="str">
        <f>РПЗ!$AB1483</f>
        <v>Заказчик</v>
      </c>
      <c r="E1483" s="510" t="s">
        <v>62</v>
      </c>
      <c r="F1483" s="233" t="str">
        <f>РПЗ!Q1483</f>
        <v>ОЗК</v>
      </c>
      <c r="G1483" s="237" t="str">
        <f>Таблица5[[#This Row],[6]]</f>
        <v>ОЗК</v>
      </c>
      <c r="H1483" s="237" t="str">
        <f>РПЗ!R1483</f>
        <v>Да</v>
      </c>
      <c r="I1483" s="15">
        <f>РПЗ!W1483</f>
        <v>0</v>
      </c>
      <c r="J1483" s="233">
        <f>РПЗ!X1483</f>
        <v>0</v>
      </c>
      <c r="K1483" s="283">
        <f>РПЗ!Z1483</f>
        <v>0</v>
      </c>
      <c r="L1483" s="17">
        <v>43070</v>
      </c>
      <c r="M1483" s="18">
        <f>РПЗ!O1483</f>
        <v>43070</v>
      </c>
      <c r="N1483" s="238">
        <f>Таблица5[[#This Row],[10]]</f>
        <v>43070</v>
      </c>
      <c r="O1483" s="17">
        <v>43076</v>
      </c>
      <c r="P1483" s="17">
        <v>43081</v>
      </c>
      <c r="Q1483" s="17">
        <v>43081</v>
      </c>
      <c r="R1483" s="17">
        <v>43076</v>
      </c>
      <c r="S1483" s="17">
        <v>43076</v>
      </c>
      <c r="T1483" s="686">
        <v>43087</v>
      </c>
      <c r="U1483" s="18">
        <f>РПЗ!P1483</f>
        <v>43070.625</v>
      </c>
      <c r="V1483" s="686">
        <v>43195</v>
      </c>
      <c r="W1483" s="236">
        <f>РПЗ!L1483</f>
        <v>494910</v>
      </c>
      <c r="X1483" s="689">
        <v>3</v>
      </c>
      <c r="Y1483" s="689">
        <v>0</v>
      </c>
      <c r="Z1483" s="691">
        <v>7705254568</v>
      </c>
      <c r="AA1483" s="691" t="s">
        <v>6094</v>
      </c>
      <c r="AB1483" s="111">
        <v>438705.12</v>
      </c>
      <c r="AC1483" s="17">
        <v>43195</v>
      </c>
      <c r="AD1483" s="690" t="s">
        <v>8084</v>
      </c>
      <c r="AE1483" s="686">
        <v>43087</v>
      </c>
      <c r="AF1483" s="474"/>
      <c r="AG1483" s="692">
        <v>438705.12</v>
      </c>
      <c r="AH1483" s="236">
        <f>IF(Таблица5[[#This Row],[30]]=0,"НД",Таблица5[[#This Row],[20]]-Таблица5[[#This Row],[30]])</f>
        <v>56204.880000000005</v>
      </c>
      <c r="AI1483" s="511">
        <f>IF(((1-Таблица5[[#This Row],[30]]/Таблица5[[#This Row],[20]])=1),"НД",(1-Таблица5[[#This Row],[30]]/Таблица5[[#This Row],[20]]))</f>
        <v>0.11356586045947747</v>
      </c>
      <c r="AJ1483" s="111"/>
      <c r="AK1483" s="111">
        <v>438705.12</v>
      </c>
      <c r="AL1483" s="111"/>
      <c r="AM1483" s="910" t="s">
        <v>113</v>
      </c>
      <c r="AN1483" s="801">
        <v>31705819025</v>
      </c>
      <c r="AO1483" s="468" t="str">
        <f>РПЗ!AD1483</f>
        <v>Нет</v>
      </c>
      <c r="AP1483" s="472">
        <f>РПЗ!V1483</f>
        <v>0</v>
      </c>
      <c r="AQ1483" s="470">
        <f>IF(Таблица5[[#This Row],[11]]=0,,MONTH(Таблица5[[#This Row],[11]]))</f>
        <v>12</v>
      </c>
    </row>
    <row r="1484" spans="1:43" s="1" customFormat="1" ht="38.25" x14ac:dyDescent="0.25">
      <c r="A1484" s="233" t="str">
        <f t="shared" si="23"/>
        <v>1004-2017-1469</v>
      </c>
      <c r="B1484" s="233" t="str">
        <f>РПЗ!$D1484</f>
        <v>1004-2017-1469 Поставка  Анализатор спектра СК4М-18/10 с устройством ПКУ-11</v>
      </c>
      <c r="C1484" s="233" t="str">
        <f>РПЗ!$AA1484</f>
        <v>АО "НИИ "Полюс" им. М.Ф. Стельмаха" тел. отдела закупок 8-495-333-05-02</v>
      </c>
      <c r="D1484" s="870" t="str">
        <f>РПЗ!$AB1484</f>
        <v>Заказчик</v>
      </c>
      <c r="E1484" s="510" t="s">
        <v>62</v>
      </c>
      <c r="F1484" s="233" t="str">
        <f>РПЗ!Q1484</f>
        <v>ОЗК</v>
      </c>
      <c r="G1484" s="237" t="str">
        <f>Таблица5[[#This Row],[6]]</f>
        <v>ОЗК</v>
      </c>
      <c r="H1484" s="237" t="str">
        <f>РПЗ!R1484</f>
        <v>Да</v>
      </c>
      <c r="I1484" s="15">
        <f>РПЗ!W1484</f>
        <v>0</v>
      </c>
      <c r="J1484" s="233">
        <f>РПЗ!X1484</f>
        <v>0</v>
      </c>
      <c r="K1484" s="283">
        <f>РПЗ!Z1484</f>
        <v>0</v>
      </c>
      <c r="L1484" s="17">
        <v>43070</v>
      </c>
      <c r="M1484" s="18">
        <f>РПЗ!O1484</f>
        <v>43070</v>
      </c>
      <c r="N1484" s="238">
        <f>Таблица5[[#This Row],[10]]</f>
        <v>43070</v>
      </c>
      <c r="O1484" s="17">
        <v>43076</v>
      </c>
      <c r="P1484" s="17">
        <v>43081</v>
      </c>
      <c r="Q1484" s="17">
        <v>43081</v>
      </c>
      <c r="R1484" s="17">
        <v>43076</v>
      </c>
      <c r="S1484" s="17">
        <v>43076</v>
      </c>
      <c r="T1484" s="686">
        <v>43087</v>
      </c>
      <c r="U1484" s="18">
        <f>РПЗ!P1484</f>
        <v>43070.625</v>
      </c>
      <c r="V1484" s="686">
        <v>43220</v>
      </c>
      <c r="W1484" s="236">
        <f>РПЗ!L1484</f>
        <v>1456578.4</v>
      </c>
      <c r="X1484" s="689">
        <v>1</v>
      </c>
      <c r="Y1484" s="689">
        <v>0</v>
      </c>
      <c r="Z1484" s="691">
        <v>7729713450</v>
      </c>
      <c r="AA1484" s="691" t="s">
        <v>8079</v>
      </c>
      <c r="AB1484" s="111">
        <v>1447000</v>
      </c>
      <c r="AC1484" s="17">
        <v>43220</v>
      </c>
      <c r="AD1484" s="690" t="s">
        <v>8080</v>
      </c>
      <c r="AE1484" s="686">
        <v>43087</v>
      </c>
      <c r="AF1484" s="474"/>
      <c r="AG1484" s="692">
        <v>1447000</v>
      </c>
      <c r="AH1484" s="236">
        <f>IF(Таблица5[[#This Row],[30]]=0,"НД",Таблица5[[#This Row],[20]]-Таблица5[[#This Row],[30]])</f>
        <v>9578.3999999999069</v>
      </c>
      <c r="AI1484" s="511">
        <f>IF(((1-Таблица5[[#This Row],[30]]/Таблица5[[#This Row],[20]])=1),"НД",(1-Таблица5[[#This Row],[30]]/Таблица5[[#This Row],[20]]))</f>
        <v>6.5759591107488191E-3</v>
      </c>
      <c r="AJ1484" s="111"/>
      <c r="AK1484" s="111">
        <v>1447000</v>
      </c>
      <c r="AL1484" s="111"/>
      <c r="AM1484" s="910" t="s">
        <v>113</v>
      </c>
      <c r="AN1484" s="801">
        <v>31705819050</v>
      </c>
      <c r="AO1484" s="468" t="str">
        <f>РПЗ!AD1484</f>
        <v>Нет</v>
      </c>
      <c r="AP1484" s="472">
        <f>РПЗ!V1484</f>
        <v>0</v>
      </c>
      <c r="AQ1484" s="470">
        <f>IF(Таблица5[[#This Row],[11]]=0,,MONTH(Таблица5[[#This Row],[11]]))</f>
        <v>12</v>
      </c>
    </row>
    <row r="1485" spans="1:43" ht="38.25" x14ac:dyDescent="0.25">
      <c r="A1485" s="233" t="str">
        <f t="shared" si="23"/>
        <v>1004-2017-1470</v>
      </c>
      <c r="B1485" s="233" t="str">
        <f>РПЗ!$D1485</f>
        <v>1004-2017-1470 Металлические сплавы</v>
      </c>
      <c r="C1485" s="233" t="str">
        <f>РПЗ!$AA1485</f>
        <v>АО "НИИ "Полюс" им. М.Ф. Стельмаха" тел. отдела закупок 8-495-333-05-02</v>
      </c>
      <c r="D1485" s="633" t="str">
        <f>РПЗ!$AB1485</f>
        <v>Заказчик</v>
      </c>
      <c r="E1485" s="510" t="s">
        <v>59</v>
      </c>
      <c r="F1485" s="233" t="str">
        <f>РПЗ!Q1485</f>
        <v>ОЗК</v>
      </c>
      <c r="G1485" s="237" t="str">
        <f>Таблица5[[#This Row],[6]]</f>
        <v>ОЗК</v>
      </c>
      <c r="H1485" s="237" t="str">
        <f>РПЗ!R1485</f>
        <v>Да</v>
      </c>
      <c r="I1485" s="15">
        <f>РПЗ!W1485</f>
        <v>0</v>
      </c>
      <c r="J1485" s="233">
        <f>РПЗ!X1485</f>
        <v>0</v>
      </c>
      <c r="K1485" s="283">
        <f>РПЗ!Z1485</f>
        <v>0</v>
      </c>
      <c r="L1485" s="17">
        <v>43067</v>
      </c>
      <c r="M1485" s="18">
        <f>РПЗ!O1485</f>
        <v>43040.625</v>
      </c>
      <c r="N1485" s="238">
        <f>Таблица5[[#This Row],[10]]</f>
        <v>43040.625</v>
      </c>
      <c r="O1485" s="17">
        <v>43073</v>
      </c>
      <c r="P1485" s="17">
        <v>43076</v>
      </c>
      <c r="Q1485" s="17">
        <v>43076</v>
      </c>
      <c r="R1485" s="17">
        <v>43076</v>
      </c>
      <c r="S1485" s="17">
        <v>43076</v>
      </c>
      <c r="T1485" s="686"/>
      <c r="U1485" s="18">
        <f>РПЗ!P1485</f>
        <v>43070.625</v>
      </c>
      <c r="V1485" s="686"/>
      <c r="W1485" s="236">
        <f>РПЗ!L1485</f>
        <v>197753.91</v>
      </c>
      <c r="X1485" s="689">
        <v>0</v>
      </c>
      <c r="Y1485" s="689">
        <v>0</v>
      </c>
      <c r="Z1485" s="690"/>
      <c r="AA1485" s="691"/>
      <c r="AB1485" s="111"/>
      <c r="AC1485" s="17"/>
      <c r="AD1485" s="690"/>
      <c r="AE1485" s="686"/>
      <c r="AF1485" s="474"/>
      <c r="AG1485" s="692"/>
      <c r="AH1485" s="236" t="str">
        <f>IF(Таблица5[[#This Row],[30]]=0,"НД",Таблица5[[#This Row],[20]]-Таблица5[[#This Row],[30]])</f>
        <v>НД</v>
      </c>
      <c r="AI1485" s="511" t="str">
        <f>IF(((1-Таблица5[[#This Row],[30]]/Таблица5[[#This Row],[20]])=1),"НД",(1-Таблица5[[#This Row],[30]]/Таблица5[[#This Row],[20]]))</f>
        <v>НД</v>
      </c>
      <c r="AJ1485" s="111"/>
      <c r="AK1485" s="111"/>
      <c r="AL1485" s="512"/>
      <c r="AM1485" s="513" t="s">
        <v>113</v>
      </c>
      <c r="AN1485" s="801">
        <v>31705795417</v>
      </c>
      <c r="AO1485" s="468">
        <f>РПЗ!AD1485</f>
        <v>0</v>
      </c>
      <c r="AP1485" s="472">
        <f>РПЗ!V1485</f>
        <v>0</v>
      </c>
      <c r="AQ1485" s="470">
        <f>IF(Таблица5[[#This Row],[11]]=0,,MONTH(Таблица5[[#This Row],[11]]))</f>
        <v>11</v>
      </c>
    </row>
    <row r="1486" spans="1:43" ht="51" x14ac:dyDescent="0.25">
      <c r="A1486" s="233" t="str">
        <f t="shared" si="23"/>
        <v>1004-2017-1471</v>
      </c>
      <c r="B1486" s="233" t="str">
        <f>РПЗ!$D1486</f>
        <v>1004-2017-1471 Техническое обслуживание вибростенда LDS V830-355</v>
      </c>
      <c r="C1486" s="233" t="str">
        <f>РПЗ!$AA1537</f>
        <v>АО "НИИ "Полюс" им. М.Ф. Стельмаха" тел. отдела закупок 8-495-333-05-02</v>
      </c>
      <c r="D1486" s="633" t="str">
        <f>РПЗ!$AB1537</f>
        <v>Заказчик</v>
      </c>
      <c r="E1486" s="510" t="s">
        <v>62</v>
      </c>
      <c r="F1486" s="233" t="str">
        <f>РПЗ!Q1486</f>
        <v>ОЗК</v>
      </c>
      <c r="G1486" s="237" t="str">
        <f>Таблица5[[#This Row],[6]]</f>
        <v>ОЗК</v>
      </c>
      <c r="H1486" s="237" t="str">
        <f>РПЗ!R1486</f>
        <v>Да</v>
      </c>
      <c r="I1486" s="15">
        <f>РПЗ!W1714</f>
        <v>0</v>
      </c>
      <c r="J1486" s="233">
        <f>РПЗ!X1714</f>
        <v>0</v>
      </c>
      <c r="K1486" s="283">
        <f>РПЗ!Z1714</f>
        <v>0</v>
      </c>
      <c r="L1486" s="17">
        <v>43062</v>
      </c>
      <c r="M1486" s="18">
        <f>РПЗ!O1486</f>
        <v>43040.625</v>
      </c>
      <c r="N1486" s="238">
        <f>Таблица5[[#This Row],[10]]</f>
        <v>43040.625</v>
      </c>
      <c r="O1486" s="17">
        <v>43068</v>
      </c>
      <c r="P1486" s="17">
        <v>43073</v>
      </c>
      <c r="Q1486" s="17">
        <v>43073</v>
      </c>
      <c r="R1486" s="17">
        <v>43069</v>
      </c>
      <c r="S1486" s="17">
        <v>43069</v>
      </c>
      <c r="T1486" s="686">
        <v>43080</v>
      </c>
      <c r="U1486" s="18">
        <f>РПЗ!P1486</f>
        <v>43070.625</v>
      </c>
      <c r="V1486" s="686">
        <v>43091</v>
      </c>
      <c r="W1486" s="236">
        <f>РПЗ!L1486</f>
        <v>125000</v>
      </c>
      <c r="X1486" s="689">
        <v>1</v>
      </c>
      <c r="Y1486" s="689">
        <v>0</v>
      </c>
      <c r="Z1486" s="691">
        <v>1661037139</v>
      </c>
      <c r="AA1486" s="691" t="s">
        <v>8099</v>
      </c>
      <c r="AB1486" s="111">
        <v>125000</v>
      </c>
      <c r="AC1486" s="17">
        <v>43091</v>
      </c>
      <c r="AD1486" s="690" t="s">
        <v>8100</v>
      </c>
      <c r="AE1486" s="686">
        <v>43080</v>
      </c>
      <c r="AF1486" s="474"/>
      <c r="AG1486" s="692">
        <v>125000</v>
      </c>
      <c r="AH1486" s="236">
        <f>IF(Таблица5[[#This Row],[30]]=0,"НД",Таблица5[[#This Row],[20]]-Таблица5[[#This Row],[30]])</f>
        <v>0</v>
      </c>
      <c r="AI1486" s="511">
        <f>IF(((1-Таблица5[[#This Row],[30]]/Таблица5[[#This Row],[20]])=1),"НД",(1-Таблица5[[#This Row],[30]]/Таблица5[[#This Row],[20]]))</f>
        <v>0</v>
      </c>
      <c r="AJ1486" s="111"/>
      <c r="AK1486" s="111"/>
      <c r="AL1486" s="512"/>
      <c r="AM1486" s="513" t="s">
        <v>113</v>
      </c>
      <c r="AN1486" s="801">
        <v>31705778989</v>
      </c>
      <c r="AO1486" s="468">
        <f>РПЗ!AD1486</f>
        <v>0</v>
      </c>
      <c r="AP1486" s="472">
        <f>РПЗ!V1486</f>
        <v>0</v>
      </c>
      <c r="AQ1486" s="470">
        <f>IF(Таблица5[[#This Row],[11]]=0,,MONTH(Таблица5[[#This Row],[11]]))</f>
        <v>11</v>
      </c>
    </row>
    <row r="1487" spans="1:43" ht="39" thickBot="1" x14ac:dyDescent="0.3">
      <c r="A1487" s="233" t="str">
        <f t="shared" si="23"/>
        <v>1004-2017-1472</v>
      </c>
      <c r="B1487" s="233" t="str">
        <f>РПЗ!$D1487</f>
        <v>1004-2017-1472 Изготовление мех.деталей изд.МТ-501 и БАиПОИ</v>
      </c>
      <c r="C1487" s="233" t="str">
        <f>РПЗ!$AA1538</f>
        <v>АО "НИИ "Полюс" им. М.Ф. Стельмаха" тел. отдела закупок 8-495-333-05-02</v>
      </c>
      <c r="D1487" s="633" t="str">
        <f>РПЗ!$AB1538</f>
        <v>Заказчик</v>
      </c>
      <c r="E1487" s="510" t="s">
        <v>62</v>
      </c>
      <c r="F1487" s="233" t="str">
        <f>РПЗ!Q1487</f>
        <v>ЕП</v>
      </c>
      <c r="G1487" s="237" t="str">
        <f>Таблица5[[#This Row],[6]]</f>
        <v>ЕП</v>
      </c>
      <c r="H1487" s="237" t="str">
        <f>РПЗ!R1487</f>
        <v>Нет</v>
      </c>
      <c r="I1487" s="15" t="str">
        <f>РПЗ!W1487</f>
        <v>6.6.2(11)</v>
      </c>
      <c r="J1487" s="233" t="str">
        <f>РПЗ!X1487</f>
        <v>190437885</v>
      </c>
      <c r="K1487" s="283">
        <f>РПЗ!Z1487</f>
        <v>21608650</v>
      </c>
      <c r="L1487" s="17">
        <v>43074</v>
      </c>
      <c r="M1487" s="18">
        <f>РПЗ!O1487</f>
        <v>43070.625</v>
      </c>
      <c r="N1487" s="238">
        <f>Таблица5[[#This Row],[10]]</f>
        <v>43070.625</v>
      </c>
      <c r="O1487" s="17"/>
      <c r="P1487" s="17"/>
      <c r="Q1487" s="17"/>
      <c r="R1487" s="17"/>
      <c r="S1487" s="17"/>
      <c r="T1487" s="686">
        <v>43087</v>
      </c>
      <c r="U1487" s="18">
        <f>РПЗ!P1487</f>
        <v>43252.625</v>
      </c>
      <c r="V1487" s="686">
        <v>43252</v>
      </c>
      <c r="W1487" s="236">
        <f>РПЗ!L1487</f>
        <v>21608650</v>
      </c>
      <c r="X1487" s="689">
        <v>1</v>
      </c>
      <c r="Y1487" s="689">
        <v>0</v>
      </c>
      <c r="Z1487" s="691">
        <v>190437885</v>
      </c>
      <c r="AA1487" s="691" t="s">
        <v>2335</v>
      </c>
      <c r="AB1487" s="111">
        <v>21608650</v>
      </c>
      <c r="AC1487" s="17">
        <v>43252</v>
      </c>
      <c r="AD1487" s="690" t="s">
        <v>8030</v>
      </c>
      <c r="AE1487" s="686">
        <v>43087</v>
      </c>
      <c r="AF1487" s="474"/>
      <c r="AG1487" s="692">
        <v>21608650</v>
      </c>
      <c r="AH1487" s="236">
        <f>IF(Таблица5[[#This Row],[30]]=0,"НД",Таблица5[[#This Row],[20]]-Таблица5[[#This Row],[30]])</f>
        <v>0</v>
      </c>
      <c r="AI1487" s="511">
        <f>IF(((1-Таблица5[[#This Row],[30]]/Таблица5[[#This Row],[20]])=1),"НД",(1-Таблица5[[#This Row],[30]]/Таблица5[[#This Row],[20]]))</f>
        <v>0</v>
      </c>
      <c r="AJ1487" s="111"/>
      <c r="AK1487" s="111"/>
      <c r="AL1487" s="512"/>
      <c r="AM1487" s="513" t="s">
        <v>113</v>
      </c>
      <c r="AN1487" s="801">
        <v>31705872378</v>
      </c>
      <c r="AO1487" s="468">
        <f>РПЗ!AD1487</f>
        <v>0</v>
      </c>
      <c r="AP1487" s="472" t="str">
        <f>РПЗ!V1487</f>
        <v>ГОЗ</v>
      </c>
      <c r="AQ1487" s="470">
        <f>IF(Таблица5[[#This Row],[11]]=0,,MONTH(Таблица5[[#This Row],[11]]))</f>
        <v>12</v>
      </c>
    </row>
    <row r="1488" spans="1:43" ht="38.25" x14ac:dyDescent="0.25">
      <c r="A1488" s="233" t="str">
        <f t="shared" si="23"/>
        <v>1004-2017-1473</v>
      </c>
      <c r="B1488" s="233" t="str">
        <f>РПЗ!$D1488</f>
        <v>1004-2017-1473 Комплекты механических деталей для изд. ППМ</v>
      </c>
      <c r="C1488" s="233" t="str">
        <f>РПЗ!$AA1539</f>
        <v>АО "НИИ "Полюс" им. М.Ф. Стельмаха" тел. отдела закупок 8-495-333-05-02</v>
      </c>
      <c r="D1488" s="633" t="str">
        <f>РПЗ!$AB1539</f>
        <v>Заказчик</v>
      </c>
      <c r="E1488" s="96" t="s">
        <v>46</v>
      </c>
      <c r="F1488" s="233" t="str">
        <f>РПЗ!Q1488</f>
        <v>ЕП</v>
      </c>
      <c r="G1488" s="237"/>
      <c r="H1488" s="237" t="str">
        <f>РПЗ!R1488</f>
        <v>Нет</v>
      </c>
      <c r="I1488" s="15">
        <f>РПЗ!W1716</f>
        <v>0</v>
      </c>
      <c r="J1488" s="233">
        <f>РПЗ!X1716</f>
        <v>0</v>
      </c>
      <c r="K1488" s="283">
        <f>РПЗ!Z1716</f>
        <v>0</v>
      </c>
      <c r="L1488" s="17"/>
      <c r="M1488" s="18">
        <f>РПЗ!O1488</f>
        <v>43040.625</v>
      </c>
      <c r="N1488" s="238">
        <f>Таблица5[[#This Row],[10]]</f>
        <v>43040.625</v>
      </c>
      <c r="O1488" s="17"/>
      <c r="P1488" s="17"/>
      <c r="Q1488" s="17"/>
      <c r="R1488" s="17"/>
      <c r="S1488" s="17"/>
      <c r="T1488" s="686"/>
      <c r="U1488" s="18">
        <f>РПЗ!P1716</f>
        <v>0</v>
      </c>
      <c r="V1488" s="686"/>
      <c r="W1488" s="236">
        <f>РПЗ!L1488</f>
        <v>1319918</v>
      </c>
      <c r="X1488" s="689"/>
      <c r="Y1488" s="689"/>
      <c r="Z1488" s="690"/>
      <c r="AA1488" s="691"/>
      <c r="AB1488" s="111"/>
      <c r="AC1488" s="17"/>
      <c r="AD1488" s="690"/>
      <c r="AE1488" s="686"/>
      <c r="AF1488" s="474"/>
      <c r="AG1488" s="692"/>
      <c r="AH1488" s="236" t="str">
        <f>IF(Таблица5[[#This Row],[30]]=0,"НД",Таблица5[[#This Row],[20]]-Таблица5[[#This Row],[30]])</f>
        <v>НД</v>
      </c>
      <c r="AI1488" s="511" t="str">
        <f>IF(((1-Таблица5[[#This Row],[30]]/Таблица5[[#This Row],[20]])=1),"НД",(1-Таблица5[[#This Row],[30]]/Таблица5[[#This Row],[20]]))</f>
        <v>НД</v>
      </c>
      <c r="AJ1488" s="111"/>
      <c r="AK1488" s="111"/>
      <c r="AL1488" s="512"/>
      <c r="AM1488" s="513"/>
      <c r="AN1488" s="465"/>
      <c r="AO1488" s="468">
        <f>РПЗ!AD1488</f>
        <v>0</v>
      </c>
      <c r="AP1488" s="472">
        <f>РПЗ!V1488</f>
        <v>0</v>
      </c>
      <c r="AQ1488" s="470">
        <f>IF(Таблица5[[#This Row],[11]]=0,,MONTH(Таблица5[[#This Row],[11]]))</f>
        <v>11</v>
      </c>
    </row>
    <row r="1489" spans="1:43" ht="38.25" x14ac:dyDescent="0.25">
      <c r="A1489" s="233" t="str">
        <f t="shared" si="23"/>
        <v>1004-2017-1474</v>
      </c>
      <c r="B1489" s="233" t="str">
        <f>РПЗ!$D1489</f>
        <v>1004-2017-1474 Призменный блок ЖГДК.203534.021</v>
      </c>
      <c r="C1489" s="233" t="str">
        <f>РПЗ!$AA1540</f>
        <v>АО "НИИ "Полюс" им. М.Ф. Стельмаха" тел. отдела закупок 8-495-333-05-02</v>
      </c>
      <c r="D1489" s="633" t="str">
        <f>РПЗ!$AB1540</f>
        <v>Заказчик</v>
      </c>
      <c r="E1489" s="510" t="s">
        <v>62</v>
      </c>
      <c r="F1489" s="233" t="str">
        <f>РПЗ!Q1489</f>
        <v>ЕП</v>
      </c>
      <c r="G1489" s="237" t="str">
        <f>Таблица5[[#This Row],[6]]</f>
        <v>ЕП</v>
      </c>
      <c r="H1489" s="237" t="str">
        <f>РПЗ!R1489</f>
        <v>Нет</v>
      </c>
      <c r="I1489" s="15" t="str">
        <f>РПЗ!W1489</f>
        <v>6.6.2(11)</v>
      </c>
      <c r="J1489" s="233" t="str">
        <f>РПЗ!X1489</f>
        <v>100104965</v>
      </c>
      <c r="K1489" s="283">
        <f>РПЗ!Z1489</f>
        <v>842310</v>
      </c>
      <c r="L1489" s="17">
        <v>43074</v>
      </c>
      <c r="M1489" s="18">
        <f>РПЗ!O1489</f>
        <v>43070.625</v>
      </c>
      <c r="N1489" s="238">
        <f>Таблица5[[#This Row],[10]]</f>
        <v>43070.625</v>
      </c>
      <c r="O1489" s="17"/>
      <c r="P1489" s="17"/>
      <c r="Q1489" s="17"/>
      <c r="R1489" s="17"/>
      <c r="S1489" s="17"/>
      <c r="T1489" s="686">
        <v>43087</v>
      </c>
      <c r="U1489" s="18">
        <f>РПЗ!P1489</f>
        <v>43160.625</v>
      </c>
      <c r="V1489" s="686">
        <v>43252</v>
      </c>
      <c r="W1489" s="236">
        <f>РПЗ!L1489</f>
        <v>842310</v>
      </c>
      <c r="X1489" s="689">
        <v>1</v>
      </c>
      <c r="Y1489" s="689">
        <v>0</v>
      </c>
      <c r="Z1489" s="691">
        <v>100104965</v>
      </c>
      <c r="AA1489" s="691" t="s">
        <v>8028</v>
      </c>
      <c r="AB1489" s="111">
        <v>842310</v>
      </c>
      <c r="AC1489" s="17">
        <v>43252</v>
      </c>
      <c r="AD1489" s="690" t="s">
        <v>8029</v>
      </c>
      <c r="AE1489" s="686">
        <v>43087</v>
      </c>
      <c r="AF1489" s="474"/>
      <c r="AG1489" s="692">
        <v>842310</v>
      </c>
      <c r="AH1489" s="236">
        <f>IF(Таблица5[[#This Row],[30]]=0,"НД",Таблица5[[#This Row],[20]]-Таблица5[[#This Row],[30]])</f>
        <v>0</v>
      </c>
      <c r="AI1489" s="511">
        <f>IF(((1-Таблица5[[#This Row],[30]]/Таблица5[[#This Row],[20]])=1),"НД",(1-Таблица5[[#This Row],[30]]/Таблица5[[#This Row],[20]]))</f>
        <v>0</v>
      </c>
      <c r="AJ1489" s="111"/>
      <c r="AK1489" s="111"/>
      <c r="AL1489" s="512"/>
      <c r="AM1489" s="513" t="s">
        <v>113</v>
      </c>
      <c r="AN1489" s="801">
        <v>31705872143</v>
      </c>
      <c r="AO1489" s="468">
        <f>РПЗ!AD1489</f>
        <v>0</v>
      </c>
      <c r="AP1489" s="472" t="str">
        <f>РПЗ!V1489</f>
        <v>ГОЗ</v>
      </c>
      <c r="AQ1489" s="470">
        <f>IF(Таблица5[[#This Row],[11]]=0,,MONTH(Таблица5[[#This Row],[11]]))</f>
        <v>12</v>
      </c>
    </row>
    <row r="1490" spans="1:43" ht="191.25" x14ac:dyDescent="0.25">
      <c r="A1490" s="233" t="str">
        <f t="shared" si="23"/>
        <v>1004-2017-1475</v>
      </c>
      <c r="B1490" s="233" t="str">
        <f>РПЗ!$D1490</f>
        <v>1004-2017-1475 Выполнение работы по очистке, дезинфекции, санитарно-эпидемиологическому обслуживанию (многоразовый забор проб / проведение смывов, микробиологический анализ смывов на ОМЧ, БГПП в соответствии с рабочим графиком проведения работ по очистке и дезинфекции, включая получение и оформление соответствующих протоколов и заключений) систем вентиляции и кондиционирования, расположенных по адресу: г.Москва, ул. Введенского, д.3, корп.1</v>
      </c>
      <c r="C1490" s="233" t="str">
        <f>РПЗ!$AA1541</f>
        <v>АО "НИИ "Полюс" им. М.Ф. Стельмаха" тел. отдела закупок 8-495-333-05-02</v>
      </c>
      <c r="D1490" s="633" t="str">
        <f>РПЗ!$AB1541</f>
        <v>Заказчик</v>
      </c>
      <c r="E1490" s="510" t="s">
        <v>62</v>
      </c>
      <c r="F1490" s="233" t="str">
        <f>РПЗ!Q1490</f>
        <v>ОЗК</v>
      </c>
      <c r="G1490" s="237" t="str">
        <f>Таблица5[[#This Row],[6]]</f>
        <v>ОЗК</v>
      </c>
      <c r="H1490" s="237" t="str">
        <f>РПЗ!R1490</f>
        <v>Да</v>
      </c>
      <c r="I1490" s="15">
        <f>РПЗ!W1490</f>
        <v>0</v>
      </c>
      <c r="J1490" s="233">
        <f>РПЗ!X1718</f>
        <v>0</v>
      </c>
      <c r="K1490" s="283">
        <f>РПЗ!Z1718</f>
        <v>0</v>
      </c>
      <c r="L1490" s="17">
        <v>43067</v>
      </c>
      <c r="M1490" s="18">
        <f>РПЗ!O1490</f>
        <v>43040.625</v>
      </c>
      <c r="N1490" s="238">
        <f>Таблица5[[#This Row],[10]]</f>
        <v>43040.625</v>
      </c>
      <c r="O1490" s="17">
        <v>43074</v>
      </c>
      <c r="P1490" s="17">
        <v>43077</v>
      </c>
      <c r="Q1490" s="17">
        <v>43077</v>
      </c>
      <c r="R1490" s="17">
        <v>43074</v>
      </c>
      <c r="S1490" s="17">
        <v>43074</v>
      </c>
      <c r="T1490" s="686">
        <v>43084</v>
      </c>
      <c r="U1490" s="18">
        <f>РПЗ!P1490</f>
        <v>43070.625</v>
      </c>
      <c r="V1490" s="686">
        <v>43107</v>
      </c>
      <c r="W1490" s="236">
        <f>РПЗ!L1490</f>
        <v>716991.01</v>
      </c>
      <c r="X1490" s="689">
        <v>2</v>
      </c>
      <c r="Y1490" s="689">
        <v>0</v>
      </c>
      <c r="Z1490" s="691">
        <v>7743710050</v>
      </c>
      <c r="AA1490" s="691" t="s">
        <v>7199</v>
      </c>
      <c r="AB1490" s="111">
        <v>607619.5</v>
      </c>
      <c r="AC1490" s="17">
        <v>43107</v>
      </c>
      <c r="AD1490" s="690" t="s">
        <v>8094</v>
      </c>
      <c r="AE1490" s="686">
        <v>43084</v>
      </c>
      <c r="AF1490" s="474"/>
      <c r="AG1490" s="692">
        <v>607619.5</v>
      </c>
      <c r="AH1490" s="236">
        <f>IF(Таблица5[[#This Row],[30]]=0,"НД",Таблица5[[#This Row],[20]]-Таблица5[[#This Row],[30]])</f>
        <v>109371.51000000001</v>
      </c>
      <c r="AI1490" s="511">
        <f>IF(((1-Таблица5[[#This Row],[30]]/Таблица5[[#This Row],[20]])=1),"НД",(1-Таблица5[[#This Row],[30]]/Таблица5[[#This Row],[20]]))</f>
        <v>0.15254237288135597</v>
      </c>
      <c r="AJ1490" s="111"/>
      <c r="AK1490" s="111">
        <v>607619.5</v>
      </c>
      <c r="AL1490" s="512"/>
      <c r="AM1490" s="513" t="s">
        <v>113</v>
      </c>
      <c r="AN1490" s="801">
        <v>31705796970</v>
      </c>
      <c r="AO1490" s="468">
        <f>РПЗ!AD1490</f>
        <v>0</v>
      </c>
      <c r="AP1490" s="472">
        <f>РПЗ!V1490</f>
        <v>0</v>
      </c>
      <c r="AQ1490" s="470">
        <f>IF(Таблица5[[#This Row],[11]]=0,,MONTH(Таблица5[[#This Row],[11]]))</f>
        <v>11</v>
      </c>
    </row>
    <row r="1491" spans="1:43" ht="51" x14ac:dyDescent="0.25">
      <c r="A1491" s="233" t="str">
        <f t="shared" si="23"/>
        <v>1004-2017-1476</v>
      </c>
      <c r="B1491" s="233" t="str">
        <f>РПЗ!$D1491</f>
        <v>1004-2017-1476 Договор № 224738 от 22.10.2012 с АО "Мосводоканал" затраты на воду и прием сточных вод</v>
      </c>
      <c r="C1491" s="233" t="str">
        <f>РПЗ!$AA1542</f>
        <v>АО "НИИ "Полюс" им. М.Ф. Стельмаха" тел. отдела закупок 8-495-333-05-02</v>
      </c>
      <c r="D1491" s="633" t="str">
        <f>РПЗ!$AB1542</f>
        <v>Заказчик</v>
      </c>
      <c r="E1491" s="510" t="s">
        <v>62</v>
      </c>
      <c r="F1491" s="233" t="str">
        <f>РПЗ!Q1491</f>
        <v>ЕП</v>
      </c>
      <c r="G1491" s="237" t="str">
        <f>Таблица5[[#This Row],[6]]</f>
        <v>ЕП</v>
      </c>
      <c r="H1491" s="237" t="str">
        <f>РПЗ!R1491</f>
        <v>Нет</v>
      </c>
      <c r="I1491" s="15" t="str">
        <f>РПЗ!W1491</f>
        <v>6.6.2(2)</v>
      </c>
      <c r="J1491" s="233" t="str">
        <f>РПЗ!X1491</f>
        <v>7701984274</v>
      </c>
      <c r="K1491" s="283">
        <f>РПЗ!Z1491</f>
        <v>147005.79</v>
      </c>
      <c r="L1491" s="17">
        <v>43042</v>
      </c>
      <c r="M1491" s="18">
        <f>РПЗ!O1491</f>
        <v>43040.625</v>
      </c>
      <c r="N1491" s="238">
        <f>Таблица5[[#This Row],[10]]</f>
        <v>43040.625</v>
      </c>
      <c r="O1491" s="17"/>
      <c r="P1491" s="17"/>
      <c r="Q1491" s="17"/>
      <c r="R1491" s="17"/>
      <c r="S1491" s="17"/>
      <c r="T1491" s="686">
        <v>43067</v>
      </c>
      <c r="U1491" s="18">
        <f>РПЗ!P1491</f>
        <v>43070.625</v>
      </c>
      <c r="V1491" s="686">
        <v>43040</v>
      </c>
      <c r="W1491" s="236">
        <f>РПЗ!L1491</f>
        <v>147005.79</v>
      </c>
      <c r="X1491" s="689">
        <v>1</v>
      </c>
      <c r="Y1491" s="689">
        <v>0</v>
      </c>
      <c r="Z1491" s="691">
        <v>7701984274</v>
      </c>
      <c r="AA1491" s="691" t="s">
        <v>1509</v>
      </c>
      <c r="AB1491" s="111">
        <v>147005.79</v>
      </c>
      <c r="AC1491" s="17">
        <v>43040</v>
      </c>
      <c r="AD1491" s="690" t="s">
        <v>8059</v>
      </c>
      <c r="AE1491" s="686">
        <v>43067</v>
      </c>
      <c r="AF1491" s="474"/>
      <c r="AG1491" s="692">
        <v>147005.79</v>
      </c>
      <c r="AH1491" s="236">
        <f>IF(Таблица5[[#This Row],[30]]=0,"НД",Таблица5[[#This Row],[20]]-Таблица5[[#This Row],[30]])</f>
        <v>0</v>
      </c>
      <c r="AI1491" s="511">
        <f>IF(((1-Таблица5[[#This Row],[30]]/Таблица5[[#This Row],[20]])=1),"НД",(1-Таблица5[[#This Row],[30]]/Таблица5[[#This Row],[20]]))</f>
        <v>0</v>
      </c>
      <c r="AJ1491" s="111"/>
      <c r="AK1491" s="111"/>
      <c r="AL1491" s="512"/>
      <c r="AM1491" s="513" t="s">
        <v>113</v>
      </c>
      <c r="AN1491" s="801">
        <v>31705783498</v>
      </c>
      <c r="AO1491" s="468">
        <f>РПЗ!AD1491</f>
        <v>0</v>
      </c>
      <c r="AP1491" s="472">
        <f>РПЗ!V1491</f>
        <v>0</v>
      </c>
      <c r="AQ1491" s="470">
        <f>IF(Таблица5[[#This Row],[11]]=0,,MONTH(Таблица5[[#This Row],[11]]))</f>
        <v>11</v>
      </c>
    </row>
    <row r="1492" spans="1:43" ht="51" x14ac:dyDescent="0.25">
      <c r="A1492" s="233" t="str">
        <f t="shared" si="23"/>
        <v>1004-2017-1477</v>
      </c>
      <c r="B1492" s="233" t="str">
        <f>РПЗ!$D1492</f>
        <v>1004-2017-1477 Договор № 224738 от 22.10.2012 с АО "Мосводоканал" затраты на воду и прием сточных вод</v>
      </c>
      <c r="C1492" s="233" t="str">
        <f>РПЗ!$AA1543</f>
        <v>АО "НИИ "Полюс" им. М.Ф. Стельмаха" тел. отдела закупок 8-495-333-05-02</v>
      </c>
      <c r="D1492" s="633" t="str">
        <f>РПЗ!$AB1543</f>
        <v>Заказчик</v>
      </c>
      <c r="E1492" s="510" t="s">
        <v>62</v>
      </c>
      <c r="F1492" s="233" t="str">
        <f>РПЗ!Q1492</f>
        <v>ЕП</v>
      </c>
      <c r="G1492" s="237" t="str">
        <f>Таблица5[[#This Row],[6]]</f>
        <v>ЕП</v>
      </c>
      <c r="H1492" s="237" t="str">
        <f>РПЗ!R1492</f>
        <v>Нет</v>
      </c>
      <c r="I1492" s="15" t="str">
        <f>РПЗ!W1492</f>
        <v>6.6.2(2)</v>
      </c>
      <c r="J1492" s="233" t="str">
        <f>РПЗ!X1492</f>
        <v>7701984274</v>
      </c>
      <c r="K1492" s="283">
        <f>РПЗ!Z1492</f>
        <v>290324.99</v>
      </c>
      <c r="L1492" s="17">
        <v>43046</v>
      </c>
      <c r="M1492" s="18">
        <f>РПЗ!O1492</f>
        <v>43040.625</v>
      </c>
      <c r="N1492" s="238">
        <f>Таблица5[[#This Row],[10]]</f>
        <v>43040.625</v>
      </c>
      <c r="O1492" s="17"/>
      <c r="P1492" s="17"/>
      <c r="Q1492" s="17"/>
      <c r="R1492" s="17"/>
      <c r="S1492" s="17"/>
      <c r="T1492" s="686">
        <v>43067</v>
      </c>
      <c r="U1492" s="18">
        <f>РПЗ!P1492</f>
        <v>43070.625</v>
      </c>
      <c r="V1492" s="686">
        <v>43040</v>
      </c>
      <c r="W1492" s="236">
        <f>РПЗ!L1492</f>
        <v>290324.99</v>
      </c>
      <c r="X1492" s="689">
        <v>1</v>
      </c>
      <c r="Y1492" s="689">
        <v>0</v>
      </c>
      <c r="Z1492" s="691">
        <v>7701984274</v>
      </c>
      <c r="AA1492" s="691" t="s">
        <v>1509</v>
      </c>
      <c r="AB1492" s="111">
        <v>290324.99</v>
      </c>
      <c r="AC1492" s="17">
        <v>43040</v>
      </c>
      <c r="AD1492" s="690" t="s">
        <v>8060</v>
      </c>
      <c r="AE1492" s="686">
        <v>43067</v>
      </c>
      <c r="AF1492" s="474"/>
      <c r="AG1492" s="692">
        <v>290324.99</v>
      </c>
      <c r="AH1492" s="236">
        <f>IF(Таблица5[[#This Row],[30]]=0,"НД",Таблица5[[#This Row],[20]]-Таблица5[[#This Row],[30]])</f>
        <v>0</v>
      </c>
      <c r="AI1492" s="511">
        <f>IF(((1-Таблица5[[#This Row],[30]]/Таблица5[[#This Row],[20]])=1),"НД",(1-Таблица5[[#This Row],[30]]/Таблица5[[#This Row],[20]]))</f>
        <v>0</v>
      </c>
      <c r="AJ1492" s="111"/>
      <c r="AK1492" s="111"/>
      <c r="AL1492" s="512"/>
      <c r="AM1492" s="513"/>
      <c r="AN1492" s="801">
        <v>31705783283</v>
      </c>
      <c r="AO1492" s="468">
        <f>РПЗ!AD1492</f>
        <v>0</v>
      </c>
      <c r="AP1492" s="472">
        <f>РПЗ!V1492</f>
        <v>0</v>
      </c>
      <c r="AQ1492" s="470">
        <f>IF(Таблица5[[#This Row],[11]]=0,,MONTH(Таблица5[[#This Row],[11]]))</f>
        <v>11</v>
      </c>
    </row>
    <row r="1493" spans="1:43" ht="51" x14ac:dyDescent="0.25">
      <c r="A1493" s="233" t="str">
        <f t="shared" si="23"/>
        <v>1004-2017-1478</v>
      </c>
      <c r="B1493" s="233" t="str">
        <f>РПЗ!$D1493</f>
        <v>1004-2017-1478 Договор № 224738 от 22.10.2012 с АО "Мосводоканал" затраты на воду и прием сточных вод</v>
      </c>
      <c r="C1493" s="233" t="str">
        <f>РПЗ!$AA1544</f>
        <v>АО "НИИ "Полюс" им. М.Ф. Стельмаха" тел. отдела закупок 8-495-333-05-02</v>
      </c>
      <c r="D1493" s="633" t="str">
        <f>РПЗ!$AB1544</f>
        <v>Заказчик</v>
      </c>
      <c r="E1493" s="510" t="s">
        <v>62</v>
      </c>
      <c r="F1493" s="233" t="str">
        <f>РПЗ!Q1493</f>
        <v>ЕП</v>
      </c>
      <c r="G1493" s="237" t="str">
        <f>Таблица5[[#This Row],[6]]</f>
        <v>ЕП</v>
      </c>
      <c r="H1493" s="237" t="str">
        <f>РПЗ!R1493</f>
        <v>Нет</v>
      </c>
      <c r="I1493" s="15" t="str">
        <f>РПЗ!W1493</f>
        <v>6.6.2(2)</v>
      </c>
      <c r="J1493" s="233" t="str">
        <f>РПЗ!X1493</f>
        <v>7701984274</v>
      </c>
      <c r="K1493" s="283">
        <f>РПЗ!Z1493</f>
        <v>159436.31</v>
      </c>
      <c r="L1493" s="17">
        <v>43046</v>
      </c>
      <c r="M1493" s="18">
        <f>РПЗ!O1493</f>
        <v>43040.625</v>
      </c>
      <c r="N1493" s="238">
        <f>Таблица5[[#This Row],[10]]</f>
        <v>43040.625</v>
      </c>
      <c r="O1493" s="17"/>
      <c r="P1493" s="17"/>
      <c r="Q1493" s="17"/>
      <c r="R1493" s="17"/>
      <c r="S1493" s="17"/>
      <c r="T1493" s="686">
        <v>43067</v>
      </c>
      <c r="U1493" s="18">
        <f>РПЗ!P1493</f>
        <v>43070.625</v>
      </c>
      <c r="V1493" s="686">
        <v>43069</v>
      </c>
      <c r="W1493" s="236">
        <f>РПЗ!L1493</f>
        <v>159436.31</v>
      </c>
      <c r="X1493" s="689">
        <v>1</v>
      </c>
      <c r="Y1493" s="689">
        <v>0</v>
      </c>
      <c r="Z1493" s="691">
        <v>7701984274</v>
      </c>
      <c r="AA1493" s="691" t="s">
        <v>1509</v>
      </c>
      <c r="AB1493" s="111">
        <v>159436.31</v>
      </c>
      <c r="AC1493" s="17">
        <v>43069</v>
      </c>
      <c r="AD1493" s="690" t="s">
        <v>8058</v>
      </c>
      <c r="AE1493" s="686">
        <v>43067</v>
      </c>
      <c r="AF1493" s="474"/>
      <c r="AG1493" s="692">
        <v>159436.31</v>
      </c>
      <c r="AH1493" s="236">
        <f>IF(Таблица5[[#This Row],[30]]=0,"НД",Таблица5[[#This Row],[20]]-Таблица5[[#This Row],[30]])</f>
        <v>0</v>
      </c>
      <c r="AI1493" s="511">
        <f>IF(((1-Таблица5[[#This Row],[30]]/Таблица5[[#This Row],[20]])=1),"НД",(1-Таблица5[[#This Row],[30]]/Таблица5[[#This Row],[20]]))</f>
        <v>0</v>
      </c>
      <c r="AJ1493" s="111"/>
      <c r="AK1493" s="111"/>
      <c r="AL1493" s="512"/>
      <c r="AM1493" s="513" t="s">
        <v>113</v>
      </c>
      <c r="AN1493" s="801">
        <v>31705783705</v>
      </c>
      <c r="AO1493" s="468">
        <f>РПЗ!AD1493</f>
        <v>0</v>
      </c>
      <c r="AP1493" s="472">
        <f>РПЗ!V1493</f>
        <v>0</v>
      </c>
      <c r="AQ1493" s="470">
        <f>IF(Таблица5[[#This Row],[11]]=0,,MONTH(Таблица5[[#This Row],[11]]))</f>
        <v>11</v>
      </c>
    </row>
    <row r="1494" spans="1:43" ht="63.75" x14ac:dyDescent="0.25">
      <c r="A1494" s="233" t="str">
        <f t="shared" si="23"/>
        <v>1004-2017-1479</v>
      </c>
      <c r="B1494" s="233" t="str">
        <f>РПЗ!$D1494</f>
        <v>1004-2017-1479 техническое обслуживание и ремонт грузоподъёмных механизмов, не регистрируемых в органах  Ростехадзора</v>
      </c>
      <c r="C1494" s="233" t="str">
        <f>РПЗ!$AA1545</f>
        <v>АО "НИИ "Полюс" им. М.Ф. Стельмаха" тел. отдела закупок 8-495-333-05-02</v>
      </c>
      <c r="D1494" s="633" t="str">
        <f>РПЗ!$AB1545</f>
        <v>Заказчик</v>
      </c>
      <c r="E1494" s="510" t="s">
        <v>62</v>
      </c>
      <c r="F1494" s="233" t="str">
        <f>РПЗ!Q1494</f>
        <v>ОЗП</v>
      </c>
      <c r="G1494" s="237" t="str">
        <f>Таблица5[[#This Row],[6]]</f>
        <v>ОЗП</v>
      </c>
      <c r="H1494" s="237" t="str">
        <f>РПЗ!R1494</f>
        <v>Да</v>
      </c>
      <c r="I1494" s="15">
        <f>РПЗ!W1722</f>
        <v>0</v>
      </c>
      <c r="J1494" s="233">
        <f>РПЗ!X1722</f>
        <v>0</v>
      </c>
      <c r="K1494" s="283">
        <f>РПЗ!Z1722</f>
        <v>0</v>
      </c>
      <c r="L1494" s="17">
        <v>43074</v>
      </c>
      <c r="M1494" s="18">
        <f>РПЗ!O1494</f>
        <v>43070.625</v>
      </c>
      <c r="N1494" s="238">
        <f>Таблица5[[#This Row],[10]]</f>
        <v>43070.625</v>
      </c>
      <c r="O1494" s="17">
        <v>43084</v>
      </c>
      <c r="P1494" s="17">
        <v>43089</v>
      </c>
      <c r="Q1494" s="17">
        <v>43089</v>
      </c>
      <c r="R1494" s="17">
        <v>43094</v>
      </c>
      <c r="S1494" s="17">
        <v>43094</v>
      </c>
      <c r="T1494" s="686">
        <v>43094</v>
      </c>
      <c r="U1494" s="18">
        <f>РПЗ!P1494</f>
        <v>43435.625</v>
      </c>
      <c r="V1494" s="686">
        <v>43465</v>
      </c>
      <c r="W1494" s="236">
        <f>РПЗ!L1494</f>
        <v>1450692</v>
      </c>
      <c r="X1494" s="689">
        <v>1</v>
      </c>
      <c r="Y1494" s="689">
        <v>0</v>
      </c>
      <c r="Z1494" s="691">
        <v>7725015374</v>
      </c>
      <c r="AA1494" s="691" t="s">
        <v>8202</v>
      </c>
      <c r="AB1494" s="111">
        <v>1228800</v>
      </c>
      <c r="AC1494" s="17">
        <v>43465</v>
      </c>
      <c r="AD1494" s="690" t="s">
        <v>8204</v>
      </c>
      <c r="AE1494" s="686">
        <v>43094</v>
      </c>
      <c r="AF1494" s="474"/>
      <c r="AG1494" s="692">
        <v>1228800</v>
      </c>
      <c r="AH1494" s="236">
        <f>IF(Таблица5[[#This Row],[30]]=0,"НД",Таблица5[[#This Row],[20]]-Таблица5[[#This Row],[30]])</f>
        <v>221892</v>
      </c>
      <c r="AI1494" s="511">
        <f>IF(((1-Таблица5[[#This Row],[30]]/Таблица5[[#This Row],[20]])=1),"НД",(1-Таблица5[[#This Row],[30]]/Таблица5[[#This Row],[20]]))</f>
        <v>0.15295596859981309</v>
      </c>
      <c r="AJ1494" s="111"/>
      <c r="AK1494" s="111">
        <v>1228800</v>
      </c>
      <c r="AL1494" s="512"/>
      <c r="AM1494" s="513" t="s">
        <v>113</v>
      </c>
      <c r="AN1494" s="801">
        <v>31705832392</v>
      </c>
      <c r="AO1494" s="468">
        <f>РПЗ!AD1494</f>
        <v>0</v>
      </c>
      <c r="AP1494" s="472">
        <f>РПЗ!V1494</f>
        <v>0</v>
      </c>
      <c r="AQ1494" s="470">
        <f>IF(Таблица5[[#This Row],[11]]=0,,MONTH(Таблица5[[#This Row],[11]]))</f>
        <v>12</v>
      </c>
    </row>
    <row r="1495" spans="1:43" ht="39" thickBot="1" x14ac:dyDescent="0.3">
      <c r="A1495" s="233" t="str">
        <f t="shared" si="23"/>
        <v>1004-2017-1480</v>
      </c>
      <c r="B1495" s="233" t="str">
        <f>РПЗ!$D1495</f>
        <v>1004-2017-1480 Техническое обслуживание и ремонт грузоподъёмных механизмов</v>
      </c>
      <c r="C1495" s="233" t="str">
        <f>РПЗ!$AA1546</f>
        <v>АО "НИИ "Полюс" им. М.Ф. Стельмаха" тел. отдела закупок 8-495-333-05-02</v>
      </c>
      <c r="D1495" s="633" t="str">
        <f>РПЗ!$AB1546</f>
        <v>Заказчик</v>
      </c>
      <c r="E1495" s="510" t="s">
        <v>62</v>
      </c>
      <c r="F1495" s="233" t="str">
        <f>РПЗ!Q1495</f>
        <v>ОЗП</v>
      </c>
      <c r="G1495" s="237" t="str">
        <f>Таблица5[[#This Row],[6]]</f>
        <v>ОЗП</v>
      </c>
      <c r="H1495" s="237" t="str">
        <f>РПЗ!R1495</f>
        <v>Да</v>
      </c>
      <c r="I1495" s="15">
        <f>РПЗ!W1723</f>
        <v>0</v>
      </c>
      <c r="J1495" s="233">
        <f>РПЗ!X1723</f>
        <v>0</v>
      </c>
      <c r="K1495" s="283">
        <f>РПЗ!Z1723</f>
        <v>0</v>
      </c>
      <c r="L1495" s="17">
        <v>43074</v>
      </c>
      <c r="M1495" s="18">
        <f>РПЗ!O1495</f>
        <v>43070.625</v>
      </c>
      <c r="N1495" s="238">
        <f>Таблица5[[#This Row],[10]]</f>
        <v>43070.625</v>
      </c>
      <c r="O1495" s="17">
        <v>43084</v>
      </c>
      <c r="P1495" s="17">
        <v>43089</v>
      </c>
      <c r="Q1495" s="17">
        <v>43089</v>
      </c>
      <c r="R1495" s="17">
        <v>43094</v>
      </c>
      <c r="S1495" s="17">
        <v>43094</v>
      </c>
      <c r="T1495" s="686">
        <v>43094</v>
      </c>
      <c r="U1495" s="18">
        <f>РПЗ!P1495</f>
        <v>43435.625</v>
      </c>
      <c r="V1495" s="686">
        <v>43465</v>
      </c>
      <c r="W1495" s="236">
        <f>РПЗ!L1495</f>
        <v>3180100</v>
      </c>
      <c r="X1495" s="689">
        <v>1</v>
      </c>
      <c r="Y1495" s="689">
        <v>0</v>
      </c>
      <c r="Z1495" s="691">
        <v>7725015374</v>
      </c>
      <c r="AA1495" s="691" t="s">
        <v>8202</v>
      </c>
      <c r="AB1495" s="111">
        <v>2694600</v>
      </c>
      <c r="AC1495" s="17">
        <v>43465</v>
      </c>
      <c r="AD1495" s="690" t="s">
        <v>8203</v>
      </c>
      <c r="AE1495" s="686">
        <v>43094</v>
      </c>
      <c r="AF1495" s="474"/>
      <c r="AG1495" s="692">
        <v>2694600</v>
      </c>
      <c r="AH1495" s="236">
        <f>IF(Таблица5[[#This Row],[30]]=0,"НД",Таблица5[[#This Row],[20]]-Таблица5[[#This Row],[30]])</f>
        <v>485500</v>
      </c>
      <c r="AI1495" s="511">
        <f>IF(((1-Таблица5[[#This Row],[30]]/Таблица5[[#This Row],[20]])=1),"НД",(1-Таблица5[[#This Row],[30]]/Таблица5[[#This Row],[20]]))</f>
        <v>0.15266815508946263</v>
      </c>
      <c r="AJ1495" s="111"/>
      <c r="AK1495" s="111">
        <v>2694600</v>
      </c>
      <c r="AL1495" s="512"/>
      <c r="AM1495" s="513" t="s">
        <v>113</v>
      </c>
      <c r="AN1495" s="801">
        <v>31705833201</v>
      </c>
      <c r="AO1495" s="468">
        <f>РПЗ!AD1495</f>
        <v>0</v>
      </c>
      <c r="AP1495" s="472">
        <f>РПЗ!V1495</f>
        <v>0</v>
      </c>
      <c r="AQ1495" s="470">
        <f>IF(Таблица5[[#This Row],[11]]=0,,MONTH(Таблица5[[#This Row],[11]]))</f>
        <v>12</v>
      </c>
    </row>
    <row r="1496" spans="1:43" ht="38.25" x14ac:dyDescent="0.25">
      <c r="A1496" s="233" t="str">
        <f t="shared" si="23"/>
        <v>1004-2017-1481</v>
      </c>
      <c r="B1496" s="233" t="str">
        <f>РПЗ!$D1496</f>
        <v>1004-2017-1481 Акселерометр АК-18</v>
      </c>
      <c r="C1496" s="233" t="str">
        <f>РПЗ!$AA1547</f>
        <v>АО "НИИ "Полюс" им. М.Ф. Стельмаха" тел. отдела закупок 8-495-333-05-02</v>
      </c>
      <c r="D1496" s="633" t="str">
        <f>РПЗ!$AB1547</f>
        <v>Заказчик</v>
      </c>
      <c r="E1496" s="96" t="s">
        <v>46</v>
      </c>
      <c r="F1496" s="233" t="str">
        <f>РПЗ!Q1496</f>
        <v>ЕП</v>
      </c>
      <c r="G1496" s="237"/>
      <c r="H1496" s="237">
        <f>РПЗ!R1496</f>
        <v>0</v>
      </c>
      <c r="I1496" s="15">
        <f>РПЗ!W1724</f>
        <v>0</v>
      </c>
      <c r="J1496" s="233">
        <f>РПЗ!X1724</f>
        <v>0</v>
      </c>
      <c r="K1496" s="283">
        <f>РПЗ!Z1724</f>
        <v>0</v>
      </c>
      <c r="L1496" s="17"/>
      <c r="M1496" s="18">
        <f>РПЗ!O1496</f>
        <v>43040.625</v>
      </c>
      <c r="N1496" s="238">
        <f>Таблица5[[#This Row],[10]]</f>
        <v>43040.625</v>
      </c>
      <c r="O1496" s="17"/>
      <c r="P1496" s="17"/>
      <c r="Q1496" s="17"/>
      <c r="R1496" s="17"/>
      <c r="S1496" s="17"/>
      <c r="T1496" s="686"/>
      <c r="U1496" s="18">
        <f>РПЗ!P1724</f>
        <v>0</v>
      </c>
      <c r="V1496" s="686"/>
      <c r="W1496" s="236">
        <f>РПЗ!L1724</f>
        <v>0</v>
      </c>
      <c r="X1496" s="689"/>
      <c r="Y1496" s="689"/>
      <c r="Z1496" s="690"/>
      <c r="AA1496" s="691"/>
      <c r="AB1496" s="111"/>
      <c r="AC1496" s="17"/>
      <c r="AD1496" s="690"/>
      <c r="AE1496" s="686"/>
      <c r="AF1496" s="474"/>
      <c r="AG1496" s="692"/>
      <c r="AH1496" s="236" t="str">
        <f>IF(Таблица5[[#This Row],[30]]=0,"НД",Таблица5[[#This Row],[20]]-Таблица5[[#This Row],[30]])</f>
        <v>НД</v>
      </c>
      <c r="AI1496" s="511" t="e">
        <f>IF(((1-Таблица5[[#This Row],[30]]/Таблица5[[#This Row],[20]])=1),"НД",(1-Таблица5[[#This Row],[30]]/Таблица5[[#This Row],[20]]))</f>
        <v>#DIV/0!</v>
      </c>
      <c r="AJ1496" s="111"/>
      <c r="AK1496" s="111"/>
      <c r="AL1496" s="512"/>
      <c r="AM1496" s="513"/>
      <c r="AN1496" s="465"/>
      <c r="AO1496" s="468">
        <f>РПЗ!AD1496</f>
        <v>0</v>
      </c>
      <c r="AP1496" s="472">
        <f>РПЗ!V1496</f>
        <v>0</v>
      </c>
      <c r="AQ1496" s="470">
        <f>IF(Таблица5[[#This Row],[11]]=0,,MONTH(Таблица5[[#This Row],[11]]))</f>
        <v>11</v>
      </c>
    </row>
    <row r="1497" spans="1:43" ht="38.25" x14ac:dyDescent="0.25">
      <c r="A1497" s="233" t="str">
        <f t="shared" si="23"/>
        <v>1004-2017-1482</v>
      </c>
      <c r="B1497" s="233" t="str">
        <f>РПЗ!$D1497</f>
        <v>1004-2017-1482 реконструкция тепловых сетей</v>
      </c>
      <c r="C1497" s="233" t="str">
        <f>РПЗ!$AA1548</f>
        <v>АО "НИИ "Полюс" им. М.Ф. Стельмаха" тел. отдела закупок 8-495-333-05-02</v>
      </c>
      <c r="D1497" s="633" t="str">
        <f>РПЗ!$AB1548</f>
        <v>Заказчик</v>
      </c>
      <c r="E1497" s="510" t="s">
        <v>62</v>
      </c>
      <c r="F1497" s="233" t="str">
        <f>РПЗ!Q1497</f>
        <v>ОЗК</v>
      </c>
      <c r="G1497" s="237" t="str">
        <f>Таблица5[[#This Row],[6]]</f>
        <v>ОЗК</v>
      </c>
      <c r="H1497" s="237" t="str">
        <f>РПЗ!R1497</f>
        <v>Да</v>
      </c>
      <c r="I1497" s="15">
        <f>РПЗ!W1725</f>
        <v>0</v>
      </c>
      <c r="J1497" s="233">
        <f>РПЗ!X1725</f>
        <v>0</v>
      </c>
      <c r="K1497" s="283">
        <f>РПЗ!Z1725</f>
        <v>0</v>
      </c>
      <c r="L1497" s="17">
        <v>43063</v>
      </c>
      <c r="M1497" s="18">
        <f>РПЗ!O1497</f>
        <v>43040.625</v>
      </c>
      <c r="N1497" s="238">
        <f>Таблица5[[#This Row],[10]]</f>
        <v>43040.625</v>
      </c>
      <c r="O1497" s="17">
        <v>43069</v>
      </c>
      <c r="P1497" s="17">
        <v>43074</v>
      </c>
      <c r="Q1497" s="17">
        <v>43074</v>
      </c>
      <c r="R1497" s="17">
        <v>43069</v>
      </c>
      <c r="S1497" s="17">
        <v>43069</v>
      </c>
      <c r="T1497" s="686">
        <v>43087</v>
      </c>
      <c r="U1497" s="18">
        <f>РПЗ!P1497</f>
        <v>43070.625</v>
      </c>
      <c r="V1497" s="686">
        <v>43159</v>
      </c>
      <c r="W1497" s="236">
        <f>РПЗ!L1497</f>
        <v>815781.32</v>
      </c>
      <c r="X1497" s="689">
        <v>1</v>
      </c>
      <c r="Y1497" s="689">
        <v>0</v>
      </c>
      <c r="Z1497" s="691">
        <v>7701364680</v>
      </c>
      <c r="AA1497" s="691" t="s">
        <v>3283</v>
      </c>
      <c r="AB1497" s="111">
        <v>683468.31</v>
      </c>
      <c r="AC1497" s="17">
        <v>43159</v>
      </c>
      <c r="AD1497" s="690" t="s">
        <v>8098</v>
      </c>
      <c r="AE1497" s="686">
        <v>43087</v>
      </c>
      <c r="AF1497" s="474"/>
      <c r="AG1497" s="692">
        <v>683468.31</v>
      </c>
      <c r="AH1497" s="236">
        <f>IF(Таблица5[[#This Row],[30]]=0,"НД",Таблица5[[#This Row],[20]]-Таблица5[[#This Row],[30]])</f>
        <v>132313.00999999989</v>
      </c>
      <c r="AI1497" s="511">
        <f>IF(((1-Таблица5[[#This Row],[30]]/Таблица5[[#This Row],[20]])=1),"НД",(1-Таблица5[[#This Row],[30]]/Таблица5[[#This Row],[20]]))</f>
        <v>0.16219176237082744</v>
      </c>
      <c r="AJ1497" s="111"/>
      <c r="AK1497" s="111">
        <v>683468.31</v>
      </c>
      <c r="AL1497" s="512"/>
      <c r="AM1497" s="513" t="s">
        <v>113</v>
      </c>
      <c r="AN1497" s="801">
        <v>31705783940</v>
      </c>
      <c r="AO1497" s="468">
        <f>РПЗ!AD1497</f>
        <v>0</v>
      </c>
      <c r="AP1497" s="472">
        <f>РПЗ!V1497</f>
        <v>0</v>
      </c>
      <c r="AQ1497" s="470">
        <f>IF(Таблица5[[#This Row],[11]]=0,,MONTH(Таблица5[[#This Row],[11]]))</f>
        <v>11</v>
      </c>
    </row>
    <row r="1498" spans="1:43" ht="38.25" x14ac:dyDescent="0.25">
      <c r="A1498" s="233" t="str">
        <f t="shared" si="23"/>
        <v>1004-2017-1483</v>
      </c>
      <c r="B1498" s="233" t="str">
        <f>РПЗ!$D1498</f>
        <v>1004-2017-1483 Кристалл фоточувствительный</v>
      </c>
      <c r="C1498" s="233" t="str">
        <f>РПЗ!$AA1549</f>
        <v>АО "НИИ "Полюс" им. М.Ф. Стельмаха" тел. отдела закупок 8-495-333-05-02</v>
      </c>
      <c r="D1498" s="633" t="str">
        <f>РПЗ!$AB1549</f>
        <v>Заказчик</v>
      </c>
      <c r="E1498" s="510" t="s">
        <v>62</v>
      </c>
      <c r="F1498" s="233" t="str">
        <f>РПЗ!Q1498</f>
        <v>ЕП</v>
      </c>
      <c r="G1498" s="237" t="str">
        <f>Таблица5[[#This Row],[6]]</f>
        <v>ЕП</v>
      </c>
      <c r="H1498" s="237">
        <f>РПЗ!R1498</f>
        <v>0</v>
      </c>
      <c r="I1498" s="15" t="str">
        <f>РПЗ!W1498</f>
        <v>6.6.2(30)</v>
      </c>
      <c r="J1498" s="233" t="str">
        <f>РПЗ!X1498</f>
        <v>7718302770</v>
      </c>
      <c r="K1498" s="283">
        <f>РПЗ!Z1498</f>
        <v>725000</v>
      </c>
      <c r="L1498" s="17">
        <v>43059</v>
      </c>
      <c r="M1498" s="18">
        <f>РПЗ!O1498</f>
        <v>43040.625</v>
      </c>
      <c r="N1498" s="238">
        <f>Таблица5[[#This Row],[10]]</f>
        <v>43040.625</v>
      </c>
      <c r="O1498" s="17"/>
      <c r="P1498" s="17"/>
      <c r="Q1498" s="17"/>
      <c r="R1498" s="17"/>
      <c r="S1498" s="17"/>
      <c r="T1498" s="686">
        <v>43068</v>
      </c>
      <c r="U1498" s="18">
        <f>РПЗ!P1498</f>
        <v>43070.625</v>
      </c>
      <c r="V1498" s="686">
        <v>43070</v>
      </c>
      <c r="W1498" s="236">
        <f>РПЗ!L1498</f>
        <v>725000</v>
      </c>
      <c r="X1498" s="689">
        <v>1</v>
      </c>
      <c r="Y1498" s="689">
        <v>0</v>
      </c>
      <c r="Z1498" s="691">
        <v>7718302770</v>
      </c>
      <c r="AA1498" s="691" t="s">
        <v>8048</v>
      </c>
      <c r="AB1498" s="111">
        <v>725000</v>
      </c>
      <c r="AC1498" s="17">
        <v>43070</v>
      </c>
      <c r="AD1498" s="690" t="s">
        <v>8049</v>
      </c>
      <c r="AE1498" s="686">
        <v>43068</v>
      </c>
      <c r="AF1498" s="474"/>
      <c r="AG1498" s="692">
        <v>725000</v>
      </c>
      <c r="AH1498" s="236">
        <f>IF(Таблица5[[#This Row],[30]]=0,"НД",Таблица5[[#This Row],[20]]-Таблица5[[#This Row],[30]])</f>
        <v>0</v>
      </c>
      <c r="AI1498" s="511">
        <f>IF(((1-Таблица5[[#This Row],[30]]/Таблица5[[#This Row],[20]])=1),"НД",(1-Таблица5[[#This Row],[30]]/Таблица5[[#This Row],[20]]))</f>
        <v>0</v>
      </c>
      <c r="AJ1498" s="111"/>
      <c r="AK1498" s="111">
        <v>725000</v>
      </c>
      <c r="AL1498" s="512"/>
      <c r="AM1498" s="513" t="s">
        <v>113</v>
      </c>
      <c r="AN1498" s="801" t="s">
        <v>8050</v>
      </c>
      <c r="AO1498" s="468">
        <f>РПЗ!AD1498</f>
        <v>0</v>
      </c>
      <c r="AP1498" s="472">
        <f>РПЗ!V1498</f>
        <v>0</v>
      </c>
      <c r="AQ1498" s="470">
        <f>IF(Таблица5[[#This Row],[11]]=0,,MONTH(Таблица5[[#This Row],[11]]))</f>
        <v>11</v>
      </c>
    </row>
    <row r="1499" spans="1:43" ht="39" thickBot="1" x14ac:dyDescent="0.3">
      <c r="A1499" s="233" t="str">
        <f t="shared" si="23"/>
        <v>1004-2017-1484</v>
      </c>
      <c r="B1499" s="233" t="str">
        <f>РПЗ!$D1499</f>
        <v>1004-2017-1484 пресс ручной, Модель ПР</v>
      </c>
      <c r="C1499" s="233" t="str">
        <f>РПЗ!$AA1550</f>
        <v>АО "НИИ "Полюс" им. М.Ф. Стельмаха" тел. отдела закупок 8-495-333-05-02</v>
      </c>
      <c r="D1499" s="633" t="str">
        <f>РПЗ!$AB1550</f>
        <v>Заказчик</v>
      </c>
      <c r="E1499" s="510" t="s">
        <v>59</v>
      </c>
      <c r="F1499" s="233" t="str">
        <f>РПЗ!Q1499</f>
        <v>ОЗК</v>
      </c>
      <c r="G1499" s="237" t="str">
        <f>Таблица5[[#This Row],[6]]</f>
        <v>ОЗК</v>
      </c>
      <c r="H1499" s="237" t="str">
        <f>РПЗ!R1499</f>
        <v>Да</v>
      </c>
      <c r="I1499" s="15">
        <f>РПЗ!W1727</f>
        <v>0</v>
      </c>
      <c r="J1499" s="233">
        <f>РПЗ!X1727</f>
        <v>0</v>
      </c>
      <c r="K1499" s="283">
        <f>РПЗ!Z1727</f>
        <v>0</v>
      </c>
      <c r="L1499" s="17">
        <v>43067</v>
      </c>
      <c r="M1499" s="18">
        <f>РПЗ!O1499</f>
        <v>43040.625</v>
      </c>
      <c r="N1499" s="238">
        <f>Таблица5[[#This Row],[10]]</f>
        <v>43040.625</v>
      </c>
      <c r="O1499" s="17">
        <v>43074</v>
      </c>
      <c r="P1499" s="17">
        <v>43077</v>
      </c>
      <c r="Q1499" s="17">
        <v>43077</v>
      </c>
      <c r="R1499" s="17">
        <v>43077</v>
      </c>
      <c r="S1499" s="17">
        <v>43077</v>
      </c>
      <c r="T1499" s="686"/>
      <c r="U1499" s="18">
        <f>РПЗ!P1727</f>
        <v>0</v>
      </c>
      <c r="V1499" s="686"/>
      <c r="W1499" s="236">
        <f>РПЗ!L1499</f>
        <v>68762.5</v>
      </c>
      <c r="X1499" s="689">
        <v>0</v>
      </c>
      <c r="Y1499" s="689">
        <v>0</v>
      </c>
      <c r="Z1499" s="690"/>
      <c r="AA1499" s="691"/>
      <c r="AB1499" s="111"/>
      <c r="AC1499" s="17"/>
      <c r="AD1499" s="690"/>
      <c r="AE1499" s="686"/>
      <c r="AF1499" s="474"/>
      <c r="AG1499" s="692"/>
      <c r="AH1499" s="236" t="str">
        <f>IF(Таблица5[[#This Row],[30]]=0,"НД",Таблица5[[#This Row],[20]]-Таблица5[[#This Row],[30]])</f>
        <v>НД</v>
      </c>
      <c r="AI1499" s="511" t="str">
        <f>IF(((1-Таблица5[[#This Row],[30]]/Таблица5[[#This Row],[20]])=1),"НД",(1-Таблица5[[#This Row],[30]]/Таблица5[[#This Row],[20]]))</f>
        <v>НД</v>
      </c>
      <c r="AJ1499" s="111"/>
      <c r="AK1499" s="111"/>
      <c r="AL1499" s="512"/>
      <c r="AM1499" s="513" t="s">
        <v>113</v>
      </c>
      <c r="AN1499" s="801" t="s">
        <v>8092</v>
      </c>
      <c r="AO1499" s="468">
        <f>РПЗ!AD1499</f>
        <v>0</v>
      </c>
      <c r="AP1499" s="472">
        <f>РПЗ!V1499</f>
        <v>0</v>
      </c>
      <c r="AQ1499" s="470">
        <f>IF(Таблица5[[#This Row],[11]]=0,,MONTH(Таблица5[[#This Row],[11]]))</f>
        <v>11</v>
      </c>
    </row>
    <row r="1500" spans="1:43" ht="38.25" x14ac:dyDescent="0.25">
      <c r="A1500" s="233" t="str">
        <f t="shared" si="23"/>
        <v>1004-2017-1485</v>
      </c>
      <c r="B1500" s="233" t="str">
        <f>РПЗ!$D1500</f>
        <v>1004-2017-1485 Изготовление Корпусов ЖГДК.755727.008, ЖГДК.755727.009, ЖГДК.755727.010</v>
      </c>
      <c r="C1500" s="233" t="str">
        <f>РПЗ!$AA1551</f>
        <v>АО "НИИ "Полюс" им. М.Ф. Стельмаха" тел. отдела закупок 8-495-333-05-02</v>
      </c>
      <c r="D1500" s="633" t="str">
        <f>РПЗ!$AB1551</f>
        <v>Заказчик</v>
      </c>
      <c r="E1500" s="96" t="s">
        <v>46</v>
      </c>
      <c r="F1500" s="233" t="str">
        <f>РПЗ!Q1500</f>
        <v>ЕП</v>
      </c>
      <c r="G1500" s="237"/>
      <c r="H1500" s="237" t="str">
        <f>РПЗ!R1500</f>
        <v>Нет</v>
      </c>
      <c r="I1500" s="15">
        <f>РПЗ!W1728</f>
        <v>0</v>
      </c>
      <c r="J1500" s="233">
        <f>РПЗ!X1728</f>
        <v>0</v>
      </c>
      <c r="K1500" s="283">
        <f>РПЗ!Z1728</f>
        <v>0</v>
      </c>
      <c r="L1500" s="17"/>
      <c r="M1500" s="18">
        <f>РПЗ!O1500</f>
        <v>43070.625</v>
      </c>
      <c r="N1500" s="238">
        <f>Таблица5[[#This Row],[10]]</f>
        <v>43070.625</v>
      </c>
      <c r="O1500" s="17"/>
      <c r="P1500" s="17"/>
      <c r="Q1500" s="17"/>
      <c r="R1500" s="17"/>
      <c r="S1500" s="17"/>
      <c r="T1500" s="686"/>
      <c r="U1500" s="18">
        <f>РПЗ!P1728</f>
        <v>0</v>
      </c>
      <c r="V1500" s="686"/>
      <c r="W1500" s="236">
        <f>РПЗ!L1500</f>
        <v>5947200</v>
      </c>
      <c r="X1500" s="689"/>
      <c r="Y1500" s="689"/>
      <c r="Z1500" s="690"/>
      <c r="AA1500" s="691"/>
      <c r="AB1500" s="111"/>
      <c r="AC1500" s="17"/>
      <c r="AD1500" s="690"/>
      <c r="AE1500" s="686"/>
      <c r="AF1500" s="474"/>
      <c r="AG1500" s="692"/>
      <c r="AH1500" s="236" t="str">
        <f>IF(Таблица5[[#This Row],[30]]=0,"НД",Таблица5[[#This Row],[20]]-Таблица5[[#This Row],[30]])</f>
        <v>НД</v>
      </c>
      <c r="AI1500" s="511" t="str">
        <f>IF(((1-Таблица5[[#This Row],[30]]/Таблица5[[#This Row],[20]])=1),"НД",(1-Таблица5[[#This Row],[30]]/Таблица5[[#This Row],[20]]))</f>
        <v>НД</v>
      </c>
      <c r="AJ1500" s="111"/>
      <c r="AK1500" s="111"/>
      <c r="AL1500" s="512"/>
      <c r="AM1500" s="513"/>
      <c r="AN1500" s="465"/>
      <c r="AO1500" s="468">
        <f>РПЗ!AD1500</f>
        <v>0</v>
      </c>
      <c r="AP1500" s="472">
        <f>РПЗ!V1500</f>
        <v>0</v>
      </c>
      <c r="AQ1500" s="470">
        <f>IF(Таблица5[[#This Row],[11]]=0,,MONTH(Таблица5[[#This Row],[11]]))</f>
        <v>12</v>
      </c>
    </row>
    <row r="1501" spans="1:43" ht="76.5" x14ac:dyDescent="0.25">
      <c r="A1501" s="233" t="str">
        <f t="shared" si="23"/>
        <v>1004-2017-1486</v>
      </c>
      <c r="B1501" s="233" t="str">
        <f>РПЗ!$D1501</f>
        <v>1004-2017-1486 разработка технических заключений и проектов перепланировок помещений, расположенных по адресу: г. Москва, ул. Введенского, д.3, к.1; д.3, к. 1 стр.1, д.3 к.7</v>
      </c>
      <c r="C1501" s="233" t="str">
        <f>РПЗ!$AA1552</f>
        <v>АО "НИИ "Полюс" им. М.Ф. Стельмаха" тел. отдела закупок 8-495-333-05-02</v>
      </c>
      <c r="D1501" s="633" t="str">
        <f>РПЗ!$AB1552</f>
        <v>Заказчик</v>
      </c>
      <c r="E1501" s="510" t="s">
        <v>59</v>
      </c>
      <c r="F1501" s="233" t="str">
        <f>РПЗ!Q1501</f>
        <v>ОЗП</v>
      </c>
      <c r="G1501" s="237" t="str">
        <f>Таблица5[[#This Row],[6]]</f>
        <v>ОЗП</v>
      </c>
      <c r="H1501" s="237" t="str">
        <f>РПЗ!R1501</f>
        <v>Да</v>
      </c>
      <c r="I1501" s="15">
        <f>РПЗ!W1729</f>
        <v>0</v>
      </c>
      <c r="J1501" s="233">
        <f>РПЗ!X1729</f>
        <v>0</v>
      </c>
      <c r="K1501" s="283">
        <f>РПЗ!Z1729</f>
        <v>0</v>
      </c>
      <c r="L1501" s="17">
        <v>43091</v>
      </c>
      <c r="M1501" s="18">
        <f>РПЗ!O1501</f>
        <v>43070</v>
      </c>
      <c r="N1501" s="238">
        <f>Таблица5[[#This Row],[10]]</f>
        <v>43070</v>
      </c>
      <c r="O1501" s="17">
        <v>43111</v>
      </c>
      <c r="P1501" s="17">
        <v>43117</v>
      </c>
      <c r="Q1501" s="17">
        <v>43117</v>
      </c>
      <c r="R1501" s="17">
        <v>43119</v>
      </c>
      <c r="S1501" s="17">
        <v>43119</v>
      </c>
      <c r="T1501" s="686"/>
      <c r="U1501" s="18">
        <f>РПЗ!P1501</f>
        <v>43070.625</v>
      </c>
      <c r="V1501" s="686"/>
      <c r="W1501" s="236">
        <f>РПЗ!L1501</f>
        <v>1800000</v>
      </c>
      <c r="X1501" s="689">
        <v>0</v>
      </c>
      <c r="Y1501" s="689">
        <v>0</v>
      </c>
      <c r="Z1501" s="690"/>
      <c r="AA1501" s="691"/>
      <c r="AB1501" s="111"/>
      <c r="AC1501" s="17"/>
      <c r="AD1501" s="690"/>
      <c r="AE1501" s="686"/>
      <c r="AF1501" s="474"/>
      <c r="AG1501" s="692"/>
      <c r="AH1501" s="236" t="str">
        <f>IF(Таблица5[[#This Row],[30]]=0,"НД",Таблица5[[#This Row],[20]]-Таблица5[[#This Row],[30]])</f>
        <v>НД</v>
      </c>
      <c r="AI1501" s="511" t="str">
        <f>IF(((1-Таблица5[[#This Row],[30]]/Таблица5[[#This Row],[20]])=1),"НД",(1-Таблица5[[#This Row],[30]]/Таблица5[[#This Row],[20]]))</f>
        <v>НД</v>
      </c>
      <c r="AJ1501" s="111"/>
      <c r="AK1501" s="111"/>
      <c r="AL1501" s="512"/>
      <c r="AM1501" s="513" t="s">
        <v>113</v>
      </c>
      <c r="AN1501" s="801">
        <v>31705929963</v>
      </c>
      <c r="AO1501" s="468">
        <f>РПЗ!AD1501</f>
        <v>0</v>
      </c>
      <c r="AP1501" s="472">
        <f>РПЗ!V1501</f>
        <v>0</v>
      </c>
      <c r="AQ1501" s="470">
        <f>IF(Таблица5[[#This Row],[11]]=0,,MONTH(Таблица5[[#This Row],[11]]))</f>
        <v>12</v>
      </c>
    </row>
    <row r="1502" spans="1:43" ht="63.75" x14ac:dyDescent="0.25">
      <c r="A1502" s="233" t="str">
        <f t="shared" si="23"/>
        <v>1004-2017-1487</v>
      </c>
      <c r="B1502" s="233" t="str">
        <f>РПЗ!$D1502</f>
        <v>1004-2017-1487 На поставку электрической энергии (мощности) по  Договору №14712281 от 01.01.2007г. ПАО "Мосэнергосбыт" Счет № Э-01-14783 от 31.10.2017</v>
      </c>
      <c r="C1502" s="233" t="str">
        <f>РПЗ!$AA1553</f>
        <v>АО "НИИ "Полюс" им. М.Ф. Стельмаха" тел. отдела закупок 8-495-333-05-02</v>
      </c>
      <c r="D1502" s="633" t="str">
        <f>РПЗ!$AB1553</f>
        <v>Заказчик</v>
      </c>
      <c r="E1502" s="510" t="s">
        <v>62</v>
      </c>
      <c r="F1502" s="233" t="str">
        <f>РПЗ!Q1502</f>
        <v>ЕП</v>
      </c>
      <c r="G1502" s="237" t="str">
        <f>Таблица5[[#This Row],[6]]</f>
        <v>ЕП</v>
      </c>
      <c r="H1502" s="237" t="str">
        <f>РПЗ!R1502</f>
        <v>Нет</v>
      </c>
      <c r="I1502" s="15" t="str">
        <f>РПЗ!W1502</f>
        <v>6.6.2(3)</v>
      </c>
      <c r="J1502" s="233" t="str">
        <f>РПЗ!X1502</f>
        <v>7736520080</v>
      </c>
      <c r="K1502" s="283">
        <f>РПЗ!Z1502</f>
        <v>2780717.34</v>
      </c>
      <c r="L1502" s="17">
        <v>43074</v>
      </c>
      <c r="M1502" s="18">
        <f>РПЗ!O1502</f>
        <v>43070.625</v>
      </c>
      <c r="N1502" s="238">
        <f>Таблица5[[#This Row],[10]]</f>
        <v>43070.625</v>
      </c>
      <c r="O1502" s="17"/>
      <c r="P1502" s="17"/>
      <c r="Q1502" s="17"/>
      <c r="R1502" s="17"/>
      <c r="S1502" s="17"/>
      <c r="T1502" s="686">
        <v>43077</v>
      </c>
      <c r="U1502" s="18">
        <f>РПЗ!P1502</f>
        <v>43070.625</v>
      </c>
      <c r="V1502" s="686">
        <v>43070</v>
      </c>
      <c r="W1502" s="236">
        <f>РПЗ!L1502</f>
        <v>2780717.34</v>
      </c>
      <c r="X1502" s="689">
        <v>1</v>
      </c>
      <c r="Y1502" s="689">
        <v>0</v>
      </c>
      <c r="Z1502" s="691">
        <v>7736520080</v>
      </c>
      <c r="AA1502" s="691" t="s">
        <v>5963</v>
      </c>
      <c r="AB1502" s="111">
        <v>2780717.34</v>
      </c>
      <c r="AC1502" s="17">
        <v>43070</v>
      </c>
      <c r="AD1502" s="690" t="s">
        <v>8041</v>
      </c>
      <c r="AE1502" s="686">
        <v>43077</v>
      </c>
      <c r="AF1502" s="474"/>
      <c r="AG1502" s="692">
        <v>2780717.34</v>
      </c>
      <c r="AH1502" s="236">
        <f>IF(Таблица5[[#This Row],[30]]=0,"НД",Таблица5[[#This Row],[20]]-Таблица5[[#This Row],[30]])</f>
        <v>0</v>
      </c>
      <c r="AI1502" s="511">
        <f>IF(((1-Таблица5[[#This Row],[30]]/Таблица5[[#This Row],[20]])=1),"НД",(1-Таблица5[[#This Row],[30]]/Таблица5[[#This Row],[20]]))</f>
        <v>0</v>
      </c>
      <c r="AJ1502" s="111"/>
      <c r="AK1502" s="111"/>
      <c r="AL1502" s="512"/>
      <c r="AM1502" s="513" t="s">
        <v>113</v>
      </c>
      <c r="AN1502" s="801">
        <v>31705842168</v>
      </c>
      <c r="AO1502" s="468">
        <f>РПЗ!AD1502</f>
        <v>0</v>
      </c>
      <c r="AP1502" s="472">
        <f>РПЗ!V1502</f>
        <v>0</v>
      </c>
      <c r="AQ1502" s="470">
        <f>IF(Таблица5[[#This Row],[11]]=0,,MONTH(Таблица5[[#This Row],[11]]))</f>
        <v>12</v>
      </c>
    </row>
    <row r="1503" spans="1:43" ht="63.75" x14ac:dyDescent="0.25">
      <c r="A1503" s="233" t="str">
        <f t="shared" si="23"/>
        <v>1004-2017-1488</v>
      </c>
      <c r="B1503" s="233" t="str">
        <f>РПЗ!$D1503</f>
        <v>1004-2017-1488 На поставку электрической энергии (мощности) по  Договору №14712281 от 01.01.2007г. ПАО "Мосэнергосбыт" Счет № А-01-16114 от 01.12.2017</v>
      </c>
      <c r="C1503" s="233" t="str">
        <f>РПЗ!$AA1554</f>
        <v>АО "НИИ "Полюс" им. М.Ф. Стельмаха" тел. отдела закупок 8-495-333-05-02</v>
      </c>
      <c r="D1503" s="633" t="str">
        <f>РПЗ!$AB1554</f>
        <v>Заказчик</v>
      </c>
      <c r="E1503" s="510" t="s">
        <v>62</v>
      </c>
      <c r="F1503" s="233" t="str">
        <f>РПЗ!Q1503</f>
        <v>ЕП</v>
      </c>
      <c r="G1503" s="237" t="str">
        <f>Таблица5[[#This Row],[6]]</f>
        <v>ЕП</v>
      </c>
      <c r="H1503" s="237" t="str">
        <f>РПЗ!R1503</f>
        <v>Нет</v>
      </c>
      <c r="I1503" s="15" t="str">
        <f>РПЗ!W1503</f>
        <v>6.6.2(3)</v>
      </c>
      <c r="J1503" s="233" t="str">
        <f>РПЗ!X1503</f>
        <v>7736520080</v>
      </c>
      <c r="K1503" s="283">
        <f>РПЗ!Z1503</f>
        <v>4385774.03</v>
      </c>
      <c r="L1503" s="17">
        <v>43074</v>
      </c>
      <c r="M1503" s="18">
        <f>РПЗ!O1503</f>
        <v>43070.625</v>
      </c>
      <c r="N1503" s="238">
        <f>Таблица5[[#This Row],[10]]</f>
        <v>43070.625</v>
      </c>
      <c r="O1503" s="17"/>
      <c r="P1503" s="17"/>
      <c r="Q1503" s="17"/>
      <c r="R1503" s="17"/>
      <c r="S1503" s="17"/>
      <c r="T1503" s="686">
        <v>43077</v>
      </c>
      <c r="U1503" s="18">
        <f>РПЗ!P1503</f>
        <v>43070.625</v>
      </c>
      <c r="V1503" s="686">
        <v>43070</v>
      </c>
      <c r="W1503" s="236">
        <f>РПЗ!L1503</f>
        <v>4385774.03</v>
      </c>
      <c r="X1503" s="689">
        <v>1</v>
      </c>
      <c r="Y1503" s="689">
        <v>0</v>
      </c>
      <c r="Z1503" s="691">
        <v>7736520080</v>
      </c>
      <c r="AA1503" s="691" t="s">
        <v>5963</v>
      </c>
      <c r="AB1503" s="111">
        <v>4385774.03</v>
      </c>
      <c r="AC1503" s="17">
        <v>43070</v>
      </c>
      <c r="AD1503" s="690" t="s">
        <v>8040</v>
      </c>
      <c r="AE1503" s="686">
        <v>43077</v>
      </c>
      <c r="AF1503" s="474"/>
      <c r="AG1503" s="692">
        <v>4385774.03</v>
      </c>
      <c r="AH1503" s="236">
        <f>IF(Таблица5[[#This Row],[30]]=0,"НД",Таблица5[[#This Row],[20]]-Таблица5[[#This Row],[30]])</f>
        <v>0</v>
      </c>
      <c r="AI1503" s="511">
        <f>IF(((1-Таблица5[[#This Row],[30]]/Таблица5[[#This Row],[20]])=1),"НД",(1-Таблица5[[#This Row],[30]]/Таблица5[[#This Row],[20]]))</f>
        <v>0</v>
      </c>
      <c r="AJ1503" s="111"/>
      <c r="AK1503" s="111"/>
      <c r="AL1503" s="512"/>
      <c r="AM1503" s="513" t="s">
        <v>113</v>
      </c>
      <c r="AN1503" s="801">
        <v>31705842212</v>
      </c>
      <c r="AO1503" s="468">
        <f>РПЗ!AD1503</f>
        <v>0</v>
      </c>
      <c r="AP1503" s="472">
        <f>РПЗ!V1503</f>
        <v>0</v>
      </c>
      <c r="AQ1503" s="470">
        <f>IF(Таблица5[[#This Row],[11]]=0,,MONTH(Таблица5[[#This Row],[11]]))</f>
        <v>12</v>
      </c>
    </row>
    <row r="1504" spans="1:43" ht="39" thickBot="1" x14ac:dyDescent="0.3">
      <c r="A1504" s="233" t="str">
        <f t="shared" si="23"/>
        <v>1004-2017-1489</v>
      </c>
      <c r="B1504" s="233" t="str">
        <f>РПЗ!$D1504</f>
        <v>1004-2017-1489 Изготовление комплекта механических деталей для изд. МТД</v>
      </c>
      <c r="C1504" s="233" t="str">
        <f>РПЗ!$AA1504</f>
        <v>АО "НИИ "Полюс" им. М.Ф. Стельмаха" тел. отдела закупок 8-495-333-05-02</v>
      </c>
      <c r="D1504" s="633" t="str">
        <f>РПЗ!$AB1504</f>
        <v>Заказчик</v>
      </c>
      <c r="E1504" s="510" t="s">
        <v>62</v>
      </c>
      <c r="F1504" s="233" t="str">
        <f>РПЗ!Q1504</f>
        <v>ОЗК</v>
      </c>
      <c r="G1504" s="237" t="str">
        <f>Таблица5[[#This Row],[6]]</f>
        <v>ОЗК</v>
      </c>
      <c r="H1504" s="237" t="str">
        <f>РПЗ!R1504</f>
        <v>Да</v>
      </c>
      <c r="I1504" s="15">
        <f>РПЗ!W1504</f>
        <v>0</v>
      </c>
      <c r="J1504" s="233">
        <f>РПЗ!X1504</f>
        <v>0</v>
      </c>
      <c r="K1504" s="283">
        <f>РПЗ!Z1504</f>
        <v>0</v>
      </c>
      <c r="L1504" s="17">
        <v>43067</v>
      </c>
      <c r="M1504" s="18">
        <f>РПЗ!O1504</f>
        <v>43040.625</v>
      </c>
      <c r="N1504" s="238">
        <f>Таблица5[[#This Row],[10]]</f>
        <v>43040.625</v>
      </c>
      <c r="O1504" s="17">
        <v>43075</v>
      </c>
      <c r="P1504" s="17">
        <v>43077</v>
      </c>
      <c r="Q1504" s="17">
        <v>43077</v>
      </c>
      <c r="R1504" s="17">
        <v>43076</v>
      </c>
      <c r="S1504" s="17">
        <v>43076</v>
      </c>
      <c r="T1504" s="686">
        <v>43088</v>
      </c>
      <c r="U1504" s="18">
        <f>РПЗ!P1504</f>
        <v>43160.625</v>
      </c>
      <c r="V1504" s="686">
        <v>43122</v>
      </c>
      <c r="W1504" s="236">
        <f>РПЗ!L1504</f>
        <v>389548.33</v>
      </c>
      <c r="X1504" s="689">
        <v>1</v>
      </c>
      <c r="Y1504" s="689">
        <v>0</v>
      </c>
      <c r="Z1504" s="691">
        <v>3308000538</v>
      </c>
      <c r="AA1504" s="691" t="s">
        <v>8085</v>
      </c>
      <c r="AB1504" s="111">
        <v>363100</v>
      </c>
      <c r="AC1504" s="17">
        <v>43122</v>
      </c>
      <c r="AD1504" s="690" t="s">
        <v>8086</v>
      </c>
      <c r="AE1504" s="686">
        <v>43088</v>
      </c>
      <c r="AF1504" s="474"/>
      <c r="AG1504" s="692">
        <v>363100</v>
      </c>
      <c r="AH1504" s="236">
        <f>IF(Таблица5[[#This Row],[30]]=0,"НД",Таблица5[[#This Row],[20]]-Таблица5[[#This Row],[30]])</f>
        <v>26448.330000000016</v>
      </c>
      <c r="AI1504" s="511">
        <f>IF(((1-Таблица5[[#This Row],[30]]/Таблица5[[#This Row],[20]])=1),"НД",(1-Таблица5[[#This Row],[30]]/Таблица5[[#This Row],[20]]))</f>
        <v>6.7894861723576172E-2</v>
      </c>
      <c r="AJ1504" s="111"/>
      <c r="AK1504" s="111">
        <v>363100</v>
      </c>
      <c r="AL1504" s="512"/>
      <c r="AM1504" s="513" t="s">
        <v>113</v>
      </c>
      <c r="AN1504" s="801">
        <v>31705797045</v>
      </c>
      <c r="AO1504" s="468">
        <f>РПЗ!AD1504</f>
        <v>0</v>
      </c>
      <c r="AP1504" s="472">
        <f>РПЗ!V1504</f>
        <v>0</v>
      </c>
      <c r="AQ1504" s="470">
        <f>IF(Таблица5[[#This Row],[11]]=0,,MONTH(Таблица5[[#This Row],[11]]))</f>
        <v>11</v>
      </c>
    </row>
    <row r="1505" spans="1:43" ht="39" thickBot="1" x14ac:dyDescent="0.3">
      <c r="A1505" s="233" t="str">
        <f t="shared" si="23"/>
        <v>1004-2017-1490</v>
      </c>
      <c r="B1505" s="233" t="str">
        <f>РПЗ!$D1505</f>
        <v xml:space="preserve">1004-2017-1490 Элемент оптический LiNbO3 КС309249-01 </v>
      </c>
      <c r="C1505" s="233" t="str">
        <f>РПЗ!$AA1556</f>
        <v>АО "НИИ "Полюс" им. М.Ф. Стельмаха" тел. отдела закупок 8-495-333-05-02</v>
      </c>
      <c r="D1505" s="633" t="str">
        <f>РПЗ!$AB1556</f>
        <v>Заказчик</v>
      </c>
      <c r="E1505" s="96" t="s">
        <v>46</v>
      </c>
      <c r="F1505" s="233" t="str">
        <f>РПЗ!Q1505</f>
        <v>ЕП</v>
      </c>
      <c r="G1505" s="237"/>
      <c r="H1505" s="237" t="str">
        <f>РПЗ!R1505</f>
        <v>Нет</v>
      </c>
      <c r="I1505" s="15">
        <f>РПЗ!W1733</f>
        <v>0</v>
      </c>
      <c r="J1505" s="233">
        <f>РПЗ!X1733</f>
        <v>0</v>
      </c>
      <c r="K1505" s="283">
        <f>РПЗ!Z1733</f>
        <v>0</v>
      </c>
      <c r="L1505" s="17"/>
      <c r="M1505" s="18">
        <f>РПЗ!O1505</f>
        <v>43070.625</v>
      </c>
      <c r="N1505" s="238">
        <f>Таблица5[[#This Row],[10]]</f>
        <v>43070.625</v>
      </c>
      <c r="O1505" s="17"/>
      <c r="P1505" s="17"/>
      <c r="Q1505" s="17"/>
      <c r="R1505" s="17"/>
      <c r="S1505" s="17"/>
      <c r="T1505" s="686"/>
      <c r="U1505" s="18">
        <f>РПЗ!P1733</f>
        <v>0</v>
      </c>
      <c r="V1505" s="686"/>
      <c r="W1505" s="236">
        <f>РПЗ!L1505</f>
        <v>1224840</v>
      </c>
      <c r="X1505" s="689"/>
      <c r="Y1505" s="689"/>
      <c r="Z1505" s="690"/>
      <c r="AA1505" s="691"/>
      <c r="AB1505" s="111"/>
      <c r="AC1505" s="17"/>
      <c r="AD1505" s="690"/>
      <c r="AE1505" s="686"/>
      <c r="AF1505" s="474"/>
      <c r="AG1505" s="692"/>
      <c r="AH1505" s="236" t="str">
        <f>IF(Таблица5[[#This Row],[30]]=0,"НД",Таблица5[[#This Row],[20]]-Таблица5[[#This Row],[30]])</f>
        <v>НД</v>
      </c>
      <c r="AI1505" s="511" t="str">
        <f>IF(((1-Таблица5[[#This Row],[30]]/Таблица5[[#This Row],[20]])=1),"НД",(1-Таблица5[[#This Row],[30]]/Таблица5[[#This Row],[20]]))</f>
        <v>НД</v>
      </c>
      <c r="AJ1505" s="111"/>
      <c r="AK1505" s="111"/>
      <c r="AL1505" s="512"/>
      <c r="AM1505" s="513"/>
      <c r="AN1505" s="465"/>
      <c r="AO1505" s="468">
        <f>РПЗ!AD1505</f>
        <v>0</v>
      </c>
      <c r="AP1505" s="472">
        <f>РПЗ!V1505</f>
        <v>0</v>
      </c>
      <c r="AQ1505" s="470">
        <f>IF(Таблица5[[#This Row],[11]]=0,,MONTH(Таблица5[[#This Row],[11]]))</f>
        <v>12</v>
      </c>
    </row>
    <row r="1506" spans="1:43" ht="38.25" x14ac:dyDescent="0.25">
      <c r="A1506" s="233" t="str">
        <f t="shared" si="23"/>
        <v>1004-2017-1491</v>
      </c>
      <c r="B1506" s="233" t="str">
        <f>РПЗ!$D1506</f>
        <v>1004-2017-1491 Металличиские шкафы для одежды</v>
      </c>
      <c r="C1506" s="233" t="str">
        <f>РПЗ!$AA1557</f>
        <v>АО "НИИ "Полюс" им. М.Ф. Стельмаха" тел. отдела закупок 8-495-333-05-02</v>
      </c>
      <c r="D1506" s="633" t="str">
        <f>РПЗ!$AB1557</f>
        <v>Заказчик</v>
      </c>
      <c r="E1506" s="96" t="s">
        <v>46</v>
      </c>
      <c r="F1506" s="233" t="str">
        <f>РПЗ!Q1506</f>
        <v>ОЗК</v>
      </c>
      <c r="G1506" s="237"/>
      <c r="H1506" s="237" t="str">
        <f>РПЗ!R1506</f>
        <v>Да</v>
      </c>
      <c r="I1506" s="15">
        <f>РПЗ!W1734</f>
        <v>0</v>
      </c>
      <c r="J1506" s="233">
        <f>РПЗ!X1734</f>
        <v>0</v>
      </c>
      <c r="K1506" s="283">
        <f>РПЗ!Z1734</f>
        <v>0</v>
      </c>
      <c r="L1506" s="17"/>
      <c r="M1506" s="18">
        <f>РПЗ!O1506</f>
        <v>43070.625</v>
      </c>
      <c r="N1506" s="238">
        <f>Таблица5[[#This Row],[10]]</f>
        <v>43070.625</v>
      </c>
      <c r="O1506" s="17"/>
      <c r="P1506" s="17"/>
      <c r="Q1506" s="17"/>
      <c r="R1506" s="17"/>
      <c r="S1506" s="17"/>
      <c r="T1506" s="686"/>
      <c r="U1506" s="18">
        <f>РПЗ!P1734</f>
        <v>0</v>
      </c>
      <c r="V1506" s="686"/>
      <c r="W1506" s="236">
        <f>РПЗ!L1506</f>
        <v>90000</v>
      </c>
      <c r="X1506" s="689"/>
      <c r="Y1506" s="689"/>
      <c r="Z1506" s="690"/>
      <c r="AA1506" s="691"/>
      <c r="AB1506" s="111"/>
      <c r="AC1506" s="17"/>
      <c r="AD1506" s="690"/>
      <c r="AE1506" s="686"/>
      <c r="AF1506" s="474"/>
      <c r="AG1506" s="692"/>
      <c r="AH1506" s="236" t="str">
        <f>IF(Таблица5[[#This Row],[30]]=0,"НД",Таблица5[[#This Row],[20]]-Таблица5[[#This Row],[30]])</f>
        <v>НД</v>
      </c>
      <c r="AI1506" s="511" t="str">
        <f>IF(((1-Таблица5[[#This Row],[30]]/Таблица5[[#This Row],[20]])=1),"НД",(1-Таблица5[[#This Row],[30]]/Таблица5[[#This Row],[20]]))</f>
        <v>НД</v>
      </c>
      <c r="AJ1506" s="111"/>
      <c r="AK1506" s="111"/>
      <c r="AL1506" s="512"/>
      <c r="AM1506" s="513"/>
      <c r="AN1506" s="465"/>
      <c r="AO1506" s="468">
        <f>РПЗ!AD1506</f>
        <v>0</v>
      </c>
      <c r="AP1506" s="472">
        <f>РПЗ!V1506</f>
        <v>0</v>
      </c>
      <c r="AQ1506" s="470">
        <f>IF(Таблица5[[#This Row],[11]]=0,,MONTH(Таблица5[[#This Row],[11]]))</f>
        <v>12</v>
      </c>
    </row>
    <row r="1507" spans="1:43" ht="39" thickBot="1" x14ac:dyDescent="0.3">
      <c r="A1507" s="233" t="str">
        <f t="shared" si="23"/>
        <v>1004-2017-1492</v>
      </c>
      <c r="B1507" s="233" t="str">
        <f>РПЗ!$D1507</f>
        <v>1004-2017-1492 Инструмент для проведения работ в ситемах водоснабжения и вентиляции</v>
      </c>
      <c r="C1507" s="233" t="str">
        <f>РПЗ!$AA1558</f>
        <v>АО "НИИ "Полюс" им. М.Ф. Стельмаха" тел. отдела закупок 8-495-333-05-02</v>
      </c>
      <c r="D1507" s="633" t="str">
        <f>РПЗ!$AB1558</f>
        <v>Заказчик</v>
      </c>
      <c r="E1507" s="510" t="s">
        <v>52</v>
      </c>
      <c r="F1507" s="233" t="str">
        <f>РПЗ!Q1507</f>
        <v>ОЗК</v>
      </c>
      <c r="G1507" s="237" t="str">
        <f>Таблица5[[#This Row],[6]]</f>
        <v>ОЗК</v>
      </c>
      <c r="H1507" s="237" t="str">
        <f>РПЗ!R1507</f>
        <v>Да</v>
      </c>
      <c r="I1507" s="15">
        <f>РПЗ!W1735</f>
        <v>0</v>
      </c>
      <c r="J1507" s="233">
        <f>РПЗ!X1735</f>
        <v>0</v>
      </c>
      <c r="K1507" s="283">
        <f>РПЗ!Z1735</f>
        <v>0</v>
      </c>
      <c r="L1507" s="17">
        <v>43082</v>
      </c>
      <c r="M1507" s="18">
        <f>РПЗ!O1507</f>
        <v>43070.625</v>
      </c>
      <c r="N1507" s="238">
        <f>Таблица5[[#This Row],[10]]</f>
        <v>43070.625</v>
      </c>
      <c r="O1507" s="17">
        <v>43088</v>
      </c>
      <c r="P1507" s="17">
        <v>43094</v>
      </c>
      <c r="Q1507" s="17">
        <v>43094</v>
      </c>
      <c r="R1507" s="17">
        <v>43089</v>
      </c>
      <c r="S1507" s="17">
        <v>43089</v>
      </c>
      <c r="T1507" s="686"/>
      <c r="U1507" s="18">
        <f>РПЗ!P1735</f>
        <v>0</v>
      </c>
      <c r="V1507" s="686"/>
      <c r="W1507" s="236">
        <f>РПЗ!L1507</f>
        <v>321034.75</v>
      </c>
      <c r="X1507" s="689">
        <v>3</v>
      </c>
      <c r="Y1507" s="689">
        <v>0</v>
      </c>
      <c r="Z1507" s="691">
        <v>7705579703</v>
      </c>
      <c r="AA1507" s="691" t="s">
        <v>3287</v>
      </c>
      <c r="AB1507" s="111">
        <v>260354.08</v>
      </c>
      <c r="AC1507" s="17"/>
      <c r="AD1507" s="690"/>
      <c r="AE1507" s="686"/>
      <c r="AF1507" s="474"/>
      <c r="AG1507" s="692">
        <v>260354.08</v>
      </c>
      <c r="AH1507" s="236">
        <f>IF(Таблица5[[#This Row],[30]]=0,"НД",Таблица5[[#This Row],[20]]-Таблица5[[#This Row],[30]])</f>
        <v>60680.670000000013</v>
      </c>
      <c r="AI1507" s="511">
        <f>IF(((1-Таблица5[[#This Row],[30]]/Таблица5[[#This Row],[20]])=1),"НД",(1-Таблица5[[#This Row],[30]]/Таблица5[[#This Row],[20]]))</f>
        <v>0.18901589313929412</v>
      </c>
      <c r="AJ1507" s="111"/>
      <c r="AK1507" s="111">
        <v>260354.08</v>
      </c>
      <c r="AL1507" s="512"/>
      <c r="AM1507" s="513" t="s">
        <v>113</v>
      </c>
      <c r="AN1507" s="801">
        <v>31705873890</v>
      </c>
      <c r="AO1507" s="468">
        <f>РПЗ!AD1507</f>
        <v>0</v>
      </c>
      <c r="AP1507" s="472">
        <f>РПЗ!V1507</f>
        <v>0</v>
      </c>
      <c r="AQ1507" s="470">
        <f>IF(Таблица5[[#This Row],[11]]=0,,MONTH(Таблица5[[#This Row],[11]]))</f>
        <v>12</v>
      </c>
    </row>
    <row r="1508" spans="1:43" ht="38.25" x14ac:dyDescent="0.25">
      <c r="A1508" s="233" t="str">
        <f t="shared" si="23"/>
        <v>1004-2017-1493</v>
      </c>
      <c r="B1508" s="233" t="str">
        <f>РПЗ!$D1508</f>
        <v>1004-2017-1493 Харктериограф</v>
      </c>
      <c r="C1508" s="233" t="str">
        <f>РПЗ!$AA1559</f>
        <v>АО "НИИ "Полюс" им. М.Ф. Стельмаха" тел. отдела закупок 8-495-333-05-02</v>
      </c>
      <c r="D1508" s="633" t="str">
        <f>РПЗ!$AB1559</f>
        <v>Заказчик</v>
      </c>
      <c r="E1508" s="96" t="s">
        <v>46</v>
      </c>
      <c r="F1508" s="233" t="str">
        <f>РПЗ!Q1508</f>
        <v>ОЗК</v>
      </c>
      <c r="G1508" s="237"/>
      <c r="H1508" s="237" t="str">
        <f>РПЗ!R1508</f>
        <v>Да</v>
      </c>
      <c r="I1508" s="15">
        <f>РПЗ!W1736</f>
        <v>0</v>
      </c>
      <c r="J1508" s="233">
        <f>РПЗ!X1736</f>
        <v>0</v>
      </c>
      <c r="K1508" s="283">
        <f>РПЗ!Z1736</f>
        <v>0</v>
      </c>
      <c r="L1508" s="17"/>
      <c r="M1508" s="18">
        <f>РПЗ!O1508</f>
        <v>43070.625</v>
      </c>
      <c r="N1508" s="238">
        <f>Таблица5[[#This Row],[10]]</f>
        <v>43070.625</v>
      </c>
      <c r="O1508" s="17"/>
      <c r="P1508" s="17"/>
      <c r="Q1508" s="17"/>
      <c r="R1508" s="17"/>
      <c r="S1508" s="17"/>
      <c r="T1508" s="686"/>
      <c r="U1508" s="18">
        <f>РПЗ!P1736</f>
        <v>0</v>
      </c>
      <c r="V1508" s="686"/>
      <c r="W1508" s="236">
        <f>РПЗ!L1508</f>
        <v>385000</v>
      </c>
      <c r="X1508" s="689"/>
      <c r="Y1508" s="689"/>
      <c r="Z1508" s="690"/>
      <c r="AA1508" s="691"/>
      <c r="AB1508" s="111"/>
      <c r="AC1508" s="17"/>
      <c r="AD1508" s="690"/>
      <c r="AE1508" s="686"/>
      <c r="AF1508" s="474"/>
      <c r="AG1508" s="692"/>
      <c r="AH1508" s="236" t="str">
        <f>IF(Таблица5[[#This Row],[30]]=0,"НД",Таблица5[[#This Row],[20]]-Таблица5[[#This Row],[30]])</f>
        <v>НД</v>
      </c>
      <c r="AI1508" s="511" t="str">
        <f>IF(((1-Таблица5[[#This Row],[30]]/Таблица5[[#This Row],[20]])=1),"НД",(1-Таблица5[[#This Row],[30]]/Таблица5[[#This Row],[20]]))</f>
        <v>НД</v>
      </c>
      <c r="AJ1508" s="111"/>
      <c r="AK1508" s="111"/>
      <c r="AL1508" s="512"/>
      <c r="AM1508" s="513"/>
      <c r="AN1508" s="465"/>
      <c r="AO1508" s="468">
        <f>РПЗ!AD1508</f>
        <v>0</v>
      </c>
      <c r="AP1508" s="472">
        <f>РПЗ!V1508</f>
        <v>0</v>
      </c>
      <c r="AQ1508" s="470">
        <f>IF(Таблица5[[#This Row],[11]]=0,,MONTH(Таблица5[[#This Row],[11]]))</f>
        <v>12</v>
      </c>
    </row>
    <row r="1509" spans="1:43" ht="51" x14ac:dyDescent="0.25">
      <c r="A1509" s="233" t="str">
        <f t="shared" si="23"/>
        <v>1004-2017-1494</v>
      </c>
      <c r="B1509" s="233" t="str">
        <f>РПЗ!$D1509</f>
        <v>1004-2017-1494 на выполнение работ по изготовлению, доставке и установке окон ПВХ в ком.      № 727, 729а ЛК; в ком. № 218а</v>
      </c>
      <c r="C1509" s="233" t="str">
        <f>РПЗ!$AA1560</f>
        <v>АО "НИИ "Полюс" им. М.Ф. Стельмаха" тел. отдела закупок 8-495-333-05-02</v>
      </c>
      <c r="D1509" s="633" t="str">
        <f>РПЗ!$AB1560</f>
        <v>Заказчик</v>
      </c>
      <c r="E1509" s="510" t="s">
        <v>62</v>
      </c>
      <c r="F1509" s="233" t="str">
        <f>РПЗ!Q1509</f>
        <v>ОЗК</v>
      </c>
      <c r="G1509" s="237" t="str">
        <f>Таблица5[[#This Row],[6]]</f>
        <v>ОЗК</v>
      </c>
      <c r="H1509" s="237" t="str">
        <f>РПЗ!R1509</f>
        <v>Да</v>
      </c>
      <c r="I1509" s="15">
        <f>РПЗ!W1737</f>
        <v>0</v>
      </c>
      <c r="J1509" s="233">
        <f>РПЗ!X1737</f>
        <v>0</v>
      </c>
      <c r="K1509" s="283">
        <f>РПЗ!Z1737</f>
        <v>0</v>
      </c>
      <c r="L1509" s="17">
        <v>43077</v>
      </c>
      <c r="M1509" s="18">
        <f>РПЗ!O1509</f>
        <v>43070.625</v>
      </c>
      <c r="N1509" s="238">
        <f>Таблица5[[#This Row],[10]]</f>
        <v>43070.625</v>
      </c>
      <c r="O1509" s="17">
        <v>43083</v>
      </c>
      <c r="P1509" s="17">
        <v>43088</v>
      </c>
      <c r="Q1509" s="17">
        <v>43088</v>
      </c>
      <c r="R1509" s="17">
        <v>43083</v>
      </c>
      <c r="S1509" s="17">
        <v>43083</v>
      </c>
      <c r="T1509" s="686">
        <v>43094</v>
      </c>
      <c r="U1509" s="18">
        <f>РПЗ!P1509</f>
        <v>43070.625</v>
      </c>
      <c r="V1509" s="686">
        <v>43103</v>
      </c>
      <c r="W1509" s="236">
        <f>РПЗ!L1509</f>
        <v>413750.13</v>
      </c>
      <c r="X1509" s="689">
        <v>1</v>
      </c>
      <c r="Y1509" s="689">
        <v>0</v>
      </c>
      <c r="Z1509" s="708">
        <v>621303480702</v>
      </c>
      <c r="AA1509" s="691" t="s">
        <v>8081</v>
      </c>
      <c r="AB1509" s="111">
        <v>400014</v>
      </c>
      <c r="AC1509" s="17">
        <v>43103</v>
      </c>
      <c r="AD1509" s="690" t="s">
        <v>8082</v>
      </c>
      <c r="AE1509" s="686">
        <v>43094</v>
      </c>
      <c r="AF1509" s="474"/>
      <c r="AG1509" s="692">
        <v>400014</v>
      </c>
      <c r="AH1509" s="236">
        <f>IF(Таблица5[[#This Row],[30]]=0,"НД",Таблица5[[#This Row],[20]]-Таблица5[[#This Row],[30]])</f>
        <v>13736.130000000005</v>
      </c>
      <c r="AI1509" s="511">
        <f>IF(((1-Таблица5[[#This Row],[30]]/Таблица5[[#This Row],[20]])=1),"НД",(1-Таблица5[[#This Row],[30]]/Таблица5[[#This Row],[20]]))</f>
        <v>3.3199095309045634E-2</v>
      </c>
      <c r="AJ1509" s="111"/>
      <c r="AK1509" s="111">
        <v>400014</v>
      </c>
      <c r="AL1509" s="512"/>
      <c r="AM1509" s="513" t="s">
        <v>113</v>
      </c>
      <c r="AN1509" s="801">
        <v>31705854963</v>
      </c>
      <c r="AO1509" s="468">
        <f>РПЗ!AD1509</f>
        <v>0</v>
      </c>
      <c r="AP1509" s="472">
        <f>РПЗ!V1509</f>
        <v>0</v>
      </c>
      <c r="AQ1509" s="470">
        <f>IF(Таблица5[[#This Row],[11]]=0,,MONTH(Таблица5[[#This Row],[11]]))</f>
        <v>12</v>
      </c>
    </row>
    <row r="1510" spans="1:43" ht="77.25" thickBot="1" x14ac:dyDescent="0.3">
      <c r="A1510" s="233" t="str">
        <f t="shared" si="23"/>
        <v>1004-2017-1495</v>
      </c>
      <c r="B1510" s="233" t="str">
        <f>РПЗ!$D1510</f>
        <v xml:space="preserve">1004-2017-1495 изготовление и установку металлических дверных блоков в отдел 013 (информационной и экономической безопасности), в отдел 001 РСО, на склад готовой продукции пом. 20ПК </v>
      </c>
      <c r="C1510" s="233" t="str">
        <f>РПЗ!$AA1561</f>
        <v>АО "НИИ "Полюс" им. М.Ф. Стельмаха" тел. отдела закупок 8-495-333-05-02</v>
      </c>
      <c r="D1510" s="633" t="str">
        <f>РПЗ!$AB1561</f>
        <v>Заказчик</v>
      </c>
      <c r="E1510" s="510" t="s">
        <v>59</v>
      </c>
      <c r="F1510" s="233" t="str">
        <f>РПЗ!Q1510</f>
        <v>ОЗК</v>
      </c>
      <c r="G1510" s="237" t="str">
        <f>Таблица5[[#This Row],[6]]</f>
        <v>ОЗК</v>
      </c>
      <c r="H1510" s="237" t="str">
        <f>РПЗ!R1510</f>
        <v>Да</v>
      </c>
      <c r="I1510" s="15">
        <f>РПЗ!W1738</f>
        <v>0</v>
      </c>
      <c r="J1510" s="233">
        <f>РПЗ!X1738</f>
        <v>0</v>
      </c>
      <c r="K1510" s="283">
        <f>РПЗ!Z1738</f>
        <v>0</v>
      </c>
      <c r="L1510" s="17">
        <v>43077</v>
      </c>
      <c r="M1510" s="18">
        <f>РПЗ!O1510</f>
        <v>43070.625</v>
      </c>
      <c r="N1510" s="238">
        <f>Таблица5[[#This Row],[10]]</f>
        <v>43070.625</v>
      </c>
      <c r="O1510" s="17">
        <v>43083</v>
      </c>
      <c r="P1510" s="17">
        <v>43088</v>
      </c>
      <c r="Q1510" s="17">
        <v>43088</v>
      </c>
      <c r="R1510" s="17">
        <v>43088</v>
      </c>
      <c r="S1510" s="17">
        <v>43088</v>
      </c>
      <c r="T1510" s="686"/>
      <c r="U1510" s="18">
        <f>РПЗ!P1510</f>
        <v>43070.625</v>
      </c>
      <c r="V1510" s="686"/>
      <c r="W1510" s="236">
        <f>РПЗ!L1510</f>
        <v>120936</v>
      </c>
      <c r="X1510" s="689">
        <v>0</v>
      </c>
      <c r="Y1510" s="689">
        <v>0</v>
      </c>
      <c r="Z1510" s="690"/>
      <c r="AA1510" s="691"/>
      <c r="AB1510" s="111"/>
      <c r="AC1510" s="17"/>
      <c r="AD1510" s="690"/>
      <c r="AE1510" s="686"/>
      <c r="AF1510" s="474"/>
      <c r="AG1510" s="692"/>
      <c r="AH1510" s="236" t="str">
        <f>IF(Таблица5[[#This Row],[30]]=0,"НД",Таблица5[[#This Row],[20]]-Таблица5[[#This Row],[30]])</f>
        <v>НД</v>
      </c>
      <c r="AI1510" s="511" t="str">
        <f>IF(((1-Таблица5[[#This Row],[30]]/Таблица5[[#This Row],[20]])=1),"НД",(1-Таблица5[[#This Row],[30]]/Таблица5[[#This Row],[20]]))</f>
        <v>НД</v>
      </c>
      <c r="AJ1510" s="111"/>
      <c r="AK1510" s="111"/>
      <c r="AL1510" s="512"/>
      <c r="AM1510" s="513" t="s">
        <v>113</v>
      </c>
      <c r="AN1510" s="801">
        <v>31705854936</v>
      </c>
      <c r="AO1510" s="468">
        <f>РПЗ!AD1510</f>
        <v>0</v>
      </c>
      <c r="AP1510" s="472">
        <f>РПЗ!V1510</f>
        <v>0</v>
      </c>
      <c r="AQ1510" s="470">
        <f>IF(Таблица5[[#This Row],[11]]=0,,MONTH(Таблица5[[#This Row],[11]]))</f>
        <v>12</v>
      </c>
    </row>
    <row r="1511" spans="1:43" ht="39" thickBot="1" x14ac:dyDescent="0.3">
      <c r="A1511" s="233" t="str">
        <f t="shared" si="23"/>
        <v>1004-2017-1496</v>
      </c>
      <c r="B1511" s="233" t="str">
        <f>РПЗ!$D1511</f>
        <v>1004-2017-1496 програмируемый оптический аттенюатор FOD5418</v>
      </c>
      <c r="C1511" s="233" t="str">
        <f>РПЗ!$AA1562</f>
        <v>АО "НИИ "Полюс" им. М.Ф. Стельмаха" тел. отдела закупок 8-495-333-05-02</v>
      </c>
      <c r="D1511" s="633" t="str">
        <f>РПЗ!$AB1562</f>
        <v>Заказчик</v>
      </c>
      <c r="E1511" s="96" t="s">
        <v>46</v>
      </c>
      <c r="F1511" s="233" t="str">
        <f>РПЗ!Q1511</f>
        <v>ЕП</v>
      </c>
      <c r="G1511" s="237"/>
      <c r="H1511" s="237" t="str">
        <f>РПЗ!R1511</f>
        <v>Нет</v>
      </c>
      <c r="I1511" s="15">
        <f>РПЗ!W1739</f>
        <v>0</v>
      </c>
      <c r="J1511" s="233">
        <f>РПЗ!X1739</f>
        <v>0</v>
      </c>
      <c r="K1511" s="283">
        <f>РПЗ!Z1739</f>
        <v>0</v>
      </c>
      <c r="L1511" s="17"/>
      <c r="M1511" s="18">
        <f>РПЗ!O1511</f>
        <v>43070.625</v>
      </c>
      <c r="N1511" s="238">
        <f>Таблица5[[#This Row],[10]]</f>
        <v>43070.625</v>
      </c>
      <c r="O1511" s="17"/>
      <c r="P1511" s="17"/>
      <c r="Q1511" s="17"/>
      <c r="R1511" s="17"/>
      <c r="S1511" s="17"/>
      <c r="T1511" s="686"/>
      <c r="U1511" s="18">
        <f>РПЗ!P1511</f>
        <v>43101.625</v>
      </c>
      <c r="V1511" s="686"/>
      <c r="W1511" s="236">
        <f>РПЗ!L1511</f>
        <v>1268981.43</v>
      </c>
      <c r="X1511" s="689"/>
      <c r="Y1511" s="689"/>
      <c r="Z1511" s="690"/>
      <c r="AA1511" s="691"/>
      <c r="AB1511" s="111"/>
      <c r="AC1511" s="17"/>
      <c r="AD1511" s="690"/>
      <c r="AE1511" s="686"/>
      <c r="AF1511" s="474"/>
      <c r="AG1511" s="692"/>
      <c r="AH1511" s="236" t="str">
        <f>IF(Таблица5[[#This Row],[30]]=0,"НД",Таблица5[[#This Row],[20]]-Таблица5[[#This Row],[30]])</f>
        <v>НД</v>
      </c>
      <c r="AI1511" s="511" t="str">
        <f>IF(((1-Таблица5[[#This Row],[30]]/Таблица5[[#This Row],[20]])=1),"НД",(1-Таблица5[[#This Row],[30]]/Таблица5[[#This Row],[20]]))</f>
        <v>НД</v>
      </c>
      <c r="AJ1511" s="111"/>
      <c r="AK1511" s="111"/>
      <c r="AL1511" s="512"/>
      <c r="AM1511" s="513"/>
      <c r="AN1511" s="465"/>
      <c r="AO1511" s="468">
        <f>РПЗ!AD1511</f>
        <v>0</v>
      </c>
      <c r="AP1511" s="472">
        <f>РПЗ!V1511</f>
        <v>0</v>
      </c>
      <c r="AQ1511" s="470">
        <f>IF(Таблица5[[#This Row],[11]]=0,,MONTH(Таблица5[[#This Row],[11]]))</f>
        <v>12</v>
      </c>
    </row>
    <row r="1512" spans="1:43" ht="39" thickBot="1" x14ac:dyDescent="0.3">
      <c r="A1512" s="233" t="str">
        <f t="shared" si="23"/>
        <v>1004-2017-1497</v>
      </c>
      <c r="B1512" s="233" t="str">
        <f>РПЗ!$D1512</f>
        <v xml:space="preserve">1004-2017-1497 конденсаторы     К53-68 </v>
      </c>
      <c r="C1512" s="233" t="str">
        <f>РПЗ!$AA1563</f>
        <v>АО "НИИ "Полюс" им. М.Ф. Стельмаха" тел. отдела закупок 8-495-333-05-02</v>
      </c>
      <c r="D1512" s="633" t="str">
        <f>РПЗ!$AB1563</f>
        <v>Заказчик</v>
      </c>
      <c r="E1512" s="96" t="s">
        <v>46</v>
      </c>
      <c r="F1512" s="233" t="str">
        <f>РПЗ!Q1512</f>
        <v>ЕП</v>
      </c>
      <c r="G1512" s="237"/>
      <c r="H1512" s="237" t="str">
        <f>РПЗ!R1512</f>
        <v>Нет</v>
      </c>
      <c r="I1512" s="15">
        <f>РПЗ!W1740</f>
        <v>0</v>
      </c>
      <c r="J1512" s="233">
        <f>РПЗ!X1740</f>
        <v>0</v>
      </c>
      <c r="K1512" s="283">
        <f>РПЗ!Z1740</f>
        <v>0</v>
      </c>
      <c r="L1512" s="17"/>
      <c r="M1512" s="18">
        <f>РПЗ!O1512</f>
        <v>43070.625</v>
      </c>
      <c r="N1512" s="238">
        <f>Таблица5[[#This Row],[10]]</f>
        <v>43070.625</v>
      </c>
      <c r="O1512" s="17"/>
      <c r="P1512" s="17"/>
      <c r="Q1512" s="17"/>
      <c r="R1512" s="17"/>
      <c r="S1512" s="17"/>
      <c r="T1512" s="686"/>
      <c r="U1512" s="18">
        <f>РПЗ!P1512</f>
        <v>43101.625</v>
      </c>
      <c r="V1512" s="686"/>
      <c r="W1512" s="236">
        <f>РПЗ!L1512</f>
        <v>173266.47</v>
      </c>
      <c r="X1512" s="689"/>
      <c r="Y1512" s="689"/>
      <c r="Z1512" s="690"/>
      <c r="AA1512" s="691"/>
      <c r="AB1512" s="111"/>
      <c r="AC1512" s="17"/>
      <c r="AD1512" s="690"/>
      <c r="AE1512" s="686"/>
      <c r="AF1512" s="474"/>
      <c r="AG1512" s="692"/>
      <c r="AH1512" s="236" t="str">
        <f>IF(Таблица5[[#This Row],[30]]=0,"НД",Таблица5[[#This Row],[20]]-Таблица5[[#This Row],[30]])</f>
        <v>НД</v>
      </c>
      <c r="AI1512" s="511" t="str">
        <f>IF(((1-Таблица5[[#This Row],[30]]/Таблица5[[#This Row],[20]])=1),"НД",(1-Таблица5[[#This Row],[30]]/Таблица5[[#This Row],[20]]))</f>
        <v>НД</v>
      </c>
      <c r="AJ1512" s="111"/>
      <c r="AK1512" s="111"/>
      <c r="AL1512" s="512"/>
      <c r="AM1512" s="513"/>
      <c r="AN1512" s="465"/>
      <c r="AO1512" s="468">
        <f>РПЗ!AD1512</f>
        <v>0</v>
      </c>
      <c r="AP1512" s="472">
        <f>РПЗ!V1512</f>
        <v>0</v>
      </c>
      <c r="AQ1512" s="470">
        <f>IF(Таблица5[[#This Row],[11]]=0,,MONTH(Таблица5[[#This Row],[11]]))</f>
        <v>12</v>
      </c>
    </row>
    <row r="1513" spans="1:43" ht="39" thickBot="1" x14ac:dyDescent="0.3">
      <c r="A1513" s="233" t="str">
        <f t="shared" si="23"/>
        <v>1004-2017-1498</v>
      </c>
      <c r="B1513" s="233" t="str">
        <f>РПЗ!$D1513</f>
        <v>1004-2017-1498 излучатели ЖГДК.433751.092, фотодиоды  ЖГДК.432231.052</v>
      </c>
      <c r="C1513" s="233" t="str">
        <f>РПЗ!$AA1564</f>
        <v>АО "НИИ "Полюс" им. М.Ф. Стельмаха" тел. отдела закупок 8-495-333-05-02</v>
      </c>
      <c r="D1513" s="633" t="str">
        <f>РПЗ!$AB1564</f>
        <v>Заказчик</v>
      </c>
      <c r="E1513" s="96" t="s">
        <v>46</v>
      </c>
      <c r="F1513" s="233" t="str">
        <f>РПЗ!Q1513</f>
        <v>ЕП</v>
      </c>
      <c r="G1513" s="237"/>
      <c r="H1513" s="237" t="str">
        <f>РПЗ!R1513</f>
        <v>Нет</v>
      </c>
      <c r="I1513" s="15">
        <f>РПЗ!W1741</f>
        <v>0</v>
      </c>
      <c r="J1513" s="233">
        <f>РПЗ!X1741</f>
        <v>0</v>
      </c>
      <c r="K1513" s="283">
        <f>РПЗ!Z1741</f>
        <v>0</v>
      </c>
      <c r="L1513" s="17"/>
      <c r="M1513" s="18">
        <f>РПЗ!O1513</f>
        <v>43070.625</v>
      </c>
      <c r="N1513" s="238">
        <f>Таблица5[[#This Row],[10]]</f>
        <v>43070.625</v>
      </c>
      <c r="O1513" s="17"/>
      <c r="P1513" s="17"/>
      <c r="Q1513" s="17"/>
      <c r="R1513" s="17"/>
      <c r="S1513" s="17"/>
      <c r="T1513" s="686"/>
      <c r="U1513" s="18">
        <f>РПЗ!P1513</f>
        <v>43101.625</v>
      </c>
      <c r="V1513" s="686"/>
      <c r="W1513" s="236">
        <f>РПЗ!L1513</f>
        <v>325380</v>
      </c>
      <c r="X1513" s="689"/>
      <c r="Y1513" s="689"/>
      <c r="Z1513" s="690"/>
      <c r="AA1513" s="691"/>
      <c r="AB1513" s="111"/>
      <c r="AC1513" s="17"/>
      <c r="AD1513" s="690"/>
      <c r="AE1513" s="686"/>
      <c r="AF1513" s="474"/>
      <c r="AG1513" s="692"/>
      <c r="AH1513" s="236" t="str">
        <f>IF(Таблица5[[#This Row],[30]]=0,"НД",Таблица5[[#This Row],[20]]-Таблица5[[#This Row],[30]])</f>
        <v>НД</v>
      </c>
      <c r="AI1513" s="511" t="str">
        <f>IF(((1-Таблица5[[#This Row],[30]]/Таблица5[[#This Row],[20]])=1),"НД",(1-Таблица5[[#This Row],[30]]/Таблица5[[#This Row],[20]]))</f>
        <v>НД</v>
      </c>
      <c r="AJ1513" s="111"/>
      <c r="AK1513" s="111"/>
      <c r="AL1513" s="512"/>
      <c r="AM1513" s="513"/>
      <c r="AN1513" s="465"/>
      <c r="AO1513" s="468">
        <f>РПЗ!AD1513</f>
        <v>0</v>
      </c>
      <c r="AP1513" s="472">
        <f>РПЗ!V1513</f>
        <v>0</v>
      </c>
      <c r="AQ1513" s="470">
        <f>IF(Таблица5[[#This Row],[11]]=0,,MONTH(Таблица5[[#This Row],[11]]))</f>
        <v>12</v>
      </c>
    </row>
    <row r="1514" spans="1:43" ht="39" thickBot="1" x14ac:dyDescent="0.3">
      <c r="A1514" s="233" t="str">
        <f t="shared" si="23"/>
        <v>1004-2017-1499</v>
      </c>
      <c r="B1514" s="233" t="str">
        <f>РПЗ!$D1514</f>
        <v>1004-2017-1499 Кристалл ЖГДК.432245.006</v>
      </c>
      <c r="C1514" s="233" t="str">
        <f>РПЗ!$AA1565</f>
        <v>АО "НИИ "Полюс" им. М.Ф. Стельмаха" тел. отдела закупок 8-495-333-05-02</v>
      </c>
      <c r="D1514" s="633" t="str">
        <f>РПЗ!$AB1565</f>
        <v>Заказчик</v>
      </c>
      <c r="E1514" s="96" t="s">
        <v>46</v>
      </c>
      <c r="F1514" s="233" t="str">
        <f>РПЗ!Q1514</f>
        <v>ЕП</v>
      </c>
      <c r="G1514" s="237"/>
      <c r="H1514" s="237" t="str">
        <f>РПЗ!R1514</f>
        <v>Нет</v>
      </c>
      <c r="I1514" s="15">
        <f>РПЗ!W1742</f>
        <v>0</v>
      </c>
      <c r="J1514" s="233">
        <f>РПЗ!X1742</f>
        <v>0</v>
      </c>
      <c r="K1514" s="283">
        <f>РПЗ!Z1742</f>
        <v>0</v>
      </c>
      <c r="L1514" s="17"/>
      <c r="M1514" s="18">
        <f>РПЗ!O1514</f>
        <v>43070.625</v>
      </c>
      <c r="N1514" s="238">
        <f>Таблица5[[#This Row],[10]]</f>
        <v>43070.625</v>
      </c>
      <c r="O1514" s="17"/>
      <c r="P1514" s="17"/>
      <c r="Q1514" s="17"/>
      <c r="R1514" s="17"/>
      <c r="S1514" s="17"/>
      <c r="T1514" s="686"/>
      <c r="U1514" s="18">
        <f>РПЗ!P1514</f>
        <v>43101.625</v>
      </c>
      <c r="V1514" s="686"/>
      <c r="W1514" s="236">
        <f>РПЗ!L1514</f>
        <v>505087.2</v>
      </c>
      <c r="X1514" s="689"/>
      <c r="Y1514" s="689"/>
      <c r="Z1514" s="690"/>
      <c r="AA1514" s="691"/>
      <c r="AB1514" s="111"/>
      <c r="AC1514" s="17"/>
      <c r="AD1514" s="690"/>
      <c r="AE1514" s="686"/>
      <c r="AF1514" s="474"/>
      <c r="AG1514" s="692"/>
      <c r="AH1514" s="236" t="str">
        <f>IF(Таблица5[[#This Row],[30]]=0,"НД",Таблица5[[#This Row],[20]]-Таблица5[[#This Row],[30]])</f>
        <v>НД</v>
      </c>
      <c r="AI1514" s="511" t="str">
        <f>IF(((1-Таблица5[[#This Row],[30]]/Таблица5[[#This Row],[20]])=1),"НД",(1-Таблица5[[#This Row],[30]]/Таблица5[[#This Row],[20]]))</f>
        <v>НД</v>
      </c>
      <c r="AJ1514" s="111"/>
      <c r="AK1514" s="111"/>
      <c r="AL1514" s="512"/>
      <c r="AM1514" s="513"/>
      <c r="AN1514" s="465"/>
      <c r="AO1514" s="468">
        <f>РПЗ!AD1514</f>
        <v>0</v>
      </c>
      <c r="AP1514" s="472">
        <f>РПЗ!V1514</f>
        <v>0</v>
      </c>
      <c r="AQ1514" s="470">
        <f>IF(Таблица5[[#This Row],[11]]=0,,MONTH(Таблица5[[#This Row],[11]]))</f>
        <v>12</v>
      </c>
    </row>
    <row r="1515" spans="1:43" ht="39" thickBot="1" x14ac:dyDescent="0.3">
      <c r="A1515" s="233" t="str">
        <f t="shared" si="23"/>
        <v>1004-2017-1500</v>
      </c>
      <c r="B1515" s="233" t="str">
        <f>РПЗ!$D1515</f>
        <v xml:space="preserve">1004-2017-1500 конденсаторы     К53-68 </v>
      </c>
      <c r="C1515" s="233" t="str">
        <f>РПЗ!$AA1566</f>
        <v>АО "НИИ "Полюс" им. М.Ф. Стельмаха" тел. отдела закупок 8-495-333-05-02</v>
      </c>
      <c r="D1515" s="633" t="str">
        <f>РПЗ!$AB1566</f>
        <v>Заказчик</v>
      </c>
      <c r="E1515" s="96" t="s">
        <v>46</v>
      </c>
      <c r="F1515" s="233" t="str">
        <f>РПЗ!Q1515</f>
        <v>ЕП</v>
      </c>
      <c r="G1515" s="237"/>
      <c r="H1515" s="237" t="str">
        <f>РПЗ!R1515</f>
        <v>Нет</v>
      </c>
      <c r="I1515" s="15">
        <f>РПЗ!W1743</f>
        <v>0</v>
      </c>
      <c r="J1515" s="233">
        <f>РПЗ!X1743</f>
        <v>0</v>
      </c>
      <c r="K1515" s="283">
        <f>РПЗ!Z1743</f>
        <v>0</v>
      </c>
      <c r="L1515" s="17"/>
      <c r="M1515" s="18">
        <f>РПЗ!O1515</f>
        <v>43070.625</v>
      </c>
      <c r="N1515" s="238">
        <f>Таблица5[[#This Row],[10]]</f>
        <v>43070.625</v>
      </c>
      <c r="O1515" s="17"/>
      <c r="P1515" s="17"/>
      <c r="Q1515" s="17"/>
      <c r="R1515" s="17"/>
      <c r="S1515" s="17"/>
      <c r="T1515" s="686"/>
      <c r="U1515" s="18">
        <f>РПЗ!P1515</f>
        <v>43101.625</v>
      </c>
      <c r="V1515" s="686"/>
      <c r="W1515" s="236">
        <f>РПЗ!L1515</f>
        <v>157327.9</v>
      </c>
      <c r="X1515" s="689"/>
      <c r="Y1515" s="689"/>
      <c r="Z1515" s="690"/>
      <c r="AA1515" s="691"/>
      <c r="AB1515" s="111"/>
      <c r="AC1515" s="17"/>
      <c r="AD1515" s="690"/>
      <c r="AE1515" s="686"/>
      <c r="AF1515" s="474"/>
      <c r="AG1515" s="692"/>
      <c r="AH1515" s="236" t="str">
        <f>IF(Таблица5[[#This Row],[30]]=0,"НД",Таблица5[[#This Row],[20]]-Таблица5[[#This Row],[30]])</f>
        <v>НД</v>
      </c>
      <c r="AI1515" s="511" t="str">
        <f>IF(((1-Таблица5[[#This Row],[30]]/Таблица5[[#This Row],[20]])=1),"НД",(1-Таблица5[[#This Row],[30]]/Таблица5[[#This Row],[20]]))</f>
        <v>НД</v>
      </c>
      <c r="AJ1515" s="111"/>
      <c r="AK1515" s="111"/>
      <c r="AL1515" s="512"/>
      <c r="AM1515" s="513"/>
      <c r="AN1515" s="465"/>
      <c r="AO1515" s="468">
        <f>РПЗ!AD1515</f>
        <v>0</v>
      </c>
      <c r="AP1515" s="472">
        <f>РПЗ!V1515</f>
        <v>0</v>
      </c>
      <c r="AQ1515" s="470">
        <f>IF(Таблица5[[#This Row],[11]]=0,,MONTH(Таблица5[[#This Row],[11]]))</f>
        <v>12</v>
      </c>
    </row>
    <row r="1516" spans="1:43" ht="39" thickBot="1" x14ac:dyDescent="0.3">
      <c r="A1516" s="233" t="str">
        <f t="shared" si="23"/>
        <v>1004-2017-1501</v>
      </c>
      <c r="B1516" s="233" t="str">
        <f>РПЗ!$D1516</f>
        <v>1004-2017-1501 кожух ЖГДК.305143.001 корпус  ЖГДК.301172.013</v>
      </c>
      <c r="C1516" s="233" t="str">
        <f>РПЗ!$AA1567</f>
        <v>АО "НИИ "Полюс" им. М.Ф. Стельмаха" тел. отдела закупок 8-495-333-05-02</v>
      </c>
      <c r="D1516" s="633" t="str">
        <f>РПЗ!$AB1567</f>
        <v>Заказчик</v>
      </c>
      <c r="E1516" s="96" t="s">
        <v>46</v>
      </c>
      <c r="F1516" s="233" t="str">
        <f>РПЗ!Q1516</f>
        <v>ЕП</v>
      </c>
      <c r="G1516" s="237"/>
      <c r="H1516" s="237" t="str">
        <f>РПЗ!R1516</f>
        <v>Нет</v>
      </c>
      <c r="I1516" s="15">
        <f>РПЗ!W1744</f>
        <v>0</v>
      </c>
      <c r="J1516" s="233">
        <f>РПЗ!X1744</f>
        <v>0</v>
      </c>
      <c r="K1516" s="283">
        <f>РПЗ!Z1744</f>
        <v>0</v>
      </c>
      <c r="L1516" s="17"/>
      <c r="M1516" s="18">
        <f>РПЗ!O1516</f>
        <v>43070.625</v>
      </c>
      <c r="N1516" s="238">
        <f>Таблица5[[#This Row],[10]]</f>
        <v>43070.625</v>
      </c>
      <c r="O1516" s="17"/>
      <c r="P1516" s="17"/>
      <c r="Q1516" s="17"/>
      <c r="R1516" s="17"/>
      <c r="S1516" s="17"/>
      <c r="T1516" s="686"/>
      <c r="U1516" s="18">
        <f>РПЗ!P1516</f>
        <v>43101.625</v>
      </c>
      <c r="V1516" s="686"/>
      <c r="W1516" s="236">
        <f>РПЗ!L1516</f>
        <v>599663.43999999994</v>
      </c>
      <c r="X1516" s="689"/>
      <c r="Y1516" s="689"/>
      <c r="Z1516" s="690"/>
      <c r="AA1516" s="691"/>
      <c r="AB1516" s="111"/>
      <c r="AC1516" s="17"/>
      <c r="AD1516" s="690"/>
      <c r="AE1516" s="686"/>
      <c r="AF1516" s="474"/>
      <c r="AG1516" s="692"/>
      <c r="AH1516" s="236" t="str">
        <f>IF(Таблица5[[#This Row],[30]]=0,"НД",Таблица5[[#This Row],[20]]-Таблица5[[#This Row],[30]])</f>
        <v>НД</v>
      </c>
      <c r="AI1516" s="511" t="str">
        <f>IF(((1-Таблица5[[#This Row],[30]]/Таблица5[[#This Row],[20]])=1),"НД",(1-Таблица5[[#This Row],[30]]/Таблица5[[#This Row],[20]]))</f>
        <v>НД</v>
      </c>
      <c r="AJ1516" s="111"/>
      <c r="AK1516" s="111"/>
      <c r="AL1516" s="512"/>
      <c r="AM1516" s="513"/>
      <c r="AN1516" s="465"/>
      <c r="AO1516" s="468">
        <f>РПЗ!AD1516</f>
        <v>0</v>
      </c>
      <c r="AP1516" s="472">
        <f>РПЗ!V1516</f>
        <v>0</v>
      </c>
      <c r="AQ1516" s="470">
        <f>IF(Таблица5[[#This Row],[11]]=0,,MONTH(Таблица5[[#This Row],[11]]))</f>
        <v>12</v>
      </c>
    </row>
    <row r="1517" spans="1:43" ht="39" thickBot="1" x14ac:dyDescent="0.3">
      <c r="A1517" s="233" t="str">
        <f t="shared" si="23"/>
        <v>1004-2017-1502</v>
      </c>
      <c r="B1517" s="233" t="str">
        <f>РПЗ!$D1517</f>
        <v>1004-2017-1502 ноутбук Dell Vostro 5468 i3-6006U (2.0)/4G/500G/14,0; сумка HP 15?6 Legend Topload</v>
      </c>
      <c r="C1517" s="233" t="str">
        <f>РПЗ!$AA1568</f>
        <v>АО "НИИ "Полюс" им. М.Ф. Стельмаха" тел. отдела закупок 8-495-333-05-02</v>
      </c>
      <c r="D1517" s="633" t="str">
        <f>РПЗ!$AB1568</f>
        <v>Заказчик</v>
      </c>
      <c r="E1517" s="96" t="s">
        <v>46</v>
      </c>
      <c r="F1517" s="233" t="str">
        <f>РПЗ!Q1517</f>
        <v>ЕП</v>
      </c>
      <c r="G1517" s="237"/>
      <c r="H1517" s="237" t="str">
        <f>РПЗ!R1517</f>
        <v>Нет</v>
      </c>
      <c r="I1517" s="15">
        <f>РПЗ!W1745</f>
        <v>0</v>
      </c>
      <c r="J1517" s="233">
        <f>РПЗ!X1745</f>
        <v>0</v>
      </c>
      <c r="K1517" s="283">
        <f>РПЗ!Z1745</f>
        <v>0</v>
      </c>
      <c r="L1517" s="17"/>
      <c r="M1517" s="18">
        <f>РПЗ!O1517</f>
        <v>43070.625</v>
      </c>
      <c r="N1517" s="238">
        <f>Таблица5[[#This Row],[10]]</f>
        <v>43070.625</v>
      </c>
      <c r="O1517" s="17"/>
      <c r="P1517" s="17"/>
      <c r="Q1517" s="17"/>
      <c r="R1517" s="17"/>
      <c r="S1517" s="17"/>
      <c r="T1517" s="686"/>
      <c r="U1517" s="18">
        <f>РПЗ!P1517</f>
        <v>43101.625</v>
      </c>
      <c r="V1517" s="686"/>
      <c r="W1517" s="236">
        <f>РПЗ!L1517</f>
        <v>453860</v>
      </c>
      <c r="X1517" s="689"/>
      <c r="Y1517" s="689"/>
      <c r="Z1517" s="690"/>
      <c r="AA1517" s="691"/>
      <c r="AB1517" s="111"/>
      <c r="AC1517" s="17"/>
      <c r="AD1517" s="690"/>
      <c r="AE1517" s="686"/>
      <c r="AF1517" s="474"/>
      <c r="AG1517" s="692"/>
      <c r="AH1517" s="236" t="str">
        <f>IF(Таблица5[[#This Row],[30]]=0,"НД",Таблица5[[#This Row],[20]]-Таблица5[[#This Row],[30]])</f>
        <v>НД</v>
      </c>
      <c r="AI1517" s="511" t="str">
        <f>IF(((1-Таблица5[[#This Row],[30]]/Таблица5[[#This Row],[20]])=1),"НД",(1-Таблица5[[#This Row],[30]]/Таблица5[[#This Row],[20]]))</f>
        <v>НД</v>
      </c>
      <c r="AJ1517" s="111"/>
      <c r="AK1517" s="111"/>
      <c r="AL1517" s="512"/>
      <c r="AM1517" s="513"/>
      <c r="AN1517" s="465"/>
      <c r="AO1517" s="468">
        <f>РПЗ!AD1517</f>
        <v>0</v>
      </c>
      <c r="AP1517" s="472">
        <f>РПЗ!V1517</f>
        <v>0</v>
      </c>
      <c r="AQ1517" s="470">
        <f>IF(Таблица5[[#This Row],[11]]=0,,MONTH(Таблица5[[#This Row],[11]]))</f>
        <v>12</v>
      </c>
    </row>
    <row r="1518" spans="1:43" ht="39" thickBot="1" x14ac:dyDescent="0.3">
      <c r="A1518" s="233" t="str">
        <f t="shared" si="23"/>
        <v>1004-2017-1503</v>
      </c>
      <c r="B1518" s="233" t="str">
        <f>РПЗ!$D1518</f>
        <v>1004-2017-1503 Транзисторы 2Т3191 А91, 2Т3202А9</v>
      </c>
      <c r="C1518" s="233" t="str">
        <f>РПЗ!$AA1569</f>
        <v>АО "НИИ "Полюс" им. М.Ф. Стельмаха" тел. отдела закупок 8-495-333-05-02</v>
      </c>
      <c r="D1518" s="633" t="str">
        <f>РПЗ!$AB1569</f>
        <v>Заказчик</v>
      </c>
      <c r="E1518" s="96" t="s">
        <v>46</v>
      </c>
      <c r="F1518" s="233" t="str">
        <f>РПЗ!Q1518</f>
        <v>ЕП</v>
      </c>
      <c r="G1518" s="237"/>
      <c r="H1518" s="237" t="str">
        <f>РПЗ!R1518</f>
        <v>Нет</v>
      </c>
      <c r="I1518" s="15">
        <f>РПЗ!W1746</f>
        <v>0</v>
      </c>
      <c r="J1518" s="233">
        <f>РПЗ!X1746</f>
        <v>0</v>
      </c>
      <c r="K1518" s="283">
        <f>РПЗ!Z1746</f>
        <v>0</v>
      </c>
      <c r="L1518" s="17"/>
      <c r="M1518" s="18">
        <f>РПЗ!O1518</f>
        <v>43070.625</v>
      </c>
      <c r="N1518" s="238">
        <f>Таблица5[[#This Row],[10]]</f>
        <v>43070.625</v>
      </c>
      <c r="O1518" s="17"/>
      <c r="P1518" s="17"/>
      <c r="Q1518" s="17"/>
      <c r="R1518" s="17"/>
      <c r="S1518" s="17"/>
      <c r="T1518" s="686"/>
      <c r="U1518" s="18">
        <f>РПЗ!P1518</f>
        <v>43101.625</v>
      </c>
      <c r="V1518" s="686"/>
      <c r="W1518" s="236">
        <f>РПЗ!L1518</f>
        <v>167535.85</v>
      </c>
      <c r="X1518" s="689"/>
      <c r="Y1518" s="689"/>
      <c r="Z1518" s="690"/>
      <c r="AA1518" s="691"/>
      <c r="AB1518" s="111"/>
      <c r="AC1518" s="17"/>
      <c r="AD1518" s="690"/>
      <c r="AE1518" s="686"/>
      <c r="AF1518" s="474"/>
      <c r="AG1518" s="692"/>
      <c r="AH1518" s="236" t="str">
        <f>IF(Таблица5[[#This Row],[30]]=0,"НД",Таблица5[[#This Row],[20]]-Таблица5[[#This Row],[30]])</f>
        <v>НД</v>
      </c>
      <c r="AI1518" s="511" t="str">
        <f>IF(((1-Таблица5[[#This Row],[30]]/Таблица5[[#This Row],[20]])=1),"НД",(1-Таблица5[[#This Row],[30]]/Таблица5[[#This Row],[20]]))</f>
        <v>НД</v>
      </c>
      <c r="AJ1518" s="111"/>
      <c r="AK1518" s="111"/>
      <c r="AL1518" s="512"/>
      <c r="AM1518" s="513"/>
      <c r="AN1518" s="465"/>
      <c r="AO1518" s="468">
        <f>РПЗ!AD1518</f>
        <v>0</v>
      </c>
      <c r="AP1518" s="472">
        <f>РПЗ!V1518</f>
        <v>0</v>
      </c>
      <c r="AQ1518" s="470">
        <f>IF(Таблица5[[#This Row],[11]]=0,,MONTH(Таблица5[[#This Row],[11]]))</f>
        <v>12</v>
      </c>
    </row>
    <row r="1519" spans="1:43" ht="39" thickBot="1" x14ac:dyDescent="0.3">
      <c r="A1519" s="233" t="str">
        <f t="shared" si="23"/>
        <v>1004-2017-1504</v>
      </c>
      <c r="B1519" s="233" t="str">
        <f>РПЗ!$D1519</f>
        <v>1004-2017-1504 Поставка средств гражданской защиты</v>
      </c>
      <c r="C1519" s="233" t="str">
        <f>РПЗ!$AA1570</f>
        <v>АО "НИИ "Полюс" им. М.Ф. Стельмаха" тел. отдела закупок 8-495-333-05-02</v>
      </c>
      <c r="D1519" s="633" t="str">
        <f>РПЗ!$AB1570</f>
        <v>Заказчик</v>
      </c>
      <c r="E1519" s="96" t="s">
        <v>46</v>
      </c>
      <c r="F1519" s="233" t="str">
        <f>РПЗ!Q1519</f>
        <v>ОЗК</v>
      </c>
      <c r="G1519" s="237"/>
      <c r="H1519" s="237" t="str">
        <f>РПЗ!R1519</f>
        <v>Да</v>
      </c>
      <c r="I1519" s="15">
        <f>РПЗ!W1747</f>
        <v>0</v>
      </c>
      <c r="J1519" s="233">
        <f>РПЗ!X1747</f>
        <v>0</v>
      </c>
      <c r="K1519" s="283">
        <f>РПЗ!Z1747</f>
        <v>0</v>
      </c>
      <c r="L1519" s="17"/>
      <c r="M1519" s="18">
        <f>РПЗ!O1519</f>
        <v>43040.625</v>
      </c>
      <c r="N1519" s="238">
        <f>Таблица5[[#This Row],[10]]</f>
        <v>43040.625</v>
      </c>
      <c r="O1519" s="17"/>
      <c r="P1519" s="17"/>
      <c r="Q1519" s="17"/>
      <c r="R1519" s="17"/>
      <c r="S1519" s="17"/>
      <c r="T1519" s="686"/>
      <c r="U1519" s="18">
        <f>РПЗ!P1519</f>
        <v>43070.625</v>
      </c>
      <c r="V1519" s="686"/>
      <c r="W1519" s="236">
        <f>РПЗ!L1519</f>
        <v>255177.5</v>
      </c>
      <c r="X1519" s="689"/>
      <c r="Y1519" s="689"/>
      <c r="Z1519" s="690"/>
      <c r="AA1519" s="691"/>
      <c r="AB1519" s="111"/>
      <c r="AC1519" s="17"/>
      <c r="AD1519" s="690"/>
      <c r="AE1519" s="686"/>
      <c r="AF1519" s="474"/>
      <c r="AG1519" s="692"/>
      <c r="AH1519" s="236" t="str">
        <f>IF(Таблица5[[#This Row],[30]]=0,"НД",Таблица5[[#This Row],[20]]-Таблица5[[#This Row],[30]])</f>
        <v>НД</v>
      </c>
      <c r="AI1519" s="511" t="str">
        <f>IF(((1-Таблица5[[#This Row],[30]]/Таблица5[[#This Row],[20]])=1),"НД",(1-Таблица5[[#This Row],[30]]/Таблица5[[#This Row],[20]]))</f>
        <v>НД</v>
      </c>
      <c r="AJ1519" s="111"/>
      <c r="AK1519" s="111"/>
      <c r="AL1519" s="512"/>
      <c r="AM1519" s="513"/>
      <c r="AN1519" s="465"/>
      <c r="AO1519" s="468">
        <f>РПЗ!AD1519</f>
        <v>0</v>
      </c>
      <c r="AP1519" s="472">
        <f>РПЗ!V1519</f>
        <v>0</v>
      </c>
      <c r="AQ1519" s="470">
        <f>IF(Таблица5[[#This Row],[11]]=0,,MONTH(Таблица5[[#This Row],[11]]))</f>
        <v>11</v>
      </c>
    </row>
    <row r="1520" spans="1:43" ht="39" thickBot="1" x14ac:dyDescent="0.3">
      <c r="A1520" s="233" t="str">
        <f t="shared" si="23"/>
        <v>1004-2017-1505</v>
      </c>
      <c r="B1520" s="233" t="str">
        <f>РПЗ!$D1520</f>
        <v>1004-2017-1505 лампы импульсные</v>
      </c>
      <c r="C1520" s="233" t="str">
        <f>РПЗ!$AA1571</f>
        <v>АО "НИИ "Полюс" им. М.Ф. Стельмаха" тел. отдела закупок 8-495-333-05-02</v>
      </c>
      <c r="D1520" s="633" t="str">
        <f>РПЗ!$AB1571</f>
        <v>Заказчик</v>
      </c>
      <c r="E1520" s="96" t="s">
        <v>46</v>
      </c>
      <c r="F1520" s="233" t="str">
        <f>РПЗ!Q1520</f>
        <v>ЕП</v>
      </c>
      <c r="G1520" s="237"/>
      <c r="H1520" s="237" t="str">
        <f>РПЗ!R1520</f>
        <v>Нет</v>
      </c>
      <c r="I1520" s="15">
        <f>РПЗ!W1748</f>
        <v>0</v>
      </c>
      <c r="J1520" s="233">
        <f>РПЗ!X1748</f>
        <v>0</v>
      </c>
      <c r="K1520" s="283">
        <f>РПЗ!Z1748</f>
        <v>0</v>
      </c>
      <c r="L1520" s="17"/>
      <c r="M1520" s="18">
        <f>РПЗ!O1520</f>
        <v>43070.625</v>
      </c>
      <c r="N1520" s="238">
        <f>Таблица5[[#This Row],[10]]</f>
        <v>43070.625</v>
      </c>
      <c r="O1520" s="17"/>
      <c r="P1520" s="17"/>
      <c r="Q1520" s="17"/>
      <c r="R1520" s="17"/>
      <c r="S1520" s="17"/>
      <c r="T1520" s="686"/>
      <c r="U1520" s="18">
        <f>РПЗ!P1520</f>
        <v>43070.625</v>
      </c>
      <c r="V1520" s="686"/>
      <c r="W1520" s="236">
        <f>РПЗ!L1520</f>
        <v>3342187.3</v>
      </c>
      <c r="X1520" s="689"/>
      <c r="Y1520" s="689"/>
      <c r="Z1520" s="690"/>
      <c r="AA1520" s="691"/>
      <c r="AB1520" s="111"/>
      <c r="AC1520" s="17"/>
      <c r="AD1520" s="690"/>
      <c r="AE1520" s="686"/>
      <c r="AF1520" s="474"/>
      <c r="AG1520" s="692"/>
      <c r="AH1520" s="236" t="str">
        <f>IF(Таблица5[[#This Row],[30]]=0,"НД",Таблица5[[#This Row],[20]]-Таблица5[[#This Row],[30]])</f>
        <v>НД</v>
      </c>
      <c r="AI1520" s="511" t="str">
        <f>IF(((1-Таблица5[[#This Row],[30]]/Таблица5[[#This Row],[20]])=1),"НД",(1-Таблица5[[#This Row],[30]]/Таблица5[[#This Row],[20]]))</f>
        <v>НД</v>
      </c>
      <c r="AJ1520" s="111"/>
      <c r="AK1520" s="111"/>
      <c r="AL1520" s="512"/>
      <c r="AM1520" s="513"/>
      <c r="AN1520" s="465"/>
      <c r="AO1520" s="468">
        <f>РПЗ!AD1520</f>
        <v>0</v>
      </c>
      <c r="AP1520" s="472">
        <f>РПЗ!V1520</f>
        <v>0</v>
      </c>
      <c r="AQ1520" s="470">
        <f>IF(Таблица5[[#This Row],[11]]=0,,MONTH(Таблица5[[#This Row],[11]]))</f>
        <v>12</v>
      </c>
    </row>
    <row r="1521" spans="1:43" ht="39" thickBot="1" x14ac:dyDescent="0.3">
      <c r="A1521" s="233" t="str">
        <f t="shared" si="23"/>
        <v>1004-2017-1506</v>
      </c>
      <c r="B1521" s="233" t="str">
        <f>РПЗ!$D1521</f>
        <v>1004-2017-1506 лампы импульсные</v>
      </c>
      <c r="C1521" s="233" t="str">
        <f>РПЗ!$AA1572</f>
        <v>АО "НИИ "Полюс" им. М.Ф. Стельмаха" тел. отдела закупок 8-495-333-05-02</v>
      </c>
      <c r="D1521" s="633" t="str">
        <f>РПЗ!$AB1572</f>
        <v>Заказчик</v>
      </c>
      <c r="E1521" s="96" t="s">
        <v>46</v>
      </c>
      <c r="F1521" s="233" t="str">
        <f>РПЗ!Q1521</f>
        <v>ЕП</v>
      </c>
      <c r="G1521" s="237"/>
      <c r="H1521" s="237" t="str">
        <f>РПЗ!R1521</f>
        <v>Нет</v>
      </c>
      <c r="I1521" s="15">
        <f>РПЗ!W1749</f>
        <v>0</v>
      </c>
      <c r="J1521" s="233">
        <f>РПЗ!X1749</f>
        <v>0</v>
      </c>
      <c r="K1521" s="283">
        <f>РПЗ!Z1749</f>
        <v>0</v>
      </c>
      <c r="L1521" s="17"/>
      <c r="M1521" s="18">
        <f>РПЗ!O1521</f>
        <v>43070.625</v>
      </c>
      <c r="N1521" s="238">
        <f>Таблица5[[#This Row],[10]]</f>
        <v>43070.625</v>
      </c>
      <c r="O1521" s="17"/>
      <c r="P1521" s="17"/>
      <c r="Q1521" s="17"/>
      <c r="R1521" s="17"/>
      <c r="S1521" s="17"/>
      <c r="T1521" s="686"/>
      <c r="U1521" s="18">
        <f>РПЗ!P1521</f>
        <v>43070.625</v>
      </c>
      <c r="V1521" s="686"/>
      <c r="W1521" s="236">
        <f>РПЗ!L1521</f>
        <v>575276.37</v>
      </c>
      <c r="X1521" s="689"/>
      <c r="Y1521" s="689"/>
      <c r="Z1521" s="690"/>
      <c r="AA1521" s="691"/>
      <c r="AB1521" s="111"/>
      <c r="AC1521" s="17"/>
      <c r="AD1521" s="690"/>
      <c r="AE1521" s="686"/>
      <c r="AF1521" s="474"/>
      <c r="AG1521" s="692"/>
      <c r="AH1521" s="236" t="str">
        <f>IF(Таблица5[[#This Row],[30]]=0,"НД",Таблица5[[#This Row],[20]]-Таблица5[[#This Row],[30]])</f>
        <v>НД</v>
      </c>
      <c r="AI1521" s="511" t="str">
        <f>IF(((1-Таблица5[[#This Row],[30]]/Таблица5[[#This Row],[20]])=1),"НД",(1-Таблица5[[#This Row],[30]]/Таблица5[[#This Row],[20]]))</f>
        <v>НД</v>
      </c>
      <c r="AJ1521" s="111"/>
      <c r="AK1521" s="111"/>
      <c r="AL1521" s="512"/>
      <c r="AM1521" s="513"/>
      <c r="AN1521" s="465"/>
      <c r="AO1521" s="468">
        <f>РПЗ!AD1521</f>
        <v>0</v>
      </c>
      <c r="AP1521" s="472">
        <f>РПЗ!V1521</f>
        <v>0</v>
      </c>
      <c r="AQ1521" s="470">
        <f>IF(Таблица5[[#This Row],[11]]=0,,MONTH(Таблица5[[#This Row],[11]]))</f>
        <v>12</v>
      </c>
    </row>
    <row r="1522" spans="1:43" ht="39" thickBot="1" x14ac:dyDescent="0.3">
      <c r="A1522" s="233" t="str">
        <f t="shared" si="23"/>
        <v>1004-2017-1507</v>
      </c>
      <c r="B1522" s="233" t="str">
        <f>РПЗ!$D1522</f>
        <v>1004-2017-1507 электрорадиоизделия импортного производства</v>
      </c>
      <c r="C1522" s="233" t="str">
        <f>РПЗ!$AA1573</f>
        <v>АО "НИИ "Полюс" им. М.Ф. Стельмаха" тел. отдела закупок 8-495-333-05-02</v>
      </c>
      <c r="D1522" s="633" t="str">
        <f>РПЗ!$AB1573</f>
        <v>Заказчик</v>
      </c>
      <c r="E1522" s="96" t="s">
        <v>46</v>
      </c>
      <c r="F1522" s="233" t="str">
        <f>РПЗ!Q1522</f>
        <v>ЕП</v>
      </c>
      <c r="G1522" s="237"/>
      <c r="H1522" s="237" t="str">
        <f>РПЗ!R1522</f>
        <v>Нет</v>
      </c>
      <c r="I1522" s="15">
        <f>РПЗ!W1750</f>
        <v>0</v>
      </c>
      <c r="J1522" s="233">
        <f>РПЗ!X1750</f>
        <v>0</v>
      </c>
      <c r="K1522" s="283">
        <f>РПЗ!Z1750</f>
        <v>0</v>
      </c>
      <c r="L1522" s="17"/>
      <c r="M1522" s="18">
        <f>РПЗ!O1522</f>
        <v>43070.625</v>
      </c>
      <c r="N1522" s="238">
        <f>Таблица5[[#This Row],[10]]</f>
        <v>43070.625</v>
      </c>
      <c r="O1522" s="17"/>
      <c r="P1522" s="17"/>
      <c r="Q1522" s="17"/>
      <c r="R1522" s="17"/>
      <c r="S1522" s="17"/>
      <c r="T1522" s="686"/>
      <c r="U1522" s="18">
        <f>РПЗ!P1522</f>
        <v>43070.625</v>
      </c>
      <c r="V1522" s="686"/>
      <c r="W1522" s="236">
        <f>РПЗ!L1522</f>
        <v>185837.26</v>
      </c>
      <c r="X1522" s="689"/>
      <c r="Y1522" s="689"/>
      <c r="Z1522" s="690"/>
      <c r="AA1522" s="691"/>
      <c r="AB1522" s="111"/>
      <c r="AC1522" s="17"/>
      <c r="AD1522" s="690"/>
      <c r="AE1522" s="686"/>
      <c r="AF1522" s="474"/>
      <c r="AG1522" s="692"/>
      <c r="AH1522" s="236" t="str">
        <f>IF(Таблица5[[#This Row],[30]]=0,"НД",Таблица5[[#This Row],[20]]-Таблица5[[#This Row],[30]])</f>
        <v>НД</v>
      </c>
      <c r="AI1522" s="511" t="str">
        <f>IF(((1-Таблица5[[#This Row],[30]]/Таблица5[[#This Row],[20]])=1),"НД",(1-Таблица5[[#This Row],[30]]/Таблица5[[#This Row],[20]]))</f>
        <v>НД</v>
      </c>
      <c r="AJ1522" s="111"/>
      <c r="AK1522" s="111"/>
      <c r="AL1522" s="512"/>
      <c r="AM1522" s="513"/>
      <c r="AN1522" s="465"/>
      <c r="AO1522" s="468">
        <f>РПЗ!AD1522</f>
        <v>0</v>
      </c>
      <c r="AP1522" s="472">
        <f>РПЗ!V1522</f>
        <v>0</v>
      </c>
      <c r="AQ1522" s="470">
        <f>IF(Таблица5[[#This Row],[11]]=0,,MONTH(Таблица5[[#This Row],[11]]))</f>
        <v>12</v>
      </c>
    </row>
    <row r="1523" spans="1:43" ht="39" thickBot="1" x14ac:dyDescent="0.3">
      <c r="A1523" s="233" t="str">
        <f t="shared" si="23"/>
        <v>1004-2017-1508</v>
      </c>
      <c r="B1523" s="233" t="str">
        <f>РПЗ!$D1523</f>
        <v>1004-2017-1508 оптико-механические элементы</v>
      </c>
      <c r="C1523" s="233" t="str">
        <f>РПЗ!$AA1574</f>
        <v>АО "НИИ "Полюс" им. М.Ф. Стельмаха" тел. отдела закупок 8-495-333-05-02</v>
      </c>
      <c r="D1523" s="633" t="str">
        <f>РПЗ!$AB1574</f>
        <v>Заказчик</v>
      </c>
      <c r="E1523" s="96" t="s">
        <v>46</v>
      </c>
      <c r="F1523" s="233" t="str">
        <f>РПЗ!Q1523</f>
        <v>ЕП</v>
      </c>
      <c r="G1523" s="237"/>
      <c r="H1523" s="237" t="str">
        <f>РПЗ!R1523</f>
        <v>Нет</v>
      </c>
      <c r="I1523" s="15">
        <f>РПЗ!W1751</f>
        <v>0</v>
      </c>
      <c r="J1523" s="233">
        <f>РПЗ!X1751</f>
        <v>0</v>
      </c>
      <c r="K1523" s="283">
        <f>РПЗ!Z1751</f>
        <v>0</v>
      </c>
      <c r="L1523" s="17"/>
      <c r="M1523" s="18">
        <f>РПЗ!O1523</f>
        <v>43070.625</v>
      </c>
      <c r="N1523" s="238">
        <f>Таблица5[[#This Row],[10]]</f>
        <v>43070.625</v>
      </c>
      <c r="O1523" s="17"/>
      <c r="P1523" s="17"/>
      <c r="Q1523" s="17"/>
      <c r="R1523" s="17"/>
      <c r="S1523" s="17"/>
      <c r="T1523" s="686"/>
      <c r="U1523" s="18">
        <f>РПЗ!P1523</f>
        <v>43160.625</v>
      </c>
      <c r="V1523" s="686"/>
      <c r="W1523" s="236">
        <f>РПЗ!L1523</f>
        <v>2400000</v>
      </c>
      <c r="X1523" s="689"/>
      <c r="Y1523" s="689"/>
      <c r="Z1523" s="690"/>
      <c r="AA1523" s="691"/>
      <c r="AB1523" s="111"/>
      <c r="AC1523" s="17"/>
      <c r="AD1523" s="690"/>
      <c r="AE1523" s="686"/>
      <c r="AF1523" s="474"/>
      <c r="AG1523" s="692"/>
      <c r="AH1523" s="236" t="str">
        <f>IF(Таблица5[[#This Row],[30]]=0,"НД",Таблица5[[#This Row],[20]]-Таблица5[[#This Row],[30]])</f>
        <v>НД</v>
      </c>
      <c r="AI1523" s="511" t="str">
        <f>IF(((1-Таблица5[[#This Row],[30]]/Таблица5[[#This Row],[20]])=1),"НД",(1-Таблица5[[#This Row],[30]]/Таблица5[[#This Row],[20]]))</f>
        <v>НД</v>
      </c>
      <c r="AJ1523" s="111"/>
      <c r="AK1523" s="111"/>
      <c r="AL1523" s="512"/>
      <c r="AM1523" s="513"/>
      <c r="AN1523" s="465"/>
      <c r="AO1523" s="468">
        <f>РПЗ!AD1523</f>
        <v>0</v>
      </c>
      <c r="AP1523" s="472">
        <f>РПЗ!V1523</f>
        <v>0</v>
      </c>
      <c r="AQ1523" s="470">
        <f>IF(Таблица5[[#This Row],[11]]=0,,MONTH(Таблица5[[#This Row],[11]]))</f>
        <v>12</v>
      </c>
    </row>
    <row r="1524" spans="1:43" ht="38.25" x14ac:dyDescent="0.25">
      <c r="A1524" s="233" t="str">
        <f t="shared" ref="A1524:A1529" si="24">INDEX(Диапазон1,ROW(), COLUMN())</f>
        <v>1004-2017-1509</v>
      </c>
      <c r="B1524" s="233" t="str">
        <f>РПЗ!$D1524</f>
        <v>1004-2017-1509 Амперметр</v>
      </c>
      <c r="C1524" s="233" t="str">
        <f>РПЗ!$AA1575</f>
        <v>АО "НИИ "Полюс" им. М.Ф. Стельмаха" тел. отдела закупок 8-495-333-05-02</v>
      </c>
      <c r="D1524" s="633" t="str">
        <f>РПЗ!$AB1575</f>
        <v>Заказчик</v>
      </c>
      <c r="E1524" s="96" t="s">
        <v>46</v>
      </c>
      <c r="F1524" s="233" t="str">
        <f>РПЗ!Q1524</f>
        <v>ОЗК</v>
      </c>
      <c r="G1524" s="237"/>
      <c r="H1524" s="237" t="str">
        <f>РПЗ!R1524</f>
        <v>Да</v>
      </c>
      <c r="I1524" s="15">
        <f>РПЗ!W1752</f>
        <v>0</v>
      </c>
      <c r="J1524" s="233">
        <f>РПЗ!X1752</f>
        <v>0</v>
      </c>
      <c r="K1524" s="283">
        <f>РПЗ!Z1752</f>
        <v>0</v>
      </c>
      <c r="L1524" s="17"/>
      <c r="M1524" s="18">
        <f>РПЗ!O1524</f>
        <v>43070.625</v>
      </c>
      <c r="N1524" s="238">
        <f>Таблица5[[#This Row],[10]]</f>
        <v>43070.625</v>
      </c>
      <c r="O1524" s="17"/>
      <c r="P1524" s="17"/>
      <c r="Q1524" s="17"/>
      <c r="R1524" s="17"/>
      <c r="S1524" s="17"/>
      <c r="T1524" s="686"/>
      <c r="U1524" s="18">
        <f>РПЗ!P1524</f>
        <v>43070.625</v>
      </c>
      <c r="V1524" s="686"/>
      <c r="W1524" s="236">
        <f>РПЗ!L1524</f>
        <v>18000</v>
      </c>
      <c r="X1524" s="689"/>
      <c r="Y1524" s="689"/>
      <c r="Z1524" s="690"/>
      <c r="AA1524" s="691"/>
      <c r="AB1524" s="111"/>
      <c r="AC1524" s="17"/>
      <c r="AD1524" s="690"/>
      <c r="AE1524" s="686"/>
      <c r="AF1524" s="474"/>
      <c r="AG1524" s="692"/>
      <c r="AH1524" s="236" t="str">
        <f>IF(Таблица5[[#This Row],[30]]=0,"НД",Таблица5[[#This Row],[20]]-Таблица5[[#This Row],[30]])</f>
        <v>НД</v>
      </c>
      <c r="AI1524" s="511" t="str">
        <f>IF(((1-Таблица5[[#This Row],[30]]/Таблица5[[#This Row],[20]])=1),"НД",(1-Таблица5[[#This Row],[30]]/Таблица5[[#This Row],[20]]))</f>
        <v>НД</v>
      </c>
      <c r="AJ1524" s="111"/>
      <c r="AK1524" s="111"/>
      <c r="AL1524" s="512"/>
      <c r="AM1524" s="513"/>
      <c r="AN1524" s="465"/>
      <c r="AO1524" s="468">
        <f>РПЗ!AD1524</f>
        <v>0</v>
      </c>
      <c r="AP1524" s="472">
        <f>РПЗ!V1524</f>
        <v>0</v>
      </c>
      <c r="AQ1524" s="470">
        <f>IF(Таблица5[[#This Row],[11]]=0,,MONTH(Таблица5[[#This Row],[11]]))</f>
        <v>12</v>
      </c>
    </row>
    <row r="1525" spans="1:43" ht="38.25" x14ac:dyDescent="0.25">
      <c r="A1525" s="233" t="str">
        <f t="shared" si="24"/>
        <v>1004-2017-1510</v>
      </c>
      <c r="B1525" s="233" t="str">
        <f>РПЗ!$D1525</f>
        <v xml:space="preserve">1004-2017-1510 Оснастка и инструмент </v>
      </c>
      <c r="C1525" s="233" t="str">
        <f>РПЗ!$AA1576</f>
        <v>АО "НИИ "Полюс" им. М.Ф. Стельмаха" тел. отдела закупок 8-495-333-05-02</v>
      </c>
      <c r="D1525" s="633" t="str">
        <f>РПЗ!$AB1576</f>
        <v>Заказчик</v>
      </c>
      <c r="E1525" s="510" t="s">
        <v>59</v>
      </c>
      <c r="F1525" s="233" t="str">
        <f>РПЗ!Q1525</f>
        <v>ОЗК</v>
      </c>
      <c r="G1525" s="237" t="str">
        <f>Таблица5[[#This Row],[6]]</f>
        <v>ОЗК</v>
      </c>
      <c r="H1525" s="237" t="str">
        <f>РПЗ!R1525</f>
        <v>Да</v>
      </c>
      <c r="I1525" s="15">
        <f>РПЗ!W1753</f>
        <v>0</v>
      </c>
      <c r="J1525" s="233">
        <f>РПЗ!X1753</f>
        <v>0</v>
      </c>
      <c r="K1525" s="283">
        <f>РПЗ!Z1753</f>
        <v>0</v>
      </c>
      <c r="L1525" s="17">
        <v>43082</v>
      </c>
      <c r="M1525" s="18">
        <f>РПЗ!O1525</f>
        <v>43070.625</v>
      </c>
      <c r="N1525" s="238">
        <f>Таблица5[[#This Row],[10]]</f>
        <v>43070.625</v>
      </c>
      <c r="O1525" s="17">
        <v>43088</v>
      </c>
      <c r="P1525" s="17">
        <v>43094</v>
      </c>
      <c r="Q1525" s="17">
        <v>43094</v>
      </c>
      <c r="R1525" s="17">
        <v>43094</v>
      </c>
      <c r="S1525" s="17">
        <v>43094</v>
      </c>
      <c r="T1525" s="686"/>
      <c r="U1525" s="18">
        <f>РПЗ!P1525</f>
        <v>43070.625</v>
      </c>
      <c r="V1525" s="686"/>
      <c r="W1525" s="236">
        <f>РПЗ!L1525</f>
        <v>38906.879999999997</v>
      </c>
      <c r="X1525" s="689">
        <v>0</v>
      </c>
      <c r="Y1525" s="689">
        <v>0</v>
      </c>
      <c r="Z1525" s="690"/>
      <c r="AA1525" s="691"/>
      <c r="AB1525" s="111"/>
      <c r="AC1525" s="17"/>
      <c r="AD1525" s="690"/>
      <c r="AE1525" s="686"/>
      <c r="AF1525" s="474"/>
      <c r="AG1525" s="692"/>
      <c r="AH1525" s="236" t="str">
        <f>IF(Таблица5[[#This Row],[30]]=0,"НД",Таблица5[[#This Row],[20]]-Таблица5[[#This Row],[30]])</f>
        <v>НД</v>
      </c>
      <c r="AI1525" s="511" t="str">
        <f>IF(((1-Таблица5[[#This Row],[30]]/Таблица5[[#This Row],[20]])=1),"НД",(1-Таблица5[[#This Row],[30]]/Таблица5[[#This Row],[20]]))</f>
        <v>НД</v>
      </c>
      <c r="AJ1525" s="111"/>
      <c r="AK1525" s="111"/>
      <c r="AL1525" s="512"/>
      <c r="AM1525" s="513" t="s">
        <v>113</v>
      </c>
      <c r="AN1525" s="801">
        <v>31705873938</v>
      </c>
      <c r="AO1525" s="468">
        <f>РПЗ!AD1525</f>
        <v>0</v>
      </c>
      <c r="AP1525" s="472">
        <f>РПЗ!V1525</f>
        <v>0</v>
      </c>
      <c r="AQ1525" s="470">
        <f>IF(Таблица5[[#This Row],[11]]=0,,MONTH(Таблица5[[#This Row],[11]]))</f>
        <v>12</v>
      </c>
    </row>
    <row r="1526" spans="1:43" ht="51" x14ac:dyDescent="0.25">
      <c r="A1526" s="233" t="str">
        <f t="shared" si="24"/>
        <v>1004-2017-1511</v>
      </c>
      <c r="B1526" s="233" t="str">
        <f>РПЗ!$D1526</f>
        <v>1004-2017-1511 Комплект дополнительных принадлежностей к измерителю иммитанса АМ-3001 - 1 к-т.</v>
      </c>
      <c r="C1526" s="233" t="str">
        <f>РПЗ!$AA1577</f>
        <v>АО "НИИ "Полюс" им. М.Ф. Стельмаха" тел. отдела закупок 8-495-333-05-02</v>
      </c>
      <c r="D1526" s="633" t="str">
        <f>РПЗ!$AB1577</f>
        <v>Заказчик</v>
      </c>
      <c r="E1526" s="510" t="s">
        <v>62</v>
      </c>
      <c r="F1526" s="233" t="str">
        <f>РПЗ!Q1526</f>
        <v>ОЗК</v>
      </c>
      <c r="G1526" s="237" t="str">
        <f>Таблица5[[#This Row],[6]]</f>
        <v>ОЗК</v>
      </c>
      <c r="H1526" s="237" t="str">
        <f>РПЗ!R1526</f>
        <v>Да</v>
      </c>
      <c r="I1526" s="15">
        <f>РПЗ!W1754</f>
        <v>0</v>
      </c>
      <c r="J1526" s="233">
        <f>РПЗ!X1754</f>
        <v>0</v>
      </c>
      <c r="K1526" s="283">
        <f>РПЗ!Z1754</f>
        <v>0</v>
      </c>
      <c r="L1526" s="17">
        <v>43082</v>
      </c>
      <c r="M1526" s="18">
        <f>РПЗ!O1526</f>
        <v>43070.625</v>
      </c>
      <c r="N1526" s="238">
        <f>Таблица5[[#This Row],[10]]</f>
        <v>43070.625</v>
      </c>
      <c r="O1526" s="17">
        <v>43088</v>
      </c>
      <c r="P1526" s="17">
        <v>43094</v>
      </c>
      <c r="Q1526" s="17">
        <v>43094</v>
      </c>
      <c r="R1526" s="17">
        <v>43089</v>
      </c>
      <c r="S1526" s="17">
        <v>43089</v>
      </c>
      <c r="T1526" s="686">
        <v>43109</v>
      </c>
      <c r="U1526" s="18">
        <f>РПЗ!P1526</f>
        <v>43070.625</v>
      </c>
      <c r="V1526" s="686">
        <v>43195</v>
      </c>
      <c r="W1526" s="236">
        <f>РПЗ!L1526</f>
        <v>96417</v>
      </c>
      <c r="X1526" s="689">
        <v>1</v>
      </c>
      <c r="Y1526" s="689">
        <v>0</v>
      </c>
      <c r="Z1526" s="691">
        <v>7734354937</v>
      </c>
      <c r="AA1526" s="691" t="s">
        <v>8283</v>
      </c>
      <c r="AB1526" s="111">
        <v>95462</v>
      </c>
      <c r="AC1526" s="17">
        <v>43195</v>
      </c>
      <c r="AD1526" s="690" t="s">
        <v>8284</v>
      </c>
      <c r="AE1526" s="686">
        <v>43109</v>
      </c>
      <c r="AF1526" s="474"/>
      <c r="AG1526" s="692">
        <v>95462</v>
      </c>
      <c r="AH1526" s="236">
        <f>IF(Таблица5[[#This Row],[30]]=0,"НД",Таблица5[[#This Row],[20]]-Таблица5[[#This Row],[30]])</f>
        <v>955</v>
      </c>
      <c r="AI1526" s="511">
        <f>IF(((1-Таблица5[[#This Row],[30]]/Таблица5[[#This Row],[20]])=1),"НД",(1-Таблица5[[#This Row],[30]]/Таблица5[[#This Row],[20]]))</f>
        <v>9.9048922907786219E-3</v>
      </c>
      <c r="AJ1526" s="111"/>
      <c r="AK1526" s="111">
        <v>95462</v>
      </c>
      <c r="AL1526" s="512"/>
      <c r="AM1526" s="513" t="s">
        <v>113</v>
      </c>
      <c r="AN1526" s="801">
        <v>31705874007</v>
      </c>
      <c r="AO1526" s="468">
        <f>РПЗ!AD1526</f>
        <v>0</v>
      </c>
      <c r="AP1526" s="472">
        <f>РПЗ!V1526</f>
        <v>0</v>
      </c>
      <c r="AQ1526" s="470">
        <f>IF(Таблица5[[#This Row],[11]]=0,,MONTH(Таблица5[[#This Row],[11]]))</f>
        <v>12</v>
      </c>
    </row>
    <row r="1527" spans="1:43" ht="39" thickBot="1" x14ac:dyDescent="0.3">
      <c r="A1527" s="233" t="str">
        <f t="shared" si="24"/>
        <v>1004-2017-1512</v>
      </c>
      <c r="B1527" s="233" t="str">
        <f>РПЗ!$D1527</f>
        <v>1004-2017-1512 Комплект измерителя мощности лазерного излучения 2 к-т.</v>
      </c>
      <c r="C1527" s="233" t="str">
        <f>РПЗ!$AA1578</f>
        <v>АО "НИИ "Полюс" им. М.Ф. Стельмаха" тел. отдела закупок 8-495-333-05-02</v>
      </c>
      <c r="D1527" s="633" t="str">
        <f>РПЗ!$AB1578</f>
        <v>Заказчик</v>
      </c>
      <c r="E1527" s="510" t="s">
        <v>62</v>
      </c>
      <c r="F1527" s="233" t="str">
        <f>РПЗ!Q1527</f>
        <v>ОЗК</v>
      </c>
      <c r="G1527" s="237" t="str">
        <f>Таблица5[[#This Row],[6]]</f>
        <v>ОЗК</v>
      </c>
      <c r="H1527" s="237" t="str">
        <f>РПЗ!R1527</f>
        <v>Да</v>
      </c>
      <c r="I1527" s="15">
        <f>РПЗ!W1527</f>
        <v>0</v>
      </c>
      <c r="J1527" s="233">
        <f>РПЗ!X1527</f>
        <v>0</v>
      </c>
      <c r="K1527" s="283">
        <f>РПЗ!Z1527</f>
        <v>0</v>
      </c>
      <c r="L1527" s="17">
        <v>43083</v>
      </c>
      <c r="M1527" s="18">
        <f>РПЗ!O1527</f>
        <v>43070.625</v>
      </c>
      <c r="N1527" s="238">
        <f>Таблица5[[#This Row],[10]]</f>
        <v>43070.625</v>
      </c>
      <c r="O1527" s="17">
        <v>43089</v>
      </c>
      <c r="P1527" s="17">
        <v>43095</v>
      </c>
      <c r="Q1527" s="17">
        <v>43095</v>
      </c>
      <c r="R1527" s="17">
        <v>43089</v>
      </c>
      <c r="S1527" s="17">
        <v>43089</v>
      </c>
      <c r="T1527" s="686">
        <v>43109</v>
      </c>
      <c r="U1527" s="18">
        <f>РПЗ!P1527</f>
        <v>43070.625</v>
      </c>
      <c r="V1527" s="686">
        <v>43126</v>
      </c>
      <c r="W1527" s="236">
        <f>РПЗ!L1527</f>
        <v>498511.12</v>
      </c>
      <c r="X1527" s="689">
        <v>2</v>
      </c>
      <c r="Y1527" s="689">
        <v>0</v>
      </c>
      <c r="Z1527" s="691">
        <v>7743073957</v>
      </c>
      <c r="AA1527" s="691" t="s">
        <v>8285</v>
      </c>
      <c r="AB1527" s="111">
        <v>456896</v>
      </c>
      <c r="AC1527" s="17">
        <v>43126</v>
      </c>
      <c r="AD1527" s="690" t="s">
        <v>8286</v>
      </c>
      <c r="AE1527" s="686">
        <v>43109</v>
      </c>
      <c r="AF1527" s="474"/>
      <c r="AG1527" s="692">
        <v>456896</v>
      </c>
      <c r="AH1527" s="236">
        <f>IF(Таблица5[[#This Row],[30]]=0,"НД",Таблица5[[#This Row],[20]]-Таблица5[[#This Row],[30]])</f>
        <v>41615.119999999995</v>
      </c>
      <c r="AI1527" s="511">
        <f>IF(((1-Таблица5[[#This Row],[30]]/Таблица5[[#This Row],[20]])=1),"НД",(1-Таблица5[[#This Row],[30]]/Таблица5[[#This Row],[20]]))</f>
        <v>8.3478819890717815E-2</v>
      </c>
      <c r="AJ1527" s="111"/>
      <c r="AK1527" s="111">
        <v>456896</v>
      </c>
      <c r="AL1527" s="512"/>
      <c r="AM1527" s="513" t="s">
        <v>113</v>
      </c>
      <c r="AN1527" s="801">
        <v>31705883285</v>
      </c>
      <c r="AO1527" s="468">
        <f>РПЗ!AD1527</f>
        <v>0</v>
      </c>
      <c r="AP1527" s="472">
        <f>РПЗ!V1527</f>
        <v>0</v>
      </c>
      <c r="AQ1527" s="470">
        <f>IF(Таблица5[[#This Row],[11]]=0,,MONTH(Таблица5[[#This Row],[11]]))</f>
        <v>12</v>
      </c>
    </row>
    <row r="1528" spans="1:43" ht="38.25" x14ac:dyDescent="0.25">
      <c r="A1528" s="233" t="str">
        <f t="shared" si="24"/>
        <v>1004-2017-1513</v>
      </c>
      <c r="B1528" s="233" t="str">
        <f>РПЗ!$D1528</f>
        <v>1004-2017-1513 Комплект радиоизмерительных приборов 1 к-т.</v>
      </c>
      <c r="C1528" s="233" t="str">
        <f>РПЗ!$AA1579</f>
        <v>АО "НИИ "Полюс" им. М.Ф. Стельмаха" тел. отдела закупок 8-495-333-05-02</v>
      </c>
      <c r="D1528" s="633" t="str">
        <f>РПЗ!$AB1579</f>
        <v>Заказчик</v>
      </c>
      <c r="E1528" s="96" t="s">
        <v>46</v>
      </c>
      <c r="F1528" s="233" t="str">
        <f>РПЗ!Q1528</f>
        <v>ОЗК</v>
      </c>
      <c r="G1528" s="237"/>
      <c r="H1528" s="237" t="str">
        <f>РПЗ!R1528</f>
        <v>Да</v>
      </c>
      <c r="I1528" s="15">
        <f>РПЗ!W1756</f>
        <v>0</v>
      </c>
      <c r="J1528" s="233">
        <f>РПЗ!X1756</f>
        <v>0</v>
      </c>
      <c r="K1528" s="283">
        <f>РПЗ!Z1756</f>
        <v>0</v>
      </c>
      <c r="L1528" s="17"/>
      <c r="M1528" s="18">
        <f>РПЗ!O1528</f>
        <v>43070.625</v>
      </c>
      <c r="N1528" s="238">
        <f>Таблица5[[#This Row],[10]]</f>
        <v>43070.625</v>
      </c>
      <c r="O1528" s="17"/>
      <c r="P1528" s="17"/>
      <c r="Q1528" s="17"/>
      <c r="R1528" s="17"/>
      <c r="S1528" s="17"/>
      <c r="T1528" s="686"/>
      <c r="U1528" s="18">
        <f>РПЗ!P1528</f>
        <v>43070.625</v>
      </c>
      <c r="V1528" s="686"/>
      <c r="W1528" s="236">
        <f>РПЗ!L1528</f>
        <v>1339435.74</v>
      </c>
      <c r="X1528" s="689"/>
      <c r="Y1528" s="689"/>
      <c r="Z1528" s="690"/>
      <c r="AA1528" s="691"/>
      <c r="AB1528" s="111"/>
      <c r="AC1528" s="17"/>
      <c r="AD1528" s="690"/>
      <c r="AE1528" s="686"/>
      <c r="AF1528" s="474"/>
      <c r="AG1528" s="692"/>
      <c r="AH1528" s="236" t="str">
        <f>IF(Таблица5[[#This Row],[30]]=0,"НД",Таблица5[[#This Row],[20]]-Таблица5[[#This Row],[30]])</f>
        <v>НД</v>
      </c>
      <c r="AI1528" s="511" t="str">
        <f>IF(((1-Таблица5[[#This Row],[30]]/Таблица5[[#This Row],[20]])=1),"НД",(1-Таблица5[[#This Row],[30]]/Таблица5[[#This Row],[20]]))</f>
        <v>НД</v>
      </c>
      <c r="AJ1528" s="111"/>
      <c r="AK1528" s="111"/>
      <c r="AL1528" s="512"/>
      <c r="AM1528" s="513"/>
      <c r="AN1528" s="465"/>
      <c r="AO1528" s="468">
        <f>РПЗ!AD1528</f>
        <v>0</v>
      </c>
      <c r="AP1528" s="472">
        <f>РПЗ!V1528</f>
        <v>0</v>
      </c>
      <c r="AQ1528" s="470">
        <f>IF(Таблица5[[#This Row],[11]]=0,,MONTH(Таблица5[[#This Row],[11]]))</f>
        <v>12</v>
      </c>
    </row>
    <row r="1529" spans="1:43" ht="39" thickBot="1" x14ac:dyDescent="0.3">
      <c r="A1529" s="233" t="str">
        <f t="shared" si="24"/>
        <v>1004-2017-1514</v>
      </c>
      <c r="B1529" s="233" t="str">
        <f>РПЗ!$D1529</f>
        <v>1004-2017-1514 Электроды ЭК1 – 20 - 80 Я2М4.088.172 – 200 шт.</v>
      </c>
      <c r="C1529" s="233" t="str">
        <f>РПЗ!$AA1529</f>
        <v>АО "НИИ "Полюс" им. М.Ф. Стельмаха" тел. отдела закупок 8-495-333-05-02</v>
      </c>
      <c r="D1529" s="633" t="str">
        <f>РПЗ!$AB1529</f>
        <v>Заказчик</v>
      </c>
      <c r="E1529" s="510" t="s">
        <v>52</v>
      </c>
      <c r="F1529" s="233" t="str">
        <f>РПЗ!Q1529</f>
        <v>ОЗК</v>
      </c>
      <c r="G1529" s="237" t="str">
        <f>Таблица5[[#This Row],[6]]</f>
        <v>ОЗК</v>
      </c>
      <c r="H1529" s="237" t="str">
        <f>РПЗ!R1529</f>
        <v>Да</v>
      </c>
      <c r="I1529" s="15">
        <f>РПЗ!W1757</f>
        <v>0</v>
      </c>
      <c r="J1529" s="233">
        <f>РПЗ!X1757</f>
        <v>0</v>
      </c>
      <c r="K1529" s="283">
        <f>РПЗ!Z1757</f>
        <v>0</v>
      </c>
      <c r="L1529" s="17">
        <v>43082</v>
      </c>
      <c r="M1529" s="18">
        <f>РПЗ!O1529</f>
        <v>43070.625</v>
      </c>
      <c r="N1529" s="238">
        <f>Таблица5[[#This Row],[10]]</f>
        <v>43070.625</v>
      </c>
      <c r="O1529" s="17">
        <v>43088</v>
      </c>
      <c r="P1529" s="17">
        <v>43094</v>
      </c>
      <c r="Q1529" s="17">
        <v>43094</v>
      </c>
      <c r="R1529" s="17">
        <v>43089</v>
      </c>
      <c r="S1529" s="17">
        <v>43089</v>
      </c>
      <c r="T1529" s="686"/>
      <c r="U1529" s="18">
        <f>РПЗ!P1529</f>
        <v>43070.625</v>
      </c>
      <c r="V1529" s="686"/>
      <c r="W1529" s="236">
        <f>РПЗ!L1529</f>
        <v>109928</v>
      </c>
      <c r="X1529" s="689">
        <v>1</v>
      </c>
      <c r="Y1529" s="689">
        <v>0</v>
      </c>
      <c r="Z1529" s="691">
        <v>2130037277</v>
      </c>
      <c r="AA1529" s="691" t="s">
        <v>3351</v>
      </c>
      <c r="AB1529" s="111">
        <v>97940</v>
      </c>
      <c r="AC1529" s="17"/>
      <c r="AD1529" s="690"/>
      <c r="AE1529" s="686"/>
      <c r="AF1529" s="474"/>
      <c r="AG1529" s="692">
        <v>97940</v>
      </c>
      <c r="AH1529" s="236">
        <f>IF(Таблица5[[#This Row],[30]]=0,"НД",Таблица5[[#This Row],[20]]-Таблица5[[#This Row],[30]])</f>
        <v>11988</v>
      </c>
      <c r="AI1529" s="511">
        <f>IF(((1-Таблица5[[#This Row],[30]]/Таблица5[[#This Row],[20]])=1),"НД",(1-Таблица5[[#This Row],[30]]/Таблица5[[#This Row],[20]]))</f>
        <v>0.10905319845717198</v>
      </c>
      <c r="AJ1529" s="111"/>
      <c r="AK1529" s="111">
        <v>97940</v>
      </c>
      <c r="AL1529" s="512"/>
      <c r="AM1529" s="513" t="s">
        <v>113</v>
      </c>
      <c r="AN1529" s="801">
        <v>31705874149</v>
      </c>
      <c r="AO1529" s="468">
        <f>РПЗ!AD1529</f>
        <v>0</v>
      </c>
      <c r="AP1529" s="472">
        <f>РПЗ!V1529</f>
        <v>0</v>
      </c>
      <c r="AQ1529" s="470">
        <f>IF(Таблица5[[#This Row],[11]]=0,,MONTH(Таблица5[[#This Row],[11]]))</f>
        <v>12</v>
      </c>
    </row>
    <row r="1530" spans="1:43" ht="38.25" x14ac:dyDescent="0.25">
      <c r="A1530" s="233" t="str">
        <f t="shared" ref="A1530:A1586" si="25">INDEX(Диапазон1,ROW(), COLUMN())</f>
        <v>1004-2017-1515</v>
      </c>
      <c r="B1530" s="233" t="str">
        <f>РПЗ!$D1530</f>
        <v>1004-2017-1515 Войсковой прибор химической разведки ВПХР</v>
      </c>
      <c r="C1530" s="233" t="str">
        <f>РПЗ!$AA1530</f>
        <v>АО "НИИ "Полюс" им. М.Ф. Стельмаха" тел. отдела закупок 8-495-333-05-02</v>
      </c>
      <c r="D1530" s="633" t="str">
        <f>РПЗ!$AB1530</f>
        <v>Заказчик</v>
      </c>
      <c r="E1530" s="96" t="s">
        <v>46</v>
      </c>
      <c r="F1530" s="233" t="str">
        <f>РПЗ!Q1530</f>
        <v>ОЗК</v>
      </c>
      <c r="G1530" s="237"/>
      <c r="H1530" s="237" t="str">
        <f>РПЗ!R1530</f>
        <v>Да</v>
      </c>
      <c r="I1530" s="15">
        <f>РПЗ!W1758</f>
        <v>0</v>
      </c>
      <c r="J1530" s="233">
        <f>РПЗ!X1758</f>
        <v>0</v>
      </c>
      <c r="K1530" s="283">
        <f>РПЗ!Z1758</f>
        <v>0</v>
      </c>
      <c r="L1530" s="17"/>
      <c r="M1530" s="18">
        <f>РПЗ!O1530</f>
        <v>43070.625</v>
      </c>
      <c r="N1530" s="238">
        <f>Таблица5[[#This Row],[10]]</f>
        <v>43070.625</v>
      </c>
      <c r="O1530" s="17"/>
      <c r="P1530" s="17"/>
      <c r="Q1530" s="17"/>
      <c r="R1530" s="17"/>
      <c r="S1530" s="17"/>
      <c r="T1530" s="686"/>
      <c r="U1530" s="18">
        <f>РПЗ!P1530</f>
        <v>43070.625</v>
      </c>
      <c r="V1530" s="686"/>
      <c r="W1530" s="236">
        <f>РПЗ!L1530</f>
        <v>28005</v>
      </c>
      <c r="X1530" s="689"/>
      <c r="Y1530" s="689"/>
      <c r="Z1530" s="690"/>
      <c r="AA1530" s="691"/>
      <c r="AB1530" s="111"/>
      <c r="AC1530" s="17"/>
      <c r="AD1530" s="690"/>
      <c r="AE1530" s="686"/>
      <c r="AF1530" s="474"/>
      <c r="AG1530" s="692"/>
      <c r="AH1530" s="236" t="str">
        <f>IF(Таблица5[[#This Row],[30]]=0,"НД",Таблица5[[#This Row],[20]]-Таблица5[[#This Row],[30]])</f>
        <v>НД</v>
      </c>
      <c r="AI1530" s="511" t="str">
        <f>IF(((1-Таблица5[[#This Row],[30]]/Таблица5[[#This Row],[20]])=1),"НД",(1-Таблица5[[#This Row],[30]]/Таблица5[[#This Row],[20]]))</f>
        <v>НД</v>
      </c>
      <c r="AJ1530" s="111"/>
      <c r="AK1530" s="111"/>
      <c r="AL1530" s="512"/>
      <c r="AM1530" s="513"/>
      <c r="AN1530" s="465"/>
      <c r="AO1530" s="468">
        <f>РПЗ!AD1530</f>
        <v>0</v>
      </c>
      <c r="AP1530" s="472">
        <f>РПЗ!V1530</f>
        <v>0</v>
      </c>
      <c r="AQ1530" s="470">
        <f>IF(Таблица5[[#This Row],[11]]=0,,MONTH(Таблица5[[#This Row],[11]]))</f>
        <v>12</v>
      </c>
    </row>
    <row r="1531" spans="1:43" ht="39" thickBot="1" x14ac:dyDescent="0.3">
      <c r="A1531" s="233" t="str">
        <f t="shared" si="25"/>
        <v>1004-2017-1516</v>
      </c>
      <c r="B1531" s="233" t="str">
        <f>РПЗ!$D1531</f>
        <v xml:space="preserve">1004-2017-1516 Пластины из ниобата лития </v>
      </c>
      <c r="C1531" s="233" t="str">
        <f>РПЗ!$AA1531</f>
        <v>АО "НИИ "Полюс" им. М.Ф. Стельмаха" тел. отдела закупок 8-495-333-05-02</v>
      </c>
      <c r="D1531" s="633" t="str">
        <f>РПЗ!$AB1531</f>
        <v>Заказчик</v>
      </c>
      <c r="E1531" s="510" t="s">
        <v>62</v>
      </c>
      <c r="F1531" s="233" t="str">
        <f>РПЗ!Q1531</f>
        <v>ЕП</v>
      </c>
      <c r="G1531" s="237" t="str">
        <f>Таблица5[[#This Row],[6]]</f>
        <v>ЕП</v>
      </c>
      <c r="H1531" s="237" t="str">
        <f>РПЗ!R1531</f>
        <v>Нет</v>
      </c>
      <c r="I1531" s="15" t="str">
        <f>РПЗ!W1531</f>
        <v>6.6.2(9)</v>
      </c>
      <c r="J1531" s="233" t="str">
        <f>РПЗ!X1531</f>
        <v>7801095832</v>
      </c>
      <c r="K1531" s="283">
        <f>РПЗ!Z1531</f>
        <v>203000</v>
      </c>
      <c r="L1531" s="17">
        <v>43066</v>
      </c>
      <c r="M1531" s="18">
        <f>РПЗ!O1531</f>
        <v>43040.625</v>
      </c>
      <c r="N1531" s="238">
        <f>Таблица5[[#This Row],[10]]</f>
        <v>43040.625</v>
      </c>
      <c r="O1531" s="17"/>
      <c r="P1531" s="17"/>
      <c r="Q1531" s="17"/>
      <c r="R1531" s="17"/>
      <c r="S1531" s="17"/>
      <c r="T1531" s="686">
        <v>43069</v>
      </c>
      <c r="U1531" s="18">
        <f>РПЗ!P1531</f>
        <v>43070.625</v>
      </c>
      <c r="V1531" s="686">
        <v>43070</v>
      </c>
      <c r="W1531" s="236">
        <f>РПЗ!L1531</f>
        <v>203000</v>
      </c>
      <c r="X1531" s="689">
        <v>1</v>
      </c>
      <c r="Y1531" s="689">
        <v>0</v>
      </c>
      <c r="Z1531" s="691">
        <v>7801095832</v>
      </c>
      <c r="AA1531" s="691" t="s">
        <v>8056</v>
      </c>
      <c r="AB1531" s="111">
        <v>203000</v>
      </c>
      <c r="AC1531" s="17">
        <v>43070</v>
      </c>
      <c r="AD1531" s="690" t="s">
        <v>8057</v>
      </c>
      <c r="AE1531" s="686">
        <v>43069</v>
      </c>
      <c r="AF1531" s="474"/>
      <c r="AG1531" s="692">
        <v>203000</v>
      </c>
      <c r="AH1531" s="236">
        <f>IF(Таблица5[[#This Row],[30]]=0,"НД",Таблица5[[#This Row],[20]]-Таблица5[[#This Row],[30]])</f>
        <v>0</v>
      </c>
      <c r="AI1531" s="511">
        <f>IF(((1-Таблица5[[#This Row],[30]]/Таблица5[[#This Row],[20]])=1),"НД",(1-Таблица5[[#This Row],[30]]/Таблица5[[#This Row],[20]]))</f>
        <v>0</v>
      </c>
      <c r="AJ1531" s="111"/>
      <c r="AK1531" s="111"/>
      <c r="AL1531" s="512"/>
      <c r="AM1531" s="513" t="s">
        <v>113</v>
      </c>
      <c r="AN1531" s="801">
        <v>31705809430</v>
      </c>
      <c r="AO1531" s="468">
        <f>РПЗ!AD1531</f>
        <v>0</v>
      </c>
      <c r="AP1531" s="472">
        <f>РПЗ!V1531</f>
        <v>0</v>
      </c>
      <c r="AQ1531" s="470">
        <f>IF(Таблица5[[#This Row],[11]]=0,,MONTH(Таблица5[[#This Row],[11]]))</f>
        <v>11</v>
      </c>
    </row>
    <row r="1532" spans="1:43" ht="39" thickBot="1" x14ac:dyDescent="0.3">
      <c r="A1532" s="233" t="str">
        <f t="shared" si="25"/>
        <v>1004-2017-1517</v>
      </c>
      <c r="B1532" s="233" t="str">
        <f>РПЗ!$D1532</f>
        <v>1004-2017-1517 Кристаллы кварца</v>
      </c>
      <c r="C1532" s="233" t="str">
        <f>РПЗ!$AA1532</f>
        <v>АО "НИИ "Полюс" им. М.Ф. Стельмаха" тел. отдела закупок 8-495-333-05-02</v>
      </c>
      <c r="D1532" s="633" t="str">
        <f>РПЗ!$AB1532</f>
        <v>Заказчик</v>
      </c>
      <c r="E1532" s="96" t="s">
        <v>46</v>
      </c>
      <c r="F1532" s="233" t="str">
        <f>РПЗ!Q1532</f>
        <v>ЕП</v>
      </c>
      <c r="G1532" s="237"/>
      <c r="H1532" s="237" t="str">
        <f>РПЗ!R1532</f>
        <v>Нет</v>
      </c>
      <c r="I1532" s="15">
        <f>РПЗ!W1760</f>
        <v>0</v>
      </c>
      <c r="J1532" s="233">
        <f>РПЗ!X1760</f>
        <v>0</v>
      </c>
      <c r="K1532" s="283">
        <f>РПЗ!Z1760</f>
        <v>0</v>
      </c>
      <c r="L1532" s="17"/>
      <c r="M1532" s="18">
        <f>РПЗ!O1532</f>
        <v>43070.625</v>
      </c>
      <c r="N1532" s="238">
        <f>Таблица5[[#This Row],[10]]</f>
        <v>43070.625</v>
      </c>
      <c r="O1532" s="17"/>
      <c r="P1532" s="17"/>
      <c r="Q1532" s="17"/>
      <c r="R1532" s="17"/>
      <c r="S1532" s="17"/>
      <c r="T1532" s="686"/>
      <c r="U1532" s="18">
        <f>РПЗ!P1532</f>
        <v>43070.625</v>
      </c>
      <c r="V1532" s="686"/>
      <c r="W1532" s="236">
        <f>РПЗ!L1532</f>
        <v>149400</v>
      </c>
      <c r="X1532" s="689"/>
      <c r="Y1532" s="689"/>
      <c r="Z1532" s="690"/>
      <c r="AA1532" s="691"/>
      <c r="AB1532" s="111"/>
      <c r="AC1532" s="17"/>
      <c r="AD1532" s="690"/>
      <c r="AE1532" s="686"/>
      <c r="AF1532" s="474"/>
      <c r="AG1532" s="692"/>
      <c r="AH1532" s="236" t="str">
        <f>IF(Таблица5[[#This Row],[30]]=0,"НД",Таблица5[[#This Row],[20]]-Таблица5[[#This Row],[30]])</f>
        <v>НД</v>
      </c>
      <c r="AI1532" s="511" t="str">
        <f>IF(((1-Таблица5[[#This Row],[30]]/Таблица5[[#This Row],[20]])=1),"НД",(1-Таблица5[[#This Row],[30]]/Таблица5[[#This Row],[20]]))</f>
        <v>НД</v>
      </c>
      <c r="AJ1532" s="111"/>
      <c r="AK1532" s="111"/>
      <c r="AL1532" s="512"/>
      <c r="AM1532" s="513"/>
      <c r="AN1532" s="465"/>
      <c r="AO1532" s="468">
        <f>РПЗ!AD1532</f>
        <v>0</v>
      </c>
      <c r="AP1532" s="472">
        <f>РПЗ!V1532</f>
        <v>0</v>
      </c>
      <c r="AQ1532" s="470">
        <f>IF(Таблица5[[#This Row],[11]]=0,,MONTH(Таблица5[[#This Row],[11]]))</f>
        <v>12</v>
      </c>
    </row>
    <row r="1533" spans="1:43" ht="39" thickBot="1" x14ac:dyDescent="0.3">
      <c r="A1533" s="233" t="str">
        <f t="shared" si="25"/>
        <v>1004-2017-1518</v>
      </c>
      <c r="B1533" s="233" t="str">
        <f>РПЗ!$D1533</f>
        <v>1004-2017-1518 Оптические детали Фазотрон</v>
      </c>
      <c r="C1533" s="233" t="str">
        <f>РПЗ!$AA1533</f>
        <v>АО "НИИ "Полюс" им. М.Ф. Стельмаха" тел. отдела закупок 8-495-333-05-02</v>
      </c>
      <c r="D1533" s="633" t="str">
        <f>РПЗ!$AB1533</f>
        <v>Заказчик</v>
      </c>
      <c r="E1533" s="96" t="s">
        <v>46</v>
      </c>
      <c r="F1533" s="233" t="str">
        <f>РПЗ!Q1533</f>
        <v>ЕП</v>
      </c>
      <c r="G1533" s="237"/>
      <c r="H1533" s="237" t="str">
        <f>РПЗ!R1533</f>
        <v>Нет</v>
      </c>
      <c r="I1533" s="15">
        <f>РПЗ!W1761</f>
        <v>0</v>
      </c>
      <c r="J1533" s="233">
        <f>РПЗ!X1761</f>
        <v>0</v>
      </c>
      <c r="K1533" s="283">
        <f>РПЗ!Z1761</f>
        <v>0</v>
      </c>
      <c r="L1533" s="17"/>
      <c r="M1533" s="18">
        <f>РПЗ!O1533</f>
        <v>43070.625</v>
      </c>
      <c r="N1533" s="238">
        <f>Таблица5[[#This Row],[10]]</f>
        <v>43070.625</v>
      </c>
      <c r="O1533" s="17"/>
      <c r="P1533" s="17"/>
      <c r="Q1533" s="17"/>
      <c r="R1533" s="17"/>
      <c r="S1533" s="17"/>
      <c r="T1533" s="686"/>
      <c r="U1533" s="18">
        <f>РПЗ!P1533</f>
        <v>43344.625</v>
      </c>
      <c r="V1533" s="686"/>
      <c r="W1533" s="236">
        <f>РПЗ!L1533</f>
        <v>8511795.7200000007</v>
      </c>
      <c r="X1533" s="689"/>
      <c r="Y1533" s="689"/>
      <c r="Z1533" s="690"/>
      <c r="AA1533" s="691"/>
      <c r="AB1533" s="111"/>
      <c r="AC1533" s="17"/>
      <c r="AD1533" s="690"/>
      <c r="AE1533" s="686"/>
      <c r="AF1533" s="474"/>
      <c r="AG1533" s="692"/>
      <c r="AH1533" s="236" t="str">
        <f>IF(Таблица5[[#This Row],[30]]=0,"НД",Таблица5[[#This Row],[20]]-Таблица5[[#This Row],[30]])</f>
        <v>НД</v>
      </c>
      <c r="AI1533" s="511" t="str">
        <f>IF(((1-Таблица5[[#This Row],[30]]/Таблица5[[#This Row],[20]])=1),"НД",(1-Таблица5[[#This Row],[30]]/Таблица5[[#This Row],[20]]))</f>
        <v>НД</v>
      </c>
      <c r="AJ1533" s="111"/>
      <c r="AK1533" s="111"/>
      <c r="AL1533" s="512"/>
      <c r="AM1533" s="513"/>
      <c r="AN1533" s="465"/>
      <c r="AO1533" s="468">
        <f>РПЗ!AD1533</f>
        <v>0</v>
      </c>
      <c r="AP1533" s="472">
        <f>РПЗ!V1533</f>
        <v>0</v>
      </c>
      <c r="AQ1533" s="470">
        <f>IF(Таблица5[[#This Row],[11]]=0,,MONTH(Таблица5[[#This Row],[11]]))</f>
        <v>12</v>
      </c>
    </row>
    <row r="1534" spans="1:43" ht="39" thickBot="1" x14ac:dyDescent="0.3">
      <c r="A1534" s="233" t="str">
        <f t="shared" si="25"/>
        <v>1004-2017-1519</v>
      </c>
      <c r="B1534" s="233" t="str">
        <f>РПЗ!$D1534</f>
        <v>1004-2017-1519 ОЭ САО</v>
      </c>
      <c r="C1534" s="233" t="str">
        <f>РПЗ!$AA1534</f>
        <v>АО "НИИ "Полюс" им. М.Ф. Стельмаха" тел. отдела закупок 8-495-333-05-02</v>
      </c>
      <c r="D1534" s="633" t="str">
        <f>РПЗ!$AB1534</f>
        <v>Заказчик</v>
      </c>
      <c r="E1534" s="96" t="s">
        <v>46</v>
      </c>
      <c r="F1534" s="233" t="str">
        <f>РПЗ!Q1534</f>
        <v>ЕП</v>
      </c>
      <c r="G1534" s="237"/>
      <c r="H1534" s="237" t="str">
        <f>РПЗ!R1534</f>
        <v>Нет</v>
      </c>
      <c r="I1534" s="15">
        <f>РПЗ!W1762</f>
        <v>0</v>
      </c>
      <c r="J1534" s="233">
        <f>РПЗ!X1762</f>
        <v>0</v>
      </c>
      <c r="K1534" s="283">
        <f>РПЗ!Z1762</f>
        <v>0</v>
      </c>
      <c r="L1534" s="17"/>
      <c r="M1534" s="18">
        <f>РПЗ!O1534</f>
        <v>43070.625</v>
      </c>
      <c r="N1534" s="238">
        <f>Таблица5[[#This Row],[10]]</f>
        <v>43070.625</v>
      </c>
      <c r="O1534" s="17"/>
      <c r="P1534" s="17"/>
      <c r="Q1534" s="17"/>
      <c r="R1534" s="17"/>
      <c r="S1534" s="17"/>
      <c r="T1534" s="686"/>
      <c r="U1534" s="18">
        <f>РПЗ!P1534</f>
        <v>43435.625</v>
      </c>
      <c r="V1534" s="686"/>
      <c r="W1534" s="236">
        <f>РПЗ!L1534</f>
        <v>21558411.199999999</v>
      </c>
      <c r="X1534" s="689"/>
      <c r="Y1534" s="689"/>
      <c r="Z1534" s="690"/>
      <c r="AA1534" s="691"/>
      <c r="AB1534" s="111"/>
      <c r="AC1534" s="17"/>
      <c r="AD1534" s="690"/>
      <c r="AE1534" s="686"/>
      <c r="AF1534" s="474"/>
      <c r="AG1534" s="692"/>
      <c r="AH1534" s="236" t="str">
        <f>IF(Таблица5[[#This Row],[30]]=0,"НД",Таблица5[[#This Row],[20]]-Таблица5[[#This Row],[30]])</f>
        <v>НД</v>
      </c>
      <c r="AI1534" s="511" t="str">
        <f>IF(((1-Таблица5[[#This Row],[30]]/Таблица5[[#This Row],[20]])=1),"НД",(1-Таблица5[[#This Row],[30]]/Таблица5[[#This Row],[20]]))</f>
        <v>НД</v>
      </c>
      <c r="AJ1534" s="111"/>
      <c r="AK1534" s="111"/>
      <c r="AL1534" s="512"/>
      <c r="AM1534" s="513"/>
      <c r="AN1534" s="465"/>
      <c r="AO1534" s="468">
        <f>РПЗ!AD1534</f>
        <v>0</v>
      </c>
      <c r="AP1534" s="472">
        <f>РПЗ!V1534</f>
        <v>0</v>
      </c>
      <c r="AQ1534" s="470">
        <f>IF(Таблица5[[#This Row],[11]]=0,,MONTH(Таблица5[[#This Row],[11]]))</f>
        <v>12</v>
      </c>
    </row>
    <row r="1535" spans="1:43" ht="39" thickBot="1" x14ac:dyDescent="0.3">
      <c r="A1535" s="233" t="str">
        <f t="shared" si="25"/>
        <v>1004-2017-1520</v>
      </c>
      <c r="B1535" s="233" t="str">
        <f>РПЗ!$D1535</f>
        <v>1004-2017-1520 Упаковка ЖГДК.305647.005</v>
      </c>
      <c r="C1535" s="233" t="str">
        <f>РПЗ!$AA1535</f>
        <v>АО "НИИ "Полюс" им. М.Ф. Стельмаха" тел. отдела закупок 8-495-333-05-02</v>
      </c>
      <c r="D1535" s="633" t="str">
        <f>РПЗ!$AB1535</f>
        <v>Заказчик</v>
      </c>
      <c r="E1535" s="96" t="s">
        <v>46</v>
      </c>
      <c r="F1535" s="233" t="str">
        <f>РПЗ!Q1535</f>
        <v>ЕП</v>
      </c>
      <c r="G1535" s="237"/>
      <c r="H1535" s="237" t="str">
        <f>РПЗ!R1535</f>
        <v>Нет</v>
      </c>
      <c r="I1535" s="15">
        <f>РПЗ!W1763</f>
        <v>0</v>
      </c>
      <c r="J1535" s="233">
        <f>РПЗ!X1763</f>
        <v>0</v>
      </c>
      <c r="K1535" s="283">
        <f>РПЗ!Z1763</f>
        <v>0</v>
      </c>
      <c r="L1535" s="17"/>
      <c r="M1535" s="18">
        <f>РПЗ!O1535</f>
        <v>43070.625</v>
      </c>
      <c r="N1535" s="238">
        <f>Таблица5[[#This Row],[10]]</f>
        <v>43070.625</v>
      </c>
      <c r="O1535" s="17"/>
      <c r="P1535" s="17"/>
      <c r="Q1535" s="17"/>
      <c r="R1535" s="17"/>
      <c r="S1535" s="17"/>
      <c r="T1535" s="686"/>
      <c r="U1535" s="18">
        <f>РПЗ!P1535</f>
        <v>43435.625</v>
      </c>
      <c r="V1535" s="686"/>
      <c r="W1535" s="236">
        <f>РПЗ!L1535</f>
        <v>1913818.4</v>
      </c>
      <c r="X1535" s="689"/>
      <c r="Y1535" s="689"/>
      <c r="Z1535" s="690"/>
      <c r="AA1535" s="691"/>
      <c r="AB1535" s="111"/>
      <c r="AC1535" s="17"/>
      <c r="AD1535" s="690"/>
      <c r="AE1535" s="686"/>
      <c r="AF1535" s="474"/>
      <c r="AG1535" s="692"/>
      <c r="AH1535" s="236" t="str">
        <f>IF(Таблица5[[#This Row],[30]]=0,"НД",Таблица5[[#This Row],[20]]-Таблица5[[#This Row],[30]])</f>
        <v>НД</v>
      </c>
      <c r="AI1535" s="511" t="str">
        <f>IF(((1-Таблица5[[#This Row],[30]]/Таблица5[[#This Row],[20]])=1),"НД",(1-Таблица5[[#This Row],[30]]/Таблица5[[#This Row],[20]]))</f>
        <v>НД</v>
      </c>
      <c r="AJ1535" s="111"/>
      <c r="AK1535" s="111"/>
      <c r="AL1535" s="512"/>
      <c r="AM1535" s="513"/>
      <c r="AN1535" s="465"/>
      <c r="AO1535" s="468">
        <f>РПЗ!AD1535</f>
        <v>0</v>
      </c>
      <c r="AP1535" s="472">
        <f>РПЗ!V1535</f>
        <v>0</v>
      </c>
      <c r="AQ1535" s="470">
        <f>IF(Таблица5[[#This Row],[11]]=0,,MONTH(Таблица5[[#This Row],[11]]))</f>
        <v>12</v>
      </c>
    </row>
    <row r="1536" spans="1:43" ht="39" thickBot="1" x14ac:dyDescent="0.3">
      <c r="A1536" s="233" t="str">
        <f t="shared" si="25"/>
        <v>1004-2017-1521</v>
      </c>
      <c r="B1536" s="233" t="str">
        <f>РПЗ!$D1536</f>
        <v>1004-2017-1521 ОЭ САО</v>
      </c>
      <c r="C1536" s="233" t="str">
        <f>РПЗ!$AA1536</f>
        <v>АО "НИИ "Полюс" им. М.Ф. Стельмаха" тел. отдела закупок 8-495-333-05-02</v>
      </c>
      <c r="D1536" s="633" t="str">
        <f>РПЗ!$AB1536</f>
        <v>Заказчик</v>
      </c>
      <c r="E1536" s="96" t="s">
        <v>46</v>
      </c>
      <c r="F1536" s="233" t="str">
        <f>РПЗ!Q1536</f>
        <v>ЕП</v>
      </c>
      <c r="G1536" s="237"/>
      <c r="H1536" s="237" t="str">
        <f>РПЗ!R1536</f>
        <v>Нет</v>
      </c>
      <c r="I1536" s="15">
        <f>РПЗ!W1764</f>
        <v>0</v>
      </c>
      <c r="J1536" s="233">
        <f>РПЗ!X1764</f>
        <v>0</v>
      </c>
      <c r="K1536" s="283">
        <f>РПЗ!Z1764</f>
        <v>0</v>
      </c>
      <c r="L1536" s="17"/>
      <c r="M1536" s="18">
        <f>РПЗ!O1536</f>
        <v>43070.625</v>
      </c>
      <c r="N1536" s="238">
        <f>Таблица5[[#This Row],[10]]</f>
        <v>43070.625</v>
      </c>
      <c r="O1536" s="17"/>
      <c r="P1536" s="17"/>
      <c r="Q1536" s="17"/>
      <c r="R1536" s="17"/>
      <c r="S1536" s="17"/>
      <c r="T1536" s="686"/>
      <c r="U1536" s="18">
        <f>РПЗ!P1536</f>
        <v>43435.625</v>
      </c>
      <c r="V1536" s="686"/>
      <c r="W1536" s="236">
        <f>РПЗ!L1536</f>
        <v>30990216.100000001</v>
      </c>
      <c r="X1536" s="689"/>
      <c r="Y1536" s="689"/>
      <c r="Z1536" s="690"/>
      <c r="AA1536" s="691"/>
      <c r="AB1536" s="111"/>
      <c r="AC1536" s="17"/>
      <c r="AD1536" s="690"/>
      <c r="AE1536" s="686"/>
      <c r="AF1536" s="474"/>
      <c r="AG1536" s="692"/>
      <c r="AH1536" s="236" t="str">
        <f>IF(Таблица5[[#This Row],[30]]=0,"НД",Таблица5[[#This Row],[20]]-Таблица5[[#This Row],[30]])</f>
        <v>НД</v>
      </c>
      <c r="AI1536" s="511" t="str">
        <f>IF(((1-Таблица5[[#This Row],[30]]/Таблица5[[#This Row],[20]])=1),"НД",(1-Таблица5[[#This Row],[30]]/Таблица5[[#This Row],[20]]))</f>
        <v>НД</v>
      </c>
      <c r="AJ1536" s="111"/>
      <c r="AK1536" s="111"/>
      <c r="AL1536" s="512"/>
      <c r="AM1536" s="513"/>
      <c r="AN1536" s="465"/>
      <c r="AO1536" s="468">
        <f>РПЗ!AD1536</f>
        <v>0</v>
      </c>
      <c r="AP1536" s="472">
        <f>РПЗ!V1536</f>
        <v>0</v>
      </c>
      <c r="AQ1536" s="470">
        <f>IF(Таблица5[[#This Row],[11]]=0,,MONTH(Таблица5[[#This Row],[11]]))</f>
        <v>12</v>
      </c>
    </row>
    <row r="1537" spans="1:43" ht="39" thickBot="1" x14ac:dyDescent="0.3">
      <c r="A1537" s="233" t="str">
        <f t="shared" si="25"/>
        <v>1004-2017-1522</v>
      </c>
      <c r="B1537" s="233" t="str">
        <f>РПЗ!$D1537</f>
        <v>1004-2017-1522 Упаковка ЖГДК.305647.005</v>
      </c>
      <c r="C1537" s="233" t="str">
        <f>РПЗ!$AA1537</f>
        <v>АО "НИИ "Полюс" им. М.Ф. Стельмаха" тел. отдела закупок 8-495-333-05-02</v>
      </c>
      <c r="D1537" s="633" t="str">
        <f>РПЗ!$AB1537</f>
        <v>Заказчик</v>
      </c>
      <c r="E1537" s="96" t="s">
        <v>46</v>
      </c>
      <c r="F1537" s="233" t="str">
        <f>РПЗ!Q1537</f>
        <v>ЕП</v>
      </c>
      <c r="G1537" s="237"/>
      <c r="H1537" s="237" t="str">
        <f>РПЗ!R1537</f>
        <v>Нет</v>
      </c>
      <c r="I1537" s="15">
        <f>РПЗ!W1765</f>
        <v>0</v>
      </c>
      <c r="J1537" s="233">
        <f>РПЗ!X1765</f>
        <v>0</v>
      </c>
      <c r="K1537" s="283">
        <f>РПЗ!Z1765</f>
        <v>0</v>
      </c>
      <c r="L1537" s="17"/>
      <c r="M1537" s="18">
        <f>РПЗ!O1537</f>
        <v>43070.625</v>
      </c>
      <c r="N1537" s="238">
        <f>Таблица5[[#This Row],[10]]</f>
        <v>43070.625</v>
      </c>
      <c r="O1537" s="17"/>
      <c r="P1537" s="17"/>
      <c r="Q1537" s="17"/>
      <c r="R1537" s="17"/>
      <c r="S1537" s="17"/>
      <c r="T1537" s="686"/>
      <c r="U1537" s="18">
        <f>РПЗ!P1537</f>
        <v>43435.625</v>
      </c>
      <c r="V1537" s="686"/>
      <c r="W1537" s="236">
        <f>РПЗ!L1537</f>
        <v>2200891.16</v>
      </c>
      <c r="X1537" s="689"/>
      <c r="Y1537" s="689"/>
      <c r="Z1537" s="690"/>
      <c r="AA1537" s="691"/>
      <c r="AB1537" s="111"/>
      <c r="AC1537" s="17"/>
      <c r="AD1537" s="690"/>
      <c r="AE1537" s="686"/>
      <c r="AF1537" s="474"/>
      <c r="AG1537" s="692"/>
      <c r="AH1537" s="236" t="str">
        <f>IF(Таблица5[[#This Row],[30]]=0,"НД",Таблица5[[#This Row],[20]]-Таблица5[[#This Row],[30]])</f>
        <v>НД</v>
      </c>
      <c r="AI1537" s="511" t="str">
        <f>IF(((1-Таблица5[[#This Row],[30]]/Таблица5[[#This Row],[20]])=1),"НД",(1-Таблица5[[#This Row],[30]]/Таблица5[[#This Row],[20]]))</f>
        <v>НД</v>
      </c>
      <c r="AJ1537" s="111"/>
      <c r="AK1537" s="111"/>
      <c r="AL1537" s="512"/>
      <c r="AM1537" s="513"/>
      <c r="AN1537" s="465"/>
      <c r="AO1537" s="468">
        <f>РПЗ!AD1537</f>
        <v>0</v>
      </c>
      <c r="AP1537" s="472">
        <f>РПЗ!V1537</f>
        <v>0</v>
      </c>
      <c r="AQ1537" s="470">
        <f>IF(Таблица5[[#This Row],[11]]=0,,MONTH(Таблица5[[#This Row],[11]]))</f>
        <v>12</v>
      </c>
    </row>
    <row r="1538" spans="1:43" ht="39" thickBot="1" x14ac:dyDescent="0.3">
      <c r="A1538" s="233" t="str">
        <f t="shared" si="25"/>
        <v>1004-2017-1523</v>
      </c>
      <c r="B1538" s="233" t="str">
        <f>РПЗ!$D1538</f>
        <v>1004-2017-1523 Акселерометр АК-18</v>
      </c>
      <c r="C1538" s="233" t="str">
        <f>РПЗ!$AA1538</f>
        <v>АО "НИИ "Полюс" им. М.Ф. Стельмаха" тел. отдела закупок 8-495-333-05-02</v>
      </c>
      <c r="D1538" s="633" t="str">
        <f>РПЗ!$AB1538</f>
        <v>Заказчик</v>
      </c>
      <c r="E1538" s="96" t="s">
        <v>46</v>
      </c>
      <c r="F1538" s="233" t="str">
        <f>РПЗ!Q1538</f>
        <v>ЕП</v>
      </c>
      <c r="G1538" s="237"/>
      <c r="H1538" s="237" t="str">
        <f>РПЗ!R1538</f>
        <v>Нет</v>
      </c>
      <c r="I1538" s="15">
        <f>РПЗ!W1766</f>
        <v>0</v>
      </c>
      <c r="J1538" s="233">
        <f>РПЗ!X1766</f>
        <v>0</v>
      </c>
      <c r="K1538" s="283">
        <f>РПЗ!Z1766</f>
        <v>0</v>
      </c>
      <c r="L1538" s="17"/>
      <c r="M1538" s="18">
        <f>РПЗ!O1538</f>
        <v>43070.625</v>
      </c>
      <c r="N1538" s="238">
        <f>Таблица5[[#This Row],[10]]</f>
        <v>43070.625</v>
      </c>
      <c r="O1538" s="17"/>
      <c r="P1538" s="17"/>
      <c r="Q1538" s="17"/>
      <c r="R1538" s="17"/>
      <c r="S1538" s="17"/>
      <c r="T1538" s="686"/>
      <c r="U1538" s="18">
        <f>РПЗ!P1538</f>
        <v>43435.625</v>
      </c>
      <c r="V1538" s="686"/>
      <c r="W1538" s="236">
        <f>РПЗ!L1538</f>
        <v>49958975.700000003</v>
      </c>
      <c r="X1538" s="689"/>
      <c r="Y1538" s="689"/>
      <c r="Z1538" s="690"/>
      <c r="AA1538" s="691"/>
      <c r="AB1538" s="111"/>
      <c r="AC1538" s="17"/>
      <c r="AD1538" s="690"/>
      <c r="AE1538" s="686"/>
      <c r="AF1538" s="474"/>
      <c r="AG1538" s="692"/>
      <c r="AH1538" s="236" t="str">
        <f>IF(Таблица5[[#This Row],[30]]=0,"НД",Таблица5[[#This Row],[20]]-Таблица5[[#This Row],[30]])</f>
        <v>НД</v>
      </c>
      <c r="AI1538" s="511" t="str">
        <f>IF(((1-Таблица5[[#This Row],[30]]/Таблица5[[#This Row],[20]])=1),"НД",(1-Таблица5[[#This Row],[30]]/Таблица5[[#This Row],[20]]))</f>
        <v>НД</v>
      </c>
      <c r="AJ1538" s="111"/>
      <c r="AK1538" s="111"/>
      <c r="AL1538" s="512"/>
      <c r="AM1538" s="513"/>
      <c r="AN1538" s="465"/>
      <c r="AO1538" s="468">
        <f>РПЗ!AD1538</f>
        <v>0</v>
      </c>
      <c r="AP1538" s="472">
        <f>РПЗ!V1538</f>
        <v>0</v>
      </c>
      <c r="AQ1538" s="470">
        <f>IF(Таблица5[[#This Row],[11]]=0,,MONTH(Таблица5[[#This Row],[11]]))</f>
        <v>12</v>
      </c>
    </row>
    <row r="1539" spans="1:43" ht="38.25" x14ac:dyDescent="0.25">
      <c r="A1539" s="233" t="str">
        <f t="shared" si="25"/>
        <v>1004-2017-1524</v>
      </c>
      <c r="B1539" s="233" t="str">
        <f>РПЗ!$D1539</f>
        <v>1004-2017-1524 Механические детали</v>
      </c>
      <c r="C1539" s="233" t="str">
        <f>РПЗ!$AA1539</f>
        <v>АО "НИИ "Полюс" им. М.Ф. Стельмаха" тел. отдела закупок 8-495-333-05-02</v>
      </c>
      <c r="D1539" s="633" t="str">
        <f>РПЗ!$AB1539</f>
        <v>Заказчик</v>
      </c>
      <c r="E1539" s="96" t="s">
        <v>46</v>
      </c>
      <c r="F1539" s="233" t="str">
        <f>РПЗ!Q1539</f>
        <v>ЕП</v>
      </c>
      <c r="G1539" s="237"/>
      <c r="H1539" s="237" t="str">
        <f>РПЗ!R1539</f>
        <v>Нет</v>
      </c>
      <c r="I1539" s="15">
        <f>РПЗ!W1767</f>
        <v>0</v>
      </c>
      <c r="J1539" s="233">
        <f>РПЗ!X1767</f>
        <v>0</v>
      </c>
      <c r="K1539" s="283">
        <f>РПЗ!Z1767</f>
        <v>0</v>
      </c>
      <c r="L1539" s="17"/>
      <c r="M1539" s="18">
        <f>РПЗ!O1539</f>
        <v>43070.625</v>
      </c>
      <c r="N1539" s="238">
        <f>Таблица5[[#This Row],[10]]</f>
        <v>43070.625</v>
      </c>
      <c r="O1539" s="17"/>
      <c r="P1539" s="17"/>
      <c r="Q1539" s="17"/>
      <c r="R1539" s="17"/>
      <c r="S1539" s="17"/>
      <c r="T1539" s="686"/>
      <c r="U1539" s="18">
        <f>РПЗ!P1539</f>
        <v>43344.625</v>
      </c>
      <c r="V1539" s="686"/>
      <c r="W1539" s="236">
        <f>РПЗ!L1539</f>
        <v>3022629</v>
      </c>
      <c r="X1539" s="689"/>
      <c r="Y1539" s="689"/>
      <c r="Z1539" s="690"/>
      <c r="AA1539" s="691"/>
      <c r="AB1539" s="111"/>
      <c r="AC1539" s="17"/>
      <c r="AD1539" s="690"/>
      <c r="AE1539" s="686"/>
      <c r="AF1539" s="474"/>
      <c r="AG1539" s="692"/>
      <c r="AH1539" s="236" t="str">
        <f>IF(Таблица5[[#This Row],[30]]=0,"НД",Таблица5[[#This Row],[20]]-Таблица5[[#This Row],[30]])</f>
        <v>НД</v>
      </c>
      <c r="AI1539" s="511" t="str">
        <f>IF(((1-Таблица5[[#This Row],[30]]/Таблица5[[#This Row],[20]])=1),"НД",(1-Таблица5[[#This Row],[30]]/Таблица5[[#This Row],[20]]))</f>
        <v>НД</v>
      </c>
      <c r="AJ1539" s="111"/>
      <c r="AK1539" s="111"/>
      <c r="AL1539" s="512"/>
      <c r="AM1539" s="513"/>
      <c r="AN1539" s="465"/>
      <c r="AO1539" s="468">
        <f>РПЗ!AD1539</f>
        <v>0</v>
      </c>
      <c r="AP1539" s="472">
        <f>РПЗ!V1539</f>
        <v>0</v>
      </c>
      <c r="AQ1539" s="470">
        <f>IF(Таблица5[[#This Row],[11]]=0,,MONTH(Таблица5[[#This Row],[11]]))</f>
        <v>12</v>
      </c>
    </row>
    <row r="1540" spans="1:43" ht="38.25" x14ac:dyDescent="0.25">
      <c r="A1540" s="233" t="str">
        <f t="shared" si="25"/>
        <v>1004-2017-1525</v>
      </c>
      <c r="B1540" s="233" t="str">
        <f>РПЗ!$D1540</f>
        <v>1004-2017-1525 Промышленный пылесос для сухой и влажной уборки</v>
      </c>
      <c r="C1540" s="233" t="str">
        <f>РПЗ!$AA1540</f>
        <v>АО "НИИ "Полюс" им. М.Ф. Стельмаха" тел. отдела закупок 8-495-333-05-02</v>
      </c>
      <c r="D1540" s="633" t="str">
        <f>РПЗ!$AB1540</f>
        <v>Заказчик</v>
      </c>
      <c r="E1540" s="510" t="s">
        <v>62</v>
      </c>
      <c r="F1540" s="233" t="str">
        <f>РПЗ!Q1540</f>
        <v>ОЗК</v>
      </c>
      <c r="G1540" s="237" t="str">
        <f>Таблица5[[#This Row],[6]]</f>
        <v>ОЗК</v>
      </c>
      <c r="H1540" s="237" t="str">
        <f>РПЗ!R1540</f>
        <v>Да</v>
      </c>
      <c r="I1540" s="15">
        <f>РПЗ!W1768</f>
        <v>0</v>
      </c>
      <c r="J1540" s="233">
        <f>РПЗ!X1768</f>
        <v>0</v>
      </c>
      <c r="K1540" s="283">
        <f>РПЗ!Z1768</f>
        <v>0</v>
      </c>
      <c r="L1540" s="17">
        <v>43070</v>
      </c>
      <c r="M1540" s="18">
        <f>РПЗ!O1540</f>
        <v>43070.625</v>
      </c>
      <c r="N1540" s="238">
        <f>Таблица5[[#This Row],[10]]</f>
        <v>43070.625</v>
      </c>
      <c r="O1540" s="17">
        <v>43076</v>
      </c>
      <c r="P1540" s="17">
        <v>43081</v>
      </c>
      <c r="Q1540" s="17">
        <v>43081</v>
      </c>
      <c r="R1540" s="17">
        <v>43076</v>
      </c>
      <c r="S1540" s="17">
        <v>43076</v>
      </c>
      <c r="T1540" s="686">
        <v>43087</v>
      </c>
      <c r="U1540" s="18">
        <f>РПЗ!P1540</f>
        <v>43070.625</v>
      </c>
      <c r="V1540" s="686">
        <v>43100</v>
      </c>
      <c r="W1540" s="236">
        <f>РПЗ!L1540</f>
        <v>16154.75</v>
      </c>
      <c r="X1540" s="689">
        <v>1</v>
      </c>
      <c r="Y1540" s="689">
        <v>0</v>
      </c>
      <c r="Z1540" s="691">
        <v>7715728312</v>
      </c>
      <c r="AA1540" s="691" t="s">
        <v>6789</v>
      </c>
      <c r="AB1540" s="111">
        <v>16134</v>
      </c>
      <c r="AC1540" s="17">
        <v>43100</v>
      </c>
      <c r="AD1540" s="690" t="s">
        <v>8083</v>
      </c>
      <c r="AE1540" s="686">
        <v>43087</v>
      </c>
      <c r="AF1540" s="474"/>
      <c r="AG1540" s="692">
        <v>16134</v>
      </c>
      <c r="AH1540" s="236">
        <f>IF(Таблица5[[#This Row],[30]]=0,"НД",Таблица5[[#This Row],[20]]-Таблица5[[#This Row],[30]])</f>
        <v>20.75</v>
      </c>
      <c r="AI1540" s="511">
        <f>IF(((1-Таблица5[[#This Row],[30]]/Таблица5[[#This Row],[20]])=1),"НД",(1-Таблица5[[#This Row],[30]]/Таблица5[[#This Row],[20]]))</f>
        <v>1.2844519413794941E-3</v>
      </c>
      <c r="AJ1540" s="111"/>
      <c r="AK1540" s="111">
        <v>16134</v>
      </c>
      <c r="AL1540" s="512"/>
      <c r="AM1540" s="513" t="s">
        <v>113</v>
      </c>
      <c r="AN1540" s="801">
        <v>31705819639</v>
      </c>
      <c r="AO1540" s="468">
        <f>РПЗ!AD1540</f>
        <v>0</v>
      </c>
      <c r="AP1540" s="472">
        <f>РПЗ!V1540</f>
        <v>0</v>
      </c>
      <c r="AQ1540" s="470">
        <f>IF(Таблица5[[#This Row],[11]]=0,,MONTH(Таблица5[[#This Row],[11]]))</f>
        <v>12</v>
      </c>
    </row>
    <row r="1541" spans="1:43" ht="39" thickBot="1" x14ac:dyDescent="0.3">
      <c r="A1541" s="233" t="str">
        <f t="shared" si="25"/>
        <v>1004-2017-1526</v>
      </c>
      <c r="B1541" s="233" t="str">
        <f>РПЗ!$D1541</f>
        <v>1004-2017-1526 Инструмент для проведения работ на технических системах служебных зданий</v>
      </c>
      <c r="C1541" s="233" t="str">
        <f>РПЗ!$AA1541</f>
        <v>АО "НИИ "Полюс" им. М.Ф. Стельмаха" тел. отдела закупок 8-495-333-05-02</v>
      </c>
      <c r="D1541" s="633" t="str">
        <f>РПЗ!$AB1541</f>
        <v>Заказчик</v>
      </c>
      <c r="E1541" s="510" t="s">
        <v>62</v>
      </c>
      <c r="F1541" s="233" t="str">
        <f>РПЗ!Q1541</f>
        <v>ОЗК</v>
      </c>
      <c r="G1541" s="237" t="str">
        <f>Таблица5[[#This Row],[6]]</f>
        <v>ОЗК</v>
      </c>
      <c r="H1541" s="237" t="str">
        <f>РПЗ!R1541</f>
        <v>Да</v>
      </c>
      <c r="I1541" s="15">
        <f>РПЗ!W1541</f>
        <v>0</v>
      </c>
      <c r="J1541" s="233">
        <f>РПЗ!X1541</f>
        <v>0</v>
      </c>
      <c r="K1541" s="283">
        <f>РПЗ!Z1541</f>
        <v>0</v>
      </c>
      <c r="L1541" s="17">
        <v>43070</v>
      </c>
      <c r="M1541" s="18">
        <f>РПЗ!O1541</f>
        <v>43070.625</v>
      </c>
      <c r="N1541" s="238">
        <f>Таблица5[[#This Row],[10]]</f>
        <v>43070.625</v>
      </c>
      <c r="O1541" s="17">
        <v>43083</v>
      </c>
      <c r="P1541" s="17">
        <v>43088</v>
      </c>
      <c r="Q1541" s="17">
        <v>43088</v>
      </c>
      <c r="R1541" s="17">
        <v>43083</v>
      </c>
      <c r="S1541" s="17">
        <v>43083</v>
      </c>
      <c r="T1541" s="686">
        <v>43094</v>
      </c>
      <c r="U1541" s="18">
        <f>РПЗ!P1541</f>
        <v>43070.625</v>
      </c>
      <c r="V1541" s="686">
        <v>43465</v>
      </c>
      <c r="W1541" s="236">
        <f>РПЗ!L1541</f>
        <v>103203.63</v>
      </c>
      <c r="X1541" s="689">
        <v>1</v>
      </c>
      <c r="Y1541" s="689">
        <v>0</v>
      </c>
      <c r="Z1541" s="691">
        <v>7705579703</v>
      </c>
      <c r="AA1541" s="691" t="s">
        <v>3287</v>
      </c>
      <c r="AB1541" s="111">
        <v>71031.490000000005</v>
      </c>
      <c r="AC1541" s="17">
        <v>43465</v>
      </c>
      <c r="AD1541" s="690" t="s">
        <v>8075</v>
      </c>
      <c r="AE1541" s="686">
        <v>43094</v>
      </c>
      <c r="AF1541" s="474"/>
      <c r="AG1541" s="692">
        <v>71031.490000000005</v>
      </c>
      <c r="AH1541" s="236">
        <f>IF(Таблица5[[#This Row],[30]]=0,"НД",Таблица5[[#This Row],[20]]-Таблица5[[#This Row],[30]])</f>
        <v>32172.14</v>
      </c>
      <c r="AI1541" s="511">
        <f>IF(((1-Таблица5[[#This Row],[30]]/Таблица5[[#This Row],[20]])=1),"НД",(1-Таблица5[[#This Row],[30]]/Таблица5[[#This Row],[20]]))</f>
        <v>0.3117345775531345</v>
      </c>
      <c r="AJ1541" s="111"/>
      <c r="AK1541" s="111">
        <v>71031.490000000005</v>
      </c>
      <c r="AL1541" s="512"/>
      <c r="AM1541" s="513" t="s">
        <v>113</v>
      </c>
      <c r="AN1541" s="801">
        <v>31705819901</v>
      </c>
      <c r="AO1541" s="468">
        <f>РПЗ!AD1541</f>
        <v>0</v>
      </c>
      <c r="AP1541" s="472">
        <f>РПЗ!V1541</f>
        <v>0</v>
      </c>
      <c r="AQ1541" s="470">
        <f>IF(Таблица5[[#This Row],[11]]=0,,MONTH(Таблица5[[#This Row],[11]]))</f>
        <v>12</v>
      </c>
    </row>
    <row r="1542" spans="1:43" ht="38.25" x14ac:dyDescent="0.25">
      <c r="A1542" s="233" t="str">
        <f t="shared" si="25"/>
        <v>1004-2017-1527</v>
      </c>
      <c r="B1542" s="233" t="str">
        <f>РПЗ!$D1542</f>
        <v>1004-2017-1527 Статический гониометр СГ-1Ц  в комплекте</v>
      </c>
      <c r="C1542" s="233" t="str">
        <f>РПЗ!$AA1542</f>
        <v>АО "НИИ "Полюс" им. М.Ф. Стельмаха" тел. отдела закупок 8-495-333-05-02</v>
      </c>
      <c r="D1542" s="633" t="str">
        <f>РПЗ!$AB1542</f>
        <v>Заказчик</v>
      </c>
      <c r="E1542" s="96" t="s">
        <v>46</v>
      </c>
      <c r="F1542" s="233" t="str">
        <f>РПЗ!Q1542</f>
        <v>ОЗК</v>
      </c>
      <c r="G1542" s="237"/>
      <c r="H1542" s="237" t="str">
        <f>РПЗ!R1542</f>
        <v>Да</v>
      </c>
      <c r="I1542" s="15">
        <f>РПЗ!W1770</f>
        <v>0</v>
      </c>
      <c r="J1542" s="233">
        <f>РПЗ!X1770</f>
        <v>0</v>
      </c>
      <c r="K1542" s="283">
        <f>РПЗ!Z1770</f>
        <v>0</v>
      </c>
      <c r="L1542" s="17"/>
      <c r="M1542" s="18">
        <f>РПЗ!O1542</f>
        <v>43070.625</v>
      </c>
      <c r="N1542" s="238">
        <f>Таблица5[[#This Row],[10]]</f>
        <v>43070.625</v>
      </c>
      <c r="O1542" s="17"/>
      <c r="P1542" s="17"/>
      <c r="Q1542" s="17"/>
      <c r="R1542" s="17"/>
      <c r="S1542" s="17"/>
      <c r="T1542" s="686"/>
      <c r="U1542" s="18">
        <f>РПЗ!P1542</f>
        <v>43160.625</v>
      </c>
      <c r="V1542" s="686"/>
      <c r="W1542" s="236">
        <f>РПЗ!L1542</f>
        <v>2418333.33</v>
      </c>
      <c r="X1542" s="689"/>
      <c r="Y1542" s="689"/>
      <c r="Z1542" s="690"/>
      <c r="AA1542" s="691"/>
      <c r="AB1542" s="111"/>
      <c r="AC1542" s="17"/>
      <c r="AD1542" s="690"/>
      <c r="AE1542" s="686"/>
      <c r="AF1542" s="474"/>
      <c r="AG1542" s="692"/>
      <c r="AH1542" s="236" t="str">
        <f>IF(Таблица5[[#This Row],[30]]=0,"НД",Таблица5[[#This Row],[20]]-Таблица5[[#This Row],[30]])</f>
        <v>НД</v>
      </c>
      <c r="AI1542" s="511" t="str">
        <f>IF(((1-Таблица5[[#This Row],[30]]/Таблица5[[#This Row],[20]])=1),"НД",(1-Таблица5[[#This Row],[30]]/Таблица5[[#This Row],[20]]))</f>
        <v>НД</v>
      </c>
      <c r="AJ1542" s="111"/>
      <c r="AK1542" s="111"/>
      <c r="AL1542" s="512"/>
      <c r="AM1542" s="513"/>
      <c r="AN1542" s="465"/>
      <c r="AO1542" s="468">
        <f>РПЗ!AD1542</f>
        <v>0</v>
      </c>
      <c r="AP1542" s="472">
        <f>РПЗ!V1542</f>
        <v>0</v>
      </c>
      <c r="AQ1542" s="470">
        <f>IF(Таблица5[[#This Row],[11]]=0,,MONTH(Таблица5[[#This Row],[11]]))</f>
        <v>12</v>
      </c>
    </row>
    <row r="1543" spans="1:43" ht="76.5" x14ac:dyDescent="0.25">
      <c r="A1543" s="233" t="str">
        <f t="shared" si="25"/>
        <v>1004-2017-1528</v>
      </c>
      <c r="B1543" s="233" t="str">
        <f>РПЗ!$D1543</f>
        <v>1004-2017-1528 Оказание услуг по защите охраняемых объектов АО "НИИ "Полюс" им М.Ф. Стельмаха" ведомственной охраной Государственной корпорации "Ростехнологии"</v>
      </c>
      <c r="C1543" s="233" t="str">
        <f>РПЗ!$AA1543</f>
        <v>АО "НИИ "Полюс" им. М.Ф. Стельмаха" тел. отдела закупок 8-495-333-05-02</v>
      </c>
      <c r="D1543" s="633" t="str">
        <f>РПЗ!$AB1543</f>
        <v>Заказчик</v>
      </c>
      <c r="E1543" s="510" t="s">
        <v>62</v>
      </c>
      <c r="F1543" s="233" t="str">
        <f>РПЗ!Q1543</f>
        <v>ЕП</v>
      </c>
      <c r="G1543" s="237" t="str">
        <f>Таблица5[[#This Row],[6]]</f>
        <v>ЕП</v>
      </c>
      <c r="H1543" s="237" t="str">
        <f>РПЗ!R1543</f>
        <v>Нет</v>
      </c>
      <c r="I1543" s="15" t="str">
        <f>РПЗ!W1543</f>
        <v>6.6.2(28)</v>
      </c>
      <c r="J1543" s="233" t="str">
        <f>РПЗ!X1543</f>
        <v>7704759968</v>
      </c>
      <c r="K1543" s="283">
        <f>РПЗ!Z1543</f>
        <v>20570892</v>
      </c>
      <c r="L1543" s="17">
        <v>43048</v>
      </c>
      <c r="M1543" s="18">
        <f>РПЗ!O1543</f>
        <v>43070.625</v>
      </c>
      <c r="N1543" s="238">
        <f>Таблица5[[#This Row],[10]]</f>
        <v>43070.625</v>
      </c>
      <c r="O1543" s="17"/>
      <c r="P1543" s="17"/>
      <c r="Q1543" s="17"/>
      <c r="R1543" s="17"/>
      <c r="S1543" s="17"/>
      <c r="T1543" s="686">
        <v>43077</v>
      </c>
      <c r="U1543" s="18">
        <f>РПЗ!P1543</f>
        <v>43070.625</v>
      </c>
      <c r="V1543" s="686">
        <v>43435</v>
      </c>
      <c r="W1543" s="236">
        <f>РПЗ!L1543</f>
        <v>20570892</v>
      </c>
      <c r="X1543" s="689">
        <v>1</v>
      </c>
      <c r="Y1543" s="689">
        <v>0</v>
      </c>
      <c r="Z1543" s="691">
        <v>7704759968</v>
      </c>
      <c r="AA1543" s="691" t="s">
        <v>8043</v>
      </c>
      <c r="AB1543" s="111">
        <v>20570892</v>
      </c>
      <c r="AC1543" s="17">
        <v>43435</v>
      </c>
      <c r="AD1543" s="690" t="s">
        <v>125</v>
      </c>
      <c r="AE1543" s="686">
        <v>43077</v>
      </c>
      <c r="AF1543" s="474"/>
      <c r="AG1543" s="692">
        <v>20570892</v>
      </c>
      <c r="AH1543" s="236">
        <f>IF(Таблица5[[#This Row],[30]]=0,"НД",Таблица5[[#This Row],[20]]-Таблица5[[#This Row],[30]])</f>
        <v>0</v>
      </c>
      <c r="AI1543" s="511">
        <f>IF(((1-Таблица5[[#This Row],[30]]/Таблица5[[#This Row],[20]])=1),"НД",(1-Таблица5[[#This Row],[30]]/Таблица5[[#This Row],[20]]))</f>
        <v>0</v>
      </c>
      <c r="AJ1543" s="111"/>
      <c r="AK1543" s="111"/>
      <c r="AL1543" s="512"/>
      <c r="AM1543" s="513" t="s">
        <v>113</v>
      </c>
      <c r="AN1543" s="801">
        <v>31705847501</v>
      </c>
      <c r="AO1543" s="468">
        <f>РПЗ!AD1543</f>
        <v>0</v>
      </c>
      <c r="AP1543" s="472">
        <f>РПЗ!V1543</f>
        <v>0</v>
      </c>
      <c r="AQ1543" s="470">
        <f>IF(Таблица5[[#This Row],[11]]=0,,MONTH(Таблица5[[#This Row],[11]]))</f>
        <v>12</v>
      </c>
    </row>
    <row r="1544" spans="1:43" ht="38.25" x14ac:dyDescent="0.25">
      <c r="A1544" s="233" t="str">
        <f t="shared" si="25"/>
        <v>1004-2017-1529</v>
      </c>
      <c r="B1544" s="233" t="str">
        <f>РПЗ!$D1544</f>
        <v>1004-2017-1529 Оказание услуг по сопровождению закупочных процедур заказчика на 2018 г.</v>
      </c>
      <c r="C1544" s="233" t="str">
        <f>РПЗ!$AA1544</f>
        <v>АО "НИИ "Полюс" им. М.Ф. Стельмаха" тел. отдела закупок 8-495-333-05-02</v>
      </c>
      <c r="D1544" s="633" t="str">
        <f>РПЗ!$AB1544</f>
        <v>Заказчик</v>
      </c>
      <c r="E1544" s="510" t="s">
        <v>62</v>
      </c>
      <c r="F1544" s="233" t="str">
        <f>РПЗ!Q1544</f>
        <v>ЕП</v>
      </c>
      <c r="G1544" s="237" t="str">
        <f>Таблица5[[#This Row],[6]]</f>
        <v>ЕП</v>
      </c>
      <c r="H1544" s="237" t="str">
        <f>РПЗ!R1544</f>
        <v>Нет</v>
      </c>
      <c r="I1544" s="15">
        <f>РПЗ!W1772</f>
        <v>0</v>
      </c>
      <c r="J1544" s="233">
        <f>РПЗ!X1772</f>
        <v>0</v>
      </c>
      <c r="K1544" s="283">
        <f>РПЗ!Z1772</f>
        <v>0</v>
      </c>
      <c r="L1544" s="17">
        <v>43081</v>
      </c>
      <c r="M1544" s="18">
        <f>РПЗ!O1544</f>
        <v>43070.625</v>
      </c>
      <c r="N1544" s="238">
        <f>Таблица5[[#This Row],[10]]</f>
        <v>43070.625</v>
      </c>
      <c r="O1544" s="17"/>
      <c r="P1544" s="17"/>
      <c r="Q1544" s="17"/>
      <c r="R1544" s="17"/>
      <c r="S1544" s="17"/>
      <c r="T1544" s="686">
        <v>43094</v>
      </c>
      <c r="U1544" s="18">
        <f>РПЗ!P1544</f>
        <v>43435.625</v>
      </c>
      <c r="V1544" s="686">
        <v>43465</v>
      </c>
      <c r="W1544" s="236">
        <f>РПЗ!L1544</f>
        <v>1200000</v>
      </c>
      <c r="X1544" s="689">
        <v>1</v>
      </c>
      <c r="Y1544" s="689">
        <v>0</v>
      </c>
      <c r="Z1544" s="691">
        <v>7704756043</v>
      </c>
      <c r="AA1544" s="691" t="s">
        <v>8218</v>
      </c>
      <c r="AB1544" s="111">
        <v>1200000</v>
      </c>
      <c r="AC1544" s="17">
        <v>43465</v>
      </c>
      <c r="AD1544" s="690" t="s">
        <v>8219</v>
      </c>
      <c r="AE1544" s="686">
        <v>43094</v>
      </c>
      <c r="AF1544" s="474"/>
      <c r="AG1544" s="692">
        <v>1200000</v>
      </c>
      <c r="AH1544" s="236">
        <f>IF(Таблица5[[#This Row],[30]]=0,"НД",Таблица5[[#This Row],[20]]-Таблица5[[#This Row],[30]])</f>
        <v>0</v>
      </c>
      <c r="AI1544" s="511">
        <f>IF(((1-Таблица5[[#This Row],[30]]/Таблица5[[#This Row],[20]])=1),"НД",(1-Таблица5[[#This Row],[30]]/Таблица5[[#This Row],[20]]))</f>
        <v>0</v>
      </c>
      <c r="AJ1544" s="111"/>
      <c r="AK1544" s="111"/>
      <c r="AL1544" s="512"/>
      <c r="AM1544" s="513" t="s">
        <v>113</v>
      </c>
      <c r="AN1544" s="801">
        <v>31705894936</v>
      </c>
      <c r="AO1544" s="468">
        <f>РПЗ!AD1544</f>
        <v>0</v>
      </c>
      <c r="AP1544" s="472">
        <f>РПЗ!V1544</f>
        <v>0</v>
      </c>
      <c r="AQ1544" s="470">
        <f>IF(Таблица5[[#This Row],[11]]=0,,MONTH(Таблица5[[#This Row],[11]]))</f>
        <v>12</v>
      </c>
    </row>
    <row r="1545" spans="1:43" ht="38.25" x14ac:dyDescent="0.25">
      <c r="A1545" s="233" t="str">
        <f t="shared" si="25"/>
        <v>1004-2017-1530</v>
      </c>
      <c r="B1545" s="233" t="str">
        <f>РПЗ!$D1545</f>
        <v>1004-2017-1530 Строительно-отделочные материалы</v>
      </c>
      <c r="C1545" s="233" t="str">
        <f>РПЗ!$AA1545</f>
        <v>АО "НИИ "Полюс" им. М.Ф. Стельмаха" тел. отдела закупок 8-495-333-05-02</v>
      </c>
      <c r="D1545" s="633" t="str">
        <f>РПЗ!$AB1545</f>
        <v>Заказчик</v>
      </c>
      <c r="E1545" s="510" t="s">
        <v>59</v>
      </c>
      <c r="F1545" s="233" t="str">
        <f>РПЗ!Q1545</f>
        <v>ОЗК</v>
      </c>
      <c r="G1545" s="237" t="str">
        <f>Таблица5[[#This Row],[6]]</f>
        <v>ОЗК</v>
      </c>
      <c r="H1545" s="237" t="str">
        <f>РПЗ!R1545</f>
        <v>Да</v>
      </c>
      <c r="I1545" s="15">
        <f>РПЗ!W1773</f>
        <v>0</v>
      </c>
      <c r="J1545" s="233">
        <f>РПЗ!X1773</f>
        <v>0</v>
      </c>
      <c r="K1545" s="283">
        <f>РПЗ!Z1773</f>
        <v>0</v>
      </c>
      <c r="L1545" s="17">
        <v>43076</v>
      </c>
      <c r="M1545" s="18">
        <f>РПЗ!O1545</f>
        <v>43070.625</v>
      </c>
      <c r="N1545" s="238">
        <f>Таблица5[[#This Row],[10]]</f>
        <v>43070.625</v>
      </c>
      <c r="O1545" s="17">
        <v>43083</v>
      </c>
      <c r="P1545" s="17">
        <v>43088</v>
      </c>
      <c r="Q1545" s="17">
        <v>43088</v>
      </c>
      <c r="R1545" s="17">
        <v>43088</v>
      </c>
      <c r="S1545" s="17">
        <v>43088</v>
      </c>
      <c r="T1545" s="686"/>
      <c r="U1545" s="18">
        <f>РПЗ!P1545</f>
        <v>43070.625</v>
      </c>
      <c r="V1545" s="686"/>
      <c r="W1545" s="236">
        <f>РПЗ!L1545</f>
        <v>122846.98</v>
      </c>
      <c r="X1545" s="689">
        <v>0</v>
      </c>
      <c r="Y1545" s="689">
        <v>0</v>
      </c>
      <c r="Z1545" s="690"/>
      <c r="AA1545" s="691"/>
      <c r="AB1545" s="111"/>
      <c r="AC1545" s="17"/>
      <c r="AD1545" s="690"/>
      <c r="AE1545" s="686"/>
      <c r="AF1545" s="474"/>
      <c r="AG1545" s="692"/>
      <c r="AH1545" s="236" t="str">
        <f>IF(Таблица5[[#This Row],[30]]=0,"НД",Таблица5[[#This Row],[20]]-Таблица5[[#This Row],[30]])</f>
        <v>НД</v>
      </c>
      <c r="AI1545" s="511" t="str">
        <f>IF(((1-Таблица5[[#This Row],[30]]/Таблица5[[#This Row],[20]])=1),"НД",(1-Таблица5[[#This Row],[30]]/Таблица5[[#This Row],[20]]))</f>
        <v>НД</v>
      </c>
      <c r="AJ1545" s="111"/>
      <c r="AK1545" s="111"/>
      <c r="AL1545" s="512"/>
      <c r="AM1545" s="513" t="s">
        <v>113</v>
      </c>
      <c r="AN1545" s="801">
        <v>31705847751</v>
      </c>
      <c r="AO1545" s="468">
        <f>РПЗ!AD1545</f>
        <v>0</v>
      </c>
      <c r="AP1545" s="472">
        <f>РПЗ!V1545</f>
        <v>0</v>
      </c>
      <c r="AQ1545" s="470">
        <f>IF(Таблица5[[#This Row],[11]]=0,,MONTH(Таблица5[[#This Row],[11]]))</f>
        <v>12</v>
      </c>
    </row>
    <row r="1546" spans="1:43" ht="39" thickBot="1" x14ac:dyDescent="0.3">
      <c r="A1546" s="233" t="str">
        <f t="shared" si="25"/>
        <v>1004-2017-1531</v>
      </c>
      <c r="B1546" s="233" t="str">
        <f>РПЗ!$D1546</f>
        <v>1004-2017-1531 пресс ручной, Модель ПР</v>
      </c>
      <c r="C1546" s="233" t="str">
        <f>РПЗ!$AA1546</f>
        <v>АО "НИИ "Полюс" им. М.Ф. Стельмаха" тел. отдела закупок 8-495-333-05-02</v>
      </c>
      <c r="D1546" s="633" t="str">
        <f>РПЗ!$AB1546</f>
        <v>Заказчик</v>
      </c>
      <c r="E1546" s="510" t="s">
        <v>59</v>
      </c>
      <c r="F1546" s="233" t="str">
        <f>РПЗ!Q1546</f>
        <v>ОЗК</v>
      </c>
      <c r="G1546" s="237" t="str">
        <f>Таблица5[[#This Row],[6]]</f>
        <v>ОЗК</v>
      </c>
      <c r="H1546" s="237" t="str">
        <f>РПЗ!R1546</f>
        <v>Да</v>
      </c>
      <c r="I1546" s="15">
        <f>РПЗ!W1774</f>
        <v>0</v>
      </c>
      <c r="J1546" s="233">
        <f>РПЗ!X1774</f>
        <v>0</v>
      </c>
      <c r="K1546" s="283">
        <f>РПЗ!Z1774</f>
        <v>0</v>
      </c>
      <c r="L1546" s="17">
        <v>43076</v>
      </c>
      <c r="M1546" s="18">
        <f>РПЗ!O1546</f>
        <v>43070.625</v>
      </c>
      <c r="N1546" s="238">
        <f>Таблица5[[#This Row],[10]]</f>
        <v>43070.625</v>
      </c>
      <c r="O1546" s="17">
        <v>43083</v>
      </c>
      <c r="P1546" s="17">
        <v>43088</v>
      </c>
      <c r="Q1546" s="17">
        <v>43088</v>
      </c>
      <c r="R1546" s="17">
        <v>43088</v>
      </c>
      <c r="S1546" s="17">
        <v>43088</v>
      </c>
      <c r="T1546" s="686"/>
      <c r="U1546" s="18">
        <f>РПЗ!P1546</f>
        <v>43070.625</v>
      </c>
      <c r="V1546" s="686"/>
      <c r="W1546" s="236">
        <f>РПЗ!L1546</f>
        <v>68762.5</v>
      </c>
      <c r="X1546" s="689"/>
      <c r="Y1546" s="689"/>
      <c r="Z1546" s="690"/>
      <c r="AA1546" s="691"/>
      <c r="AB1546" s="111"/>
      <c r="AC1546" s="17"/>
      <c r="AD1546" s="690"/>
      <c r="AE1546" s="686"/>
      <c r="AF1546" s="474"/>
      <c r="AG1546" s="692"/>
      <c r="AH1546" s="236" t="str">
        <f>IF(Таблица5[[#This Row],[30]]=0,"НД",Таблица5[[#This Row],[20]]-Таблица5[[#This Row],[30]])</f>
        <v>НД</v>
      </c>
      <c r="AI1546" s="511" t="str">
        <f>IF(((1-Таблица5[[#This Row],[30]]/Таблица5[[#This Row],[20]])=1),"НД",(1-Таблица5[[#This Row],[30]]/Таблица5[[#This Row],[20]]))</f>
        <v>НД</v>
      </c>
      <c r="AJ1546" s="111"/>
      <c r="AK1546" s="111"/>
      <c r="AL1546" s="512"/>
      <c r="AM1546" s="513" t="s">
        <v>113</v>
      </c>
      <c r="AN1546" s="801" t="s">
        <v>8093</v>
      </c>
      <c r="AO1546" s="468">
        <f>РПЗ!AD1546</f>
        <v>0</v>
      </c>
      <c r="AP1546" s="472">
        <f>РПЗ!V1546</f>
        <v>0</v>
      </c>
      <c r="AQ1546" s="470">
        <f>IF(Таблица5[[#This Row],[11]]=0,,MONTH(Таблица5[[#This Row],[11]]))</f>
        <v>12</v>
      </c>
    </row>
    <row r="1547" spans="1:43" ht="89.25" x14ac:dyDescent="0.25">
      <c r="A1547" s="233" t="str">
        <f t="shared" si="25"/>
        <v>1004-2017-1532</v>
      </c>
      <c r="B1547" s="233" t="str">
        <f>РПЗ!$D1547</f>
        <v>1004-2017-1532 Оказание услуг по предоставлению доступа к глобальной сети Интернет, оказание услуг местной городской, внутризоновой, доступа к междугородной и международной телефонной связи</v>
      </c>
      <c r="C1547" s="233" t="str">
        <f>РПЗ!$AA1547</f>
        <v>АО "НИИ "Полюс" им. М.Ф. Стельмаха" тел. отдела закупок 8-495-333-05-02</v>
      </c>
      <c r="D1547" s="633" t="str">
        <f>РПЗ!$AB1547</f>
        <v>Заказчик</v>
      </c>
      <c r="E1547" s="96" t="s">
        <v>46</v>
      </c>
      <c r="F1547" s="233" t="str">
        <f>РПЗ!Q1547</f>
        <v>ЕП</v>
      </c>
      <c r="G1547" s="237"/>
      <c r="H1547" s="237" t="str">
        <f>РПЗ!R1547</f>
        <v>Нет</v>
      </c>
      <c r="I1547" s="15">
        <f>РПЗ!W1775</f>
        <v>0</v>
      </c>
      <c r="J1547" s="233">
        <f>РПЗ!X1775</f>
        <v>0</v>
      </c>
      <c r="K1547" s="283">
        <f>РПЗ!Z1775</f>
        <v>0</v>
      </c>
      <c r="L1547" s="17"/>
      <c r="M1547" s="18">
        <f>РПЗ!O1547</f>
        <v>43070.625</v>
      </c>
      <c r="N1547" s="238">
        <f>Таблица5[[#This Row],[10]]</f>
        <v>43070.625</v>
      </c>
      <c r="O1547" s="17"/>
      <c r="P1547" s="17"/>
      <c r="Q1547" s="17"/>
      <c r="R1547" s="17"/>
      <c r="S1547" s="17"/>
      <c r="T1547" s="686"/>
      <c r="U1547" s="18">
        <f>РПЗ!P1547</f>
        <v>43497.625</v>
      </c>
      <c r="V1547" s="686"/>
      <c r="W1547" s="236">
        <f>РПЗ!L1547</f>
        <v>1524000</v>
      </c>
      <c r="X1547" s="689"/>
      <c r="Y1547" s="689"/>
      <c r="Z1547" s="690"/>
      <c r="AA1547" s="691"/>
      <c r="AB1547" s="111"/>
      <c r="AC1547" s="17"/>
      <c r="AD1547" s="690"/>
      <c r="AE1547" s="686"/>
      <c r="AF1547" s="474"/>
      <c r="AG1547" s="692"/>
      <c r="AH1547" s="236" t="str">
        <f>IF(Таблица5[[#This Row],[30]]=0,"НД",Таблица5[[#This Row],[20]]-Таблица5[[#This Row],[30]])</f>
        <v>НД</v>
      </c>
      <c r="AI1547" s="511" t="str">
        <f>IF(((1-Таблица5[[#This Row],[30]]/Таблица5[[#This Row],[20]])=1),"НД",(1-Таблица5[[#This Row],[30]]/Таблица5[[#This Row],[20]]))</f>
        <v>НД</v>
      </c>
      <c r="AJ1547" s="111"/>
      <c r="AK1547" s="111"/>
      <c r="AL1547" s="512"/>
      <c r="AM1547" s="513"/>
      <c r="AN1547" s="465"/>
      <c r="AO1547" s="468">
        <f>РПЗ!AD1547</f>
        <v>0</v>
      </c>
      <c r="AP1547" s="472">
        <f>РПЗ!V1547</f>
        <v>0</v>
      </c>
      <c r="AQ1547" s="470">
        <f>IF(Таблица5[[#This Row],[11]]=0,,MONTH(Таблица5[[#This Row],[11]]))</f>
        <v>12</v>
      </c>
    </row>
    <row r="1548" spans="1:43" ht="38.25" x14ac:dyDescent="0.25">
      <c r="A1548" s="233" t="str">
        <f t="shared" si="25"/>
        <v>1004-2017-1533</v>
      </c>
      <c r="B1548" s="233" t="str">
        <f>РПЗ!$D1548</f>
        <v>1004-2017-1533 Металлические сплавы</v>
      </c>
      <c r="C1548" s="233" t="str">
        <f>РПЗ!$AA1548</f>
        <v>АО "НИИ "Полюс" им. М.Ф. Стельмаха" тел. отдела закупок 8-495-333-05-02</v>
      </c>
      <c r="D1548" s="633" t="str">
        <f>РПЗ!$AB1548</f>
        <v>Заказчик</v>
      </c>
      <c r="E1548" s="510" t="s">
        <v>59</v>
      </c>
      <c r="F1548" s="233" t="str">
        <f>РПЗ!Q1548</f>
        <v>ОЗК</v>
      </c>
      <c r="G1548" s="237" t="str">
        <f>Таблица5[[#This Row],[6]]</f>
        <v>ОЗК</v>
      </c>
      <c r="H1548" s="237" t="str">
        <f>РПЗ!R1548</f>
        <v>Да</v>
      </c>
      <c r="I1548" s="15">
        <f>РПЗ!W1776</f>
        <v>0</v>
      </c>
      <c r="J1548" s="233">
        <f>РПЗ!X1776</f>
        <v>0</v>
      </c>
      <c r="K1548" s="283">
        <f>РПЗ!Z1776</f>
        <v>0</v>
      </c>
      <c r="L1548" s="17">
        <v>43095</v>
      </c>
      <c r="M1548" s="18">
        <f>РПЗ!O1548</f>
        <v>43070.625</v>
      </c>
      <c r="N1548" s="238">
        <f>Таблица5[[#This Row],[10]]</f>
        <v>43070.625</v>
      </c>
      <c r="O1548" s="17">
        <v>43110</v>
      </c>
      <c r="P1548" s="17">
        <v>43115</v>
      </c>
      <c r="Q1548" s="17">
        <v>43115</v>
      </c>
      <c r="R1548" s="17">
        <v>43115</v>
      </c>
      <c r="S1548" s="17">
        <v>43115</v>
      </c>
      <c r="T1548" s="686"/>
      <c r="U1548" s="18">
        <f>РПЗ!P1548</f>
        <v>43070.625</v>
      </c>
      <c r="V1548" s="686"/>
      <c r="W1548" s="236">
        <f>РПЗ!L1548</f>
        <v>110094.9</v>
      </c>
      <c r="X1548" s="689">
        <v>0</v>
      </c>
      <c r="Y1548" s="689">
        <v>0</v>
      </c>
      <c r="Z1548" s="690"/>
      <c r="AA1548" s="691"/>
      <c r="AB1548" s="111"/>
      <c r="AC1548" s="17"/>
      <c r="AD1548" s="690"/>
      <c r="AE1548" s="686"/>
      <c r="AF1548" s="474"/>
      <c r="AG1548" s="692"/>
      <c r="AH1548" s="236" t="str">
        <f>IF(Таблица5[[#This Row],[30]]=0,"НД",Таблица5[[#This Row],[20]]-Таблица5[[#This Row],[30]])</f>
        <v>НД</v>
      </c>
      <c r="AI1548" s="511" t="str">
        <f>IF(((1-Таблица5[[#This Row],[30]]/Таблица5[[#This Row],[20]])=1),"НД",(1-Таблица5[[#This Row],[30]]/Таблица5[[#This Row],[20]]))</f>
        <v>НД</v>
      </c>
      <c r="AJ1548" s="111"/>
      <c r="AK1548" s="111"/>
      <c r="AL1548" s="512"/>
      <c r="AM1548" s="513" t="s">
        <v>113</v>
      </c>
      <c r="AN1548" s="801">
        <v>31705957394</v>
      </c>
      <c r="AO1548" s="468">
        <f>РПЗ!AD1548</f>
        <v>0</v>
      </c>
      <c r="AP1548" s="472">
        <f>РПЗ!V1548</f>
        <v>0</v>
      </c>
      <c r="AQ1548" s="470">
        <f>IF(Таблица5[[#This Row],[11]]=0,,MONTH(Таблица5[[#This Row],[11]]))</f>
        <v>12</v>
      </c>
    </row>
    <row r="1549" spans="1:43" ht="38.25" x14ac:dyDescent="0.25">
      <c r="A1549" s="233" t="str">
        <f t="shared" si="25"/>
        <v>1004-2017-1534</v>
      </c>
      <c r="B1549" s="233" t="str">
        <f>РПЗ!$D1549</f>
        <v>1004-2017-1534 Металлические сплавы</v>
      </c>
      <c r="C1549" s="233" t="str">
        <f>РПЗ!$AA1549</f>
        <v>АО "НИИ "Полюс" им. М.Ф. Стельмаха" тел. отдела закупок 8-495-333-05-02</v>
      </c>
      <c r="D1549" s="633" t="str">
        <f>РПЗ!$AB1549</f>
        <v>Заказчик</v>
      </c>
      <c r="E1549" s="510" t="s">
        <v>62</v>
      </c>
      <c r="F1549" s="233" t="str">
        <f>РПЗ!Q1549</f>
        <v>ОЗК</v>
      </c>
      <c r="G1549" s="237" t="str">
        <f>Таблица5[[#This Row],[6]]</f>
        <v>ОЗК</v>
      </c>
      <c r="H1549" s="237" t="str">
        <f>РПЗ!R1549</f>
        <v>Да</v>
      </c>
      <c r="I1549" s="15">
        <f>РПЗ!W1777</f>
        <v>0</v>
      </c>
      <c r="J1549" s="233">
        <f>РПЗ!X1777</f>
        <v>0</v>
      </c>
      <c r="K1549" s="283">
        <f>РПЗ!Z1777</f>
        <v>0</v>
      </c>
      <c r="L1549" s="17">
        <v>43083</v>
      </c>
      <c r="M1549" s="18">
        <f>РПЗ!O1549</f>
        <v>43070.625</v>
      </c>
      <c r="N1549" s="238">
        <f>Таблица5[[#This Row],[10]]</f>
        <v>43070.625</v>
      </c>
      <c r="O1549" s="17">
        <v>43089</v>
      </c>
      <c r="P1549" s="17">
        <v>43095</v>
      </c>
      <c r="Q1549" s="17">
        <v>43095</v>
      </c>
      <c r="R1549" s="17">
        <v>43089</v>
      </c>
      <c r="S1549" s="17">
        <v>43089</v>
      </c>
      <c r="T1549" s="686">
        <v>43109</v>
      </c>
      <c r="U1549" s="18">
        <f>РПЗ!P1549</f>
        <v>43070.625</v>
      </c>
      <c r="V1549" s="686">
        <v>43462</v>
      </c>
      <c r="W1549" s="236">
        <f>РПЗ!L1549</f>
        <v>375912.61</v>
      </c>
      <c r="X1549" s="689">
        <v>1</v>
      </c>
      <c r="Y1549" s="689">
        <v>0</v>
      </c>
      <c r="Z1549" s="691">
        <v>9718007640</v>
      </c>
      <c r="AA1549" s="691" t="s">
        <v>3338</v>
      </c>
      <c r="AB1549" s="111">
        <v>364874.6</v>
      </c>
      <c r="AC1549" s="17">
        <v>43462</v>
      </c>
      <c r="AD1549" s="690" t="s">
        <v>8287</v>
      </c>
      <c r="AE1549" s="686">
        <v>43109</v>
      </c>
      <c r="AF1549" s="474"/>
      <c r="AG1549" s="692">
        <v>364874.6</v>
      </c>
      <c r="AH1549" s="236">
        <f>IF(Таблица5[[#This Row],[30]]=0,"НД",Таблица5[[#This Row],[20]]-Таблица5[[#This Row],[30]])</f>
        <v>11038.010000000009</v>
      </c>
      <c r="AI1549" s="511">
        <f>IF(((1-Таблица5[[#This Row],[30]]/Таблица5[[#This Row],[20]])=1),"НД",(1-Таблица5[[#This Row],[30]]/Таблица5[[#This Row],[20]]))</f>
        <v>2.9363234183604536E-2</v>
      </c>
      <c r="AJ1549" s="111"/>
      <c r="AK1549" s="111">
        <v>364874.6</v>
      </c>
      <c r="AL1549" s="512"/>
      <c r="AM1549" s="513" t="s">
        <v>113</v>
      </c>
      <c r="AN1549" s="801">
        <v>31705883254</v>
      </c>
      <c r="AO1549" s="468">
        <f>РПЗ!AD1549</f>
        <v>0</v>
      </c>
      <c r="AP1549" s="472">
        <f>РПЗ!V1549</f>
        <v>0</v>
      </c>
      <c r="AQ1549" s="470">
        <f>IF(Таблица5[[#This Row],[11]]=0,,MONTH(Таблица5[[#This Row],[11]]))</f>
        <v>12</v>
      </c>
    </row>
    <row r="1550" spans="1:43" ht="38.25" x14ac:dyDescent="0.25">
      <c r="A1550" s="233" t="str">
        <f t="shared" si="25"/>
        <v>1004-2017-1535</v>
      </c>
      <c r="B1550" s="233" t="str">
        <f>РПЗ!$D1550</f>
        <v>1004-2017-1535 Металлические сплавы</v>
      </c>
      <c r="C1550" s="233" t="str">
        <f>РПЗ!$AA1550</f>
        <v>АО "НИИ "Полюс" им. М.Ф. Стельмаха" тел. отдела закупок 8-495-333-05-02</v>
      </c>
      <c r="D1550" s="633" t="str">
        <f>РПЗ!$AB1550</f>
        <v>Заказчик</v>
      </c>
      <c r="E1550" s="510" t="s">
        <v>62</v>
      </c>
      <c r="F1550" s="233" t="str">
        <f>РПЗ!Q1550</f>
        <v>ОЗК</v>
      </c>
      <c r="G1550" s="237" t="str">
        <f>Таблица5[[#This Row],[6]]</f>
        <v>ОЗК</v>
      </c>
      <c r="H1550" s="237" t="str">
        <f>РПЗ!R1550</f>
        <v>Да</v>
      </c>
      <c r="I1550" s="15">
        <f>РПЗ!W1778</f>
        <v>0</v>
      </c>
      <c r="J1550" s="233">
        <f>РПЗ!X1778</f>
        <v>0</v>
      </c>
      <c r="K1550" s="283">
        <f>РПЗ!Z1778</f>
        <v>0</v>
      </c>
      <c r="L1550" s="17">
        <v>43090</v>
      </c>
      <c r="M1550" s="18">
        <f>РПЗ!O1550</f>
        <v>43070.625</v>
      </c>
      <c r="N1550" s="238">
        <f>Таблица5[[#This Row],[10]]</f>
        <v>43070.625</v>
      </c>
      <c r="O1550" s="17">
        <v>43096</v>
      </c>
      <c r="P1550" s="17">
        <v>43111</v>
      </c>
      <c r="Q1550" s="17">
        <v>43111</v>
      </c>
      <c r="R1550" s="17">
        <v>43096</v>
      </c>
      <c r="S1550" s="17">
        <v>43096</v>
      </c>
      <c r="T1550" s="686">
        <v>43109</v>
      </c>
      <c r="U1550" s="18">
        <f>РПЗ!P1550</f>
        <v>43070.625</v>
      </c>
      <c r="V1550" s="686">
        <v>43462</v>
      </c>
      <c r="W1550" s="236">
        <f>РПЗ!L1550</f>
        <v>450148.28</v>
      </c>
      <c r="X1550" s="689">
        <v>3</v>
      </c>
      <c r="Y1550" s="689">
        <v>0</v>
      </c>
      <c r="Z1550" s="691">
        <v>9718007640</v>
      </c>
      <c r="AA1550" s="691" t="s">
        <v>3338</v>
      </c>
      <c r="AB1550" s="111">
        <v>398286</v>
      </c>
      <c r="AC1550" s="17">
        <v>43462</v>
      </c>
      <c r="AD1550" s="690" t="s">
        <v>8288</v>
      </c>
      <c r="AE1550" s="686">
        <v>43109</v>
      </c>
      <c r="AF1550" s="474"/>
      <c r="AG1550" s="692">
        <v>398286</v>
      </c>
      <c r="AH1550" s="236">
        <f>IF(Таблица5[[#This Row],[30]]=0,"НД",Таблица5[[#This Row],[20]]-Таблица5[[#This Row],[30]])</f>
        <v>51862.280000000028</v>
      </c>
      <c r="AI1550" s="511">
        <f>IF(((1-Таблица5[[#This Row],[30]]/Таблица5[[#This Row],[20]])=1),"НД",(1-Таблица5[[#This Row],[30]]/Таблица5[[#This Row],[20]]))</f>
        <v>0.11521154762604013</v>
      </c>
      <c r="AJ1550" s="111"/>
      <c r="AK1550" s="111">
        <v>398286</v>
      </c>
      <c r="AL1550" s="512"/>
      <c r="AM1550" s="513" t="s">
        <v>113</v>
      </c>
      <c r="AN1550" s="801">
        <v>31705921206</v>
      </c>
      <c r="AO1550" s="468">
        <f>РПЗ!AD1550</f>
        <v>0</v>
      </c>
      <c r="AP1550" s="472">
        <f>РПЗ!V1550</f>
        <v>0</v>
      </c>
      <c r="AQ1550" s="470">
        <f>IF(Таблица5[[#This Row],[11]]=0,,MONTH(Таблица5[[#This Row],[11]]))</f>
        <v>12</v>
      </c>
    </row>
    <row r="1551" spans="1:43" ht="38.25" x14ac:dyDescent="0.25">
      <c r="A1551" s="233" t="str">
        <f t="shared" si="25"/>
        <v>1004-2017-1536</v>
      </c>
      <c r="B1551" s="233" t="str">
        <f>РПЗ!$D1551</f>
        <v>1004-2017-1536 Металлические сплавы</v>
      </c>
      <c r="C1551" s="233" t="str">
        <f>РПЗ!$AA1551</f>
        <v>АО "НИИ "Полюс" им. М.Ф. Стельмаха" тел. отдела закупок 8-495-333-05-02</v>
      </c>
      <c r="D1551" s="633" t="str">
        <f>РПЗ!$AB1551</f>
        <v>Заказчик</v>
      </c>
      <c r="E1551" s="510" t="s">
        <v>59</v>
      </c>
      <c r="F1551" s="233" t="str">
        <f>РПЗ!Q1551</f>
        <v>ОЗК</v>
      </c>
      <c r="G1551" s="237" t="str">
        <f>Таблица5[[#This Row],[6]]</f>
        <v>ОЗК</v>
      </c>
      <c r="H1551" s="237" t="str">
        <f>РПЗ!R1551</f>
        <v>Да</v>
      </c>
      <c r="I1551" s="15">
        <f>РПЗ!W1779</f>
        <v>0</v>
      </c>
      <c r="J1551" s="233">
        <f>РПЗ!X1779</f>
        <v>0</v>
      </c>
      <c r="K1551" s="283">
        <f>РПЗ!Z1779</f>
        <v>0</v>
      </c>
      <c r="L1551" s="17">
        <v>43090</v>
      </c>
      <c r="M1551" s="18">
        <f>РПЗ!O1551</f>
        <v>43070.625</v>
      </c>
      <c r="N1551" s="238">
        <f>Таблица5[[#This Row],[10]]</f>
        <v>43070.625</v>
      </c>
      <c r="O1551" s="17">
        <v>43096</v>
      </c>
      <c r="P1551" s="17">
        <v>43111</v>
      </c>
      <c r="Q1551" s="17">
        <v>43111</v>
      </c>
      <c r="R1551" s="17">
        <v>43111</v>
      </c>
      <c r="S1551" s="17">
        <v>43111</v>
      </c>
      <c r="T1551" s="686"/>
      <c r="U1551" s="18">
        <f>РПЗ!P1551</f>
        <v>43070.625</v>
      </c>
      <c r="V1551" s="686"/>
      <c r="W1551" s="236">
        <f>РПЗ!L1551</f>
        <v>173554.61</v>
      </c>
      <c r="X1551" s="689">
        <v>0</v>
      </c>
      <c r="Y1551" s="689">
        <v>0</v>
      </c>
      <c r="Z1551" s="690"/>
      <c r="AA1551" s="691"/>
      <c r="AB1551" s="111"/>
      <c r="AC1551" s="17"/>
      <c r="AD1551" s="690"/>
      <c r="AE1551" s="686"/>
      <c r="AF1551" s="474"/>
      <c r="AG1551" s="692"/>
      <c r="AH1551" s="236" t="str">
        <f>IF(Таблица5[[#This Row],[30]]=0,"НД",Таблица5[[#This Row],[20]]-Таблица5[[#This Row],[30]])</f>
        <v>НД</v>
      </c>
      <c r="AI1551" s="511" t="str">
        <f>IF(((1-Таблица5[[#This Row],[30]]/Таблица5[[#This Row],[20]])=1),"НД",(1-Таблица5[[#This Row],[30]]/Таблица5[[#This Row],[20]]))</f>
        <v>НД</v>
      </c>
      <c r="AJ1551" s="111"/>
      <c r="AK1551" s="111"/>
      <c r="AL1551" s="512"/>
      <c r="AM1551" s="513" t="s">
        <v>113</v>
      </c>
      <c r="AN1551" s="801">
        <v>31705921159</v>
      </c>
      <c r="AO1551" s="468">
        <f>РПЗ!AD1551</f>
        <v>0</v>
      </c>
      <c r="AP1551" s="472">
        <f>РПЗ!V1551</f>
        <v>0</v>
      </c>
      <c r="AQ1551" s="470">
        <f>IF(Таблица5[[#This Row],[11]]=0,,MONTH(Таблица5[[#This Row],[11]]))</f>
        <v>12</v>
      </c>
    </row>
    <row r="1552" spans="1:43" ht="39" thickBot="1" x14ac:dyDescent="0.3">
      <c r="A1552" s="233" t="str">
        <f t="shared" si="25"/>
        <v>1004-2017-1537</v>
      </c>
      <c r="B1552" s="233" t="str">
        <f>РПЗ!$D1552</f>
        <v>1004-2017-1537 Крепежные материалы для вентиляции –4 160 шт.</v>
      </c>
      <c r="C1552" s="233" t="str">
        <f>РПЗ!$AA1552</f>
        <v>АО "НИИ "Полюс" им. М.Ф. Стельмаха" тел. отдела закупок 8-495-333-05-02</v>
      </c>
      <c r="D1552" s="633" t="str">
        <f>РПЗ!$AB1552</f>
        <v>Заказчик</v>
      </c>
      <c r="E1552" s="510" t="s">
        <v>62</v>
      </c>
      <c r="F1552" s="233" t="str">
        <f>РПЗ!Q1552</f>
        <v>ОЗК</v>
      </c>
      <c r="G1552" s="237" t="str">
        <f>Таблица5[[#This Row],[6]]</f>
        <v>ОЗК</v>
      </c>
      <c r="H1552" s="237" t="str">
        <f>РПЗ!R1552</f>
        <v>Да</v>
      </c>
      <c r="I1552" s="15">
        <f>РПЗ!W1552</f>
        <v>0</v>
      </c>
      <c r="J1552" s="233">
        <f>РПЗ!X1552</f>
        <v>0</v>
      </c>
      <c r="K1552" s="283">
        <f>РПЗ!Z1552</f>
        <v>0</v>
      </c>
      <c r="L1552" s="17">
        <v>43083</v>
      </c>
      <c r="M1552" s="18">
        <f>РПЗ!O1552</f>
        <v>43070.625</v>
      </c>
      <c r="N1552" s="238">
        <f>Таблица5[[#This Row],[10]]</f>
        <v>43070.625</v>
      </c>
      <c r="O1552" s="17">
        <v>43089</v>
      </c>
      <c r="P1552" s="17">
        <v>43095</v>
      </c>
      <c r="Q1552" s="17">
        <v>43095</v>
      </c>
      <c r="R1552" s="17">
        <v>43089</v>
      </c>
      <c r="S1552" s="17">
        <v>43089</v>
      </c>
      <c r="T1552" s="686">
        <v>43109</v>
      </c>
      <c r="U1552" s="18">
        <f>РПЗ!P1552</f>
        <v>43070.625</v>
      </c>
      <c r="V1552" s="686">
        <v>43122</v>
      </c>
      <c r="W1552" s="236">
        <f>РПЗ!L1552</f>
        <v>171848.45</v>
      </c>
      <c r="X1552" s="689">
        <v>2</v>
      </c>
      <c r="Y1552" s="689">
        <v>0</v>
      </c>
      <c r="Z1552" s="691">
        <v>9715297726</v>
      </c>
      <c r="AA1552" s="691" t="s">
        <v>8289</v>
      </c>
      <c r="AB1552" s="111">
        <v>158410</v>
      </c>
      <c r="AC1552" s="17">
        <v>43122</v>
      </c>
      <c r="AD1552" s="690" t="s">
        <v>8290</v>
      </c>
      <c r="AE1552" s="686">
        <v>43109</v>
      </c>
      <c r="AF1552" s="474"/>
      <c r="AG1552" s="692">
        <v>158410</v>
      </c>
      <c r="AH1552" s="236">
        <f>IF(Таблица5[[#This Row],[30]]=0,"НД",Таблица5[[#This Row],[20]]-Таблица5[[#This Row],[30]])</f>
        <v>13438.450000000012</v>
      </c>
      <c r="AI1552" s="511">
        <f>IF(((1-Таблица5[[#This Row],[30]]/Таблица5[[#This Row],[20]])=1),"НД",(1-Таблица5[[#This Row],[30]]/Таблица5[[#This Row],[20]]))</f>
        <v>7.819942513301692E-2</v>
      </c>
      <c r="AJ1552" s="111"/>
      <c r="AK1552" s="111">
        <v>158410</v>
      </c>
      <c r="AL1552" s="512"/>
      <c r="AM1552" s="513" t="s">
        <v>113</v>
      </c>
      <c r="AN1552" s="801">
        <v>31705882722</v>
      </c>
      <c r="AO1552" s="468">
        <f>РПЗ!AD1552</f>
        <v>0</v>
      </c>
      <c r="AP1552" s="472">
        <f>РПЗ!V1552</f>
        <v>0</v>
      </c>
      <c r="AQ1552" s="470">
        <f>IF(Таблица5[[#This Row],[11]]=0,,MONTH(Таблица5[[#This Row],[11]]))</f>
        <v>12</v>
      </c>
    </row>
    <row r="1553" spans="1:43" ht="77.25" thickBot="1" x14ac:dyDescent="0.3">
      <c r="A1553" s="233" t="str">
        <f t="shared" si="25"/>
        <v>1004-2017-1538</v>
      </c>
      <c r="B1553" s="233" t="str">
        <f>РПЗ!$D1553</f>
        <v>1004-2017-1538 Оказание услуг по защите охраняемых объектов АО "НИИ "Полюс" им М.Ф. Стельмаха" ведомственной охраной Государственной корпорации "Ростехнологии"</v>
      </c>
      <c r="C1553" s="233" t="str">
        <f>РПЗ!$AA1553</f>
        <v>АО "НИИ "Полюс" им. М.Ф. Стельмаха" тел. отдела закупок 8-495-333-05-02</v>
      </c>
      <c r="D1553" s="633" t="str">
        <f>РПЗ!$AB1553</f>
        <v>Заказчик</v>
      </c>
      <c r="E1553" s="96" t="s">
        <v>46</v>
      </c>
      <c r="F1553" s="233" t="str">
        <f>РПЗ!Q1553</f>
        <v>ОА</v>
      </c>
      <c r="G1553" s="237"/>
      <c r="H1553" s="237" t="str">
        <f>РПЗ!R1553</f>
        <v>Да</v>
      </c>
      <c r="I1553" s="15">
        <f>РПЗ!W1781</f>
        <v>0</v>
      </c>
      <c r="J1553" s="233">
        <f>РПЗ!X1781</f>
        <v>0</v>
      </c>
      <c r="K1553" s="283">
        <f>РПЗ!Z1781</f>
        <v>0</v>
      </c>
      <c r="L1553" s="17"/>
      <c r="M1553" s="18">
        <f>РПЗ!O1553</f>
        <v>43070.625</v>
      </c>
      <c r="N1553" s="238">
        <f>Таблица5[[#This Row],[10]]</f>
        <v>43070.625</v>
      </c>
      <c r="O1553" s="17"/>
      <c r="P1553" s="17"/>
      <c r="Q1553" s="17"/>
      <c r="R1553" s="17"/>
      <c r="S1553" s="17"/>
      <c r="T1553" s="686"/>
      <c r="U1553" s="18">
        <f>РПЗ!P1553</f>
        <v>43435.625</v>
      </c>
      <c r="V1553" s="686"/>
      <c r="W1553" s="236">
        <f>РПЗ!L1553</f>
        <v>20570892</v>
      </c>
      <c r="X1553" s="689"/>
      <c r="Y1553" s="689"/>
      <c r="Z1553" s="690"/>
      <c r="AA1553" s="691"/>
      <c r="AB1553" s="111"/>
      <c r="AC1553" s="17"/>
      <c r="AD1553" s="690"/>
      <c r="AE1553" s="686"/>
      <c r="AF1553" s="474"/>
      <c r="AG1553" s="692"/>
      <c r="AH1553" s="236" t="str">
        <f>IF(Таблица5[[#This Row],[30]]=0,"НД",Таблица5[[#This Row],[20]]-Таблица5[[#This Row],[30]])</f>
        <v>НД</v>
      </c>
      <c r="AI1553" s="511" t="str">
        <f>IF(((1-Таблица5[[#This Row],[30]]/Таблица5[[#This Row],[20]])=1),"НД",(1-Таблица5[[#This Row],[30]]/Таблица5[[#This Row],[20]]))</f>
        <v>НД</v>
      </c>
      <c r="AJ1553" s="111"/>
      <c r="AK1553" s="111"/>
      <c r="AL1553" s="512"/>
      <c r="AM1553" s="513"/>
      <c r="AN1553" s="465"/>
      <c r="AO1553" s="468">
        <f>РПЗ!AD1553</f>
        <v>0</v>
      </c>
      <c r="AP1553" s="472">
        <f>РПЗ!V1553</f>
        <v>0</v>
      </c>
      <c r="AQ1553" s="470">
        <f>IF(Таблица5[[#This Row],[11]]=0,,MONTH(Таблица5[[#This Row],[11]]))</f>
        <v>12</v>
      </c>
    </row>
    <row r="1554" spans="1:43" ht="39" thickBot="1" x14ac:dyDescent="0.3">
      <c r="A1554" s="233" t="str">
        <f t="shared" si="25"/>
        <v>1004-2017-1539</v>
      </c>
      <c r="B1554" s="233" t="str">
        <f>РПЗ!$D1554</f>
        <v>1004-2017-1539 Комплект экранов МТ-401</v>
      </c>
      <c r="C1554" s="233" t="str">
        <f>РПЗ!$AA1554</f>
        <v>АО "НИИ "Полюс" им. М.Ф. Стельмаха" тел. отдела закупок 8-495-333-05-02</v>
      </c>
      <c r="D1554" s="633" t="str">
        <f>РПЗ!$AB1554</f>
        <v>Заказчик</v>
      </c>
      <c r="E1554" s="96" t="s">
        <v>46</v>
      </c>
      <c r="F1554" s="233" t="str">
        <f>РПЗ!Q1554</f>
        <v>ЕП</v>
      </c>
      <c r="G1554" s="237"/>
      <c r="H1554" s="237" t="str">
        <f>РПЗ!R1554</f>
        <v>Нет</v>
      </c>
      <c r="I1554" s="15">
        <f>РПЗ!W1782</f>
        <v>0</v>
      </c>
      <c r="J1554" s="233">
        <f>РПЗ!X1782</f>
        <v>0</v>
      </c>
      <c r="K1554" s="283">
        <f>РПЗ!Z1782</f>
        <v>0</v>
      </c>
      <c r="L1554" s="17"/>
      <c r="M1554" s="18">
        <f>РПЗ!O1554</f>
        <v>43070.625</v>
      </c>
      <c r="N1554" s="238">
        <f>Таблица5[[#This Row],[10]]</f>
        <v>43070.625</v>
      </c>
      <c r="O1554" s="17"/>
      <c r="P1554" s="17"/>
      <c r="Q1554" s="17"/>
      <c r="R1554" s="17"/>
      <c r="S1554" s="17"/>
      <c r="T1554" s="686"/>
      <c r="U1554" s="18">
        <f>РПЗ!P1554</f>
        <v>43221.625</v>
      </c>
      <c r="V1554" s="686"/>
      <c r="W1554" s="236">
        <f>РПЗ!L1554</f>
        <v>489600</v>
      </c>
      <c r="X1554" s="689"/>
      <c r="Y1554" s="689"/>
      <c r="Z1554" s="690"/>
      <c r="AA1554" s="691"/>
      <c r="AB1554" s="111"/>
      <c r="AC1554" s="17"/>
      <c r="AD1554" s="690"/>
      <c r="AE1554" s="686"/>
      <c r="AF1554" s="474"/>
      <c r="AG1554" s="692"/>
      <c r="AH1554" s="236" t="str">
        <f>IF(Таблица5[[#This Row],[30]]=0,"НД",Таблица5[[#This Row],[20]]-Таблица5[[#This Row],[30]])</f>
        <v>НД</v>
      </c>
      <c r="AI1554" s="511" t="str">
        <f>IF(((1-Таблица5[[#This Row],[30]]/Таблица5[[#This Row],[20]])=1),"НД",(1-Таблица5[[#This Row],[30]]/Таблица5[[#This Row],[20]]))</f>
        <v>НД</v>
      </c>
      <c r="AJ1554" s="111"/>
      <c r="AK1554" s="111"/>
      <c r="AL1554" s="512"/>
      <c r="AM1554" s="513"/>
      <c r="AN1554" s="465"/>
      <c r="AO1554" s="468">
        <f>РПЗ!AD1554</f>
        <v>0</v>
      </c>
      <c r="AP1554" s="472">
        <f>РПЗ!V1554</f>
        <v>0</v>
      </c>
      <c r="AQ1554" s="470">
        <f>IF(Таблица5[[#This Row],[11]]=0,,MONTH(Таблица5[[#This Row],[11]]))</f>
        <v>12</v>
      </c>
    </row>
    <row r="1555" spans="1:43" ht="39" thickBot="1" x14ac:dyDescent="0.3">
      <c r="A1555" s="233" t="str">
        <f t="shared" si="25"/>
        <v>1004-2017-1540</v>
      </c>
      <c r="B1555" s="233" t="str">
        <f>РПЗ!$D1555</f>
        <v>1004-2017-1540 Комплект экранов МТ-401</v>
      </c>
      <c r="C1555" s="233" t="str">
        <f>РПЗ!$AA1555</f>
        <v>АО "НИИ "Полюс" им. М.Ф. Стельмаха" тел. отдела закупок 8-495-333-05-02</v>
      </c>
      <c r="D1555" s="633" t="str">
        <f>РПЗ!$AB1555</f>
        <v>Заказчик</v>
      </c>
      <c r="E1555" s="96" t="s">
        <v>46</v>
      </c>
      <c r="F1555" s="233" t="str">
        <f>РПЗ!Q1555</f>
        <v>ЕП</v>
      </c>
      <c r="G1555" s="237"/>
      <c r="H1555" s="237" t="str">
        <f>РПЗ!R1555</f>
        <v>Нет</v>
      </c>
      <c r="I1555" s="15">
        <f>РПЗ!W1783</f>
        <v>0</v>
      </c>
      <c r="J1555" s="233">
        <f>РПЗ!X1783</f>
        <v>0</v>
      </c>
      <c r="K1555" s="283">
        <f>РПЗ!Z1783</f>
        <v>0</v>
      </c>
      <c r="L1555" s="17"/>
      <c r="M1555" s="18">
        <f>РПЗ!O1555</f>
        <v>43070.625</v>
      </c>
      <c r="N1555" s="238">
        <f>Таблица5[[#This Row],[10]]</f>
        <v>43070.625</v>
      </c>
      <c r="O1555" s="17"/>
      <c r="P1555" s="17"/>
      <c r="Q1555" s="17"/>
      <c r="R1555" s="17"/>
      <c r="S1555" s="17"/>
      <c r="T1555" s="686"/>
      <c r="U1555" s="18">
        <f>РПЗ!P1555</f>
        <v>43221.625</v>
      </c>
      <c r="V1555" s="686"/>
      <c r="W1555" s="236">
        <f>РПЗ!L1555</f>
        <v>326400</v>
      </c>
      <c r="X1555" s="689"/>
      <c r="Y1555" s="689"/>
      <c r="Z1555" s="690"/>
      <c r="AA1555" s="691"/>
      <c r="AB1555" s="111"/>
      <c r="AC1555" s="17"/>
      <c r="AD1555" s="690"/>
      <c r="AE1555" s="686"/>
      <c r="AF1555" s="474"/>
      <c r="AG1555" s="692"/>
      <c r="AH1555" s="236" t="str">
        <f>IF(Таблица5[[#This Row],[30]]=0,"НД",Таблица5[[#This Row],[20]]-Таблица5[[#This Row],[30]])</f>
        <v>НД</v>
      </c>
      <c r="AI1555" s="511" t="str">
        <f>IF(((1-Таблица5[[#This Row],[30]]/Таблица5[[#This Row],[20]])=1),"НД",(1-Таблица5[[#This Row],[30]]/Таблица5[[#This Row],[20]]))</f>
        <v>НД</v>
      </c>
      <c r="AJ1555" s="111"/>
      <c r="AK1555" s="111"/>
      <c r="AL1555" s="512"/>
      <c r="AM1555" s="513"/>
      <c r="AN1555" s="465"/>
      <c r="AO1555" s="468">
        <f>РПЗ!AD1555</f>
        <v>0</v>
      </c>
      <c r="AP1555" s="472">
        <f>РПЗ!V1555</f>
        <v>0</v>
      </c>
      <c r="AQ1555" s="470">
        <f>IF(Таблица5[[#This Row],[11]]=0,,MONTH(Таблица5[[#This Row],[11]]))</f>
        <v>12</v>
      </c>
    </row>
    <row r="1556" spans="1:43" ht="39" thickBot="1" x14ac:dyDescent="0.3">
      <c r="A1556" s="233" t="str">
        <f t="shared" si="25"/>
        <v>1004-2017-1541</v>
      </c>
      <c r="B1556" s="233" t="str">
        <f>РПЗ!$D1556</f>
        <v>1004-2017-1541 Комплект экранов МТ-501</v>
      </c>
      <c r="C1556" s="233" t="str">
        <f>РПЗ!$AA1556</f>
        <v>АО "НИИ "Полюс" им. М.Ф. Стельмаха" тел. отдела закупок 8-495-333-05-02</v>
      </c>
      <c r="D1556" s="633" t="str">
        <f>РПЗ!$AB1556</f>
        <v>Заказчик</v>
      </c>
      <c r="E1556" s="96" t="s">
        <v>46</v>
      </c>
      <c r="F1556" s="233" t="str">
        <f>РПЗ!Q1556</f>
        <v>ЕП</v>
      </c>
      <c r="G1556" s="237"/>
      <c r="H1556" s="237" t="str">
        <f>РПЗ!R1556</f>
        <v>Нет</v>
      </c>
      <c r="I1556" s="15">
        <f>РПЗ!W1784</f>
        <v>0</v>
      </c>
      <c r="J1556" s="233">
        <f>РПЗ!X1784</f>
        <v>0</v>
      </c>
      <c r="K1556" s="283">
        <f>РПЗ!Z1784</f>
        <v>0</v>
      </c>
      <c r="L1556" s="17"/>
      <c r="M1556" s="18">
        <f>РПЗ!O1556</f>
        <v>43070.625</v>
      </c>
      <c r="N1556" s="238">
        <f>Таблица5[[#This Row],[10]]</f>
        <v>43070.625</v>
      </c>
      <c r="O1556" s="17"/>
      <c r="P1556" s="17"/>
      <c r="Q1556" s="17"/>
      <c r="R1556" s="17"/>
      <c r="S1556" s="17"/>
      <c r="T1556" s="686"/>
      <c r="U1556" s="18">
        <f>РПЗ!P1556</f>
        <v>43221.625</v>
      </c>
      <c r="V1556" s="686"/>
      <c r="W1556" s="236">
        <f>РПЗ!L1556</f>
        <v>900000</v>
      </c>
      <c r="X1556" s="689"/>
      <c r="Y1556" s="689"/>
      <c r="Z1556" s="690"/>
      <c r="AA1556" s="691"/>
      <c r="AB1556" s="111"/>
      <c r="AC1556" s="17"/>
      <c r="AD1556" s="690"/>
      <c r="AE1556" s="686"/>
      <c r="AF1556" s="474"/>
      <c r="AG1556" s="692"/>
      <c r="AH1556" s="236" t="str">
        <f>IF(Таблица5[[#This Row],[30]]=0,"НД",Таблица5[[#This Row],[20]]-Таблица5[[#This Row],[30]])</f>
        <v>НД</v>
      </c>
      <c r="AI1556" s="511" t="str">
        <f>IF(((1-Таблица5[[#This Row],[30]]/Таблица5[[#This Row],[20]])=1),"НД",(1-Таблица5[[#This Row],[30]]/Таблица5[[#This Row],[20]]))</f>
        <v>НД</v>
      </c>
      <c r="AJ1556" s="111"/>
      <c r="AK1556" s="111"/>
      <c r="AL1556" s="512"/>
      <c r="AM1556" s="513"/>
      <c r="AN1556" s="465"/>
      <c r="AO1556" s="468">
        <f>РПЗ!AD1556</f>
        <v>0</v>
      </c>
      <c r="AP1556" s="472">
        <f>РПЗ!V1556</f>
        <v>0</v>
      </c>
      <c r="AQ1556" s="470">
        <f>IF(Таблица5[[#This Row],[11]]=0,,MONTH(Таблица5[[#This Row],[11]]))</f>
        <v>12</v>
      </c>
    </row>
    <row r="1557" spans="1:43" ht="39" thickBot="1" x14ac:dyDescent="0.3">
      <c r="A1557" s="233" t="str">
        <f t="shared" si="25"/>
        <v>1004-2017-1542</v>
      </c>
      <c r="B1557" s="233" t="str">
        <f>РПЗ!$D1557</f>
        <v>1004-2017-1542 Комплект экранов ЭК-104</v>
      </c>
      <c r="C1557" s="233" t="str">
        <f>РПЗ!$AA1557</f>
        <v>АО "НИИ "Полюс" им. М.Ф. Стельмаха" тел. отдела закупок 8-495-333-05-02</v>
      </c>
      <c r="D1557" s="633" t="str">
        <f>РПЗ!$AB1557</f>
        <v>Заказчик</v>
      </c>
      <c r="E1557" s="96" t="s">
        <v>62</v>
      </c>
      <c r="F1557" s="233" t="str">
        <f>РПЗ!Q1557</f>
        <v>ЕП</v>
      </c>
      <c r="G1557" s="237" t="str">
        <f>Таблица5[[#This Row],[6]]</f>
        <v>ЕП</v>
      </c>
      <c r="H1557" s="237" t="str">
        <f>РПЗ!R1557</f>
        <v>Нет</v>
      </c>
      <c r="I1557" s="15" t="str">
        <f>РПЗ!W1557</f>
        <v>6.6.2(11)</v>
      </c>
      <c r="J1557" s="233" t="str">
        <f>РПЗ!X1557</f>
        <v>5010025170</v>
      </c>
      <c r="K1557" s="283">
        <f>РПЗ!Z1557</f>
        <v>950000</v>
      </c>
      <c r="L1557" s="17">
        <v>43077</v>
      </c>
      <c r="M1557" s="18">
        <f>РПЗ!O1557</f>
        <v>43070.625</v>
      </c>
      <c r="N1557" s="238">
        <f>Таблица5[[#This Row],[10]]</f>
        <v>43070.625</v>
      </c>
      <c r="O1557" s="17"/>
      <c r="P1557" s="17"/>
      <c r="Q1557" s="17"/>
      <c r="R1557" s="17"/>
      <c r="S1557" s="17"/>
      <c r="T1557" s="686">
        <v>43094</v>
      </c>
      <c r="U1557" s="18">
        <f>РПЗ!P1557</f>
        <v>43221.625</v>
      </c>
      <c r="V1557" s="686">
        <v>43100</v>
      </c>
      <c r="W1557" s="236">
        <f>РПЗ!L1557</f>
        <v>950000</v>
      </c>
      <c r="X1557" s="689">
        <v>1</v>
      </c>
      <c r="Y1557" s="689">
        <v>0</v>
      </c>
      <c r="Z1557" s="691">
        <v>5010025170</v>
      </c>
      <c r="AA1557" s="691" t="s">
        <v>5112</v>
      </c>
      <c r="AB1557" s="111">
        <v>950000</v>
      </c>
      <c r="AC1557" s="17">
        <v>43100</v>
      </c>
      <c r="AD1557" s="690" t="s">
        <v>8274</v>
      </c>
      <c r="AE1557" s="686">
        <v>43094</v>
      </c>
      <c r="AF1557" s="474"/>
      <c r="AG1557" s="692">
        <v>950000</v>
      </c>
      <c r="AH1557" s="236">
        <f>IF(Таблица5[[#This Row],[30]]=0,"НД",Таблица5[[#This Row],[20]]-Таблица5[[#This Row],[30]])</f>
        <v>0</v>
      </c>
      <c r="AI1557" s="511">
        <f>IF(((1-Таблица5[[#This Row],[30]]/Таблица5[[#This Row],[20]])=1),"НД",(1-Таблица5[[#This Row],[30]]/Таблица5[[#This Row],[20]]))</f>
        <v>0</v>
      </c>
      <c r="AJ1557" s="111">
        <v>950000</v>
      </c>
      <c r="AK1557" s="111"/>
      <c r="AL1557" s="512"/>
      <c r="AM1557" s="513" t="s">
        <v>113</v>
      </c>
      <c r="AN1557" s="801">
        <v>31705919739</v>
      </c>
      <c r="AO1557" s="468">
        <f>РПЗ!AD1557</f>
        <v>0</v>
      </c>
      <c r="AP1557" s="472">
        <f>РПЗ!V1557</f>
        <v>0</v>
      </c>
      <c r="AQ1557" s="470">
        <f>IF(Таблица5[[#This Row],[11]]=0,,MONTH(Таблица5[[#This Row],[11]]))</f>
        <v>12</v>
      </c>
    </row>
    <row r="1558" spans="1:43" ht="77.25" thickBot="1" x14ac:dyDescent="0.3">
      <c r="A1558" s="233" t="str">
        <f t="shared" si="25"/>
        <v>1004-2017-1543</v>
      </c>
      <c r="B1558" s="233" t="str">
        <f>РПЗ!$D1558</f>
        <v>1004-2017-1543 Оказание услуг по проведению аудита неконсолидированной бухгалтерской (финансовой) отчетности Заказчика, составленной в соответствии с РCБУ за 2018 год</v>
      </c>
      <c r="C1558" s="233" t="str">
        <f>РПЗ!$AA1558</f>
        <v>АО "НИИ "Полюс" им. М.Ф. Стельмаха" тел. отдела закупок 8-495-333-05-02</v>
      </c>
      <c r="D1558" s="633" t="str">
        <f>РПЗ!$AB1558</f>
        <v>Заказчик</v>
      </c>
      <c r="E1558" s="96" t="s">
        <v>46</v>
      </c>
      <c r="F1558" s="233" t="str">
        <f>РПЗ!Q1558</f>
        <v>ОК</v>
      </c>
      <c r="G1558" s="237"/>
      <c r="H1558" s="237" t="str">
        <f>РПЗ!R1558</f>
        <v>Да</v>
      </c>
      <c r="I1558" s="15">
        <f>РПЗ!W1786</f>
        <v>0</v>
      </c>
      <c r="J1558" s="233">
        <f>РПЗ!X1786</f>
        <v>0</v>
      </c>
      <c r="K1558" s="283">
        <f>РПЗ!Z1786</f>
        <v>0</v>
      </c>
      <c r="L1558" s="17"/>
      <c r="M1558" s="18">
        <f>РПЗ!O1558</f>
        <v>43070.625</v>
      </c>
      <c r="N1558" s="238">
        <f>Таблица5[[#This Row],[10]]</f>
        <v>43070.625</v>
      </c>
      <c r="O1558" s="17"/>
      <c r="P1558" s="17"/>
      <c r="Q1558" s="17"/>
      <c r="R1558" s="17"/>
      <c r="S1558" s="17"/>
      <c r="T1558" s="686"/>
      <c r="U1558" s="18">
        <f>РПЗ!P1558</f>
        <v>43435.625</v>
      </c>
      <c r="V1558" s="686"/>
      <c r="W1558" s="236">
        <f>РПЗ!L1558</f>
        <v>2603971.9</v>
      </c>
      <c r="X1558" s="689"/>
      <c r="Y1558" s="689"/>
      <c r="Z1558" s="690"/>
      <c r="AA1558" s="691"/>
      <c r="AB1558" s="111"/>
      <c r="AC1558" s="17"/>
      <c r="AD1558" s="690"/>
      <c r="AE1558" s="686"/>
      <c r="AF1558" s="474"/>
      <c r="AG1558" s="692"/>
      <c r="AH1558" s="236" t="str">
        <f>IF(Таблица5[[#This Row],[30]]=0,"НД",Таблица5[[#This Row],[20]]-Таблица5[[#This Row],[30]])</f>
        <v>НД</v>
      </c>
      <c r="AI1558" s="511" t="str">
        <f>IF(((1-Таблица5[[#This Row],[30]]/Таблица5[[#This Row],[20]])=1),"НД",(1-Таблица5[[#This Row],[30]]/Таблица5[[#This Row],[20]]))</f>
        <v>НД</v>
      </c>
      <c r="AJ1558" s="111"/>
      <c r="AK1558" s="111"/>
      <c r="AL1558" s="512"/>
      <c r="AM1558" s="513"/>
      <c r="AN1558" s="465"/>
      <c r="AO1558" s="468">
        <f>РПЗ!AD1558</f>
        <v>0</v>
      </c>
      <c r="AP1558" s="472">
        <f>РПЗ!V1558</f>
        <v>0</v>
      </c>
      <c r="AQ1558" s="470">
        <f>IF(Таблица5[[#This Row],[11]]=0,,MONTH(Таблица5[[#This Row],[11]]))</f>
        <v>12</v>
      </c>
    </row>
    <row r="1559" spans="1:43" ht="39" thickBot="1" x14ac:dyDescent="0.3">
      <c r="A1559" s="233" t="str">
        <f t="shared" si="25"/>
        <v>1004-2017-1544</v>
      </c>
      <c r="B1559" s="233" t="str">
        <f>РПЗ!$D1559</f>
        <v>1004-2017-1544 установка вентиляционная пылеулавливающая</v>
      </c>
      <c r="C1559" s="233" t="str">
        <f>РПЗ!$AA1559</f>
        <v>АО "НИИ "Полюс" им. М.Ф. Стельмаха" тел. отдела закупок 8-495-333-05-02</v>
      </c>
      <c r="D1559" s="633" t="str">
        <f>РПЗ!$AB1559</f>
        <v>Заказчик</v>
      </c>
      <c r="E1559" s="96" t="s">
        <v>46</v>
      </c>
      <c r="F1559" s="233" t="str">
        <f>РПЗ!Q1559</f>
        <v>ОЗК</v>
      </c>
      <c r="G1559" s="237"/>
      <c r="H1559" s="237" t="str">
        <f>РПЗ!R1559</f>
        <v>Да</v>
      </c>
      <c r="I1559" s="15">
        <f>РПЗ!W1787</f>
        <v>0</v>
      </c>
      <c r="J1559" s="233">
        <f>РПЗ!X1787</f>
        <v>0</v>
      </c>
      <c r="K1559" s="283">
        <f>РПЗ!Z1787</f>
        <v>0</v>
      </c>
      <c r="L1559" s="17"/>
      <c r="M1559" s="18">
        <f>РПЗ!O1559</f>
        <v>43070.625</v>
      </c>
      <c r="N1559" s="238">
        <f>Таблица5[[#This Row],[10]]</f>
        <v>43070.625</v>
      </c>
      <c r="O1559" s="17"/>
      <c r="P1559" s="17"/>
      <c r="Q1559" s="17"/>
      <c r="R1559" s="17"/>
      <c r="S1559" s="17"/>
      <c r="T1559" s="686"/>
      <c r="U1559" s="18">
        <f>РПЗ!P1559</f>
        <v>43101.625</v>
      </c>
      <c r="V1559" s="686"/>
      <c r="W1559" s="236">
        <f>РПЗ!L1559</f>
        <v>69933.33</v>
      </c>
      <c r="X1559" s="689"/>
      <c r="Y1559" s="689"/>
      <c r="Z1559" s="690"/>
      <c r="AA1559" s="691"/>
      <c r="AB1559" s="111"/>
      <c r="AC1559" s="17"/>
      <c r="AD1559" s="690"/>
      <c r="AE1559" s="686"/>
      <c r="AF1559" s="474"/>
      <c r="AG1559" s="692"/>
      <c r="AH1559" s="236" t="str">
        <f>IF(Таблица5[[#This Row],[30]]=0,"НД",Таблица5[[#This Row],[20]]-Таблица5[[#This Row],[30]])</f>
        <v>НД</v>
      </c>
      <c r="AI1559" s="511" t="str">
        <f>IF(((1-Таблица5[[#This Row],[30]]/Таблица5[[#This Row],[20]])=1),"НД",(1-Таблица5[[#This Row],[30]]/Таблица5[[#This Row],[20]]))</f>
        <v>НД</v>
      </c>
      <c r="AJ1559" s="111"/>
      <c r="AK1559" s="111"/>
      <c r="AL1559" s="512"/>
      <c r="AM1559" s="513"/>
      <c r="AN1559" s="465"/>
      <c r="AO1559" s="468">
        <f>РПЗ!AD1559</f>
        <v>0</v>
      </c>
      <c r="AP1559" s="472">
        <f>РПЗ!V1559</f>
        <v>0</v>
      </c>
      <c r="AQ1559" s="470">
        <f>IF(Таблица5[[#This Row],[11]]=0,,MONTH(Таблица5[[#This Row],[11]]))</f>
        <v>12</v>
      </c>
    </row>
    <row r="1560" spans="1:43" ht="38.25" x14ac:dyDescent="0.25">
      <c r="A1560" s="233" t="str">
        <f t="shared" si="25"/>
        <v>1004-2017-1545</v>
      </c>
      <c r="B1560" s="233" t="str">
        <f>РПЗ!$D1560</f>
        <v>1004-2017-1545 Охлаждающая жидкость ОЖ ПМ1-ООР и БТВ-20000</v>
      </c>
      <c r="C1560" s="233" t="str">
        <f>РПЗ!$AA1560</f>
        <v>АО "НИИ "Полюс" им. М.Ф. Стельмаха" тел. отдела закупок 8-495-333-05-02</v>
      </c>
      <c r="D1560" s="633" t="str">
        <f>РПЗ!$AB1560</f>
        <v>Заказчик</v>
      </c>
      <c r="E1560" s="96" t="s">
        <v>46</v>
      </c>
      <c r="F1560" s="233" t="str">
        <f>РПЗ!Q1560</f>
        <v>ЕП</v>
      </c>
      <c r="G1560" s="237"/>
      <c r="H1560" s="237">
        <f>РПЗ!R1560</f>
        <v>0</v>
      </c>
      <c r="I1560" s="15">
        <f>РПЗ!W1788</f>
        <v>0</v>
      </c>
      <c r="J1560" s="233">
        <f>РПЗ!X1788</f>
        <v>0</v>
      </c>
      <c r="K1560" s="283">
        <f>РПЗ!Z1788</f>
        <v>0</v>
      </c>
      <c r="L1560" s="17"/>
      <c r="M1560" s="18">
        <f>РПЗ!O1560</f>
        <v>43070.625</v>
      </c>
      <c r="N1560" s="238">
        <f>Таблица5[[#This Row],[10]]</f>
        <v>43070.625</v>
      </c>
      <c r="O1560" s="17"/>
      <c r="P1560" s="17"/>
      <c r="Q1560" s="17"/>
      <c r="R1560" s="17"/>
      <c r="S1560" s="17"/>
      <c r="T1560" s="686"/>
      <c r="U1560" s="18">
        <f>РПЗ!P1560</f>
        <v>43070.625</v>
      </c>
      <c r="V1560" s="686"/>
      <c r="W1560" s="236">
        <f>РПЗ!L1560</f>
        <v>107000</v>
      </c>
      <c r="X1560" s="689"/>
      <c r="Y1560" s="689"/>
      <c r="Z1560" s="690"/>
      <c r="AA1560" s="691"/>
      <c r="AB1560" s="111"/>
      <c r="AC1560" s="17"/>
      <c r="AD1560" s="690"/>
      <c r="AE1560" s="686"/>
      <c r="AF1560" s="474"/>
      <c r="AG1560" s="692"/>
      <c r="AH1560" s="236" t="str">
        <f>IF(Таблица5[[#This Row],[30]]=0,"НД",Таблица5[[#This Row],[20]]-Таблица5[[#This Row],[30]])</f>
        <v>НД</v>
      </c>
      <c r="AI1560" s="511" t="str">
        <f>IF(((1-Таблица5[[#This Row],[30]]/Таблица5[[#This Row],[20]])=1),"НД",(1-Таблица5[[#This Row],[30]]/Таблица5[[#This Row],[20]]))</f>
        <v>НД</v>
      </c>
      <c r="AJ1560" s="111"/>
      <c r="AK1560" s="111"/>
      <c r="AL1560" s="512"/>
      <c r="AM1560" s="513"/>
      <c r="AN1560" s="465"/>
      <c r="AO1560" s="468">
        <f>РПЗ!AD1560</f>
        <v>0</v>
      </c>
      <c r="AP1560" s="472">
        <f>РПЗ!V1560</f>
        <v>0</v>
      </c>
      <c r="AQ1560" s="470">
        <f>IF(Таблица5[[#This Row],[11]]=0,,MONTH(Таблица5[[#This Row],[11]]))</f>
        <v>12</v>
      </c>
    </row>
    <row r="1561" spans="1:43" ht="39" thickBot="1" x14ac:dyDescent="0.3">
      <c r="A1561" s="233" t="str">
        <f t="shared" si="25"/>
        <v>1004-2017-1546</v>
      </c>
      <c r="B1561" s="233" t="str">
        <f>РПЗ!$D1561</f>
        <v>1004-2017-1546 транзисторы, диоды</v>
      </c>
      <c r="C1561" s="233" t="str">
        <f>РПЗ!$AA1561</f>
        <v>АО "НИИ "Полюс" им. М.Ф. Стельмаха" тел. отдела закупок 8-495-333-05-02</v>
      </c>
      <c r="D1561" s="633" t="str">
        <f>РПЗ!$AB1561</f>
        <v>Заказчик</v>
      </c>
      <c r="E1561" s="510" t="s">
        <v>62</v>
      </c>
      <c r="F1561" s="233" t="str">
        <f>РПЗ!Q1561</f>
        <v>ЕП</v>
      </c>
      <c r="G1561" s="237" t="str">
        <f>Таблица5[[#This Row],[6]]</f>
        <v>ЕП</v>
      </c>
      <c r="H1561" s="237" t="str">
        <f>РПЗ!R1561</f>
        <v>Нет</v>
      </c>
      <c r="I1561" s="15" t="str">
        <f>РПЗ!W1561</f>
        <v>6.6.2(10)</v>
      </c>
      <c r="J1561" s="233" t="str">
        <f>РПЗ!X1561</f>
        <v>3661033635</v>
      </c>
      <c r="K1561" s="283">
        <f>РПЗ!Z1561</f>
        <v>727796.29</v>
      </c>
      <c r="L1561" s="17">
        <v>43080</v>
      </c>
      <c r="M1561" s="18">
        <f>РПЗ!O1561</f>
        <v>43070.625</v>
      </c>
      <c r="N1561" s="238">
        <f>Таблица5[[#This Row],[10]]</f>
        <v>43070.625</v>
      </c>
      <c r="O1561" s="17"/>
      <c r="P1561" s="17"/>
      <c r="Q1561" s="17"/>
      <c r="R1561" s="17"/>
      <c r="S1561" s="17"/>
      <c r="T1561" s="686">
        <v>43087</v>
      </c>
      <c r="U1561" s="18">
        <f>РПЗ!P1561</f>
        <v>43070.625</v>
      </c>
      <c r="V1561" s="686">
        <v>43252</v>
      </c>
      <c r="W1561" s="236">
        <f>РПЗ!L1561</f>
        <v>727796.29</v>
      </c>
      <c r="X1561" s="689">
        <v>1</v>
      </c>
      <c r="Y1561" s="689">
        <v>0</v>
      </c>
      <c r="Z1561" s="691">
        <v>3661033635</v>
      </c>
      <c r="AA1561" s="691" t="s">
        <v>8034</v>
      </c>
      <c r="AB1561" s="111">
        <v>727796.29</v>
      </c>
      <c r="AC1561" s="17">
        <v>43252</v>
      </c>
      <c r="AD1561" s="690" t="s">
        <v>122</v>
      </c>
      <c r="AE1561" s="686">
        <v>43087</v>
      </c>
      <c r="AF1561" s="474"/>
      <c r="AG1561" s="692">
        <v>727796.29</v>
      </c>
      <c r="AH1561" s="236">
        <f>IF(Таблица5[[#This Row],[30]]=0,"НД",Таблица5[[#This Row],[20]]-Таблица5[[#This Row],[30]])</f>
        <v>0</v>
      </c>
      <c r="AI1561" s="511">
        <f>IF(((1-Таблица5[[#This Row],[30]]/Таблица5[[#This Row],[20]])=1),"НД",(1-Таблица5[[#This Row],[30]]/Таблица5[[#This Row],[20]]))</f>
        <v>0</v>
      </c>
      <c r="AJ1561" s="111"/>
      <c r="AK1561" s="111"/>
      <c r="AL1561" s="512"/>
      <c r="AM1561" s="513" t="s">
        <v>113</v>
      </c>
      <c r="AN1561" s="801">
        <v>31705868440</v>
      </c>
      <c r="AO1561" s="468">
        <f>РПЗ!AD1561</f>
        <v>0</v>
      </c>
      <c r="AP1561" s="472" t="str">
        <f>РПЗ!V1561</f>
        <v>ГОЗ</v>
      </c>
      <c r="AQ1561" s="470">
        <f>IF(Таблица5[[#This Row],[11]]=0,,MONTH(Таблица5[[#This Row],[11]]))</f>
        <v>12</v>
      </c>
    </row>
    <row r="1562" spans="1:43" ht="51.75" thickBot="1" x14ac:dyDescent="0.3">
      <c r="A1562" s="233" t="str">
        <f t="shared" si="25"/>
        <v>1004-2017-1547</v>
      </c>
      <c r="B1562" s="233" t="str">
        <f>РПЗ!$D1562</f>
        <v>1004-2017-1547 поставка сертифицированных электрорадиоизделий иностранного производства</v>
      </c>
      <c r="C1562" s="233" t="str">
        <f>РПЗ!$AA1562</f>
        <v>АО "НИИ "Полюс" им. М.Ф. Стельмаха" тел. отдела закупок 8-495-333-05-02</v>
      </c>
      <c r="D1562" s="633" t="str">
        <f>РПЗ!$AB1562</f>
        <v>Заказчик</v>
      </c>
      <c r="E1562" s="96" t="s">
        <v>46</v>
      </c>
      <c r="F1562" s="233" t="str">
        <f>РПЗ!Q1562</f>
        <v>ЕП</v>
      </c>
      <c r="G1562" s="237"/>
      <c r="H1562" s="237" t="str">
        <f>РПЗ!R1562</f>
        <v>Нет</v>
      </c>
      <c r="I1562" s="15">
        <f>РПЗ!W1562</f>
        <v>0</v>
      </c>
      <c r="J1562" s="233">
        <f>РПЗ!X1562</f>
        <v>0</v>
      </c>
      <c r="K1562" s="283">
        <f>РПЗ!Z1562</f>
        <v>0</v>
      </c>
      <c r="L1562" s="17"/>
      <c r="M1562" s="18">
        <f>РПЗ!O1562</f>
        <v>43070.625</v>
      </c>
      <c r="N1562" s="238">
        <f>Таблица5[[#This Row],[10]]</f>
        <v>43070.625</v>
      </c>
      <c r="O1562" s="17"/>
      <c r="P1562" s="17"/>
      <c r="Q1562" s="17"/>
      <c r="R1562" s="17"/>
      <c r="S1562" s="17"/>
      <c r="T1562" s="686"/>
      <c r="U1562" s="18">
        <f>РПЗ!P1562</f>
        <v>43070.625</v>
      </c>
      <c r="V1562" s="686"/>
      <c r="W1562" s="236">
        <f>РПЗ!L1562</f>
        <v>988000</v>
      </c>
      <c r="X1562" s="689"/>
      <c r="Y1562" s="689"/>
      <c r="Z1562" s="690"/>
      <c r="AA1562" s="691"/>
      <c r="AB1562" s="111"/>
      <c r="AC1562" s="17"/>
      <c r="AD1562" s="690"/>
      <c r="AE1562" s="686"/>
      <c r="AF1562" s="474"/>
      <c r="AG1562" s="692"/>
      <c r="AH1562" s="236" t="str">
        <f>IF(Таблица5[[#This Row],[30]]=0,"НД",Таблица5[[#This Row],[20]]-Таблица5[[#This Row],[30]])</f>
        <v>НД</v>
      </c>
      <c r="AI1562" s="511" t="str">
        <f>IF(((1-Таблица5[[#This Row],[30]]/Таблица5[[#This Row],[20]])=1),"НД",(1-Таблица5[[#This Row],[30]]/Таблица5[[#This Row],[20]]))</f>
        <v>НД</v>
      </c>
      <c r="AJ1562" s="111"/>
      <c r="AK1562" s="111"/>
      <c r="AL1562" s="512"/>
      <c r="AM1562" s="513"/>
      <c r="AN1562" s="465"/>
      <c r="AO1562" s="468">
        <f>РПЗ!AD1562</f>
        <v>0</v>
      </c>
      <c r="AP1562" s="472">
        <f>РПЗ!V1562</f>
        <v>0</v>
      </c>
      <c r="AQ1562" s="470">
        <f>IF(Таблица5[[#This Row],[11]]=0,,MONTH(Таблица5[[#This Row],[11]]))</f>
        <v>12</v>
      </c>
    </row>
    <row r="1563" spans="1:43" ht="38.25" x14ac:dyDescent="0.25">
      <c r="A1563" s="233" t="str">
        <f t="shared" si="25"/>
        <v>1004-2017-1548</v>
      </c>
      <c r="B1563" s="233" t="str">
        <f>РПЗ!$D1563</f>
        <v>1004-2017-1548 контрольно-измерительное оборудование</v>
      </c>
      <c r="C1563" s="233" t="str">
        <f>РПЗ!$AA1563</f>
        <v>АО "НИИ "Полюс" им. М.Ф. Стельмаха" тел. отдела закупок 8-495-333-05-02</v>
      </c>
      <c r="D1563" s="633" t="str">
        <f>РПЗ!$AB1563</f>
        <v>Заказчик</v>
      </c>
      <c r="E1563" s="96" t="s">
        <v>46</v>
      </c>
      <c r="F1563" s="233" t="str">
        <f>РПЗ!Q1563</f>
        <v>ЕП</v>
      </c>
      <c r="G1563" s="237"/>
      <c r="H1563" s="237" t="str">
        <f>РПЗ!R1563</f>
        <v>Нет</v>
      </c>
      <c r="I1563" s="15">
        <f>РПЗ!W1563</f>
        <v>0</v>
      </c>
      <c r="J1563" s="233">
        <f>РПЗ!X1563</f>
        <v>0</v>
      </c>
      <c r="K1563" s="283">
        <f>РПЗ!Z1563</f>
        <v>0</v>
      </c>
      <c r="L1563" s="17"/>
      <c r="M1563" s="18">
        <f>РПЗ!O1563</f>
        <v>43070.625</v>
      </c>
      <c r="N1563" s="238">
        <f>Таблица5[[#This Row],[10]]</f>
        <v>43070.625</v>
      </c>
      <c r="O1563" s="17"/>
      <c r="P1563" s="17"/>
      <c r="Q1563" s="17"/>
      <c r="R1563" s="17"/>
      <c r="S1563" s="17"/>
      <c r="T1563" s="686"/>
      <c r="U1563" s="18">
        <f>РПЗ!P1563</f>
        <v>43070.625</v>
      </c>
      <c r="V1563" s="686"/>
      <c r="W1563" s="236">
        <f>РПЗ!L1563</f>
        <v>1831400</v>
      </c>
      <c r="X1563" s="689"/>
      <c r="Y1563" s="689"/>
      <c r="Z1563" s="690"/>
      <c r="AA1563" s="691"/>
      <c r="AB1563" s="111"/>
      <c r="AC1563" s="17"/>
      <c r="AD1563" s="690"/>
      <c r="AE1563" s="686"/>
      <c r="AF1563" s="474"/>
      <c r="AG1563" s="692"/>
      <c r="AH1563" s="236" t="str">
        <f>IF(Таблица5[[#This Row],[30]]=0,"НД",Таблица5[[#This Row],[20]]-Таблица5[[#This Row],[30]])</f>
        <v>НД</v>
      </c>
      <c r="AI1563" s="511" t="str">
        <f>IF(((1-Таблица5[[#This Row],[30]]/Таблица5[[#This Row],[20]])=1),"НД",(1-Таблица5[[#This Row],[30]]/Таблица5[[#This Row],[20]]))</f>
        <v>НД</v>
      </c>
      <c r="AJ1563" s="111"/>
      <c r="AK1563" s="111"/>
      <c r="AL1563" s="512"/>
      <c r="AM1563" s="513"/>
      <c r="AN1563" s="465"/>
      <c r="AO1563" s="468">
        <f>РПЗ!AD1563</f>
        <v>0</v>
      </c>
      <c r="AP1563" s="472">
        <f>РПЗ!V1563</f>
        <v>0</v>
      </c>
      <c r="AQ1563" s="470">
        <f>IF(Таблица5[[#This Row],[11]]=0,,MONTH(Таблица5[[#This Row],[11]]))</f>
        <v>12</v>
      </c>
    </row>
    <row r="1564" spans="1:43" ht="38.25" x14ac:dyDescent="0.25">
      <c r="A1564" s="233" t="str">
        <f t="shared" si="25"/>
        <v>1004-2017-1549</v>
      </c>
      <c r="B1564" s="233" t="str">
        <f>РПЗ!$D1564</f>
        <v xml:space="preserve">1004-2017-1549 Одноканальный вакуумный пинцет Quick381A ESD </v>
      </c>
      <c r="C1564" s="233" t="str">
        <f>РПЗ!$AA1564</f>
        <v>АО "НИИ "Полюс" им. М.Ф. Стельмаха" тел. отдела закупок 8-495-333-05-02</v>
      </c>
      <c r="D1564" s="633" t="str">
        <f>РПЗ!$AB1564</f>
        <v>Заказчик</v>
      </c>
      <c r="E1564" s="510" t="s">
        <v>59</v>
      </c>
      <c r="F1564" s="233" t="str">
        <f>РПЗ!Q1564</f>
        <v>ОЗК</v>
      </c>
      <c r="G1564" s="237" t="str">
        <f>Таблица5[[#This Row],[6]]</f>
        <v>ОЗК</v>
      </c>
      <c r="H1564" s="237" t="str">
        <f>РПЗ!R1564</f>
        <v>Да</v>
      </c>
      <c r="I1564" s="15">
        <f>РПЗ!W1564</f>
        <v>0</v>
      </c>
      <c r="J1564" s="233">
        <f>РПЗ!X1564</f>
        <v>0</v>
      </c>
      <c r="K1564" s="283">
        <f>РПЗ!Z1564</f>
        <v>0</v>
      </c>
      <c r="L1564" s="17">
        <v>43095</v>
      </c>
      <c r="M1564" s="18">
        <f>РПЗ!O1564</f>
        <v>43070.625</v>
      </c>
      <c r="N1564" s="238">
        <f>Таблица5[[#This Row],[10]]</f>
        <v>43070.625</v>
      </c>
      <c r="O1564" s="17">
        <v>43110</v>
      </c>
      <c r="P1564" s="17">
        <v>43115</v>
      </c>
      <c r="Q1564" s="17">
        <v>43115</v>
      </c>
      <c r="R1564" s="17">
        <v>43115</v>
      </c>
      <c r="S1564" s="17">
        <v>43115</v>
      </c>
      <c r="T1564" s="686"/>
      <c r="U1564" s="18">
        <f>РПЗ!P1564</f>
        <v>43070.625</v>
      </c>
      <c r="V1564" s="686"/>
      <c r="W1564" s="236">
        <f>РПЗ!L1564</f>
        <v>82965</v>
      </c>
      <c r="X1564" s="689">
        <v>0</v>
      </c>
      <c r="Y1564" s="689">
        <v>0</v>
      </c>
      <c r="Z1564" s="690"/>
      <c r="AA1564" s="691"/>
      <c r="AB1564" s="111"/>
      <c r="AC1564" s="17"/>
      <c r="AD1564" s="690"/>
      <c r="AE1564" s="686"/>
      <c r="AF1564" s="474"/>
      <c r="AG1564" s="692"/>
      <c r="AH1564" s="236" t="str">
        <f>IF(Таблица5[[#This Row],[30]]=0,"НД",Таблица5[[#This Row],[20]]-Таблица5[[#This Row],[30]])</f>
        <v>НД</v>
      </c>
      <c r="AI1564" s="511" t="str">
        <f>IF(((1-Таблица5[[#This Row],[30]]/Таблица5[[#This Row],[20]])=1),"НД",(1-Таблица5[[#This Row],[30]]/Таблица5[[#This Row],[20]]))</f>
        <v>НД</v>
      </c>
      <c r="AJ1564" s="111"/>
      <c r="AK1564" s="111"/>
      <c r="AL1564" s="512"/>
      <c r="AM1564" s="513" t="s">
        <v>113</v>
      </c>
      <c r="AN1564" s="801">
        <v>31705945593</v>
      </c>
      <c r="AO1564" s="468">
        <f>РПЗ!AD1564</f>
        <v>0</v>
      </c>
      <c r="AP1564" s="472">
        <f>РПЗ!V1564</f>
        <v>0</v>
      </c>
      <c r="AQ1564" s="470">
        <f>IF(Таблица5[[#This Row],[11]]=0,,MONTH(Таблица5[[#This Row],[11]]))</f>
        <v>12</v>
      </c>
    </row>
    <row r="1565" spans="1:43" ht="51" x14ac:dyDescent="0.25">
      <c r="A1565" s="233" t="str">
        <f t="shared" si="25"/>
        <v>1004-2017-1550</v>
      </c>
      <c r="B1565" s="233" t="str">
        <f>РПЗ!$D1565</f>
        <v xml:space="preserve">1004-2017-1550 тумба для инструмента – 2 шт. </v>
      </c>
      <c r="C1565" s="233" t="str">
        <f>РПЗ!$AA1565</f>
        <v>АО "НИИ "Полюс" им. М.Ф. Стельмаха" тел. отдела закупок 8-495-333-05-02</v>
      </c>
      <c r="D1565" s="633" t="str">
        <f>РПЗ!$AB1565</f>
        <v>Заказчик</v>
      </c>
      <c r="E1565" s="510" t="s">
        <v>62</v>
      </c>
      <c r="F1565" s="233" t="str">
        <f>РПЗ!Q1565</f>
        <v>ОЗК</v>
      </c>
      <c r="G1565" s="237" t="str">
        <f>Таблица5[[#This Row],[6]]</f>
        <v>ОЗК</v>
      </c>
      <c r="H1565" s="237" t="str">
        <f>РПЗ!R1565</f>
        <v>Да</v>
      </c>
      <c r="I1565" s="15">
        <f>РПЗ!W1565</f>
        <v>0</v>
      </c>
      <c r="J1565" s="233">
        <f>РПЗ!X1565</f>
        <v>0</v>
      </c>
      <c r="K1565" s="283">
        <f>РПЗ!Z1565</f>
        <v>0</v>
      </c>
      <c r="L1565" s="17">
        <v>43082</v>
      </c>
      <c r="M1565" s="18">
        <f>РПЗ!O1565</f>
        <v>43070.625</v>
      </c>
      <c r="N1565" s="238">
        <f>Таблица5[[#This Row],[10]]</f>
        <v>43070.625</v>
      </c>
      <c r="O1565" s="17">
        <v>43088</v>
      </c>
      <c r="P1565" s="17">
        <v>43094</v>
      </c>
      <c r="Q1565" s="17">
        <v>43094</v>
      </c>
      <c r="R1565" s="17">
        <v>43089</v>
      </c>
      <c r="S1565" s="17">
        <v>43089</v>
      </c>
      <c r="T1565" s="686">
        <v>43109</v>
      </c>
      <c r="U1565" s="18">
        <f>РПЗ!P1565</f>
        <v>43070.625</v>
      </c>
      <c r="V1565" s="686">
        <v>43123</v>
      </c>
      <c r="W1565" s="236">
        <f>РПЗ!L1565</f>
        <v>118420</v>
      </c>
      <c r="X1565" s="689">
        <v>1</v>
      </c>
      <c r="Y1565" s="689">
        <v>0</v>
      </c>
      <c r="Z1565" s="691">
        <v>7719533314</v>
      </c>
      <c r="AA1565" s="691" t="s">
        <v>8291</v>
      </c>
      <c r="AB1565" s="111">
        <v>118420</v>
      </c>
      <c r="AC1565" s="17">
        <v>43123</v>
      </c>
      <c r="AD1565" s="690" t="s">
        <v>8293</v>
      </c>
      <c r="AE1565" s="686">
        <v>43109</v>
      </c>
      <c r="AF1565" s="474"/>
      <c r="AG1565" s="692" t="s">
        <v>8292</v>
      </c>
      <c r="AH1565" s="236" t="e">
        <f>IF(Таблица5[[#This Row],[30]]=0,"НД",Таблица5[[#This Row],[20]]-Таблица5[[#This Row],[30]])</f>
        <v>#VALUE!</v>
      </c>
      <c r="AI1565" s="511" t="e">
        <f>Таблица5[[#This Row],[33]]=IF(((1-Таблица5[[#This Row],[30]]/Таблица5[[#This Row],[20]])=1),"НД",(1-Таблица5[[#This Row],[30]]/Таблица5[[#This Row],[20]]))</f>
        <v>#VALUE!</v>
      </c>
      <c r="AJ1565" s="111"/>
      <c r="AK1565" s="111">
        <v>118420</v>
      </c>
      <c r="AL1565" s="512"/>
      <c r="AM1565" s="513" t="s">
        <v>113</v>
      </c>
      <c r="AN1565" s="801">
        <v>31705873907</v>
      </c>
      <c r="AO1565" s="468">
        <f>РПЗ!AD1565</f>
        <v>0</v>
      </c>
      <c r="AP1565" s="472">
        <f>РПЗ!V1565</f>
        <v>0</v>
      </c>
      <c r="AQ1565" s="470">
        <f>IF(Таблица5[[#This Row],[11]]=0,,MONTH(Таблица5[[#This Row],[11]]))</f>
        <v>12</v>
      </c>
    </row>
    <row r="1566" spans="1:43" ht="38.25" x14ac:dyDescent="0.25">
      <c r="A1566" s="233" t="str">
        <f t="shared" si="25"/>
        <v>1004-2017-1551</v>
      </c>
      <c r="B1566" s="233" t="str">
        <f>РПЗ!$D1566</f>
        <v>1004-2017-1551 оказание услуг по изготовлению, доставке и монтажу окон ПВХ</v>
      </c>
      <c r="C1566" s="233" t="str">
        <f>РПЗ!$AA1566</f>
        <v>АО "НИИ "Полюс" им. М.Ф. Стельмаха" тел. отдела закупок 8-495-333-05-02</v>
      </c>
      <c r="D1566" s="633" t="str">
        <f>РПЗ!$AB1566</f>
        <v>Заказчик</v>
      </c>
      <c r="E1566" s="510" t="s">
        <v>52</v>
      </c>
      <c r="F1566" s="233" t="str">
        <f>РПЗ!Q1566</f>
        <v>ОЗК</v>
      </c>
      <c r="G1566" s="237" t="str">
        <f>Таблица5[[#This Row],[6]]</f>
        <v>ОЗК</v>
      </c>
      <c r="H1566" s="237" t="str">
        <f>РПЗ!R1566</f>
        <v>Да</v>
      </c>
      <c r="I1566" s="15">
        <f>РПЗ!W1566</f>
        <v>0</v>
      </c>
      <c r="J1566" s="233">
        <f>РПЗ!X1566</f>
        <v>0</v>
      </c>
      <c r="K1566" s="283">
        <f>РПЗ!Z1566</f>
        <v>0</v>
      </c>
      <c r="L1566" s="17">
        <v>43082</v>
      </c>
      <c r="M1566" s="18">
        <f>РПЗ!O1566</f>
        <v>43070.625</v>
      </c>
      <c r="N1566" s="238">
        <f>Таблица5[[#This Row],[10]]</f>
        <v>43070.625</v>
      </c>
      <c r="O1566" s="17">
        <v>43088</v>
      </c>
      <c r="P1566" s="17">
        <v>43094</v>
      </c>
      <c r="Q1566" s="17">
        <v>43094</v>
      </c>
      <c r="R1566" s="17">
        <v>43089</v>
      </c>
      <c r="S1566" s="17">
        <v>43089</v>
      </c>
      <c r="T1566" s="686"/>
      <c r="U1566" s="18">
        <f>РПЗ!P1566</f>
        <v>43070.625</v>
      </c>
      <c r="V1566" s="686"/>
      <c r="W1566" s="236">
        <f>РПЗ!L1566</f>
        <v>515255</v>
      </c>
      <c r="X1566" s="689">
        <v>2</v>
      </c>
      <c r="Y1566" s="689">
        <v>0</v>
      </c>
      <c r="Z1566" s="691">
        <v>7724915686</v>
      </c>
      <c r="AA1566" s="691" t="s">
        <v>8294</v>
      </c>
      <c r="AB1566" s="111">
        <v>489492.25</v>
      </c>
      <c r="AC1566" s="17"/>
      <c r="AD1566" s="690"/>
      <c r="AE1566" s="686"/>
      <c r="AF1566" s="474"/>
      <c r="AG1566" s="692">
        <v>489492.25</v>
      </c>
      <c r="AH1566" s="236">
        <f>IF(Таблица5[[#This Row],[30]]=0,"НД",Таблица5[[#This Row],[20]]-Таблица5[[#This Row],[30]])</f>
        <v>25762.75</v>
      </c>
      <c r="AI1566" s="511">
        <f>IF(((1-Таблица5[[#This Row],[30]]/Таблица5[[#This Row],[20]])=1),"НД",(1-Таблица5[[#This Row],[30]]/Таблица5[[#This Row],[20]]))</f>
        <v>5.0000000000000044E-2</v>
      </c>
      <c r="AJ1566" s="111"/>
      <c r="AK1566" s="111">
        <v>489492.25</v>
      </c>
      <c r="AL1566" s="512"/>
      <c r="AM1566" s="513" t="s">
        <v>113</v>
      </c>
      <c r="AN1566" s="801">
        <v>31705875590</v>
      </c>
      <c r="AO1566" s="468">
        <f>РПЗ!AD1566</f>
        <v>0</v>
      </c>
      <c r="AP1566" s="472">
        <f>РПЗ!V1566</f>
        <v>0</v>
      </c>
      <c r="AQ1566" s="470">
        <f>IF(Таблица5[[#This Row],[11]]=0,,MONTH(Таблица5[[#This Row],[11]]))</f>
        <v>12</v>
      </c>
    </row>
    <row r="1567" spans="1:43" ht="39" thickBot="1" x14ac:dyDescent="0.3">
      <c r="A1567" s="233" t="str">
        <f t="shared" si="25"/>
        <v>1004-2017-1552</v>
      </c>
      <c r="B1567" s="233" t="str">
        <f>РПЗ!$D1567</f>
        <v>1004-2017-1552 Поставка термоусадочной трубки СТТК 140/42 (3:1) черной с клеем</v>
      </c>
      <c r="C1567" s="233" t="str">
        <f>РПЗ!$AA1567</f>
        <v>АО "НИИ "Полюс" им. М.Ф. Стельмаха" тел. отдела закупок 8-495-333-05-02</v>
      </c>
      <c r="D1567" s="633" t="str">
        <f>РПЗ!$AB1567</f>
        <v>Заказчик</v>
      </c>
      <c r="E1567" s="510" t="s">
        <v>62</v>
      </c>
      <c r="F1567" s="233" t="str">
        <f>РПЗ!Q1567</f>
        <v>ЕП</v>
      </c>
      <c r="G1567" s="237" t="str">
        <f>Таблица5[[#This Row],[6]]</f>
        <v>ЕП</v>
      </c>
      <c r="H1567" s="237" t="str">
        <f>РПЗ!R1567</f>
        <v>Нет</v>
      </c>
      <c r="I1567" s="15" t="str">
        <f>РПЗ!W1567</f>
        <v>6.6.2(30)</v>
      </c>
      <c r="J1567" s="233" t="str">
        <f>РПЗ!X1567</f>
        <v>5042109697</v>
      </c>
      <c r="K1567" s="283">
        <f>РПЗ!Z1567</f>
        <v>177900</v>
      </c>
      <c r="L1567" s="17">
        <v>43080</v>
      </c>
      <c r="M1567" s="18">
        <f>РПЗ!O1567</f>
        <v>43070.625</v>
      </c>
      <c r="N1567" s="238">
        <f>Таблица5[[#This Row],[10]]</f>
        <v>43070.625</v>
      </c>
      <c r="O1567" s="17"/>
      <c r="P1567" s="17"/>
      <c r="Q1567" s="17"/>
      <c r="R1567" s="17"/>
      <c r="S1567" s="17"/>
      <c r="T1567" s="686">
        <v>43091</v>
      </c>
      <c r="U1567" s="18">
        <f>РПЗ!P1567</f>
        <v>43070.625</v>
      </c>
      <c r="V1567" s="686">
        <v>43131</v>
      </c>
      <c r="W1567" s="236">
        <f>РПЗ!L1567</f>
        <v>177900</v>
      </c>
      <c r="X1567" s="689">
        <v>1</v>
      </c>
      <c r="Y1567" s="689">
        <v>0</v>
      </c>
      <c r="Z1567" s="691">
        <v>5042109697</v>
      </c>
      <c r="AA1567" s="691" t="s">
        <v>8221</v>
      </c>
      <c r="AB1567" s="111">
        <v>177900</v>
      </c>
      <c r="AC1567" s="17">
        <v>43131</v>
      </c>
      <c r="AD1567" s="690" t="s">
        <v>8223</v>
      </c>
      <c r="AE1567" s="686">
        <v>43091</v>
      </c>
      <c r="AF1567" s="474"/>
      <c r="AG1567" s="692">
        <v>177900</v>
      </c>
      <c r="AH1567" s="236">
        <f>IF(Таблица5[[#This Row],[30]]=0,"НД",Таблица5[[#This Row],[20]]-Таблица5[[#This Row],[30]])</f>
        <v>0</v>
      </c>
      <c r="AI1567" s="511">
        <f>IF(((1-Таблица5[[#This Row],[30]]/Таблица5[[#This Row],[20]])=1),"НД",(1-Таблица5[[#This Row],[30]]/Таблица5[[#This Row],[20]]))</f>
        <v>0</v>
      </c>
      <c r="AJ1567" s="111">
        <v>177900</v>
      </c>
      <c r="AK1567" s="111"/>
      <c r="AL1567" s="512"/>
      <c r="AM1567" s="513" t="s">
        <v>113</v>
      </c>
      <c r="AN1567" s="465" t="s">
        <v>8222</v>
      </c>
      <c r="AO1567" s="468">
        <f>РПЗ!AD1567</f>
        <v>0</v>
      </c>
      <c r="AP1567" s="472">
        <f>РПЗ!V1567</f>
        <v>0</v>
      </c>
      <c r="AQ1567" s="470">
        <f>IF(Таблица5[[#This Row],[11]]=0,,MONTH(Таблица5[[#This Row],[11]]))</f>
        <v>12</v>
      </c>
    </row>
    <row r="1568" spans="1:43" ht="38.25" x14ac:dyDescent="0.25">
      <c r="A1568" s="233" t="str">
        <f t="shared" si="25"/>
        <v>1004-2017-1553</v>
      </c>
      <c r="B1568" s="233" t="str">
        <f>РПЗ!$D1568</f>
        <v>1004-2017-1553 монтажный инструмент</v>
      </c>
      <c r="C1568" s="233" t="str">
        <f>РПЗ!$AA1568</f>
        <v>АО "НИИ "Полюс" им. М.Ф. Стельмаха" тел. отдела закупок 8-495-333-05-02</v>
      </c>
      <c r="D1568" s="633" t="str">
        <f>РПЗ!$AB1568</f>
        <v>Заказчик</v>
      </c>
      <c r="E1568" s="96" t="s">
        <v>46</v>
      </c>
      <c r="F1568" s="233" t="str">
        <f>РПЗ!Q1568</f>
        <v>ОЗК</v>
      </c>
      <c r="G1568" s="237"/>
      <c r="H1568" s="237" t="str">
        <f>РПЗ!R1568</f>
        <v>Да</v>
      </c>
      <c r="I1568" s="15">
        <f>РПЗ!W1568</f>
        <v>0</v>
      </c>
      <c r="J1568" s="233">
        <f>РПЗ!X1568</f>
        <v>0</v>
      </c>
      <c r="K1568" s="283">
        <f>РПЗ!Z1568</f>
        <v>0</v>
      </c>
      <c r="L1568" s="17"/>
      <c r="M1568" s="18">
        <f>РПЗ!O1568</f>
        <v>43070.625</v>
      </c>
      <c r="N1568" s="238">
        <f>Таблица5[[#This Row],[10]]</f>
        <v>43070.625</v>
      </c>
      <c r="O1568" s="17"/>
      <c r="P1568" s="17"/>
      <c r="Q1568" s="17"/>
      <c r="R1568" s="17"/>
      <c r="S1568" s="17"/>
      <c r="T1568" s="686"/>
      <c r="U1568" s="18">
        <f>РПЗ!P1568</f>
        <v>43070.625</v>
      </c>
      <c r="V1568" s="686"/>
      <c r="W1568" s="236">
        <f>РПЗ!L1568</f>
        <v>180000</v>
      </c>
      <c r="X1568" s="689"/>
      <c r="Y1568" s="689"/>
      <c r="Z1568" s="690"/>
      <c r="AA1568" s="691"/>
      <c r="AB1568" s="111"/>
      <c r="AC1568" s="17"/>
      <c r="AD1568" s="690"/>
      <c r="AE1568" s="686"/>
      <c r="AF1568" s="474"/>
      <c r="AG1568" s="692"/>
      <c r="AH1568" s="236" t="str">
        <f>IF(Таблица5[[#This Row],[30]]=0,"НД",Таблица5[[#This Row],[20]]-Таблица5[[#This Row],[30]])</f>
        <v>НД</v>
      </c>
      <c r="AI1568" s="511" t="str">
        <f>IF(((1-Таблица5[[#This Row],[30]]/Таблица5[[#This Row],[20]])=1),"НД",(1-Таблица5[[#This Row],[30]]/Таблица5[[#This Row],[20]]))</f>
        <v>НД</v>
      </c>
      <c r="AJ1568" s="111"/>
      <c r="AK1568" s="111"/>
      <c r="AL1568" s="512"/>
      <c r="AM1568" s="513"/>
      <c r="AN1568" s="465"/>
      <c r="AO1568" s="468">
        <f>РПЗ!AD1568</f>
        <v>0</v>
      </c>
      <c r="AP1568" s="472">
        <f>РПЗ!V1568</f>
        <v>0</v>
      </c>
      <c r="AQ1568" s="470">
        <f>IF(Таблица5[[#This Row],[11]]=0,,MONTH(Таблица5[[#This Row],[11]]))</f>
        <v>12</v>
      </c>
    </row>
    <row r="1569" spans="1:43" ht="51" x14ac:dyDescent="0.25">
      <c r="A1569" s="233" t="str">
        <f t="shared" si="25"/>
        <v>1004-2017-1554</v>
      </c>
      <c r="B1569" s="233" t="str">
        <f>РПЗ!$D1569</f>
        <v>1004-2017-1554  выполнение ремонтных работ в помещениях 504, 529 Лабораторного корпуса в АО "НИИ "Полюс" им. М.Ф. Стельмаха"</v>
      </c>
      <c r="C1569" s="233" t="str">
        <f>РПЗ!$AA1569</f>
        <v>АО "НИИ "Полюс" им. М.Ф. Стельмаха" тел. отдела закупок 8-495-333-05-02</v>
      </c>
      <c r="D1569" s="633" t="str">
        <f>РПЗ!$AB1569</f>
        <v>Заказчик</v>
      </c>
      <c r="E1569" s="510" t="s">
        <v>52</v>
      </c>
      <c r="F1569" s="233" t="str">
        <f>РПЗ!Q1569</f>
        <v>ОЗП</v>
      </c>
      <c r="G1569" s="237" t="str">
        <f>Таблица5[[#This Row],[6]]</f>
        <v>ОЗП</v>
      </c>
      <c r="H1569" s="237" t="str">
        <f>РПЗ!R1569</f>
        <v>Да</v>
      </c>
      <c r="I1569" s="15">
        <f>РПЗ!W1569</f>
        <v>0</v>
      </c>
      <c r="J1569" s="233">
        <f>РПЗ!X1569</f>
        <v>0</v>
      </c>
      <c r="K1569" s="283">
        <f>РПЗ!Z1569</f>
        <v>0</v>
      </c>
      <c r="L1569" s="17">
        <v>43087</v>
      </c>
      <c r="M1569" s="18">
        <f>РПЗ!O1569</f>
        <v>43070.625</v>
      </c>
      <c r="N1569" s="238">
        <f>Таблица5[[#This Row],[10]]</f>
        <v>43070.625</v>
      </c>
      <c r="O1569" s="17">
        <v>43096</v>
      </c>
      <c r="P1569" s="17">
        <v>43110</v>
      </c>
      <c r="Q1569" s="17">
        <v>43110</v>
      </c>
      <c r="R1569" s="17">
        <v>43115</v>
      </c>
      <c r="S1569" s="17">
        <v>43115</v>
      </c>
      <c r="T1569" s="686"/>
      <c r="U1569" s="18">
        <f>РПЗ!P1569</f>
        <v>43132.625</v>
      </c>
      <c r="V1569" s="686"/>
      <c r="W1569" s="236">
        <f>РПЗ!L1569</f>
        <v>3200000</v>
      </c>
      <c r="X1569" s="689">
        <v>1</v>
      </c>
      <c r="Y1569" s="689">
        <v>0</v>
      </c>
      <c r="Z1569" s="691">
        <v>7715784959</v>
      </c>
      <c r="AA1569" s="691" t="s">
        <v>6112</v>
      </c>
      <c r="AB1569" s="111">
        <v>2857600.1</v>
      </c>
      <c r="AC1569" s="17"/>
      <c r="AD1569" s="690"/>
      <c r="AE1569" s="686"/>
      <c r="AF1569" s="474"/>
      <c r="AG1569" s="692">
        <v>2857600.1</v>
      </c>
      <c r="AH1569" s="236">
        <f>IF(Таблица5[[#This Row],[30]]=0,"НД",Таблица5[[#This Row],[20]]-Таблица5[[#This Row],[30]])</f>
        <v>342399.89999999991</v>
      </c>
      <c r="AI1569" s="511">
        <f>IF(((1-Таблица5[[#This Row],[30]]/Таблица5[[#This Row],[20]])=1),"НД",(1-Таблица5[[#This Row],[30]]/Таблица5[[#This Row],[20]]))</f>
        <v>0.10699996874999995</v>
      </c>
      <c r="AJ1569" s="111"/>
      <c r="AK1569" s="111">
        <v>2857600.1</v>
      </c>
      <c r="AL1569" s="512"/>
      <c r="AM1569" s="513" t="s">
        <v>113</v>
      </c>
      <c r="AN1569" s="801">
        <v>31705898740</v>
      </c>
      <c r="AO1569" s="468">
        <f>РПЗ!AD1569</f>
        <v>0</v>
      </c>
      <c r="AP1569" s="472">
        <f>РПЗ!V1569</f>
        <v>0</v>
      </c>
      <c r="AQ1569" s="470">
        <f>IF(Таблица5[[#This Row],[11]]=0,,MONTH(Таблица5[[#This Row],[11]]))</f>
        <v>12</v>
      </c>
    </row>
    <row r="1570" spans="1:43" ht="51" x14ac:dyDescent="0.25">
      <c r="A1570" s="233" t="str">
        <f t="shared" si="25"/>
        <v>1004-2017-1555</v>
      </c>
      <c r="B1570" s="233" t="str">
        <f>РПЗ!$D1570</f>
        <v>1004-2017-1555 Договор № 224738 от 22.10.2012 с АО "Мосводоканал" затраты на воду и прием сточных вод</v>
      </c>
      <c r="C1570" s="233" t="str">
        <f>РПЗ!$AA1570</f>
        <v>АО "НИИ "Полюс" им. М.Ф. Стельмаха" тел. отдела закупок 8-495-333-05-02</v>
      </c>
      <c r="D1570" s="633" t="str">
        <f>РПЗ!$AB1570</f>
        <v>Заказчик</v>
      </c>
      <c r="E1570" s="510" t="s">
        <v>62</v>
      </c>
      <c r="F1570" s="233" t="str">
        <f>РПЗ!Q1570</f>
        <v>ЕП</v>
      </c>
      <c r="G1570" s="237" t="str">
        <f>Таблица5[[#This Row],[6]]</f>
        <v>ЕП</v>
      </c>
      <c r="H1570" s="237" t="str">
        <f>РПЗ!R1570</f>
        <v>Нет</v>
      </c>
      <c r="I1570" s="15" t="str">
        <f>РПЗ!W1570</f>
        <v>6.6.2(2)</v>
      </c>
      <c r="J1570" s="233" t="str">
        <f>РПЗ!X1570</f>
        <v>7701984274</v>
      </c>
      <c r="K1570" s="283">
        <f>РПЗ!Z1570</f>
        <v>140346.67000000001</v>
      </c>
      <c r="L1570" s="17">
        <v>43082</v>
      </c>
      <c r="M1570" s="18">
        <f>РПЗ!O1570</f>
        <v>43070.625</v>
      </c>
      <c r="N1570" s="238">
        <f>Таблица5[[#This Row],[10]]</f>
        <v>43070.625</v>
      </c>
      <c r="O1570" s="17"/>
      <c r="P1570" s="17"/>
      <c r="Q1570" s="17"/>
      <c r="R1570" s="17"/>
      <c r="S1570" s="17"/>
      <c r="T1570" s="686">
        <v>43089</v>
      </c>
      <c r="U1570" s="18">
        <f>РПЗ!P1570</f>
        <v>43070.625</v>
      </c>
      <c r="V1570" s="686">
        <v>43100</v>
      </c>
      <c r="W1570" s="236">
        <f>РПЗ!L1570</f>
        <v>140346.67000000001</v>
      </c>
      <c r="X1570" s="689">
        <v>1</v>
      </c>
      <c r="Y1570" s="689">
        <v>0</v>
      </c>
      <c r="Z1570" s="691">
        <v>7701984274</v>
      </c>
      <c r="AA1570" s="691" t="s">
        <v>1509</v>
      </c>
      <c r="AB1570" s="111">
        <v>140346.67000000001</v>
      </c>
      <c r="AC1570" s="17">
        <v>43100</v>
      </c>
      <c r="AD1570" s="690" t="s">
        <v>8263</v>
      </c>
      <c r="AE1570" s="686">
        <v>43089</v>
      </c>
      <c r="AF1570" s="474"/>
      <c r="AG1570" s="692">
        <v>140346.67000000001</v>
      </c>
      <c r="AH1570" s="236">
        <f>IF(Таблица5[[#This Row],[30]]=0,"НД",Таблица5[[#This Row],[20]]-Таблица5[[#This Row],[30]])</f>
        <v>0</v>
      </c>
      <c r="AI1570" s="511">
        <f>IF(((1-Таблица5[[#This Row],[30]]/Таблица5[[#This Row],[20]])=1),"НД",(1-Таблица5[[#This Row],[30]]/Таблица5[[#This Row],[20]]))</f>
        <v>0</v>
      </c>
      <c r="AJ1570" s="111"/>
      <c r="AK1570" s="111"/>
      <c r="AL1570" s="512"/>
      <c r="AM1570" s="513" t="s">
        <v>113</v>
      </c>
      <c r="AN1570" s="801">
        <v>0</v>
      </c>
      <c r="AO1570" s="468">
        <f>РПЗ!AD1570</f>
        <v>0</v>
      </c>
      <c r="AP1570" s="472">
        <f>РПЗ!V1570</f>
        <v>0</v>
      </c>
      <c r="AQ1570" s="470">
        <f>IF(Таблица5[[#This Row],[11]]=0,,MONTH(Таблица5[[#This Row],[11]]))</f>
        <v>12</v>
      </c>
    </row>
    <row r="1571" spans="1:43" ht="51.75" thickBot="1" x14ac:dyDescent="0.3">
      <c r="A1571" s="233" t="str">
        <f t="shared" si="25"/>
        <v>1004-2017-1556</v>
      </c>
      <c r="B1571" s="233" t="str">
        <f>РПЗ!$D1571</f>
        <v>1004-2017-1556 Договор № 224738 от 22.10.2012 с АО "Мосводоканал" затраты на воду и прием сточных вод</v>
      </c>
      <c r="C1571" s="233" t="str">
        <f>РПЗ!$AA1571</f>
        <v>АО "НИИ "Полюс" им. М.Ф. Стельмаха" тел. отдела закупок 8-495-333-05-02</v>
      </c>
      <c r="D1571" s="633" t="str">
        <f>РПЗ!$AB1571</f>
        <v>Заказчик</v>
      </c>
      <c r="E1571" s="510" t="s">
        <v>62</v>
      </c>
      <c r="F1571" s="233" t="str">
        <f>РПЗ!Q1571</f>
        <v>ЕП</v>
      </c>
      <c r="G1571" s="237" t="str">
        <f>Таблица5[[#This Row],[6]]</f>
        <v>ЕП</v>
      </c>
      <c r="H1571" s="237" t="str">
        <f>РПЗ!R1571</f>
        <v>Нет</v>
      </c>
      <c r="I1571" s="15" t="str">
        <f>РПЗ!W1571</f>
        <v>6.6.2(2)</v>
      </c>
      <c r="J1571" s="233" t="str">
        <f>РПЗ!X1571</f>
        <v>7701984274</v>
      </c>
      <c r="K1571" s="283">
        <f>РПЗ!Z1571</f>
        <v>291474.92</v>
      </c>
      <c r="L1571" s="17">
        <v>43082</v>
      </c>
      <c r="M1571" s="18">
        <f>РПЗ!O1571</f>
        <v>43070.625</v>
      </c>
      <c r="N1571" s="238">
        <f>Таблица5[[#This Row],[10]]</f>
        <v>43070.625</v>
      </c>
      <c r="O1571" s="17"/>
      <c r="P1571" s="17"/>
      <c r="Q1571" s="17"/>
      <c r="R1571" s="17"/>
      <c r="S1571" s="17"/>
      <c r="T1571" s="686">
        <v>43087</v>
      </c>
      <c r="U1571" s="18">
        <f>РПЗ!P1571</f>
        <v>43070.625</v>
      </c>
      <c r="V1571" s="686">
        <v>43070</v>
      </c>
      <c r="W1571" s="236">
        <f>РПЗ!L1571</f>
        <v>291474.92</v>
      </c>
      <c r="X1571" s="689">
        <v>1</v>
      </c>
      <c r="Y1571" s="689">
        <v>0</v>
      </c>
      <c r="Z1571" s="691">
        <v>7701984274</v>
      </c>
      <c r="AA1571" s="691" t="s">
        <v>1509</v>
      </c>
      <c r="AB1571" s="111">
        <v>291474.92</v>
      </c>
      <c r="AC1571" s="17">
        <v>43070</v>
      </c>
      <c r="AD1571" s="690" t="s">
        <v>8039</v>
      </c>
      <c r="AE1571" s="686">
        <v>43087</v>
      </c>
      <c r="AF1571" s="474"/>
      <c r="AG1571" s="692">
        <v>291474.92</v>
      </c>
      <c r="AH1571" s="236">
        <f>IF(Таблица5[[#This Row],[30]]=0,"НД",Таблица5[[#This Row],[20]]-Таблица5[[#This Row],[30]])</f>
        <v>0</v>
      </c>
      <c r="AI1571" s="511">
        <f>IF(((1-Таблица5[[#This Row],[30]]/Таблица5[[#This Row],[20]])=1),"НД",(1-Таблица5[[#This Row],[30]]/Таблица5[[#This Row],[20]]))</f>
        <v>0</v>
      </c>
      <c r="AJ1571" s="111"/>
      <c r="AK1571" s="111"/>
      <c r="AL1571" s="512"/>
      <c r="AM1571" s="513" t="s">
        <v>113</v>
      </c>
      <c r="AN1571" s="801">
        <v>31705894905</v>
      </c>
      <c r="AO1571" s="468">
        <f>РПЗ!AD1571</f>
        <v>0</v>
      </c>
      <c r="AP1571" s="472">
        <f>РПЗ!V1571</f>
        <v>0</v>
      </c>
      <c r="AQ1571" s="470">
        <f>IF(Таблица5[[#This Row],[11]]=0,,MONTH(Таблица5[[#This Row],[11]]))</f>
        <v>12</v>
      </c>
    </row>
    <row r="1572" spans="1:43" ht="38.25" x14ac:dyDescent="0.25">
      <c r="A1572" s="233" t="str">
        <f t="shared" si="25"/>
        <v>1004-2017-1557</v>
      </c>
      <c r="B1572" s="233" t="str">
        <f>РПЗ!$D1572</f>
        <v xml:space="preserve">1004-2017-1557 ШОС-FC/UFC-FC/UPC-MM-0,9мм /SIMPLEX/2,2,м ТУ 3570-002-45944796-02 </v>
      </c>
      <c r="C1572" s="233" t="str">
        <f>РПЗ!$AA1572</f>
        <v>АО "НИИ "Полюс" им. М.Ф. Стельмаха" тел. отдела закупок 8-495-333-05-02</v>
      </c>
      <c r="D1572" s="633" t="str">
        <f>РПЗ!$AB1572</f>
        <v>Заказчик</v>
      </c>
      <c r="E1572" s="96" t="s">
        <v>46</v>
      </c>
      <c r="F1572" s="233" t="str">
        <f>РПЗ!Q1572</f>
        <v>ЕП</v>
      </c>
      <c r="G1572" s="237"/>
      <c r="H1572" s="237" t="str">
        <f>РПЗ!R1572</f>
        <v>Нет</v>
      </c>
      <c r="I1572" s="15">
        <f>РПЗ!W1572</f>
        <v>0</v>
      </c>
      <c r="J1572" s="233">
        <f>РПЗ!X1572</f>
        <v>0</v>
      </c>
      <c r="K1572" s="283">
        <f>РПЗ!Z1572</f>
        <v>0</v>
      </c>
      <c r="L1572" s="17"/>
      <c r="M1572" s="18">
        <f>РПЗ!O1572</f>
        <v>43070.625</v>
      </c>
      <c r="N1572" s="238">
        <f>Таблица5[[#This Row],[10]]</f>
        <v>43070.625</v>
      </c>
      <c r="O1572" s="17"/>
      <c r="P1572" s="17"/>
      <c r="Q1572" s="17"/>
      <c r="R1572" s="17"/>
      <c r="S1572" s="17"/>
      <c r="T1572" s="686"/>
      <c r="U1572" s="18">
        <f>РПЗ!P1572</f>
        <v>43101.625</v>
      </c>
      <c r="V1572" s="686"/>
      <c r="W1572" s="236">
        <f>РПЗ!L1572</f>
        <v>146476.5</v>
      </c>
      <c r="X1572" s="689"/>
      <c r="Y1572" s="689"/>
      <c r="Z1572" s="690"/>
      <c r="AA1572" s="691"/>
      <c r="AB1572" s="111"/>
      <c r="AC1572" s="17"/>
      <c r="AD1572" s="690"/>
      <c r="AE1572" s="686"/>
      <c r="AF1572" s="474"/>
      <c r="AG1572" s="692"/>
      <c r="AH1572" s="236" t="str">
        <f>IF(Таблица5[[#This Row],[30]]=0,"НД",Таблица5[[#This Row],[20]]-Таблица5[[#This Row],[30]])</f>
        <v>НД</v>
      </c>
      <c r="AI1572" s="511" t="str">
        <f>IF(((1-Таблица5[[#This Row],[30]]/Таблица5[[#This Row],[20]])=1),"НД",(1-Таблица5[[#This Row],[30]]/Таблица5[[#This Row],[20]]))</f>
        <v>НД</v>
      </c>
      <c r="AJ1572" s="111"/>
      <c r="AK1572" s="111"/>
      <c r="AL1572" s="512"/>
      <c r="AM1572" s="513"/>
      <c r="AN1572" s="465"/>
      <c r="AO1572" s="468">
        <f>РПЗ!AD1572</f>
        <v>0</v>
      </c>
      <c r="AP1572" s="472">
        <f>РПЗ!V1572</f>
        <v>0</v>
      </c>
      <c r="AQ1572" s="470">
        <f>IF(Таблица5[[#This Row],[11]]=0,,MONTH(Таблица5[[#This Row],[11]]))</f>
        <v>12</v>
      </c>
    </row>
    <row r="1573" spans="1:43" ht="39" thickBot="1" x14ac:dyDescent="0.3">
      <c r="A1573" s="233" t="str">
        <f t="shared" si="25"/>
        <v>1004-2017-1558</v>
      </c>
      <c r="B1573" s="233" t="str">
        <f>РПЗ!$D1573</f>
        <v>1004-2017-1558 Заготовки из титановых сплавов</v>
      </c>
      <c r="C1573" s="233" t="str">
        <f>РПЗ!$AA1573</f>
        <v>АО "НИИ "Полюс" им. М.Ф. Стельмаха" тел. отдела закупок 8-495-333-05-02</v>
      </c>
      <c r="D1573" s="633" t="str">
        <f>РПЗ!$AB1573</f>
        <v>Заказчик</v>
      </c>
      <c r="E1573" s="510" t="s">
        <v>62</v>
      </c>
      <c r="F1573" s="233" t="str">
        <f>РПЗ!Q1573</f>
        <v>ЕП</v>
      </c>
      <c r="G1573" s="237" t="str">
        <f>Таблица5[[#This Row],[6]]</f>
        <v>ЕП</v>
      </c>
      <c r="H1573" s="237" t="str">
        <f>РПЗ!R1573</f>
        <v>Нет</v>
      </c>
      <c r="I1573" s="15" t="str">
        <f>РПЗ!W1573</f>
        <v>6.6.2(9)</v>
      </c>
      <c r="J1573" s="233" t="str">
        <f>РПЗ!X1573</f>
        <v>7733751096</v>
      </c>
      <c r="K1573" s="283">
        <f>РПЗ!Z1573</f>
        <v>2566957</v>
      </c>
      <c r="L1573" s="17">
        <v>43083</v>
      </c>
      <c r="M1573" s="18">
        <f>РПЗ!O1573</f>
        <v>43070.625</v>
      </c>
      <c r="N1573" s="238">
        <f>Таблица5[[#This Row],[10]]</f>
        <v>43070.625</v>
      </c>
      <c r="O1573" s="17"/>
      <c r="P1573" s="17"/>
      <c r="Q1573" s="17"/>
      <c r="R1573" s="17"/>
      <c r="S1573" s="17"/>
      <c r="T1573" s="686">
        <v>43094</v>
      </c>
      <c r="U1573" s="18">
        <f>РПЗ!P1573</f>
        <v>43070.625</v>
      </c>
      <c r="V1573" s="686">
        <v>43190</v>
      </c>
      <c r="W1573" s="236">
        <f>РПЗ!L1573</f>
        <v>2566957</v>
      </c>
      <c r="X1573" s="689">
        <v>1</v>
      </c>
      <c r="Y1573" s="689">
        <v>0</v>
      </c>
      <c r="Z1573" s="691">
        <v>7733751096</v>
      </c>
      <c r="AA1573" s="691" t="s">
        <v>8216</v>
      </c>
      <c r="AB1573" s="111">
        <v>2566957</v>
      </c>
      <c r="AC1573" s="17">
        <v>43190</v>
      </c>
      <c r="AD1573" s="690" t="s">
        <v>8214</v>
      </c>
      <c r="AE1573" s="686">
        <v>43094</v>
      </c>
      <c r="AF1573" s="474"/>
      <c r="AG1573" s="692">
        <v>2566957</v>
      </c>
      <c r="AH1573" s="236">
        <f>IF(Таблица5[[#This Row],[30]]=0,"НД",Таблица5[[#This Row],[20]]-Таблица5[[#This Row],[30]])</f>
        <v>0</v>
      </c>
      <c r="AI1573" s="511">
        <f>IF(((1-Таблица5[[#This Row],[30]]/Таблица5[[#This Row],[20]])=1),"НД",(1-Таблица5[[#This Row],[30]]/Таблица5[[#This Row],[20]]))</f>
        <v>0</v>
      </c>
      <c r="AJ1573" s="111"/>
      <c r="AK1573" s="111"/>
      <c r="AL1573" s="512"/>
      <c r="AM1573" s="513" t="s">
        <v>113</v>
      </c>
      <c r="AN1573" s="801">
        <v>31705899797</v>
      </c>
      <c r="AO1573" s="468">
        <f>РПЗ!AD1573</f>
        <v>0</v>
      </c>
      <c r="AP1573" s="472" t="str">
        <f>РПЗ!V1573</f>
        <v>ГОЗ</v>
      </c>
      <c r="AQ1573" s="470">
        <f>IF(Таблица5[[#This Row],[11]]=0,,MONTH(Таблица5[[#This Row],[11]]))</f>
        <v>12</v>
      </c>
    </row>
    <row r="1574" spans="1:43" ht="39" thickBot="1" x14ac:dyDescent="0.3">
      <c r="A1574" s="233" t="str">
        <f t="shared" si="25"/>
        <v>1004-2017-1559</v>
      </c>
      <c r="B1574" s="233" t="str">
        <f>РПЗ!$D1574</f>
        <v>1004-2017-1559 Печатные платы для изделия 9Б918</v>
      </c>
      <c r="C1574" s="233" t="str">
        <f>РПЗ!$AA1574</f>
        <v>АО "НИИ "Полюс" им. М.Ф. Стельмаха" тел. отдела закупок 8-495-333-05-02</v>
      </c>
      <c r="D1574" s="633" t="str">
        <f>РПЗ!$AB1574</f>
        <v>Заказчик</v>
      </c>
      <c r="E1574" s="96" t="s">
        <v>46</v>
      </c>
      <c r="F1574" s="233" t="str">
        <f>РПЗ!Q1574</f>
        <v>ЕП</v>
      </c>
      <c r="G1574" s="237"/>
      <c r="H1574" s="237" t="str">
        <f>РПЗ!R1574</f>
        <v>Нет</v>
      </c>
      <c r="I1574" s="15">
        <f>РПЗ!W1574</f>
        <v>0</v>
      </c>
      <c r="J1574" s="233">
        <f>РПЗ!X1574</f>
        <v>0</v>
      </c>
      <c r="K1574" s="283">
        <f>РПЗ!Z1574</f>
        <v>0</v>
      </c>
      <c r="L1574" s="17"/>
      <c r="M1574" s="18">
        <f>РПЗ!O1574</f>
        <v>43070.625</v>
      </c>
      <c r="N1574" s="238">
        <f>Таблица5[[#This Row],[10]]</f>
        <v>43070.625</v>
      </c>
      <c r="O1574" s="17"/>
      <c r="P1574" s="17"/>
      <c r="Q1574" s="17"/>
      <c r="R1574" s="17"/>
      <c r="S1574" s="17"/>
      <c r="T1574" s="686"/>
      <c r="U1574" s="18">
        <f>РПЗ!P1574</f>
        <v>43101.625</v>
      </c>
      <c r="V1574" s="686"/>
      <c r="W1574" s="236">
        <f>РПЗ!L1574</f>
        <v>451271.12</v>
      </c>
      <c r="X1574" s="689"/>
      <c r="Y1574" s="689"/>
      <c r="Z1574" s="690"/>
      <c r="AA1574" s="691"/>
      <c r="AB1574" s="111"/>
      <c r="AC1574" s="17"/>
      <c r="AD1574" s="690"/>
      <c r="AE1574" s="686"/>
      <c r="AF1574" s="474"/>
      <c r="AG1574" s="692"/>
      <c r="AH1574" s="236" t="str">
        <f>IF(Таблица5[[#This Row],[30]]=0,"НД",Таблица5[[#This Row],[20]]-Таблица5[[#This Row],[30]])</f>
        <v>НД</v>
      </c>
      <c r="AI1574" s="511" t="str">
        <f>IF(((1-Таблица5[[#This Row],[30]]/Таблица5[[#This Row],[20]])=1),"НД",(1-Таблица5[[#This Row],[30]]/Таблица5[[#This Row],[20]]))</f>
        <v>НД</v>
      </c>
      <c r="AJ1574" s="111"/>
      <c r="AK1574" s="111"/>
      <c r="AL1574" s="512"/>
      <c r="AM1574" s="513"/>
      <c r="AN1574" s="465"/>
      <c r="AO1574" s="468">
        <f>РПЗ!AD1574</f>
        <v>0</v>
      </c>
      <c r="AP1574" s="472">
        <f>РПЗ!V1574</f>
        <v>0</v>
      </c>
      <c r="AQ1574" s="470">
        <f>IF(Таблица5[[#This Row],[11]]=0,,MONTH(Таблица5[[#This Row],[11]]))</f>
        <v>12</v>
      </c>
    </row>
    <row r="1575" spans="1:43" ht="51.75" thickBot="1" x14ac:dyDescent="0.3">
      <c r="A1575" s="233" t="str">
        <f t="shared" si="25"/>
        <v>1004-2017-1560</v>
      </c>
      <c r="B1575" s="233" t="str">
        <f>РПЗ!$D1575</f>
        <v>1004-2017-1560 Зеркало ЖГДК.756523.007, зеркало ЖГДК.203622.003, линза ЖГДК.203512.062</v>
      </c>
      <c r="C1575" s="233" t="str">
        <f>РПЗ!$AA1575</f>
        <v>АО "НИИ "Полюс" им. М.Ф. Стельмаха" тел. отдела закупок 8-495-333-05-02</v>
      </c>
      <c r="D1575" s="633" t="str">
        <f>РПЗ!$AB1575</f>
        <v>Заказчик</v>
      </c>
      <c r="E1575" s="96" t="s">
        <v>46</v>
      </c>
      <c r="F1575" s="233" t="str">
        <f>РПЗ!Q1575</f>
        <v>ЕП</v>
      </c>
      <c r="G1575" s="237"/>
      <c r="H1575" s="237" t="str">
        <f>РПЗ!R1575</f>
        <v>Нет</v>
      </c>
      <c r="I1575" s="15">
        <f>РПЗ!W1575</f>
        <v>0</v>
      </c>
      <c r="J1575" s="233">
        <f>РПЗ!X1575</f>
        <v>0</v>
      </c>
      <c r="K1575" s="283">
        <f>РПЗ!Z1575</f>
        <v>0</v>
      </c>
      <c r="L1575" s="17"/>
      <c r="M1575" s="18">
        <f>РПЗ!O1575</f>
        <v>43070.625</v>
      </c>
      <c r="N1575" s="238">
        <f>Таблица5[[#This Row],[10]]</f>
        <v>43070.625</v>
      </c>
      <c r="O1575" s="17"/>
      <c r="P1575" s="17"/>
      <c r="Q1575" s="17"/>
      <c r="R1575" s="17"/>
      <c r="S1575" s="17"/>
      <c r="T1575" s="686"/>
      <c r="U1575" s="18">
        <f>РПЗ!P1575</f>
        <v>43191.625</v>
      </c>
      <c r="V1575" s="686"/>
      <c r="W1575" s="236">
        <f>РПЗ!L1575</f>
        <v>2475604.6</v>
      </c>
      <c r="X1575" s="689"/>
      <c r="Y1575" s="689"/>
      <c r="Z1575" s="690"/>
      <c r="AA1575" s="691"/>
      <c r="AB1575" s="111"/>
      <c r="AC1575" s="17"/>
      <c r="AD1575" s="690"/>
      <c r="AE1575" s="686"/>
      <c r="AF1575" s="474"/>
      <c r="AG1575" s="692"/>
      <c r="AH1575" s="236" t="str">
        <f>IF(Таблица5[[#This Row],[30]]=0,"НД",Таблица5[[#This Row],[20]]-Таблица5[[#This Row],[30]])</f>
        <v>НД</v>
      </c>
      <c r="AI1575" s="511" t="str">
        <f>IF(((1-Таблица5[[#This Row],[30]]/Таблица5[[#This Row],[20]])=1),"НД",(1-Таблица5[[#This Row],[30]]/Таблица5[[#This Row],[20]]))</f>
        <v>НД</v>
      </c>
      <c r="AJ1575" s="111"/>
      <c r="AK1575" s="111"/>
      <c r="AL1575" s="512"/>
      <c r="AM1575" s="513"/>
      <c r="AN1575" s="465"/>
      <c r="AO1575" s="468">
        <f>РПЗ!AD1575</f>
        <v>0</v>
      </c>
      <c r="AP1575" s="472">
        <f>РПЗ!V1575</f>
        <v>0</v>
      </c>
      <c r="AQ1575" s="470">
        <f>IF(Таблица5[[#This Row],[11]]=0,,MONTH(Таблица5[[#This Row],[11]]))</f>
        <v>12</v>
      </c>
    </row>
    <row r="1576" spans="1:43" ht="38.25" x14ac:dyDescent="0.25">
      <c r="A1576" s="233" t="str">
        <f t="shared" si="25"/>
        <v>1004-2017-1561</v>
      </c>
      <c r="B1576" s="233" t="str">
        <f>РПЗ!$D1576</f>
        <v>1004-2017-1561 Сервомотор SGMAS-08A2A6S и сервопривод SGDS-08A01A</v>
      </c>
      <c r="C1576" s="233" t="str">
        <f>РПЗ!$AA1576</f>
        <v>АО "НИИ "Полюс" им. М.Ф. Стельмаха" тел. отдела закупок 8-495-333-05-02</v>
      </c>
      <c r="D1576" s="633" t="str">
        <f>РПЗ!$AB1576</f>
        <v>Заказчик</v>
      </c>
      <c r="E1576" s="96" t="s">
        <v>62</v>
      </c>
      <c r="F1576" s="233" t="str">
        <f>РПЗ!Q1576</f>
        <v>ЕП</v>
      </c>
      <c r="G1576" s="237" t="str">
        <f>Таблица5[[#This Row],[6]]</f>
        <v>ЕП</v>
      </c>
      <c r="H1576" s="237" t="str">
        <f>РПЗ!R1576</f>
        <v>Нет</v>
      </c>
      <c r="I1576" s="15" t="str">
        <f>РПЗ!W1576</f>
        <v>6.6.2(38)</v>
      </c>
      <c r="J1576" s="233" t="str">
        <f>РПЗ!X1576</f>
        <v>7725263715</v>
      </c>
      <c r="K1576" s="283">
        <f>РПЗ!Z1576</f>
        <v>470684</v>
      </c>
      <c r="L1576" s="17">
        <v>43082</v>
      </c>
      <c r="M1576" s="18">
        <f>РПЗ!O1576</f>
        <v>43070.625</v>
      </c>
      <c r="N1576" s="238">
        <f>Таблица5[[#This Row],[10]]</f>
        <v>43070.625</v>
      </c>
      <c r="O1576" s="17"/>
      <c r="P1576" s="17"/>
      <c r="Q1576" s="17"/>
      <c r="R1576" s="17"/>
      <c r="S1576" s="17"/>
      <c r="T1576" s="686">
        <v>43094</v>
      </c>
      <c r="U1576" s="18">
        <f>РПЗ!P1576</f>
        <v>43221.625</v>
      </c>
      <c r="V1576" s="686">
        <v>43250</v>
      </c>
      <c r="W1576" s="236">
        <f>РПЗ!L1576</f>
        <v>470684</v>
      </c>
      <c r="X1576" s="689">
        <v>1</v>
      </c>
      <c r="Y1576" s="689">
        <v>0</v>
      </c>
      <c r="Z1576" s="691">
        <v>7725263715</v>
      </c>
      <c r="AA1576" s="691" t="s">
        <v>8271</v>
      </c>
      <c r="AB1576" s="111">
        <v>470684</v>
      </c>
      <c r="AC1576" s="17">
        <v>43250</v>
      </c>
      <c r="AD1576" s="690" t="s">
        <v>8272</v>
      </c>
      <c r="AE1576" s="686">
        <v>43094</v>
      </c>
      <c r="AF1576" s="474"/>
      <c r="AG1576" s="692">
        <v>470684</v>
      </c>
      <c r="AH1576" s="236">
        <f>IF(Таблица5[[#This Row],[30]]=0,"НД",Таблица5[[#This Row],[20]]-Таблица5[[#This Row],[30]])</f>
        <v>0</v>
      </c>
      <c r="AI1576" s="511">
        <f>IF(((1-Таблица5[[#This Row],[30]]/Таблица5[[#This Row],[20]])=1),"НД",(1-Таблица5[[#This Row],[30]]/Таблица5[[#This Row],[20]]))</f>
        <v>0</v>
      </c>
      <c r="AJ1576" s="111"/>
      <c r="AK1576" s="111"/>
      <c r="AL1576" s="512"/>
      <c r="AM1576" s="513" t="s">
        <v>113</v>
      </c>
      <c r="AN1576" s="801">
        <v>31705911499</v>
      </c>
      <c r="AO1576" s="468">
        <f>РПЗ!AD1576</f>
        <v>0</v>
      </c>
      <c r="AP1576" s="472">
        <f>РПЗ!V1576</f>
        <v>0</v>
      </c>
      <c r="AQ1576" s="470">
        <f>IF(Таблица5[[#This Row],[11]]=0,,MONTH(Таблица5[[#This Row],[11]]))</f>
        <v>12</v>
      </c>
    </row>
    <row r="1577" spans="1:43" ht="39" thickBot="1" x14ac:dyDescent="0.3">
      <c r="A1577" s="233" t="str">
        <f t="shared" si="25"/>
        <v>1004-2017-1562</v>
      </c>
      <c r="B1577" s="233" t="str">
        <f>РПЗ!$D1577</f>
        <v>1004-2017-1562 Сантехнические материалы – 1004 м, 1305 шт.</v>
      </c>
      <c r="C1577" s="233" t="str">
        <f>РПЗ!$AA1577</f>
        <v>АО "НИИ "Полюс" им. М.Ф. Стельмаха" тел. отдела закупок 8-495-333-05-02</v>
      </c>
      <c r="D1577" s="633" t="str">
        <f>РПЗ!$AB1577</f>
        <v>Заказчик</v>
      </c>
      <c r="E1577" s="510" t="s">
        <v>59</v>
      </c>
      <c r="F1577" s="233" t="str">
        <f>РПЗ!Q1577</f>
        <v>ОЗК</v>
      </c>
      <c r="G1577" s="237" t="str">
        <f>Таблица5[[#This Row],[6]]</f>
        <v>ОЗК</v>
      </c>
      <c r="H1577" s="237" t="str">
        <f>РПЗ!R1577</f>
        <v>Да</v>
      </c>
      <c r="I1577" s="15">
        <f>РПЗ!W1577</f>
        <v>0</v>
      </c>
      <c r="J1577" s="233">
        <f>РПЗ!X1577</f>
        <v>0</v>
      </c>
      <c r="K1577" s="283">
        <f>РПЗ!Z1577</f>
        <v>0</v>
      </c>
      <c r="L1577" s="17">
        <v>43087</v>
      </c>
      <c r="M1577" s="18">
        <f>РПЗ!O1577</f>
        <v>43070.625</v>
      </c>
      <c r="N1577" s="238">
        <f>Таблица5[[#This Row],[10]]</f>
        <v>43070.625</v>
      </c>
      <c r="O1577" s="17">
        <v>43094</v>
      </c>
      <c r="P1577" s="17">
        <v>43097</v>
      </c>
      <c r="Q1577" s="17">
        <v>43097</v>
      </c>
      <c r="R1577" s="17">
        <v>43097</v>
      </c>
      <c r="S1577" s="17">
        <v>43097</v>
      </c>
      <c r="T1577" s="686"/>
      <c r="U1577" s="18">
        <f>РПЗ!P1577</f>
        <v>43101.625</v>
      </c>
      <c r="V1577" s="686"/>
      <c r="W1577" s="236">
        <f>РПЗ!L1577</f>
        <v>195290.74</v>
      </c>
      <c r="X1577" s="689">
        <v>0</v>
      </c>
      <c r="Y1577" s="689">
        <v>0</v>
      </c>
      <c r="Z1577" s="690"/>
      <c r="AA1577" s="691"/>
      <c r="AB1577" s="111"/>
      <c r="AC1577" s="17"/>
      <c r="AD1577" s="690"/>
      <c r="AE1577" s="686"/>
      <c r="AF1577" s="474"/>
      <c r="AG1577" s="692"/>
      <c r="AH1577" s="236" t="str">
        <f>IF(Таблица5[[#This Row],[30]]=0,"НД",Таблица5[[#This Row],[20]]-Таблица5[[#This Row],[30]])</f>
        <v>НД</v>
      </c>
      <c r="AI1577" s="511" t="str">
        <f>IF(((1-Таблица5[[#This Row],[30]]/Таблица5[[#This Row],[20]])=1),"НД",(1-Таблица5[[#This Row],[30]]/Таблица5[[#This Row],[20]]))</f>
        <v>НД</v>
      </c>
      <c r="AJ1577" s="111"/>
      <c r="AK1577" s="111"/>
      <c r="AL1577" s="512"/>
      <c r="AM1577" s="513" t="s">
        <v>113</v>
      </c>
      <c r="AN1577" s="801">
        <v>31705901532</v>
      </c>
      <c r="AO1577" s="468">
        <f>РПЗ!AD1577</f>
        <v>0</v>
      </c>
      <c r="AP1577" s="472">
        <f>РПЗ!V1577</f>
        <v>0</v>
      </c>
      <c r="AQ1577" s="470">
        <f>IF(Таблица5[[#This Row],[11]]=0,,MONTH(Таблица5[[#This Row],[11]]))</f>
        <v>12</v>
      </c>
    </row>
    <row r="1578" spans="1:43" ht="38.25" x14ac:dyDescent="0.25">
      <c r="A1578" s="233" t="str">
        <f t="shared" si="25"/>
        <v>1004-2017-1563</v>
      </c>
      <c r="B1578" s="233" t="str">
        <f>РПЗ!$D1578</f>
        <v>1004-2017-1563 корпус КТ-1-7.02, ножка корпуса ПАЯЗ.551.024</v>
      </c>
      <c r="C1578" s="233" t="str">
        <f>РПЗ!$AA1578</f>
        <v>АО "НИИ "Полюс" им. М.Ф. Стельмаха" тел. отдела закупок 8-495-333-05-02</v>
      </c>
      <c r="D1578" s="633" t="str">
        <f>РПЗ!$AB1578</f>
        <v>Заказчик</v>
      </c>
      <c r="E1578" s="96" t="s">
        <v>46</v>
      </c>
      <c r="F1578" s="233" t="str">
        <f>РПЗ!Q1578</f>
        <v>ЕП</v>
      </c>
      <c r="G1578" s="237"/>
      <c r="H1578" s="237" t="str">
        <f>РПЗ!R1578</f>
        <v>Нет</v>
      </c>
      <c r="I1578" s="15">
        <f>РПЗ!W1578</f>
        <v>0</v>
      </c>
      <c r="J1578" s="233">
        <f>РПЗ!X1578</f>
        <v>0</v>
      </c>
      <c r="K1578" s="283">
        <f>РПЗ!Z1578</f>
        <v>0</v>
      </c>
      <c r="L1578" s="17"/>
      <c r="M1578" s="18">
        <f>РПЗ!O1578</f>
        <v>43070.625</v>
      </c>
      <c r="N1578" s="238">
        <f>Таблица5[[#This Row],[10]]</f>
        <v>43070.625</v>
      </c>
      <c r="O1578" s="17"/>
      <c r="P1578" s="17"/>
      <c r="Q1578" s="17"/>
      <c r="R1578" s="17"/>
      <c r="S1578" s="17"/>
      <c r="T1578" s="686"/>
      <c r="U1578" s="18">
        <f>РПЗ!P1578</f>
        <v>43101.625</v>
      </c>
      <c r="V1578" s="686"/>
      <c r="W1578" s="236">
        <f>РПЗ!L1578</f>
        <v>123666.36</v>
      </c>
      <c r="X1578" s="689"/>
      <c r="Y1578" s="689"/>
      <c r="Z1578" s="690"/>
      <c r="AA1578" s="691"/>
      <c r="AB1578" s="111"/>
      <c r="AC1578" s="17"/>
      <c r="AD1578" s="690"/>
      <c r="AE1578" s="686"/>
      <c r="AF1578" s="474"/>
      <c r="AG1578" s="692"/>
      <c r="AH1578" s="236" t="str">
        <f>IF(Таблица5[[#This Row],[30]]=0,"НД",Таблица5[[#This Row],[20]]-Таблица5[[#This Row],[30]])</f>
        <v>НД</v>
      </c>
      <c r="AI1578" s="511" t="str">
        <f>IF(((1-Таблица5[[#This Row],[30]]/Таблица5[[#This Row],[20]])=1),"НД",(1-Таблица5[[#This Row],[30]]/Таблица5[[#This Row],[20]]))</f>
        <v>НД</v>
      </c>
      <c r="AJ1578" s="111"/>
      <c r="AK1578" s="111"/>
      <c r="AL1578" s="512"/>
      <c r="AM1578" s="513"/>
      <c r="AN1578" s="465"/>
      <c r="AO1578" s="468">
        <f>РПЗ!AD1578</f>
        <v>0</v>
      </c>
      <c r="AP1578" s="472">
        <f>РПЗ!V1578</f>
        <v>0</v>
      </c>
      <c r="AQ1578" s="470">
        <f>IF(Таблица5[[#This Row],[11]]=0,,MONTH(Таблица5[[#This Row],[11]]))</f>
        <v>12</v>
      </c>
    </row>
    <row r="1579" spans="1:43" ht="51.75" thickBot="1" x14ac:dyDescent="0.3">
      <c r="A1579" s="233" t="str">
        <f t="shared" si="25"/>
        <v>1004-2017-1564</v>
      </c>
      <c r="B1579" s="233" t="str">
        <f>РПЗ!$D1579</f>
        <v>1004-2017-1564 поставка электрической энергии (мощности)</v>
      </c>
      <c r="C1579" s="233" t="str">
        <f>РПЗ!$AA1579</f>
        <v>АО "НИИ "Полюс" им. М.Ф. Стельмаха" тел. отдела закупок 8-495-333-05-02</v>
      </c>
      <c r="D1579" s="633" t="str">
        <f>РПЗ!$AB1579</f>
        <v>Заказчик</v>
      </c>
      <c r="E1579" s="510" t="s">
        <v>62</v>
      </c>
      <c r="F1579" s="233" t="str">
        <f>РПЗ!Q1579</f>
        <v>ЕП</v>
      </c>
      <c r="G1579" s="237" t="str">
        <f>Таблица5[[#This Row],[6]]</f>
        <v>ЕП</v>
      </c>
      <c r="H1579" s="237" t="str">
        <f>РПЗ!R1579</f>
        <v>Нет</v>
      </c>
      <c r="I1579" s="15" t="str">
        <f>РПЗ!W1579</f>
        <v>6.6.2(3)</v>
      </c>
      <c r="J1579" s="233" t="str">
        <f>РПЗ!X1579</f>
        <v>7736520080</v>
      </c>
      <c r="K1579" s="283">
        <f>РПЗ!Z1579</f>
        <v>3458820.69</v>
      </c>
      <c r="L1579" s="17">
        <v>43083</v>
      </c>
      <c r="M1579" s="18">
        <f>РПЗ!O1579</f>
        <v>43070.625</v>
      </c>
      <c r="N1579" s="238">
        <f>Таблица5[[#This Row],[10]]</f>
        <v>43070.625</v>
      </c>
      <c r="O1579" s="17"/>
      <c r="P1579" s="17"/>
      <c r="Q1579" s="17"/>
      <c r="R1579" s="17"/>
      <c r="S1579" s="17"/>
      <c r="T1579" s="686">
        <v>43087</v>
      </c>
      <c r="U1579" s="18">
        <f>РПЗ!P1579</f>
        <v>43070.625</v>
      </c>
      <c r="V1579" s="686">
        <v>43070</v>
      </c>
      <c r="W1579" s="236">
        <f>РПЗ!L1579</f>
        <v>3458820.69</v>
      </c>
      <c r="X1579" s="689">
        <v>1</v>
      </c>
      <c r="Y1579" s="689">
        <v>0</v>
      </c>
      <c r="Z1579" s="691">
        <v>7736520080</v>
      </c>
      <c r="AA1579" s="691" t="s">
        <v>5963</v>
      </c>
      <c r="AB1579" s="111">
        <v>3458820.69</v>
      </c>
      <c r="AC1579" s="17">
        <v>43070</v>
      </c>
      <c r="AD1579" s="690" t="s">
        <v>8064</v>
      </c>
      <c r="AE1579" s="686">
        <v>43087</v>
      </c>
      <c r="AF1579" s="474"/>
      <c r="AG1579" s="692">
        <v>3458820.69</v>
      </c>
      <c r="AH1579" s="236">
        <f>IF(Таблица5[[#This Row],[30]]=0,"НД",Таблица5[[#This Row],[20]]-Таблица5[[#This Row],[30]])</f>
        <v>0</v>
      </c>
      <c r="AI1579" s="511">
        <f>IF(((1-Таблица5[[#This Row],[30]]/Таблица5[[#This Row],[20]])=1),"НД",(1-Таблица5[[#This Row],[30]]/Таблица5[[#This Row],[20]]))</f>
        <v>0</v>
      </c>
      <c r="AJ1579" s="111"/>
      <c r="AK1579" s="111"/>
      <c r="AL1579" s="512"/>
      <c r="AM1579" s="513" t="s">
        <v>113</v>
      </c>
      <c r="AN1579" s="801">
        <v>31705903167</v>
      </c>
      <c r="AO1579" s="468">
        <f>РПЗ!AD1579</f>
        <v>0</v>
      </c>
      <c r="AP1579" s="472">
        <f>РПЗ!V1579</f>
        <v>0</v>
      </c>
      <c r="AQ1579" s="470">
        <f>IF(Таблица5[[#This Row],[11]]=0,,MONTH(Таблица5[[#This Row],[11]]))</f>
        <v>12</v>
      </c>
    </row>
    <row r="1580" spans="1:43" ht="39" thickBot="1" x14ac:dyDescent="0.3">
      <c r="A1580" s="233" t="str">
        <f t="shared" si="25"/>
        <v>1004-2017-1565</v>
      </c>
      <c r="B1580" s="233" t="str">
        <f>РПЗ!$D1580</f>
        <v>1004-2017-1565 обьектив Canon EF 100-400 mm f/4.5-5.6 L IS USM. 3 шт.</v>
      </c>
      <c r="C1580" s="233" t="str">
        <f>РПЗ!$AA1580</f>
        <v>АО "НИИ "Полюс" им. М.Ф. Стельмаха" тел. отдела закупок 8-495-333-05-02</v>
      </c>
      <c r="D1580" s="633" t="str">
        <f>РПЗ!$AB1580</f>
        <v>Заказчик</v>
      </c>
      <c r="E1580" s="96" t="s">
        <v>62</v>
      </c>
      <c r="F1580" s="233" t="str">
        <f>РПЗ!Q1580</f>
        <v>ЕП</v>
      </c>
      <c r="G1580" s="237" t="str">
        <f>Таблица5[[#This Row],[6]]</f>
        <v>ЕП</v>
      </c>
      <c r="H1580" s="237" t="str">
        <f>РПЗ!R1580</f>
        <v>Нет</v>
      </c>
      <c r="I1580" s="15" t="str">
        <f>РПЗ!W1580</f>
        <v>6.6.2(9)</v>
      </c>
      <c r="J1580" s="233" t="str">
        <f>РПЗ!X1580</f>
        <v>504105496394</v>
      </c>
      <c r="K1580" s="283">
        <f>РПЗ!Z1580</f>
        <v>179550</v>
      </c>
      <c r="L1580" s="17">
        <v>43082</v>
      </c>
      <c r="M1580" s="18">
        <f>РПЗ!O1580</f>
        <v>43070.625</v>
      </c>
      <c r="N1580" s="238">
        <f>Таблица5[[#This Row],[10]]</f>
        <v>43070.625</v>
      </c>
      <c r="O1580" s="17"/>
      <c r="P1580" s="17"/>
      <c r="Q1580" s="17"/>
      <c r="R1580" s="17"/>
      <c r="S1580" s="17"/>
      <c r="T1580" s="686">
        <v>43090</v>
      </c>
      <c r="U1580" s="18">
        <f>РПЗ!P1580</f>
        <v>43070.625</v>
      </c>
      <c r="V1580" s="686">
        <v>43100</v>
      </c>
      <c r="W1580" s="236">
        <f>РПЗ!L1580</f>
        <v>179550</v>
      </c>
      <c r="X1580" s="689">
        <v>1</v>
      </c>
      <c r="Y1580" s="689">
        <v>0</v>
      </c>
      <c r="Z1580" s="708">
        <v>504105496394</v>
      </c>
      <c r="AA1580" s="691" t="s">
        <v>8268</v>
      </c>
      <c r="AB1580" s="111">
        <v>179550</v>
      </c>
      <c r="AC1580" s="17">
        <v>43100</v>
      </c>
      <c r="AD1580" s="690" t="s">
        <v>8269</v>
      </c>
      <c r="AE1580" s="686">
        <v>43090</v>
      </c>
      <c r="AF1580" s="474"/>
      <c r="AG1580" s="692">
        <v>179550</v>
      </c>
      <c r="AH1580" s="236">
        <f>IF(Таблица5[[#This Row],[30]]=0,"НД",Таблица5[[#This Row],[20]]-Таблица5[[#This Row],[30]])</f>
        <v>0</v>
      </c>
      <c r="AI1580" s="511">
        <f>IF(((1-Таблица5[[#This Row],[30]]/Таблица5[[#This Row],[20]])=1),"НД",(1-Таблица5[[#This Row],[30]]/Таблица5[[#This Row],[20]]))</f>
        <v>0</v>
      </c>
      <c r="AJ1580" s="111">
        <v>179550</v>
      </c>
      <c r="AK1580" s="111"/>
      <c r="AL1580" s="512"/>
      <c r="AM1580" s="513" t="s">
        <v>113</v>
      </c>
      <c r="AN1580" s="801">
        <v>31705917334</v>
      </c>
      <c r="AO1580" s="468">
        <f>РПЗ!AD1580</f>
        <v>0</v>
      </c>
      <c r="AP1580" s="472">
        <f>РПЗ!V1808</f>
        <v>0</v>
      </c>
      <c r="AQ1580" s="470">
        <f>IF(Таблица5[[#This Row],[11]]=0,,MONTH(Таблица5[[#This Row],[11]]))</f>
        <v>12</v>
      </c>
    </row>
    <row r="1581" spans="1:43" ht="39" thickBot="1" x14ac:dyDescent="0.3">
      <c r="A1581" s="233" t="str">
        <f t="shared" si="25"/>
        <v>1004-2017-1566</v>
      </c>
      <c r="B1581" s="233" t="str">
        <f>РПЗ!$D1581</f>
        <v>1004-2017-1566 Поставка офисной мебели</v>
      </c>
      <c r="C1581" s="233" t="str">
        <f>РПЗ!$AA1581</f>
        <v>АО "НИИ "Полюс" им. М.Ф. Стельмаха" тел. отдела закупок 8-495-333-05-02</v>
      </c>
      <c r="D1581" s="633" t="str">
        <f>РПЗ!$AB1581</f>
        <v>Заказчик</v>
      </c>
      <c r="E1581" s="96" t="s">
        <v>46</v>
      </c>
      <c r="F1581" s="233" t="str">
        <f>РПЗ!Q1581</f>
        <v>ОЗК</v>
      </c>
      <c r="G1581" s="237"/>
      <c r="H1581" s="237" t="str">
        <f>РПЗ!R1581</f>
        <v>Да</v>
      </c>
      <c r="I1581" s="15">
        <f>РПЗ!W1809</f>
        <v>0</v>
      </c>
      <c r="J1581" s="233">
        <f>РПЗ!X1809</f>
        <v>0</v>
      </c>
      <c r="K1581" s="283">
        <f>РПЗ!Z1809</f>
        <v>0</v>
      </c>
      <c r="L1581" s="17"/>
      <c r="M1581" s="18">
        <f>РПЗ!O1581</f>
        <v>43070.625</v>
      </c>
      <c r="N1581" s="238">
        <f>Таблица5[[#This Row],[10]]</f>
        <v>43070.625</v>
      </c>
      <c r="O1581" s="17"/>
      <c r="P1581" s="17"/>
      <c r="Q1581" s="17"/>
      <c r="R1581" s="17"/>
      <c r="S1581" s="17"/>
      <c r="T1581" s="686"/>
      <c r="U1581" s="18">
        <f>РПЗ!P1809</f>
        <v>0</v>
      </c>
      <c r="V1581" s="686"/>
      <c r="W1581" s="236">
        <f>РПЗ!L1809</f>
        <v>0</v>
      </c>
      <c r="X1581" s="689"/>
      <c r="Y1581" s="689"/>
      <c r="Z1581" s="690"/>
      <c r="AA1581" s="691"/>
      <c r="AB1581" s="111"/>
      <c r="AC1581" s="17"/>
      <c r="AD1581" s="690"/>
      <c r="AE1581" s="686"/>
      <c r="AF1581" s="474"/>
      <c r="AG1581" s="692"/>
      <c r="AH1581" s="236" t="str">
        <f>IF(Таблица5[[#This Row],[30]]=0,"НД",Таблица5[[#This Row],[20]]-Таблица5[[#This Row],[30]])</f>
        <v>НД</v>
      </c>
      <c r="AI1581" s="511" t="e">
        <f>IF(((1-Таблица5[[#This Row],[30]]/Таблица5[[#This Row],[20]])=1),"НД",(1-Таблица5[[#This Row],[30]]/Таблица5[[#This Row],[20]]))</f>
        <v>#DIV/0!</v>
      </c>
      <c r="AJ1581" s="111"/>
      <c r="AK1581" s="111"/>
      <c r="AL1581" s="512"/>
      <c r="AM1581" s="513"/>
      <c r="AN1581" s="465"/>
      <c r="AO1581" s="468">
        <f>РПЗ!AD1809</f>
        <v>0</v>
      </c>
      <c r="AP1581" s="472">
        <f>РПЗ!V1809</f>
        <v>0</v>
      </c>
      <c r="AQ1581" s="470">
        <f>IF(Таблица5[[#This Row],[11]]=0,,MONTH(Таблица5[[#This Row],[11]]))</f>
        <v>12</v>
      </c>
    </row>
    <row r="1582" spans="1:43" ht="39" thickBot="1" x14ac:dyDescent="0.3">
      <c r="A1582" s="233" t="str">
        <f t="shared" si="25"/>
        <v>1004-2017-1567</v>
      </c>
      <c r="B1582" s="233" t="str">
        <f>РПЗ!$D1582</f>
        <v>1004-2017-1567 войсковой прибор химической разведки ВПХР</v>
      </c>
      <c r="C1582" s="233" t="str">
        <f>РПЗ!$AA1582</f>
        <v>АО "НИИ "Полюс" им. М.Ф. Стельмаха" тел. отдела закупок 8-495-333-05-02</v>
      </c>
      <c r="D1582" s="633" t="str">
        <f>РПЗ!$AB1582</f>
        <v>Заказчик</v>
      </c>
      <c r="E1582" s="96" t="s">
        <v>46</v>
      </c>
      <c r="F1582" s="233" t="str">
        <f>РПЗ!Q1582</f>
        <v>ОЗК</v>
      </c>
      <c r="G1582" s="237"/>
      <c r="H1582" s="237" t="str">
        <f>РПЗ!R1582</f>
        <v>Да</v>
      </c>
      <c r="I1582" s="15">
        <f>РПЗ!W1810</f>
        <v>0</v>
      </c>
      <c r="J1582" s="233">
        <f>РПЗ!X1810</f>
        <v>0</v>
      </c>
      <c r="K1582" s="283">
        <f>РПЗ!Z1810</f>
        <v>0</v>
      </c>
      <c r="L1582" s="17"/>
      <c r="M1582" s="18">
        <f>РПЗ!O1582</f>
        <v>43070.625</v>
      </c>
      <c r="N1582" s="238">
        <f>Таблица5[[#This Row],[10]]</f>
        <v>43070.625</v>
      </c>
      <c r="O1582" s="17"/>
      <c r="P1582" s="17"/>
      <c r="Q1582" s="17"/>
      <c r="R1582" s="17"/>
      <c r="S1582" s="17"/>
      <c r="T1582" s="686"/>
      <c r="U1582" s="18">
        <f>РПЗ!P1810</f>
        <v>0</v>
      </c>
      <c r="V1582" s="686"/>
      <c r="W1582" s="236">
        <f>РПЗ!L1810</f>
        <v>0</v>
      </c>
      <c r="X1582" s="689"/>
      <c r="Y1582" s="689"/>
      <c r="Z1582" s="690"/>
      <c r="AA1582" s="691"/>
      <c r="AB1582" s="111"/>
      <c r="AC1582" s="17"/>
      <c r="AD1582" s="690"/>
      <c r="AE1582" s="686"/>
      <c r="AF1582" s="474"/>
      <c r="AG1582" s="692"/>
      <c r="AH1582" s="236" t="str">
        <f>IF(Таблица5[[#This Row],[30]]=0,"НД",Таблица5[[#This Row],[20]]-Таблица5[[#This Row],[30]])</f>
        <v>НД</v>
      </c>
      <c r="AI1582" s="511" t="e">
        <f>IF(((1-Таблица5[[#This Row],[30]]/Таблица5[[#This Row],[20]])=1),"НД",(1-Таблица5[[#This Row],[30]]/Таблица5[[#This Row],[20]]))</f>
        <v>#DIV/0!</v>
      </c>
      <c r="AJ1582" s="111"/>
      <c r="AK1582" s="111"/>
      <c r="AL1582" s="512"/>
      <c r="AM1582" s="513"/>
      <c r="AN1582" s="465"/>
      <c r="AO1582" s="468">
        <f>РПЗ!AD1810</f>
        <v>0</v>
      </c>
      <c r="AP1582" s="472">
        <f>РПЗ!V1810</f>
        <v>0</v>
      </c>
      <c r="AQ1582" s="470">
        <f>IF(Таблица5[[#This Row],[11]]=0,,MONTH(Таблица5[[#This Row],[11]]))</f>
        <v>12</v>
      </c>
    </row>
    <row r="1583" spans="1:43" ht="39" thickBot="1" x14ac:dyDescent="0.3">
      <c r="A1583" s="233" t="str">
        <f t="shared" si="25"/>
        <v>1004-2017-1568</v>
      </c>
      <c r="B1583" s="233" t="str">
        <f>РПЗ!$D1583</f>
        <v>1004-2017-1568 Поставка средств гражданской защиты</v>
      </c>
      <c r="C1583" s="233" t="str">
        <f>РПЗ!$AA1583</f>
        <v>АО "НИИ "Полюс" им. М.Ф. Стельмаха" тел. отдела закупок 8-495-333-05-02</v>
      </c>
      <c r="D1583" s="633" t="str">
        <f>РПЗ!$AB1583</f>
        <v>Заказчик</v>
      </c>
      <c r="E1583" s="96" t="s">
        <v>46</v>
      </c>
      <c r="F1583" s="233" t="str">
        <f>РПЗ!Q1583</f>
        <v>ОЗК</v>
      </c>
      <c r="G1583" s="237"/>
      <c r="H1583" s="237" t="str">
        <f>РПЗ!R1583</f>
        <v>Да</v>
      </c>
      <c r="I1583" s="15">
        <f>РПЗ!W1811</f>
        <v>0</v>
      </c>
      <c r="J1583" s="233">
        <f>РПЗ!X1811</f>
        <v>0</v>
      </c>
      <c r="K1583" s="283">
        <f>РПЗ!Z1811</f>
        <v>0</v>
      </c>
      <c r="L1583" s="17"/>
      <c r="M1583" s="18">
        <f>РПЗ!O1583</f>
        <v>43070.625</v>
      </c>
      <c r="N1583" s="238">
        <f>Таблица5[[#This Row],[10]]</f>
        <v>43070.625</v>
      </c>
      <c r="O1583" s="17"/>
      <c r="P1583" s="17"/>
      <c r="Q1583" s="17"/>
      <c r="R1583" s="17"/>
      <c r="S1583" s="17"/>
      <c r="T1583" s="686"/>
      <c r="U1583" s="18">
        <f>РПЗ!P1811</f>
        <v>0</v>
      </c>
      <c r="V1583" s="686"/>
      <c r="W1583" s="236">
        <f>РПЗ!L1811</f>
        <v>0</v>
      </c>
      <c r="X1583" s="689"/>
      <c r="Y1583" s="689"/>
      <c r="Z1583" s="690"/>
      <c r="AA1583" s="691"/>
      <c r="AB1583" s="111"/>
      <c r="AC1583" s="17"/>
      <c r="AD1583" s="690"/>
      <c r="AE1583" s="686"/>
      <c r="AF1583" s="474"/>
      <c r="AG1583" s="692"/>
      <c r="AH1583" s="236" t="str">
        <f>IF(Таблица5[[#This Row],[30]]=0,"НД",Таблица5[[#This Row],[20]]-Таблица5[[#This Row],[30]])</f>
        <v>НД</v>
      </c>
      <c r="AI1583" s="511" t="e">
        <f>IF(((1-Таблица5[[#This Row],[30]]/Таблица5[[#This Row],[20]])=1),"НД",(1-Таблица5[[#This Row],[30]]/Таблица5[[#This Row],[20]]))</f>
        <v>#DIV/0!</v>
      </c>
      <c r="AJ1583" s="111"/>
      <c r="AK1583" s="111"/>
      <c r="AL1583" s="512"/>
      <c r="AM1583" s="513"/>
      <c r="AN1583" s="465"/>
      <c r="AO1583" s="468">
        <f>РПЗ!AD1811</f>
        <v>0</v>
      </c>
      <c r="AP1583" s="472">
        <f>РПЗ!V1811</f>
        <v>0</v>
      </c>
      <c r="AQ1583" s="470">
        <f>IF(Таблица5[[#This Row],[11]]=0,,MONTH(Таблица5[[#This Row],[11]]))</f>
        <v>12</v>
      </c>
    </row>
    <row r="1584" spans="1:43" ht="77.25" thickBot="1" x14ac:dyDescent="0.3">
      <c r="A1584" s="233" t="str">
        <f t="shared" si="25"/>
        <v>1004-2017-1569</v>
      </c>
      <c r="B1584" s="233" t="str">
        <f>РПЗ!$D1584</f>
        <v xml:space="preserve">1004-2017-1569 изготовление и установку металлических дверных блоков в отдел 013 (информационной и экономической безопасности), в отдел 001 РСО, на склад готовой продукции пом. 20ПК </v>
      </c>
      <c r="C1584" s="233" t="str">
        <f>РПЗ!$AA1584</f>
        <v>АО "НИИ "Полюс" им. М.Ф. Стельмаха" тел. отдела закупок 8-495-333-05-02</v>
      </c>
      <c r="D1584" s="633" t="str">
        <f>РПЗ!$AB1584</f>
        <v>Заказчик</v>
      </c>
      <c r="E1584" s="96" t="s">
        <v>46</v>
      </c>
      <c r="F1584" s="233" t="str">
        <f>РПЗ!Q1584</f>
        <v>ОЗК</v>
      </c>
      <c r="G1584" s="237"/>
      <c r="H1584" s="237" t="str">
        <f>РПЗ!R1584</f>
        <v>Да</v>
      </c>
      <c r="I1584" s="15">
        <f>РПЗ!W1812</f>
        <v>0</v>
      </c>
      <c r="J1584" s="233">
        <f>РПЗ!X1812</f>
        <v>0</v>
      </c>
      <c r="K1584" s="283">
        <f>РПЗ!Z1812</f>
        <v>0</v>
      </c>
      <c r="L1584" s="17"/>
      <c r="M1584" s="18">
        <f>РПЗ!O1584</f>
        <v>43070.625</v>
      </c>
      <c r="N1584" s="238">
        <f>Таблица5[[#This Row],[10]]</f>
        <v>43070.625</v>
      </c>
      <c r="O1584" s="17"/>
      <c r="P1584" s="17"/>
      <c r="Q1584" s="17"/>
      <c r="R1584" s="17"/>
      <c r="S1584" s="17"/>
      <c r="T1584" s="686"/>
      <c r="U1584" s="18">
        <f>РПЗ!P1812</f>
        <v>0</v>
      </c>
      <c r="V1584" s="686"/>
      <c r="W1584" s="236">
        <f>РПЗ!L1812</f>
        <v>0</v>
      </c>
      <c r="X1584" s="689"/>
      <c r="Y1584" s="689"/>
      <c r="Z1584" s="690"/>
      <c r="AA1584" s="691"/>
      <c r="AB1584" s="111"/>
      <c r="AC1584" s="17"/>
      <c r="AD1584" s="690"/>
      <c r="AE1584" s="686"/>
      <c r="AF1584" s="474"/>
      <c r="AG1584" s="692"/>
      <c r="AH1584" s="236" t="str">
        <f>IF(Таблица5[[#This Row],[30]]=0,"НД",Таблица5[[#This Row],[20]]-Таблица5[[#This Row],[30]])</f>
        <v>НД</v>
      </c>
      <c r="AI1584" s="511" t="e">
        <f>IF(((1-Таблица5[[#This Row],[30]]/Таблица5[[#This Row],[20]])=1),"НД",(1-Таблица5[[#This Row],[30]]/Таблица5[[#This Row],[20]]))</f>
        <v>#DIV/0!</v>
      </c>
      <c r="AJ1584" s="111"/>
      <c r="AK1584" s="111"/>
      <c r="AL1584" s="512"/>
      <c r="AM1584" s="513"/>
      <c r="AN1584" s="465"/>
      <c r="AO1584" s="468">
        <f>РПЗ!AD1812</f>
        <v>0</v>
      </c>
      <c r="AP1584" s="472">
        <f>РПЗ!V1812</f>
        <v>0</v>
      </c>
      <c r="AQ1584" s="470">
        <f>IF(Таблица5[[#This Row],[11]]=0,,MONTH(Таблица5[[#This Row],[11]]))</f>
        <v>12</v>
      </c>
    </row>
    <row r="1585" spans="1:43" ht="51" x14ac:dyDescent="0.25">
      <c r="A1585" s="233" t="str">
        <f t="shared" si="25"/>
        <v>1004-2017-1570</v>
      </c>
      <c r="B1585" s="233" t="str">
        <f>РПЗ!$D1585</f>
        <v xml:space="preserve">1004-2017-1570 предоставление работ/услуг по установке дополнительного оборудования на автомобиле марки AUDI  </v>
      </c>
      <c r="C1585" s="233" t="str">
        <f>РПЗ!$AA1585</f>
        <v>АО "НИИ "Полюс" им. М.Ф. Стельмаха" тел. отдела закупок 8-495-333-05-02</v>
      </c>
      <c r="D1585" s="633" t="str">
        <f>РПЗ!$AB1585</f>
        <v>Заказчик</v>
      </c>
      <c r="E1585" s="96" t="s">
        <v>46</v>
      </c>
      <c r="F1585" s="233" t="str">
        <f>РПЗ!Q1585</f>
        <v>ОЗК</v>
      </c>
      <c r="G1585" s="237"/>
      <c r="H1585" s="237" t="str">
        <f>РПЗ!R1585</f>
        <v>Да</v>
      </c>
      <c r="I1585" s="15">
        <f>РПЗ!W1813</f>
        <v>0</v>
      </c>
      <c r="J1585" s="233">
        <f>РПЗ!X1813</f>
        <v>0</v>
      </c>
      <c r="K1585" s="283">
        <f>РПЗ!Z1813</f>
        <v>0</v>
      </c>
      <c r="L1585" s="17"/>
      <c r="M1585" s="18">
        <f>РПЗ!O1585</f>
        <v>43070.625</v>
      </c>
      <c r="N1585" s="238">
        <f>Таблица5[[#This Row],[10]]</f>
        <v>43070.625</v>
      </c>
      <c r="O1585" s="17"/>
      <c r="P1585" s="17"/>
      <c r="Q1585" s="17"/>
      <c r="R1585" s="17"/>
      <c r="S1585" s="17"/>
      <c r="T1585" s="686"/>
      <c r="U1585" s="18">
        <f>РПЗ!P1813</f>
        <v>0</v>
      </c>
      <c r="V1585" s="686"/>
      <c r="W1585" s="236">
        <f>РПЗ!L1813</f>
        <v>0</v>
      </c>
      <c r="X1585" s="689"/>
      <c r="Y1585" s="689"/>
      <c r="Z1585" s="690"/>
      <c r="AA1585" s="691"/>
      <c r="AB1585" s="111"/>
      <c r="AC1585" s="17"/>
      <c r="AD1585" s="690"/>
      <c r="AE1585" s="686"/>
      <c r="AF1585" s="474"/>
      <c r="AG1585" s="692"/>
      <c r="AH1585" s="236" t="str">
        <f>IF(Таблица5[[#This Row],[30]]=0,"НД",Таблица5[[#This Row],[20]]-Таблица5[[#This Row],[30]])</f>
        <v>НД</v>
      </c>
      <c r="AI1585" s="511" t="e">
        <f>IF(((1-Таблица5[[#This Row],[30]]/Таблица5[[#This Row],[20]])=1),"НД",(1-Таблица5[[#This Row],[30]]/Таблица5[[#This Row],[20]]))</f>
        <v>#DIV/0!</v>
      </c>
      <c r="AJ1585" s="111"/>
      <c r="AK1585" s="111"/>
      <c r="AL1585" s="512"/>
      <c r="AM1585" s="513"/>
      <c r="AN1585" s="465"/>
      <c r="AO1585" s="468">
        <f>РПЗ!AD1813</f>
        <v>0</v>
      </c>
      <c r="AP1585" s="472">
        <f>РПЗ!V1813</f>
        <v>0</v>
      </c>
      <c r="AQ1585" s="470">
        <f>IF(Таблица5[[#This Row],[11]]=0,,MONTH(Таблица5[[#This Row],[11]]))</f>
        <v>12</v>
      </c>
    </row>
    <row r="1586" spans="1:43" ht="51.75" thickBot="1" x14ac:dyDescent="0.3">
      <c r="A1586" s="233" t="str">
        <f t="shared" si="25"/>
        <v>1004-2017-1571</v>
      </c>
      <c r="B1586" s="233" t="str">
        <f>РПЗ!$D1586</f>
        <v>1004-2017-1571 Поставка электрической энергии (мощности)</v>
      </c>
      <c r="C1586" s="233" t="str">
        <f>РПЗ!$AA1586</f>
        <v>АО "НИИ "Полюс" им. М.Ф. Стельмаха" тел. отдела закупок 8-495-333-05-02</v>
      </c>
      <c r="D1586" s="633" t="str">
        <f>РПЗ!$AB1586</f>
        <v>Заказчик</v>
      </c>
      <c r="E1586" s="510" t="s">
        <v>62</v>
      </c>
      <c r="F1586" s="233" t="str">
        <f>РПЗ!Q1586</f>
        <v>ЕП</v>
      </c>
      <c r="G1586" s="237" t="str">
        <f>Таблица5[[#This Row],[6]]</f>
        <v>ЕП</v>
      </c>
      <c r="H1586" s="237" t="str">
        <f>РПЗ!R1586</f>
        <v>Нет</v>
      </c>
      <c r="I1586" s="15">
        <f>РПЗ!W1814</f>
        <v>0</v>
      </c>
      <c r="J1586" s="233">
        <f>РПЗ!X1814</f>
        <v>0</v>
      </c>
      <c r="K1586" s="283">
        <f>РПЗ!Z1814</f>
        <v>0</v>
      </c>
      <c r="L1586" s="17">
        <v>43088</v>
      </c>
      <c r="M1586" s="18">
        <f>РПЗ!O1586</f>
        <v>43070.625</v>
      </c>
      <c r="N1586" s="238">
        <f>Таблица5[[#This Row],[10]]</f>
        <v>43070.625</v>
      </c>
      <c r="O1586" s="17"/>
      <c r="P1586" s="17"/>
      <c r="Q1586" s="17"/>
      <c r="R1586" s="17"/>
      <c r="S1586" s="17"/>
      <c r="T1586" s="686">
        <v>43090</v>
      </c>
      <c r="U1586" s="18">
        <f>РПЗ!P1586</f>
        <v>43070.625</v>
      </c>
      <c r="V1586" s="686">
        <v>43131</v>
      </c>
      <c r="W1586" s="236">
        <f>РПЗ!L1586</f>
        <v>6319636.0300000003</v>
      </c>
      <c r="X1586" s="689">
        <v>1</v>
      </c>
      <c r="Y1586" s="689">
        <v>0</v>
      </c>
      <c r="Z1586" s="690" t="s">
        <v>5962</v>
      </c>
      <c r="AA1586" s="691" t="s">
        <v>5963</v>
      </c>
      <c r="AB1586" s="111">
        <v>6319636.0300000003</v>
      </c>
      <c r="AC1586" s="17">
        <v>43131</v>
      </c>
      <c r="AD1586" s="690" t="s">
        <v>8262</v>
      </c>
      <c r="AE1586" s="686">
        <v>43090</v>
      </c>
      <c r="AF1586" s="474"/>
      <c r="AG1586" s="692">
        <v>6319636.0300000003</v>
      </c>
      <c r="AH1586" s="236">
        <f>IF(Таблица5[[#This Row],[30]]=0,"НД",Таблица5[[#This Row],[20]]-Таблица5[[#This Row],[30]])</f>
        <v>0</v>
      </c>
      <c r="AI1586" s="511">
        <f>IF(((1-Таблица5[[#This Row],[30]]/Таблица5[[#This Row],[20]])=1),"НД",(1-Таблица5[[#This Row],[30]]/Таблица5[[#This Row],[20]]))</f>
        <v>0</v>
      </c>
      <c r="AJ1586" s="111"/>
      <c r="AK1586" s="111"/>
      <c r="AL1586" s="512"/>
      <c r="AM1586" s="513" t="s">
        <v>113</v>
      </c>
      <c r="AN1586" s="801">
        <v>31705919650</v>
      </c>
      <c r="AO1586" s="468">
        <f>РПЗ!AD1814</f>
        <v>0</v>
      </c>
      <c r="AP1586" s="472">
        <f>РПЗ!V1814</f>
        <v>0</v>
      </c>
      <c r="AQ1586" s="470">
        <f>IF(Таблица5[[#This Row],[11]]=0,,MONTH(Таблица5[[#This Row],[11]]))</f>
        <v>12</v>
      </c>
    </row>
    <row r="1587" spans="1:43" ht="51.75" thickBot="1" x14ac:dyDescent="0.3">
      <c r="A1587" s="233" t="str">
        <f t="shared" ref="A1587:A1650" si="26">INDEX(Диапазон1,ROW(), COLUMN())</f>
        <v>1004-2017-1572</v>
      </c>
      <c r="B1587" s="233" t="str">
        <f>РПЗ!$D1587</f>
        <v>1004-2017-1572 Оказание услуг по организации рекламно-выставочной деятельности и PR- сопровождению в 2018г</v>
      </c>
      <c r="C1587" s="233" t="str">
        <f>РПЗ!$AA1587</f>
        <v>АО "НИИ "Полюс" им. М.Ф. Стельмаха" тел. отдела закупок 8-495-333-05-02</v>
      </c>
      <c r="D1587" s="633" t="str">
        <f>РПЗ!$AB1587</f>
        <v>Заказчик</v>
      </c>
      <c r="E1587" s="96" t="s">
        <v>46</v>
      </c>
      <c r="F1587" s="233" t="str">
        <f>РПЗ!Q1587</f>
        <v>ОК</v>
      </c>
      <c r="G1587" s="237"/>
      <c r="H1587" s="237" t="str">
        <f>РПЗ!R1587</f>
        <v>Да</v>
      </c>
      <c r="I1587" s="15">
        <f>РПЗ!W1815</f>
        <v>0</v>
      </c>
      <c r="J1587" s="233">
        <f>РПЗ!X1815</f>
        <v>0</v>
      </c>
      <c r="K1587" s="283">
        <f>РПЗ!Z1815</f>
        <v>0</v>
      </c>
      <c r="L1587" s="17"/>
      <c r="M1587" s="18">
        <f>РПЗ!O1587</f>
        <v>43070.625</v>
      </c>
      <c r="N1587" s="238">
        <f>Таблица5[[#This Row],[10]]</f>
        <v>43070.625</v>
      </c>
      <c r="O1587" s="17"/>
      <c r="P1587" s="17"/>
      <c r="Q1587" s="17"/>
      <c r="R1587" s="17"/>
      <c r="S1587" s="17"/>
      <c r="T1587" s="686"/>
      <c r="U1587" s="18">
        <f>РПЗ!P1815</f>
        <v>0</v>
      </c>
      <c r="V1587" s="686"/>
      <c r="W1587" s="236">
        <f>РПЗ!L1815</f>
        <v>0</v>
      </c>
      <c r="X1587" s="689"/>
      <c r="Y1587" s="689"/>
      <c r="Z1587" s="690"/>
      <c r="AA1587" s="691"/>
      <c r="AB1587" s="111"/>
      <c r="AC1587" s="17"/>
      <c r="AD1587" s="690"/>
      <c r="AE1587" s="686"/>
      <c r="AF1587" s="474"/>
      <c r="AG1587" s="692"/>
      <c r="AH1587" s="236" t="str">
        <f>IF(Таблица5[[#This Row],[30]]=0,"НД",Таблица5[[#This Row],[20]]-Таблица5[[#This Row],[30]])</f>
        <v>НД</v>
      </c>
      <c r="AI1587" s="511" t="e">
        <f>IF(((1-Таблица5[[#This Row],[30]]/Таблица5[[#This Row],[20]])=1),"НД",(1-Таблица5[[#This Row],[30]]/Таблица5[[#This Row],[20]]))</f>
        <v>#DIV/0!</v>
      </c>
      <c r="AJ1587" s="111"/>
      <c r="AK1587" s="111"/>
      <c r="AL1587" s="512"/>
      <c r="AM1587" s="513"/>
      <c r="AN1587" s="465"/>
      <c r="AO1587" s="468">
        <f>РПЗ!AD1815</f>
        <v>0</v>
      </c>
      <c r="AP1587" s="472">
        <f>РПЗ!V1815</f>
        <v>0</v>
      </c>
      <c r="AQ1587" s="470">
        <f>IF(Таблица5[[#This Row],[11]]=0,,MONTH(Таблица5[[#This Row],[11]]))</f>
        <v>12</v>
      </c>
    </row>
    <row r="1588" spans="1:43" ht="39" thickBot="1" x14ac:dyDescent="0.3">
      <c r="A1588" s="233" t="str">
        <f t="shared" si="26"/>
        <v>1004-2017-1573</v>
      </c>
      <c r="B1588" s="233" t="str">
        <f>РПЗ!$D1588</f>
        <v>1004-2017-1573 Металлические сплавы</v>
      </c>
      <c r="C1588" s="233" t="str">
        <f>РПЗ!$AA1588</f>
        <v>АО "НИИ "Полюс" им. М.Ф. Стельмаха" тел. отдела закупок 8-495-333-05-02</v>
      </c>
      <c r="D1588" s="633" t="str">
        <f>РПЗ!$AB1588</f>
        <v>Заказчик</v>
      </c>
      <c r="E1588" s="96" t="s">
        <v>46</v>
      </c>
      <c r="F1588" s="233" t="str">
        <f>РПЗ!Q1588</f>
        <v>ЕП</v>
      </c>
      <c r="G1588" s="237"/>
      <c r="H1588" s="237" t="str">
        <f>РПЗ!R1588</f>
        <v>Нет</v>
      </c>
      <c r="I1588" s="15">
        <f>РПЗ!W1816</f>
        <v>0</v>
      </c>
      <c r="J1588" s="233">
        <f>РПЗ!X1816</f>
        <v>0</v>
      </c>
      <c r="K1588" s="283">
        <f>РПЗ!Z1816</f>
        <v>0</v>
      </c>
      <c r="L1588" s="17"/>
      <c r="M1588" s="18">
        <f>РПЗ!O1588</f>
        <v>43070.625</v>
      </c>
      <c r="N1588" s="238">
        <f>Таблица5[[#This Row],[10]]</f>
        <v>43070.625</v>
      </c>
      <c r="O1588" s="17"/>
      <c r="P1588" s="17"/>
      <c r="Q1588" s="17"/>
      <c r="R1588" s="17"/>
      <c r="S1588" s="17"/>
      <c r="T1588" s="686"/>
      <c r="U1588" s="18">
        <f>РПЗ!P1816</f>
        <v>0</v>
      </c>
      <c r="V1588" s="686"/>
      <c r="W1588" s="236">
        <f>РПЗ!L1816</f>
        <v>0</v>
      </c>
      <c r="X1588" s="689"/>
      <c r="Y1588" s="689"/>
      <c r="Z1588" s="690"/>
      <c r="AA1588" s="691"/>
      <c r="AB1588" s="111"/>
      <c r="AC1588" s="17"/>
      <c r="AD1588" s="690"/>
      <c r="AE1588" s="686"/>
      <c r="AF1588" s="474"/>
      <c r="AG1588" s="692"/>
      <c r="AH1588" s="236" t="str">
        <f>IF(Таблица5[[#This Row],[30]]=0,"НД",Таблица5[[#This Row],[20]]-Таблица5[[#This Row],[30]])</f>
        <v>НД</v>
      </c>
      <c r="AI1588" s="511" t="e">
        <f>IF(((1-Таблица5[[#This Row],[30]]/Таблица5[[#This Row],[20]])=1),"НД",(1-Таблица5[[#This Row],[30]]/Таблица5[[#This Row],[20]]))</f>
        <v>#DIV/0!</v>
      </c>
      <c r="AJ1588" s="111"/>
      <c r="AK1588" s="111"/>
      <c r="AL1588" s="512"/>
      <c r="AM1588" s="513"/>
      <c r="AN1588" s="465"/>
      <c r="AO1588" s="468">
        <f>РПЗ!AD1816</f>
        <v>0</v>
      </c>
      <c r="AP1588" s="472">
        <f>РПЗ!V1816</f>
        <v>0</v>
      </c>
      <c r="AQ1588" s="470">
        <f>IF(Таблица5[[#This Row],[11]]=0,,MONTH(Таблица5[[#This Row],[11]]))</f>
        <v>12</v>
      </c>
    </row>
    <row r="1589" spans="1:43" ht="38.25" x14ac:dyDescent="0.25">
      <c r="A1589" s="233" t="str">
        <f t="shared" si="26"/>
        <v>1004-2017-1574</v>
      </c>
      <c r="B1589" s="233" t="str">
        <f>РПЗ!$D1589</f>
        <v xml:space="preserve">1004-2017-1574 Обеспечение едиными билетами
</v>
      </c>
      <c r="C1589" s="233" t="str">
        <f>РПЗ!$AA1589</f>
        <v>АО "НИИ "Полюс" им. М.Ф. Стельмаха" тел. отдела закупок 8-495-333-05-02</v>
      </c>
      <c r="D1589" s="633" t="str">
        <f>РПЗ!$AB1589</f>
        <v>Заказчик</v>
      </c>
      <c r="E1589" s="96" t="s">
        <v>46</v>
      </c>
      <c r="F1589" s="233" t="str">
        <f>РПЗ!Q1589</f>
        <v>ЕП</v>
      </c>
      <c r="G1589" s="237" t="str">
        <f>Таблица5[[#This Row],[6]]</f>
        <v>ЕП</v>
      </c>
      <c r="H1589" s="237" t="str">
        <f>РПЗ!R1589</f>
        <v>Нет</v>
      </c>
      <c r="I1589" s="15">
        <f>РПЗ!W1817</f>
        <v>0</v>
      </c>
      <c r="J1589" s="233">
        <f>РПЗ!X1817</f>
        <v>0</v>
      </c>
      <c r="K1589" s="283">
        <f>РПЗ!Z1817</f>
        <v>0</v>
      </c>
      <c r="L1589" s="17"/>
      <c r="M1589" s="18">
        <f>РПЗ!O1589</f>
        <v>43070.625</v>
      </c>
      <c r="N1589" s="238">
        <f>Таблица5[[#This Row],[10]]</f>
        <v>43070.625</v>
      </c>
      <c r="O1589" s="17"/>
      <c r="P1589" s="17"/>
      <c r="Q1589" s="17"/>
      <c r="R1589" s="17"/>
      <c r="S1589" s="17"/>
      <c r="T1589" s="686"/>
      <c r="U1589" s="18">
        <f>РПЗ!P1817</f>
        <v>0</v>
      </c>
      <c r="V1589" s="686"/>
      <c r="W1589" s="236">
        <f>РПЗ!L1817</f>
        <v>0</v>
      </c>
      <c r="X1589" s="689"/>
      <c r="Y1589" s="689"/>
      <c r="Z1589" s="690"/>
      <c r="AA1589" s="691"/>
      <c r="AB1589" s="111"/>
      <c r="AC1589" s="17"/>
      <c r="AD1589" s="690"/>
      <c r="AE1589" s="686"/>
      <c r="AF1589" s="474"/>
      <c r="AG1589" s="692"/>
      <c r="AH1589" s="236" t="str">
        <f>IF(Таблица5[[#This Row],[30]]=0,"НД",Таблица5[[#This Row],[20]]-Таблица5[[#This Row],[30]])</f>
        <v>НД</v>
      </c>
      <c r="AI1589" s="511" t="e">
        <f>IF(((1-Таблица5[[#This Row],[30]]/Таблица5[[#This Row],[20]])=1),"НД",(1-Таблица5[[#This Row],[30]]/Таблица5[[#This Row],[20]]))</f>
        <v>#DIV/0!</v>
      </c>
      <c r="AJ1589" s="111"/>
      <c r="AK1589" s="111"/>
      <c r="AL1589" s="512"/>
      <c r="AM1589" s="513"/>
      <c r="AN1589" s="465"/>
      <c r="AO1589" s="468">
        <f>РПЗ!AD1817</f>
        <v>0</v>
      </c>
      <c r="AP1589" s="472">
        <f>РПЗ!V1817</f>
        <v>0</v>
      </c>
      <c r="AQ1589" s="470">
        <f>IF(Таблица5[[#This Row],[11]]=0,,MONTH(Таблица5[[#This Row],[11]]))</f>
        <v>12</v>
      </c>
    </row>
    <row r="1590" spans="1:43" x14ac:dyDescent="0.25">
      <c r="A1590" s="233">
        <f t="shared" si="26"/>
        <v>0</v>
      </c>
      <c r="B1590" s="233">
        <f>РПЗ!$D1590</f>
        <v>0</v>
      </c>
      <c r="C1590" s="233">
        <f>РПЗ!$AA1641</f>
        <v>0</v>
      </c>
      <c r="D1590" s="633">
        <f>РПЗ!$AB1641</f>
        <v>0</v>
      </c>
      <c r="E1590" s="510"/>
      <c r="F1590" s="233">
        <f>РПЗ!Q1590</f>
        <v>0</v>
      </c>
      <c r="G1590" s="237">
        <f>Таблица5[[#This Row],[6]]</f>
        <v>0</v>
      </c>
      <c r="H1590" s="237">
        <f>РПЗ!R1590</f>
        <v>0</v>
      </c>
      <c r="I1590" s="15">
        <f>РПЗ!W1818</f>
        <v>0</v>
      </c>
      <c r="J1590" s="233">
        <f>РПЗ!X1818</f>
        <v>0</v>
      </c>
      <c r="K1590" s="283">
        <f>РПЗ!Z1818</f>
        <v>0</v>
      </c>
      <c r="L1590" s="17"/>
      <c r="M1590" s="18">
        <f>РПЗ!O1590</f>
        <v>0</v>
      </c>
      <c r="N1590" s="238">
        <f>Таблица5[[#This Row],[10]]</f>
        <v>0</v>
      </c>
      <c r="O1590" s="17"/>
      <c r="P1590" s="17"/>
      <c r="Q1590" s="17"/>
      <c r="R1590" s="17"/>
      <c r="S1590" s="17"/>
      <c r="T1590" s="686"/>
      <c r="U1590" s="18">
        <f>РПЗ!P1818</f>
        <v>0</v>
      </c>
      <c r="V1590" s="686"/>
      <c r="W1590" s="236">
        <f>РПЗ!L1818</f>
        <v>0</v>
      </c>
      <c r="X1590" s="689"/>
      <c r="Y1590" s="689"/>
      <c r="Z1590" s="690"/>
      <c r="AA1590" s="691"/>
      <c r="AB1590" s="111"/>
      <c r="AC1590" s="17"/>
      <c r="AD1590" s="690"/>
      <c r="AE1590" s="686"/>
      <c r="AF1590" s="474"/>
      <c r="AG1590" s="692"/>
      <c r="AH1590" s="236" t="str">
        <f>IF(Таблица5[[#This Row],[30]]=0,"НД",Таблица5[[#This Row],[20]]-Таблица5[[#This Row],[30]])</f>
        <v>НД</v>
      </c>
      <c r="AI1590" s="511" t="e">
        <f>IF(((1-Таблица5[[#This Row],[30]]/Таблица5[[#This Row],[20]])=1),"НД",(1-Таблица5[[#This Row],[30]]/Таблица5[[#This Row],[20]]))</f>
        <v>#DIV/0!</v>
      </c>
      <c r="AJ1590" s="111"/>
      <c r="AK1590" s="111"/>
      <c r="AL1590" s="512"/>
      <c r="AM1590" s="513"/>
      <c r="AN1590" s="465"/>
      <c r="AO1590" s="468">
        <f>РПЗ!AD1818</f>
        <v>0</v>
      </c>
      <c r="AP1590" s="472">
        <f>РПЗ!V1818</f>
        <v>0</v>
      </c>
      <c r="AQ1590" s="470">
        <f>IF(Таблица5[[#This Row],[11]]=0,,MONTH(Таблица5[[#This Row],[11]]))</f>
        <v>0</v>
      </c>
    </row>
    <row r="1591" spans="1:43" x14ac:dyDescent="0.25">
      <c r="A1591" s="233">
        <f t="shared" si="26"/>
        <v>0</v>
      </c>
      <c r="B1591" s="233">
        <f>РПЗ!$D1591</f>
        <v>0</v>
      </c>
      <c r="C1591" s="233">
        <f>РПЗ!$AA1642</f>
        <v>0</v>
      </c>
      <c r="D1591" s="633">
        <f>РПЗ!$AB1642</f>
        <v>0</v>
      </c>
      <c r="E1591" s="510"/>
      <c r="F1591" s="233">
        <f>РПЗ!Q1591</f>
        <v>0</v>
      </c>
      <c r="G1591" s="237">
        <f>Таблица5[[#This Row],[6]]</f>
        <v>0</v>
      </c>
      <c r="H1591" s="237">
        <f>РПЗ!R1591</f>
        <v>0</v>
      </c>
      <c r="I1591" s="15">
        <f>РПЗ!W1819</f>
        <v>0</v>
      </c>
      <c r="J1591" s="233">
        <f>РПЗ!X1819</f>
        <v>0</v>
      </c>
      <c r="K1591" s="283">
        <f>РПЗ!Z1819</f>
        <v>0</v>
      </c>
      <c r="L1591" s="17"/>
      <c r="M1591" s="18">
        <f>РПЗ!O1591</f>
        <v>0</v>
      </c>
      <c r="N1591" s="238">
        <f>Таблица5[[#This Row],[10]]</f>
        <v>0</v>
      </c>
      <c r="O1591" s="17"/>
      <c r="P1591" s="17"/>
      <c r="Q1591" s="17"/>
      <c r="R1591" s="17"/>
      <c r="S1591" s="17"/>
      <c r="T1591" s="686"/>
      <c r="U1591" s="18">
        <f>РПЗ!P1819</f>
        <v>0</v>
      </c>
      <c r="V1591" s="686"/>
      <c r="W1591" s="236">
        <f>РПЗ!L1819</f>
        <v>0</v>
      </c>
      <c r="X1591" s="689"/>
      <c r="Y1591" s="689"/>
      <c r="Z1591" s="690"/>
      <c r="AA1591" s="691"/>
      <c r="AB1591" s="111"/>
      <c r="AC1591" s="17"/>
      <c r="AD1591" s="690"/>
      <c r="AE1591" s="686"/>
      <c r="AF1591" s="474"/>
      <c r="AG1591" s="692"/>
      <c r="AH1591" s="236" t="str">
        <f>IF(Таблица5[[#This Row],[30]]=0,"НД",Таблица5[[#This Row],[20]]-Таблица5[[#This Row],[30]])</f>
        <v>НД</v>
      </c>
      <c r="AI1591" s="511" t="e">
        <f>IF(((1-Таблица5[[#This Row],[30]]/Таблица5[[#This Row],[20]])=1),"НД",(1-Таблица5[[#This Row],[30]]/Таблица5[[#This Row],[20]]))</f>
        <v>#DIV/0!</v>
      </c>
      <c r="AJ1591" s="111"/>
      <c r="AK1591" s="111"/>
      <c r="AL1591" s="512"/>
      <c r="AM1591" s="513"/>
      <c r="AN1591" s="465"/>
      <c r="AO1591" s="468">
        <f>РПЗ!AD1819</f>
        <v>0</v>
      </c>
      <c r="AP1591" s="472">
        <f>РПЗ!V1819</f>
        <v>0</v>
      </c>
      <c r="AQ1591" s="470">
        <f>IF(Таблица5[[#This Row],[11]]=0,,MONTH(Таблица5[[#This Row],[11]]))</f>
        <v>0</v>
      </c>
    </row>
    <row r="1592" spans="1:43" x14ac:dyDescent="0.25">
      <c r="A1592" s="233">
        <f t="shared" si="26"/>
        <v>0</v>
      </c>
      <c r="B1592" s="233">
        <f>РПЗ!$D1592</f>
        <v>0</v>
      </c>
      <c r="C1592" s="233">
        <f>РПЗ!$AA1643</f>
        <v>0</v>
      </c>
      <c r="D1592" s="633">
        <f>РПЗ!$AB1643</f>
        <v>0</v>
      </c>
      <c r="E1592" s="510"/>
      <c r="F1592" s="233">
        <f>РПЗ!Q1592</f>
        <v>0</v>
      </c>
      <c r="G1592" s="237">
        <f>Таблица5[[#This Row],[6]]</f>
        <v>0</v>
      </c>
      <c r="H1592" s="237">
        <f>РПЗ!R1592</f>
        <v>0</v>
      </c>
      <c r="I1592" s="15">
        <f>РПЗ!W1820</f>
        <v>0</v>
      </c>
      <c r="J1592" s="233">
        <f>РПЗ!X1820</f>
        <v>0</v>
      </c>
      <c r="K1592" s="283">
        <f>РПЗ!Z1820</f>
        <v>0</v>
      </c>
      <c r="L1592" s="17"/>
      <c r="M1592" s="18">
        <f>РПЗ!O1592</f>
        <v>0</v>
      </c>
      <c r="N1592" s="238">
        <f>Таблица5[[#This Row],[10]]</f>
        <v>0</v>
      </c>
      <c r="O1592" s="17"/>
      <c r="P1592" s="17"/>
      <c r="Q1592" s="17"/>
      <c r="R1592" s="17"/>
      <c r="S1592" s="17"/>
      <c r="T1592" s="686"/>
      <c r="U1592" s="18">
        <f>РПЗ!P1820</f>
        <v>0</v>
      </c>
      <c r="V1592" s="686"/>
      <c r="W1592" s="236">
        <f>РПЗ!L1820</f>
        <v>0</v>
      </c>
      <c r="X1592" s="689"/>
      <c r="Y1592" s="689"/>
      <c r="Z1592" s="690"/>
      <c r="AA1592" s="691"/>
      <c r="AB1592" s="111"/>
      <c r="AC1592" s="17"/>
      <c r="AD1592" s="690"/>
      <c r="AE1592" s="686"/>
      <c r="AF1592" s="474"/>
      <c r="AG1592" s="692"/>
      <c r="AH1592" s="236" t="str">
        <f>IF(Таблица5[[#This Row],[30]]=0,"НД",Таблица5[[#This Row],[20]]-Таблица5[[#This Row],[30]])</f>
        <v>НД</v>
      </c>
      <c r="AI1592" s="511" t="e">
        <f>IF(((1-Таблица5[[#This Row],[30]]/Таблица5[[#This Row],[20]])=1),"НД",(1-Таблица5[[#This Row],[30]]/Таблица5[[#This Row],[20]]))</f>
        <v>#DIV/0!</v>
      </c>
      <c r="AJ1592" s="111"/>
      <c r="AK1592" s="111"/>
      <c r="AL1592" s="512"/>
      <c r="AM1592" s="513"/>
      <c r="AN1592" s="465"/>
      <c r="AO1592" s="468">
        <f>РПЗ!AD1820</f>
        <v>0</v>
      </c>
      <c r="AP1592" s="472">
        <f>РПЗ!V1820</f>
        <v>0</v>
      </c>
      <c r="AQ1592" s="470">
        <f>IF(Таблица5[[#This Row],[11]]=0,,MONTH(Таблица5[[#This Row],[11]]))</f>
        <v>0</v>
      </c>
    </row>
    <row r="1593" spans="1:43" x14ac:dyDescent="0.25">
      <c r="A1593" s="233">
        <f t="shared" si="26"/>
        <v>0</v>
      </c>
      <c r="B1593" s="233">
        <f>РПЗ!$D1593</f>
        <v>0</v>
      </c>
      <c r="C1593" s="233">
        <f>РПЗ!$AA1644</f>
        <v>0</v>
      </c>
      <c r="D1593" s="633">
        <f>РПЗ!$AB1644</f>
        <v>0</v>
      </c>
      <c r="E1593" s="510"/>
      <c r="F1593" s="233">
        <f>РПЗ!Q1593</f>
        <v>0</v>
      </c>
      <c r="G1593" s="237">
        <f>Таблица5[[#This Row],[6]]</f>
        <v>0</v>
      </c>
      <c r="H1593" s="237">
        <f>РПЗ!R1593</f>
        <v>0</v>
      </c>
      <c r="I1593" s="15">
        <f>РПЗ!W1821</f>
        <v>0</v>
      </c>
      <c r="J1593" s="233">
        <f>РПЗ!X1821</f>
        <v>0</v>
      </c>
      <c r="K1593" s="283">
        <f>РПЗ!Z1821</f>
        <v>0</v>
      </c>
      <c r="L1593" s="17"/>
      <c r="M1593" s="18">
        <f>РПЗ!O1593</f>
        <v>0</v>
      </c>
      <c r="N1593" s="238">
        <f>Таблица5[[#This Row],[10]]</f>
        <v>0</v>
      </c>
      <c r="O1593" s="17"/>
      <c r="P1593" s="17"/>
      <c r="Q1593" s="17"/>
      <c r="R1593" s="17"/>
      <c r="S1593" s="17"/>
      <c r="T1593" s="686"/>
      <c r="U1593" s="18">
        <f>РПЗ!P1821</f>
        <v>0</v>
      </c>
      <c r="V1593" s="686"/>
      <c r="W1593" s="236">
        <f>РПЗ!L1821</f>
        <v>0</v>
      </c>
      <c r="X1593" s="689"/>
      <c r="Y1593" s="689"/>
      <c r="Z1593" s="690"/>
      <c r="AA1593" s="691"/>
      <c r="AB1593" s="111"/>
      <c r="AC1593" s="17"/>
      <c r="AD1593" s="690"/>
      <c r="AE1593" s="686"/>
      <c r="AF1593" s="474"/>
      <c r="AG1593" s="692"/>
      <c r="AH1593" s="236" t="str">
        <f>IF(Таблица5[[#This Row],[30]]=0,"НД",Таблица5[[#This Row],[20]]-Таблица5[[#This Row],[30]])</f>
        <v>НД</v>
      </c>
      <c r="AI1593" s="511" t="e">
        <f>IF(((1-Таблица5[[#This Row],[30]]/Таблица5[[#This Row],[20]])=1),"НД",(1-Таблица5[[#This Row],[30]]/Таблица5[[#This Row],[20]]))</f>
        <v>#DIV/0!</v>
      </c>
      <c r="AJ1593" s="111"/>
      <c r="AK1593" s="111"/>
      <c r="AL1593" s="512"/>
      <c r="AM1593" s="513"/>
      <c r="AN1593" s="465"/>
      <c r="AO1593" s="468">
        <f>РПЗ!AD1821</f>
        <v>0</v>
      </c>
      <c r="AP1593" s="472">
        <f>РПЗ!V1821</f>
        <v>0</v>
      </c>
      <c r="AQ1593" s="470">
        <f>IF(Таблица5[[#This Row],[11]]=0,,MONTH(Таблица5[[#This Row],[11]]))</f>
        <v>0</v>
      </c>
    </row>
    <row r="1594" spans="1:43" x14ac:dyDescent="0.25">
      <c r="A1594" s="233">
        <f t="shared" si="26"/>
        <v>0</v>
      </c>
      <c r="B1594" s="233">
        <f>РПЗ!$D1594</f>
        <v>0</v>
      </c>
      <c r="C1594" s="233">
        <f>РПЗ!$AA1645</f>
        <v>0</v>
      </c>
      <c r="D1594" s="633">
        <f>РПЗ!$AB1645</f>
        <v>0</v>
      </c>
      <c r="E1594" s="510"/>
      <c r="F1594" s="233">
        <f>РПЗ!Q1594</f>
        <v>0</v>
      </c>
      <c r="G1594" s="237">
        <f>Таблица5[[#This Row],[6]]</f>
        <v>0</v>
      </c>
      <c r="H1594" s="237">
        <f>РПЗ!R1594</f>
        <v>0</v>
      </c>
      <c r="I1594" s="15">
        <f>РПЗ!W1822</f>
        <v>0</v>
      </c>
      <c r="J1594" s="233">
        <f>РПЗ!X1822</f>
        <v>0</v>
      </c>
      <c r="K1594" s="283">
        <f>РПЗ!Z1822</f>
        <v>0</v>
      </c>
      <c r="L1594" s="17"/>
      <c r="M1594" s="18">
        <f>РПЗ!O1594</f>
        <v>0</v>
      </c>
      <c r="N1594" s="238">
        <f>Таблица5[[#This Row],[10]]</f>
        <v>0</v>
      </c>
      <c r="O1594" s="17"/>
      <c r="P1594" s="17"/>
      <c r="Q1594" s="17"/>
      <c r="R1594" s="17"/>
      <c r="S1594" s="17"/>
      <c r="T1594" s="686"/>
      <c r="U1594" s="18">
        <f>РПЗ!P1822</f>
        <v>0</v>
      </c>
      <c r="V1594" s="686"/>
      <c r="W1594" s="236">
        <f>РПЗ!L1822</f>
        <v>0</v>
      </c>
      <c r="X1594" s="689"/>
      <c r="Y1594" s="689"/>
      <c r="Z1594" s="690"/>
      <c r="AA1594" s="691"/>
      <c r="AB1594" s="111"/>
      <c r="AC1594" s="17"/>
      <c r="AD1594" s="690"/>
      <c r="AE1594" s="686"/>
      <c r="AF1594" s="474"/>
      <c r="AG1594" s="692"/>
      <c r="AH1594" s="236" t="str">
        <f>IF(Таблица5[[#This Row],[30]]=0,"НД",Таблица5[[#This Row],[20]]-Таблица5[[#This Row],[30]])</f>
        <v>НД</v>
      </c>
      <c r="AI1594" s="511" t="e">
        <f>IF(((1-Таблица5[[#This Row],[30]]/Таблица5[[#This Row],[20]])=1),"НД",(1-Таблица5[[#This Row],[30]]/Таблица5[[#This Row],[20]]))</f>
        <v>#DIV/0!</v>
      </c>
      <c r="AJ1594" s="111"/>
      <c r="AK1594" s="111"/>
      <c r="AL1594" s="512"/>
      <c r="AM1594" s="513"/>
      <c r="AN1594" s="465"/>
      <c r="AO1594" s="468">
        <f>РПЗ!AD1822</f>
        <v>0</v>
      </c>
      <c r="AP1594" s="472">
        <f>РПЗ!V1822</f>
        <v>0</v>
      </c>
      <c r="AQ1594" s="470">
        <f>IF(Таблица5[[#This Row],[11]]=0,,MONTH(Таблица5[[#This Row],[11]]))</f>
        <v>0</v>
      </c>
    </row>
    <row r="1595" spans="1:43" x14ac:dyDescent="0.25">
      <c r="A1595" s="233">
        <f t="shared" si="26"/>
        <v>0</v>
      </c>
      <c r="B1595" s="233">
        <f>РПЗ!$D1595</f>
        <v>0</v>
      </c>
      <c r="C1595" s="233">
        <f>РПЗ!$AA1646</f>
        <v>0</v>
      </c>
      <c r="D1595" s="633">
        <f>РПЗ!$AB1646</f>
        <v>0</v>
      </c>
      <c r="E1595" s="510"/>
      <c r="F1595" s="233">
        <f>РПЗ!Q1595</f>
        <v>0</v>
      </c>
      <c r="G1595" s="237">
        <f>Таблица5[[#This Row],[6]]</f>
        <v>0</v>
      </c>
      <c r="H1595" s="237">
        <f>РПЗ!R1595</f>
        <v>0</v>
      </c>
      <c r="I1595" s="15">
        <f>РПЗ!W1823</f>
        <v>0</v>
      </c>
      <c r="J1595" s="233">
        <f>РПЗ!X1823</f>
        <v>0</v>
      </c>
      <c r="K1595" s="283">
        <f>РПЗ!Z1823</f>
        <v>0</v>
      </c>
      <c r="L1595" s="17"/>
      <c r="M1595" s="18">
        <f>РПЗ!O1595</f>
        <v>0</v>
      </c>
      <c r="N1595" s="238">
        <f>Таблица5[[#This Row],[10]]</f>
        <v>0</v>
      </c>
      <c r="O1595" s="17"/>
      <c r="P1595" s="17"/>
      <c r="Q1595" s="17"/>
      <c r="R1595" s="17"/>
      <c r="S1595" s="17"/>
      <c r="T1595" s="686"/>
      <c r="U1595" s="18">
        <f>РПЗ!P1823</f>
        <v>0</v>
      </c>
      <c r="V1595" s="686"/>
      <c r="W1595" s="236">
        <f>РПЗ!L1823</f>
        <v>0</v>
      </c>
      <c r="X1595" s="689"/>
      <c r="Y1595" s="689"/>
      <c r="Z1595" s="690"/>
      <c r="AA1595" s="691"/>
      <c r="AB1595" s="111"/>
      <c r="AC1595" s="17"/>
      <c r="AD1595" s="690"/>
      <c r="AE1595" s="686"/>
      <c r="AF1595" s="474"/>
      <c r="AG1595" s="692"/>
      <c r="AH1595" s="236" t="str">
        <f>IF(Таблица5[[#This Row],[30]]=0,"НД",Таблица5[[#This Row],[20]]-Таблица5[[#This Row],[30]])</f>
        <v>НД</v>
      </c>
      <c r="AI1595" s="511" t="e">
        <f>IF(((1-Таблица5[[#This Row],[30]]/Таблица5[[#This Row],[20]])=1),"НД",(1-Таблица5[[#This Row],[30]]/Таблица5[[#This Row],[20]]))</f>
        <v>#DIV/0!</v>
      </c>
      <c r="AJ1595" s="111"/>
      <c r="AK1595" s="111"/>
      <c r="AL1595" s="512"/>
      <c r="AM1595" s="513"/>
      <c r="AN1595" s="465"/>
      <c r="AO1595" s="468">
        <f>РПЗ!AD1823</f>
        <v>0</v>
      </c>
      <c r="AP1595" s="472">
        <f>РПЗ!V1823</f>
        <v>0</v>
      </c>
      <c r="AQ1595" s="470">
        <f>IF(Таблица5[[#This Row],[11]]=0,,MONTH(Таблица5[[#This Row],[11]]))</f>
        <v>0</v>
      </c>
    </row>
    <row r="1596" spans="1:43" x14ac:dyDescent="0.25">
      <c r="A1596" s="233">
        <f t="shared" si="26"/>
        <v>0</v>
      </c>
      <c r="B1596" s="233">
        <f>РПЗ!$D1596</f>
        <v>0</v>
      </c>
      <c r="C1596" s="233">
        <f>РПЗ!$AA1647</f>
        <v>0</v>
      </c>
      <c r="D1596" s="633">
        <f>РПЗ!$AB1647</f>
        <v>0</v>
      </c>
      <c r="E1596" s="510"/>
      <c r="F1596" s="233">
        <f>РПЗ!Q1596</f>
        <v>0</v>
      </c>
      <c r="G1596" s="237">
        <f>Таблица5[[#This Row],[6]]</f>
        <v>0</v>
      </c>
      <c r="H1596" s="237">
        <f>РПЗ!R1596</f>
        <v>0</v>
      </c>
      <c r="I1596" s="15">
        <f>РПЗ!W1824</f>
        <v>0</v>
      </c>
      <c r="J1596" s="233">
        <f>РПЗ!X1824</f>
        <v>0</v>
      </c>
      <c r="K1596" s="283">
        <f>РПЗ!Z1824</f>
        <v>0</v>
      </c>
      <c r="L1596" s="17"/>
      <c r="M1596" s="18">
        <f>РПЗ!O1596</f>
        <v>0</v>
      </c>
      <c r="N1596" s="238">
        <f>Таблица5[[#This Row],[10]]</f>
        <v>0</v>
      </c>
      <c r="O1596" s="17"/>
      <c r="P1596" s="17"/>
      <c r="Q1596" s="17"/>
      <c r="R1596" s="17"/>
      <c r="S1596" s="17"/>
      <c r="T1596" s="686"/>
      <c r="U1596" s="18">
        <f>РПЗ!P1824</f>
        <v>0</v>
      </c>
      <c r="V1596" s="686"/>
      <c r="W1596" s="236">
        <f>РПЗ!L1824</f>
        <v>0</v>
      </c>
      <c r="X1596" s="689"/>
      <c r="Y1596" s="689"/>
      <c r="Z1596" s="690"/>
      <c r="AA1596" s="691"/>
      <c r="AB1596" s="111"/>
      <c r="AC1596" s="17"/>
      <c r="AD1596" s="690"/>
      <c r="AE1596" s="686"/>
      <c r="AF1596" s="474"/>
      <c r="AG1596" s="692"/>
      <c r="AH1596" s="236" t="str">
        <f>IF(Таблица5[[#This Row],[30]]=0,"НД",Таблица5[[#This Row],[20]]-Таблица5[[#This Row],[30]])</f>
        <v>НД</v>
      </c>
      <c r="AI1596" s="511" t="e">
        <f>IF(((1-Таблица5[[#This Row],[30]]/Таблица5[[#This Row],[20]])=1),"НД",(1-Таблица5[[#This Row],[30]]/Таблица5[[#This Row],[20]]))</f>
        <v>#DIV/0!</v>
      </c>
      <c r="AJ1596" s="111"/>
      <c r="AK1596" s="111"/>
      <c r="AL1596" s="512"/>
      <c r="AM1596" s="513"/>
      <c r="AN1596" s="465"/>
      <c r="AO1596" s="468">
        <f>РПЗ!AD1824</f>
        <v>0</v>
      </c>
      <c r="AP1596" s="472">
        <f>РПЗ!V1824</f>
        <v>0</v>
      </c>
      <c r="AQ1596" s="470">
        <f>IF(Таблица5[[#This Row],[11]]=0,,MONTH(Таблица5[[#This Row],[11]]))</f>
        <v>0</v>
      </c>
    </row>
    <row r="1597" spans="1:43" x14ac:dyDescent="0.25">
      <c r="A1597" s="233">
        <f t="shared" si="26"/>
        <v>0</v>
      </c>
      <c r="B1597" s="233">
        <f>РПЗ!$D1597</f>
        <v>0</v>
      </c>
      <c r="C1597" s="233">
        <f>РПЗ!$AA1648</f>
        <v>0</v>
      </c>
      <c r="D1597" s="633">
        <f>РПЗ!$AB1648</f>
        <v>0</v>
      </c>
      <c r="E1597" s="510"/>
      <c r="F1597" s="233">
        <f>РПЗ!Q1597</f>
        <v>0</v>
      </c>
      <c r="G1597" s="237">
        <f>Таблица5[[#This Row],[6]]</f>
        <v>0</v>
      </c>
      <c r="H1597" s="237">
        <f>РПЗ!R1597</f>
        <v>0</v>
      </c>
      <c r="I1597" s="15">
        <f>РПЗ!W1825</f>
        <v>0</v>
      </c>
      <c r="J1597" s="233">
        <f>РПЗ!X1825</f>
        <v>0</v>
      </c>
      <c r="K1597" s="283">
        <f>РПЗ!Z1825</f>
        <v>0</v>
      </c>
      <c r="L1597" s="17"/>
      <c r="M1597" s="18">
        <f>РПЗ!O1597</f>
        <v>0</v>
      </c>
      <c r="N1597" s="238">
        <f>Таблица5[[#This Row],[10]]</f>
        <v>0</v>
      </c>
      <c r="O1597" s="17"/>
      <c r="P1597" s="17"/>
      <c r="Q1597" s="17"/>
      <c r="R1597" s="17"/>
      <c r="S1597" s="17"/>
      <c r="T1597" s="686"/>
      <c r="U1597" s="18">
        <f>РПЗ!P1825</f>
        <v>0</v>
      </c>
      <c r="V1597" s="686"/>
      <c r="W1597" s="236">
        <f>РПЗ!L1825</f>
        <v>0</v>
      </c>
      <c r="X1597" s="689"/>
      <c r="Y1597" s="689"/>
      <c r="Z1597" s="690"/>
      <c r="AA1597" s="691"/>
      <c r="AB1597" s="111"/>
      <c r="AC1597" s="17"/>
      <c r="AD1597" s="690"/>
      <c r="AE1597" s="686"/>
      <c r="AF1597" s="474"/>
      <c r="AG1597" s="692"/>
      <c r="AH1597" s="236" t="str">
        <f>IF(Таблица5[[#This Row],[30]]=0,"НД",Таблица5[[#This Row],[20]]-Таблица5[[#This Row],[30]])</f>
        <v>НД</v>
      </c>
      <c r="AI1597" s="511" t="e">
        <f>IF(((1-Таблица5[[#This Row],[30]]/Таблица5[[#This Row],[20]])=1),"НД",(1-Таблица5[[#This Row],[30]]/Таблица5[[#This Row],[20]]))</f>
        <v>#DIV/0!</v>
      </c>
      <c r="AJ1597" s="111"/>
      <c r="AK1597" s="111"/>
      <c r="AL1597" s="512"/>
      <c r="AM1597" s="513"/>
      <c r="AN1597" s="465"/>
      <c r="AO1597" s="468">
        <f>РПЗ!AD1825</f>
        <v>0</v>
      </c>
      <c r="AP1597" s="472">
        <f>РПЗ!V1825</f>
        <v>0</v>
      </c>
      <c r="AQ1597" s="470">
        <f>IF(Таблица5[[#This Row],[11]]=0,,MONTH(Таблица5[[#This Row],[11]]))</f>
        <v>0</v>
      </c>
    </row>
    <row r="1598" spans="1:43" x14ac:dyDescent="0.25">
      <c r="A1598" s="233">
        <f t="shared" si="26"/>
        <v>0</v>
      </c>
      <c r="B1598" s="233">
        <f>РПЗ!$D1598</f>
        <v>0</v>
      </c>
      <c r="C1598" s="233">
        <f>РПЗ!$AA1649</f>
        <v>0</v>
      </c>
      <c r="D1598" s="633">
        <f>РПЗ!$AB1649</f>
        <v>0</v>
      </c>
      <c r="E1598" s="510"/>
      <c r="F1598" s="233">
        <f>РПЗ!Q1598</f>
        <v>0</v>
      </c>
      <c r="G1598" s="237">
        <f>Таблица5[[#This Row],[6]]</f>
        <v>0</v>
      </c>
      <c r="H1598" s="237">
        <f>РПЗ!R1598</f>
        <v>0</v>
      </c>
      <c r="I1598" s="15">
        <f>РПЗ!W1826</f>
        <v>0</v>
      </c>
      <c r="J1598" s="233">
        <f>РПЗ!X1826</f>
        <v>0</v>
      </c>
      <c r="K1598" s="283">
        <f>РПЗ!Z1826</f>
        <v>0</v>
      </c>
      <c r="L1598" s="17"/>
      <c r="M1598" s="18">
        <f>РПЗ!O1598</f>
        <v>0</v>
      </c>
      <c r="N1598" s="238">
        <f>Таблица5[[#This Row],[10]]</f>
        <v>0</v>
      </c>
      <c r="O1598" s="17"/>
      <c r="P1598" s="17"/>
      <c r="Q1598" s="17"/>
      <c r="R1598" s="17"/>
      <c r="S1598" s="17"/>
      <c r="T1598" s="686"/>
      <c r="U1598" s="18">
        <f>РПЗ!P1826</f>
        <v>0</v>
      </c>
      <c r="V1598" s="686"/>
      <c r="W1598" s="236">
        <f>РПЗ!L1826</f>
        <v>0</v>
      </c>
      <c r="X1598" s="689"/>
      <c r="Y1598" s="689"/>
      <c r="Z1598" s="690"/>
      <c r="AA1598" s="691"/>
      <c r="AB1598" s="111"/>
      <c r="AC1598" s="17"/>
      <c r="AD1598" s="690"/>
      <c r="AE1598" s="686"/>
      <c r="AF1598" s="474"/>
      <c r="AG1598" s="692"/>
      <c r="AH1598" s="236" t="str">
        <f>IF(Таблица5[[#This Row],[30]]=0,"НД",Таблица5[[#This Row],[20]]-Таблица5[[#This Row],[30]])</f>
        <v>НД</v>
      </c>
      <c r="AI1598" s="511" t="e">
        <f>IF(((1-Таблица5[[#This Row],[30]]/Таблица5[[#This Row],[20]])=1),"НД",(1-Таблица5[[#This Row],[30]]/Таблица5[[#This Row],[20]]))</f>
        <v>#DIV/0!</v>
      </c>
      <c r="AJ1598" s="111"/>
      <c r="AK1598" s="111"/>
      <c r="AL1598" s="512"/>
      <c r="AM1598" s="513"/>
      <c r="AN1598" s="465"/>
      <c r="AO1598" s="468">
        <f>РПЗ!AD1826</f>
        <v>0</v>
      </c>
      <c r="AP1598" s="472">
        <f>РПЗ!V1826</f>
        <v>0</v>
      </c>
      <c r="AQ1598" s="470">
        <f>IF(Таблица5[[#This Row],[11]]=0,,MONTH(Таблица5[[#This Row],[11]]))</f>
        <v>0</v>
      </c>
    </row>
    <row r="1599" spans="1:43" x14ac:dyDescent="0.25">
      <c r="A1599" s="233">
        <f t="shared" si="26"/>
        <v>0</v>
      </c>
      <c r="B1599" s="233">
        <f>РПЗ!$D1599</f>
        <v>0</v>
      </c>
      <c r="C1599" s="233">
        <f>РПЗ!$AA1650</f>
        <v>0</v>
      </c>
      <c r="D1599" s="633">
        <f>РПЗ!$AB1650</f>
        <v>0</v>
      </c>
      <c r="E1599" s="510"/>
      <c r="F1599" s="233">
        <f>РПЗ!Q1599</f>
        <v>0</v>
      </c>
      <c r="G1599" s="237">
        <f>Таблица5[[#This Row],[6]]</f>
        <v>0</v>
      </c>
      <c r="H1599" s="237">
        <f>РПЗ!R1599</f>
        <v>0</v>
      </c>
      <c r="I1599" s="15">
        <f>РПЗ!W1827</f>
        <v>0</v>
      </c>
      <c r="J1599" s="233">
        <f>РПЗ!X1827</f>
        <v>0</v>
      </c>
      <c r="K1599" s="283">
        <f>РПЗ!Z1827</f>
        <v>0</v>
      </c>
      <c r="L1599" s="17"/>
      <c r="M1599" s="18">
        <f>РПЗ!O1599</f>
        <v>0</v>
      </c>
      <c r="N1599" s="238">
        <f>Таблица5[[#This Row],[10]]</f>
        <v>0</v>
      </c>
      <c r="O1599" s="17"/>
      <c r="P1599" s="17"/>
      <c r="Q1599" s="17"/>
      <c r="R1599" s="17"/>
      <c r="S1599" s="17"/>
      <c r="T1599" s="686"/>
      <c r="U1599" s="18">
        <f>РПЗ!P1827</f>
        <v>0</v>
      </c>
      <c r="V1599" s="686"/>
      <c r="W1599" s="236">
        <f>РПЗ!L1827</f>
        <v>0</v>
      </c>
      <c r="X1599" s="689"/>
      <c r="Y1599" s="689"/>
      <c r="Z1599" s="690"/>
      <c r="AA1599" s="691"/>
      <c r="AB1599" s="111"/>
      <c r="AC1599" s="17"/>
      <c r="AD1599" s="690"/>
      <c r="AE1599" s="686"/>
      <c r="AF1599" s="474"/>
      <c r="AG1599" s="692"/>
      <c r="AH1599" s="236" t="str">
        <f>IF(Таблица5[[#This Row],[30]]=0,"НД",Таблица5[[#This Row],[20]]-Таблица5[[#This Row],[30]])</f>
        <v>НД</v>
      </c>
      <c r="AI1599" s="511" t="e">
        <f>IF(((1-Таблица5[[#This Row],[30]]/Таблица5[[#This Row],[20]])=1),"НД",(1-Таблица5[[#This Row],[30]]/Таблица5[[#This Row],[20]]))</f>
        <v>#DIV/0!</v>
      </c>
      <c r="AJ1599" s="111"/>
      <c r="AK1599" s="111"/>
      <c r="AL1599" s="512"/>
      <c r="AM1599" s="513"/>
      <c r="AN1599" s="465"/>
      <c r="AO1599" s="468">
        <f>РПЗ!AD1827</f>
        <v>0</v>
      </c>
      <c r="AP1599" s="472">
        <f>РПЗ!V1827</f>
        <v>0</v>
      </c>
      <c r="AQ1599" s="470">
        <f>IF(Таблица5[[#This Row],[11]]=0,,MONTH(Таблица5[[#This Row],[11]]))</f>
        <v>0</v>
      </c>
    </row>
    <row r="1600" spans="1:43" x14ac:dyDescent="0.25">
      <c r="A1600" s="233">
        <f t="shared" si="26"/>
        <v>0</v>
      </c>
      <c r="B1600" s="233">
        <f>РПЗ!$D1600</f>
        <v>0</v>
      </c>
      <c r="C1600" s="233">
        <f>РПЗ!$AA1651</f>
        <v>0</v>
      </c>
      <c r="D1600" s="633">
        <f>РПЗ!$AB1651</f>
        <v>0</v>
      </c>
      <c r="E1600" s="510"/>
      <c r="F1600" s="233">
        <f>РПЗ!Q1600</f>
        <v>0</v>
      </c>
      <c r="G1600" s="237">
        <f>Таблица5[[#This Row],[6]]</f>
        <v>0</v>
      </c>
      <c r="H1600" s="237">
        <f>РПЗ!R1600</f>
        <v>0</v>
      </c>
      <c r="I1600" s="15">
        <f>РПЗ!W1828</f>
        <v>0</v>
      </c>
      <c r="J1600" s="233">
        <f>РПЗ!X1828</f>
        <v>0</v>
      </c>
      <c r="K1600" s="283">
        <f>РПЗ!Z1828</f>
        <v>0</v>
      </c>
      <c r="L1600" s="17"/>
      <c r="M1600" s="18">
        <f>РПЗ!O1600</f>
        <v>0</v>
      </c>
      <c r="N1600" s="238">
        <f>Таблица5[[#This Row],[10]]</f>
        <v>0</v>
      </c>
      <c r="O1600" s="17"/>
      <c r="P1600" s="17"/>
      <c r="Q1600" s="17"/>
      <c r="R1600" s="17"/>
      <c r="S1600" s="17"/>
      <c r="T1600" s="686"/>
      <c r="U1600" s="18">
        <f>РПЗ!P1828</f>
        <v>0</v>
      </c>
      <c r="V1600" s="686"/>
      <c r="W1600" s="236">
        <f>РПЗ!L1828</f>
        <v>0</v>
      </c>
      <c r="X1600" s="689"/>
      <c r="Y1600" s="689"/>
      <c r="Z1600" s="690"/>
      <c r="AA1600" s="691"/>
      <c r="AB1600" s="111"/>
      <c r="AC1600" s="17"/>
      <c r="AD1600" s="690"/>
      <c r="AE1600" s="686"/>
      <c r="AF1600" s="474"/>
      <c r="AG1600" s="692"/>
      <c r="AH1600" s="236" t="str">
        <f>IF(Таблица5[[#This Row],[30]]=0,"НД",Таблица5[[#This Row],[20]]-Таблица5[[#This Row],[30]])</f>
        <v>НД</v>
      </c>
      <c r="AI1600" s="511" t="e">
        <f>IF(((1-Таблица5[[#This Row],[30]]/Таблица5[[#This Row],[20]])=1),"НД",(1-Таблица5[[#This Row],[30]]/Таблица5[[#This Row],[20]]))</f>
        <v>#DIV/0!</v>
      </c>
      <c r="AJ1600" s="111"/>
      <c r="AK1600" s="111"/>
      <c r="AL1600" s="512"/>
      <c r="AM1600" s="513"/>
      <c r="AN1600" s="465"/>
      <c r="AO1600" s="468">
        <f>РПЗ!AD1828</f>
        <v>0</v>
      </c>
      <c r="AP1600" s="472">
        <f>РПЗ!V1828</f>
        <v>0</v>
      </c>
      <c r="AQ1600" s="470">
        <f>IF(Таблица5[[#This Row],[11]]=0,,MONTH(Таблица5[[#This Row],[11]]))</f>
        <v>0</v>
      </c>
    </row>
    <row r="1601" spans="1:43" x14ac:dyDescent="0.25">
      <c r="A1601" s="233">
        <f t="shared" si="26"/>
        <v>0</v>
      </c>
      <c r="B1601" s="233">
        <f>РПЗ!$D1601</f>
        <v>0</v>
      </c>
      <c r="C1601" s="233">
        <f>РПЗ!$AA1652</f>
        <v>0</v>
      </c>
      <c r="D1601" s="633">
        <f>РПЗ!$AB1652</f>
        <v>0</v>
      </c>
      <c r="E1601" s="510"/>
      <c r="F1601" s="233">
        <f>РПЗ!Q1601</f>
        <v>0</v>
      </c>
      <c r="G1601" s="237">
        <f>Таблица5[[#This Row],[6]]</f>
        <v>0</v>
      </c>
      <c r="H1601" s="237">
        <f>РПЗ!R1601</f>
        <v>0</v>
      </c>
      <c r="I1601" s="15">
        <f>РПЗ!W1829</f>
        <v>0</v>
      </c>
      <c r="J1601" s="233">
        <f>РПЗ!X1829</f>
        <v>0</v>
      </c>
      <c r="K1601" s="283">
        <f>РПЗ!Z1829</f>
        <v>0</v>
      </c>
      <c r="L1601" s="17"/>
      <c r="M1601" s="18">
        <f>РПЗ!O1601</f>
        <v>0</v>
      </c>
      <c r="N1601" s="238">
        <f>Таблица5[[#This Row],[10]]</f>
        <v>0</v>
      </c>
      <c r="O1601" s="17"/>
      <c r="P1601" s="17"/>
      <c r="Q1601" s="17"/>
      <c r="R1601" s="17"/>
      <c r="S1601" s="17"/>
      <c r="T1601" s="686"/>
      <c r="U1601" s="18">
        <f>РПЗ!P1829</f>
        <v>0</v>
      </c>
      <c r="V1601" s="686"/>
      <c r="W1601" s="236">
        <f>РПЗ!L1829</f>
        <v>0</v>
      </c>
      <c r="X1601" s="689"/>
      <c r="Y1601" s="689"/>
      <c r="Z1601" s="690"/>
      <c r="AA1601" s="691"/>
      <c r="AB1601" s="111"/>
      <c r="AC1601" s="17"/>
      <c r="AD1601" s="690"/>
      <c r="AE1601" s="686"/>
      <c r="AF1601" s="474"/>
      <c r="AG1601" s="692"/>
      <c r="AH1601" s="236" t="str">
        <f>IF(Таблица5[[#This Row],[30]]=0,"НД",Таблица5[[#This Row],[20]]-Таблица5[[#This Row],[30]])</f>
        <v>НД</v>
      </c>
      <c r="AI1601" s="511" t="e">
        <f>IF(((1-Таблица5[[#This Row],[30]]/Таблица5[[#This Row],[20]])=1),"НД",(1-Таблица5[[#This Row],[30]]/Таблица5[[#This Row],[20]]))</f>
        <v>#DIV/0!</v>
      </c>
      <c r="AJ1601" s="111"/>
      <c r="AK1601" s="111"/>
      <c r="AL1601" s="512"/>
      <c r="AM1601" s="513"/>
      <c r="AN1601" s="465"/>
      <c r="AO1601" s="468">
        <f>РПЗ!AD1829</f>
        <v>0</v>
      </c>
      <c r="AP1601" s="472">
        <f>РПЗ!V1829</f>
        <v>0</v>
      </c>
      <c r="AQ1601" s="470">
        <f>IF(Таблица5[[#This Row],[11]]=0,,MONTH(Таблица5[[#This Row],[11]]))</f>
        <v>0</v>
      </c>
    </row>
    <row r="1602" spans="1:43" x14ac:dyDescent="0.25">
      <c r="A1602" s="233">
        <f t="shared" si="26"/>
        <v>0</v>
      </c>
      <c r="B1602" s="233">
        <f>РПЗ!$D1602</f>
        <v>0</v>
      </c>
      <c r="C1602" s="233">
        <f>РПЗ!$AA1653</f>
        <v>0</v>
      </c>
      <c r="D1602" s="633">
        <f>РПЗ!$AB1653</f>
        <v>0</v>
      </c>
      <c r="E1602" s="510"/>
      <c r="F1602" s="233">
        <f>РПЗ!Q1602</f>
        <v>0</v>
      </c>
      <c r="G1602" s="237">
        <f>Таблица5[[#This Row],[6]]</f>
        <v>0</v>
      </c>
      <c r="H1602" s="237">
        <f>РПЗ!R1602</f>
        <v>0</v>
      </c>
      <c r="I1602" s="15">
        <f>РПЗ!W1830</f>
        <v>0</v>
      </c>
      <c r="J1602" s="233">
        <f>РПЗ!X1830</f>
        <v>0</v>
      </c>
      <c r="K1602" s="283">
        <f>РПЗ!Z1830</f>
        <v>0</v>
      </c>
      <c r="L1602" s="17"/>
      <c r="M1602" s="18">
        <f>РПЗ!O1602</f>
        <v>0</v>
      </c>
      <c r="N1602" s="238">
        <f>Таблица5[[#This Row],[10]]</f>
        <v>0</v>
      </c>
      <c r="O1602" s="17"/>
      <c r="P1602" s="17"/>
      <c r="Q1602" s="17"/>
      <c r="R1602" s="17"/>
      <c r="S1602" s="17"/>
      <c r="T1602" s="686"/>
      <c r="U1602" s="18">
        <f>РПЗ!P1830</f>
        <v>0</v>
      </c>
      <c r="V1602" s="686"/>
      <c r="W1602" s="236">
        <f>РПЗ!L1830</f>
        <v>0</v>
      </c>
      <c r="X1602" s="689"/>
      <c r="Y1602" s="689"/>
      <c r="Z1602" s="690"/>
      <c r="AA1602" s="691"/>
      <c r="AB1602" s="111"/>
      <c r="AC1602" s="17"/>
      <c r="AD1602" s="690"/>
      <c r="AE1602" s="686"/>
      <c r="AF1602" s="474"/>
      <c r="AG1602" s="692"/>
      <c r="AH1602" s="236" t="str">
        <f>IF(Таблица5[[#This Row],[30]]=0,"НД",Таблица5[[#This Row],[20]]-Таблица5[[#This Row],[30]])</f>
        <v>НД</v>
      </c>
      <c r="AI1602" s="511" t="e">
        <f>IF(((1-Таблица5[[#This Row],[30]]/Таблица5[[#This Row],[20]])=1),"НД",(1-Таблица5[[#This Row],[30]]/Таблица5[[#This Row],[20]]))</f>
        <v>#DIV/0!</v>
      </c>
      <c r="AJ1602" s="111"/>
      <c r="AK1602" s="111"/>
      <c r="AL1602" s="512"/>
      <c r="AM1602" s="513"/>
      <c r="AN1602" s="465"/>
      <c r="AO1602" s="468">
        <f>РПЗ!AD1830</f>
        <v>0</v>
      </c>
      <c r="AP1602" s="472">
        <f>РПЗ!V1830</f>
        <v>0</v>
      </c>
      <c r="AQ1602" s="470">
        <f>IF(Таблица5[[#This Row],[11]]=0,,MONTH(Таблица5[[#This Row],[11]]))</f>
        <v>0</v>
      </c>
    </row>
    <row r="1603" spans="1:43" x14ac:dyDescent="0.25">
      <c r="A1603" s="233">
        <f t="shared" si="26"/>
        <v>0</v>
      </c>
      <c r="B1603" s="233">
        <f>РПЗ!$D1603</f>
        <v>0</v>
      </c>
      <c r="C1603" s="233">
        <f>РПЗ!$AA1654</f>
        <v>0</v>
      </c>
      <c r="D1603" s="633">
        <f>РПЗ!$AB1654</f>
        <v>0</v>
      </c>
      <c r="E1603" s="510"/>
      <c r="F1603" s="233">
        <f>РПЗ!Q1603</f>
        <v>0</v>
      </c>
      <c r="G1603" s="237">
        <f>Таблица5[[#This Row],[6]]</f>
        <v>0</v>
      </c>
      <c r="H1603" s="237">
        <f>РПЗ!R1603</f>
        <v>0</v>
      </c>
      <c r="I1603" s="15">
        <f>РПЗ!W1831</f>
        <v>0</v>
      </c>
      <c r="J1603" s="233">
        <f>РПЗ!X1831</f>
        <v>0</v>
      </c>
      <c r="K1603" s="283">
        <f>РПЗ!Z1831</f>
        <v>0</v>
      </c>
      <c r="L1603" s="17"/>
      <c r="M1603" s="18">
        <f>РПЗ!O1603</f>
        <v>0</v>
      </c>
      <c r="N1603" s="238">
        <f>Таблица5[[#This Row],[10]]</f>
        <v>0</v>
      </c>
      <c r="O1603" s="17"/>
      <c r="P1603" s="17"/>
      <c r="Q1603" s="17"/>
      <c r="R1603" s="17"/>
      <c r="S1603" s="17"/>
      <c r="T1603" s="686"/>
      <c r="U1603" s="18">
        <f>РПЗ!P1831</f>
        <v>0</v>
      </c>
      <c r="V1603" s="686"/>
      <c r="W1603" s="236">
        <f>РПЗ!L1831</f>
        <v>0</v>
      </c>
      <c r="X1603" s="689"/>
      <c r="Y1603" s="689"/>
      <c r="Z1603" s="690"/>
      <c r="AA1603" s="691"/>
      <c r="AB1603" s="111"/>
      <c r="AC1603" s="17"/>
      <c r="AD1603" s="690"/>
      <c r="AE1603" s="686"/>
      <c r="AF1603" s="474"/>
      <c r="AG1603" s="692"/>
      <c r="AH1603" s="236" t="str">
        <f>IF(Таблица5[[#This Row],[30]]=0,"НД",Таблица5[[#This Row],[20]]-Таблица5[[#This Row],[30]])</f>
        <v>НД</v>
      </c>
      <c r="AI1603" s="511" t="e">
        <f>IF(((1-Таблица5[[#This Row],[30]]/Таблица5[[#This Row],[20]])=1),"НД",(1-Таблица5[[#This Row],[30]]/Таблица5[[#This Row],[20]]))</f>
        <v>#DIV/0!</v>
      </c>
      <c r="AJ1603" s="111"/>
      <c r="AK1603" s="111"/>
      <c r="AL1603" s="512"/>
      <c r="AM1603" s="513"/>
      <c r="AN1603" s="465"/>
      <c r="AO1603" s="468">
        <f>РПЗ!AD1831</f>
        <v>0</v>
      </c>
      <c r="AP1603" s="472">
        <f>РПЗ!V1831</f>
        <v>0</v>
      </c>
      <c r="AQ1603" s="470">
        <f>IF(Таблица5[[#This Row],[11]]=0,,MONTH(Таблица5[[#This Row],[11]]))</f>
        <v>0</v>
      </c>
    </row>
    <row r="1604" spans="1:43" x14ac:dyDescent="0.25">
      <c r="A1604" s="233">
        <f t="shared" si="26"/>
        <v>0</v>
      </c>
      <c r="B1604" s="233">
        <f>РПЗ!$D1604</f>
        <v>0</v>
      </c>
      <c r="C1604" s="233">
        <f>РПЗ!$AA1655</f>
        <v>0</v>
      </c>
      <c r="D1604" s="633">
        <f>РПЗ!$AB1655</f>
        <v>0</v>
      </c>
      <c r="E1604" s="510"/>
      <c r="F1604" s="233">
        <f>РПЗ!Q1604</f>
        <v>0</v>
      </c>
      <c r="G1604" s="237">
        <f>Таблица5[[#This Row],[6]]</f>
        <v>0</v>
      </c>
      <c r="H1604" s="237">
        <f>РПЗ!R1604</f>
        <v>0</v>
      </c>
      <c r="I1604" s="15">
        <f>РПЗ!W1832</f>
        <v>0</v>
      </c>
      <c r="J1604" s="233">
        <f>РПЗ!X1832</f>
        <v>0</v>
      </c>
      <c r="K1604" s="283">
        <f>РПЗ!Z1832</f>
        <v>0</v>
      </c>
      <c r="L1604" s="17"/>
      <c r="M1604" s="18">
        <f>РПЗ!O1604</f>
        <v>0</v>
      </c>
      <c r="N1604" s="238">
        <f>Таблица5[[#This Row],[10]]</f>
        <v>0</v>
      </c>
      <c r="O1604" s="17"/>
      <c r="P1604" s="17"/>
      <c r="Q1604" s="17"/>
      <c r="R1604" s="17"/>
      <c r="S1604" s="17"/>
      <c r="T1604" s="686"/>
      <c r="U1604" s="18">
        <f>РПЗ!P1832</f>
        <v>0</v>
      </c>
      <c r="V1604" s="686"/>
      <c r="W1604" s="236">
        <f>РПЗ!L1832</f>
        <v>0</v>
      </c>
      <c r="X1604" s="689"/>
      <c r="Y1604" s="689"/>
      <c r="Z1604" s="690"/>
      <c r="AA1604" s="691"/>
      <c r="AB1604" s="111"/>
      <c r="AC1604" s="17"/>
      <c r="AD1604" s="690"/>
      <c r="AE1604" s="686"/>
      <c r="AF1604" s="474"/>
      <c r="AG1604" s="692"/>
      <c r="AH1604" s="236" t="str">
        <f>IF(Таблица5[[#This Row],[30]]=0,"НД",Таблица5[[#This Row],[20]]-Таблица5[[#This Row],[30]])</f>
        <v>НД</v>
      </c>
      <c r="AI1604" s="511" t="e">
        <f>IF(((1-Таблица5[[#This Row],[30]]/Таблица5[[#This Row],[20]])=1),"НД",(1-Таблица5[[#This Row],[30]]/Таблица5[[#This Row],[20]]))</f>
        <v>#DIV/0!</v>
      </c>
      <c r="AJ1604" s="111"/>
      <c r="AK1604" s="111"/>
      <c r="AL1604" s="512"/>
      <c r="AM1604" s="513"/>
      <c r="AN1604" s="465"/>
      <c r="AO1604" s="468">
        <f>РПЗ!AD1832</f>
        <v>0</v>
      </c>
      <c r="AP1604" s="472">
        <f>РПЗ!V1832</f>
        <v>0</v>
      </c>
      <c r="AQ1604" s="470">
        <f>IF(Таблица5[[#This Row],[11]]=0,,MONTH(Таблица5[[#This Row],[11]]))</f>
        <v>0</v>
      </c>
    </row>
    <row r="1605" spans="1:43" x14ac:dyDescent="0.25">
      <c r="A1605" s="233">
        <f t="shared" si="26"/>
        <v>0</v>
      </c>
      <c r="B1605" s="233">
        <f>РПЗ!$D1605</f>
        <v>0</v>
      </c>
      <c r="C1605" s="233">
        <f>РПЗ!$AA1656</f>
        <v>0</v>
      </c>
      <c r="D1605" s="633">
        <f>РПЗ!$AB1656</f>
        <v>0</v>
      </c>
      <c r="E1605" s="510"/>
      <c r="F1605" s="233">
        <f>РПЗ!Q1605</f>
        <v>0</v>
      </c>
      <c r="G1605" s="237">
        <f>Таблица5[[#This Row],[6]]</f>
        <v>0</v>
      </c>
      <c r="H1605" s="237">
        <f>РПЗ!R1605</f>
        <v>0</v>
      </c>
      <c r="I1605" s="15">
        <f>РПЗ!W1833</f>
        <v>0</v>
      </c>
      <c r="J1605" s="233">
        <f>РПЗ!X1833</f>
        <v>0</v>
      </c>
      <c r="K1605" s="283">
        <f>РПЗ!Z1833</f>
        <v>0</v>
      </c>
      <c r="L1605" s="17"/>
      <c r="M1605" s="18">
        <f>РПЗ!O1605</f>
        <v>0</v>
      </c>
      <c r="N1605" s="238">
        <f>Таблица5[[#This Row],[10]]</f>
        <v>0</v>
      </c>
      <c r="O1605" s="17"/>
      <c r="P1605" s="17"/>
      <c r="Q1605" s="17"/>
      <c r="R1605" s="17"/>
      <c r="S1605" s="17"/>
      <c r="T1605" s="686"/>
      <c r="U1605" s="18">
        <f>РПЗ!P1833</f>
        <v>0</v>
      </c>
      <c r="V1605" s="686"/>
      <c r="W1605" s="236">
        <f>РПЗ!L1833</f>
        <v>0</v>
      </c>
      <c r="X1605" s="689"/>
      <c r="Y1605" s="689"/>
      <c r="Z1605" s="690"/>
      <c r="AA1605" s="691"/>
      <c r="AB1605" s="111"/>
      <c r="AC1605" s="17"/>
      <c r="AD1605" s="690"/>
      <c r="AE1605" s="686"/>
      <c r="AF1605" s="474"/>
      <c r="AG1605" s="692"/>
      <c r="AH1605" s="236" t="str">
        <f>IF(Таблица5[[#This Row],[30]]=0,"НД",Таблица5[[#This Row],[20]]-Таблица5[[#This Row],[30]])</f>
        <v>НД</v>
      </c>
      <c r="AI1605" s="511" t="e">
        <f>IF(((1-Таблица5[[#This Row],[30]]/Таблица5[[#This Row],[20]])=1),"НД",(1-Таблица5[[#This Row],[30]]/Таблица5[[#This Row],[20]]))</f>
        <v>#DIV/0!</v>
      </c>
      <c r="AJ1605" s="111"/>
      <c r="AK1605" s="111"/>
      <c r="AL1605" s="512"/>
      <c r="AM1605" s="513"/>
      <c r="AN1605" s="465"/>
      <c r="AO1605" s="468">
        <f>РПЗ!AD1833</f>
        <v>0</v>
      </c>
      <c r="AP1605" s="472">
        <f>РПЗ!V1833</f>
        <v>0</v>
      </c>
      <c r="AQ1605" s="470">
        <f>IF(Таблица5[[#This Row],[11]]=0,,MONTH(Таблица5[[#This Row],[11]]))</f>
        <v>0</v>
      </c>
    </row>
    <row r="1606" spans="1:43" x14ac:dyDescent="0.25">
      <c r="A1606" s="233">
        <f t="shared" si="26"/>
        <v>0</v>
      </c>
      <c r="B1606" s="233">
        <f>РПЗ!$D1606</f>
        <v>0</v>
      </c>
      <c r="C1606" s="233">
        <f>РПЗ!$AA1657</f>
        <v>0</v>
      </c>
      <c r="D1606" s="633">
        <f>РПЗ!$AB1657</f>
        <v>0</v>
      </c>
      <c r="E1606" s="510"/>
      <c r="F1606" s="233">
        <f>РПЗ!Q1606</f>
        <v>0</v>
      </c>
      <c r="G1606" s="237">
        <f>Таблица5[[#This Row],[6]]</f>
        <v>0</v>
      </c>
      <c r="H1606" s="237">
        <f>РПЗ!R1606</f>
        <v>0</v>
      </c>
      <c r="I1606" s="15">
        <f>РПЗ!W1834</f>
        <v>0</v>
      </c>
      <c r="J1606" s="233">
        <f>РПЗ!X1834</f>
        <v>0</v>
      </c>
      <c r="K1606" s="283">
        <f>РПЗ!Z1834</f>
        <v>0</v>
      </c>
      <c r="L1606" s="17"/>
      <c r="M1606" s="18">
        <f>РПЗ!O1606</f>
        <v>0</v>
      </c>
      <c r="N1606" s="238">
        <f>Таблица5[[#This Row],[10]]</f>
        <v>0</v>
      </c>
      <c r="O1606" s="17"/>
      <c r="P1606" s="17"/>
      <c r="Q1606" s="17"/>
      <c r="R1606" s="17"/>
      <c r="S1606" s="17"/>
      <c r="T1606" s="686"/>
      <c r="U1606" s="18">
        <f>РПЗ!P1834</f>
        <v>0</v>
      </c>
      <c r="V1606" s="686"/>
      <c r="W1606" s="236">
        <f>РПЗ!L1834</f>
        <v>0</v>
      </c>
      <c r="X1606" s="689"/>
      <c r="Y1606" s="689"/>
      <c r="Z1606" s="690"/>
      <c r="AA1606" s="691"/>
      <c r="AB1606" s="111"/>
      <c r="AC1606" s="17"/>
      <c r="AD1606" s="690"/>
      <c r="AE1606" s="686"/>
      <c r="AF1606" s="474"/>
      <c r="AG1606" s="692"/>
      <c r="AH1606" s="236" t="str">
        <f>IF(Таблица5[[#This Row],[30]]=0,"НД",Таблица5[[#This Row],[20]]-Таблица5[[#This Row],[30]])</f>
        <v>НД</v>
      </c>
      <c r="AI1606" s="511" t="e">
        <f>IF(((1-Таблица5[[#This Row],[30]]/Таблица5[[#This Row],[20]])=1),"НД",(1-Таблица5[[#This Row],[30]]/Таблица5[[#This Row],[20]]))</f>
        <v>#DIV/0!</v>
      </c>
      <c r="AJ1606" s="111"/>
      <c r="AK1606" s="111"/>
      <c r="AL1606" s="512"/>
      <c r="AM1606" s="513"/>
      <c r="AN1606" s="465"/>
      <c r="AO1606" s="468">
        <f>РПЗ!AD1834</f>
        <v>0</v>
      </c>
      <c r="AP1606" s="472">
        <f>РПЗ!V1834</f>
        <v>0</v>
      </c>
      <c r="AQ1606" s="470">
        <f>IF(Таблица5[[#This Row],[11]]=0,,MONTH(Таблица5[[#This Row],[11]]))</f>
        <v>0</v>
      </c>
    </row>
    <row r="1607" spans="1:43" x14ac:dyDescent="0.25">
      <c r="A1607" s="233">
        <f t="shared" si="26"/>
        <v>0</v>
      </c>
      <c r="B1607" s="233">
        <f>РПЗ!$D1607</f>
        <v>0</v>
      </c>
      <c r="C1607" s="233">
        <f>РПЗ!$AA1658</f>
        <v>0</v>
      </c>
      <c r="D1607" s="633">
        <f>РПЗ!$AB1658</f>
        <v>0</v>
      </c>
      <c r="E1607" s="510"/>
      <c r="F1607" s="233">
        <f>РПЗ!Q1607</f>
        <v>0</v>
      </c>
      <c r="G1607" s="237">
        <f>Таблица5[[#This Row],[6]]</f>
        <v>0</v>
      </c>
      <c r="H1607" s="237">
        <f>РПЗ!R1607</f>
        <v>0</v>
      </c>
      <c r="I1607" s="15">
        <f>РПЗ!W1835</f>
        <v>0</v>
      </c>
      <c r="J1607" s="233">
        <f>РПЗ!X1835</f>
        <v>0</v>
      </c>
      <c r="K1607" s="283">
        <f>РПЗ!Z1835</f>
        <v>0</v>
      </c>
      <c r="L1607" s="17"/>
      <c r="M1607" s="18">
        <f>РПЗ!O1607</f>
        <v>0</v>
      </c>
      <c r="N1607" s="238">
        <f>Таблица5[[#This Row],[10]]</f>
        <v>0</v>
      </c>
      <c r="O1607" s="17"/>
      <c r="P1607" s="17"/>
      <c r="Q1607" s="17"/>
      <c r="R1607" s="17"/>
      <c r="S1607" s="17"/>
      <c r="T1607" s="686"/>
      <c r="U1607" s="18">
        <f>РПЗ!P1835</f>
        <v>0</v>
      </c>
      <c r="V1607" s="686"/>
      <c r="W1607" s="236">
        <f>РПЗ!L1835</f>
        <v>0</v>
      </c>
      <c r="X1607" s="689"/>
      <c r="Y1607" s="689"/>
      <c r="Z1607" s="690"/>
      <c r="AA1607" s="691"/>
      <c r="AB1607" s="111"/>
      <c r="AC1607" s="17"/>
      <c r="AD1607" s="690"/>
      <c r="AE1607" s="686"/>
      <c r="AF1607" s="474"/>
      <c r="AG1607" s="692"/>
      <c r="AH1607" s="236" t="str">
        <f>IF(Таблица5[[#This Row],[30]]=0,"НД",Таблица5[[#This Row],[20]]-Таблица5[[#This Row],[30]])</f>
        <v>НД</v>
      </c>
      <c r="AI1607" s="511" t="e">
        <f>IF(((1-Таблица5[[#This Row],[30]]/Таблица5[[#This Row],[20]])=1),"НД",(1-Таблица5[[#This Row],[30]]/Таблица5[[#This Row],[20]]))</f>
        <v>#DIV/0!</v>
      </c>
      <c r="AJ1607" s="111"/>
      <c r="AK1607" s="111"/>
      <c r="AL1607" s="512"/>
      <c r="AM1607" s="513"/>
      <c r="AN1607" s="465"/>
      <c r="AO1607" s="468">
        <f>РПЗ!AD1835</f>
        <v>0</v>
      </c>
      <c r="AP1607" s="472">
        <f>РПЗ!V1835</f>
        <v>0</v>
      </c>
      <c r="AQ1607" s="470">
        <f>IF(Таблица5[[#This Row],[11]]=0,,MONTH(Таблица5[[#This Row],[11]]))</f>
        <v>0</v>
      </c>
    </row>
    <row r="1608" spans="1:43" x14ac:dyDescent="0.25">
      <c r="A1608" s="233">
        <f t="shared" si="26"/>
        <v>0</v>
      </c>
      <c r="B1608" s="233">
        <f>РПЗ!$D1608</f>
        <v>0</v>
      </c>
      <c r="C1608" s="233">
        <f>РПЗ!$AA1659</f>
        <v>0</v>
      </c>
      <c r="D1608" s="633">
        <f>РПЗ!$AB1659</f>
        <v>0</v>
      </c>
      <c r="E1608" s="510"/>
      <c r="F1608" s="233">
        <f>РПЗ!Q1608</f>
        <v>0</v>
      </c>
      <c r="G1608" s="237">
        <f>Таблица5[[#This Row],[6]]</f>
        <v>0</v>
      </c>
      <c r="H1608" s="237">
        <f>РПЗ!R1608</f>
        <v>0</v>
      </c>
      <c r="I1608" s="15">
        <f>РПЗ!W1836</f>
        <v>0</v>
      </c>
      <c r="J1608" s="233">
        <f>РПЗ!X1836</f>
        <v>0</v>
      </c>
      <c r="K1608" s="283">
        <f>РПЗ!Z1836</f>
        <v>0</v>
      </c>
      <c r="L1608" s="17"/>
      <c r="M1608" s="18">
        <f>РПЗ!O1608</f>
        <v>0</v>
      </c>
      <c r="N1608" s="238">
        <f>Таблица5[[#This Row],[10]]</f>
        <v>0</v>
      </c>
      <c r="O1608" s="17"/>
      <c r="P1608" s="17"/>
      <c r="Q1608" s="17"/>
      <c r="R1608" s="17"/>
      <c r="S1608" s="17"/>
      <c r="T1608" s="686"/>
      <c r="U1608" s="18">
        <f>РПЗ!P1836</f>
        <v>0</v>
      </c>
      <c r="V1608" s="686"/>
      <c r="W1608" s="236">
        <f>РПЗ!L1836</f>
        <v>0</v>
      </c>
      <c r="X1608" s="689"/>
      <c r="Y1608" s="689"/>
      <c r="Z1608" s="690"/>
      <c r="AA1608" s="691"/>
      <c r="AB1608" s="111"/>
      <c r="AC1608" s="17"/>
      <c r="AD1608" s="690"/>
      <c r="AE1608" s="686"/>
      <c r="AF1608" s="474"/>
      <c r="AG1608" s="692"/>
      <c r="AH1608" s="236" t="str">
        <f>IF(Таблица5[[#This Row],[30]]=0,"НД",Таблица5[[#This Row],[20]]-Таблица5[[#This Row],[30]])</f>
        <v>НД</v>
      </c>
      <c r="AI1608" s="511" t="e">
        <f>IF(((1-Таблица5[[#This Row],[30]]/Таблица5[[#This Row],[20]])=1),"НД",(1-Таблица5[[#This Row],[30]]/Таблица5[[#This Row],[20]]))</f>
        <v>#DIV/0!</v>
      </c>
      <c r="AJ1608" s="111"/>
      <c r="AK1608" s="111"/>
      <c r="AL1608" s="512"/>
      <c r="AM1608" s="513"/>
      <c r="AN1608" s="465"/>
      <c r="AO1608" s="468">
        <f>РПЗ!AD1836</f>
        <v>0</v>
      </c>
      <c r="AP1608" s="472">
        <f>РПЗ!V1836</f>
        <v>0</v>
      </c>
      <c r="AQ1608" s="470">
        <f>IF(Таблица5[[#This Row],[11]]=0,,MONTH(Таблица5[[#This Row],[11]]))</f>
        <v>0</v>
      </c>
    </row>
    <row r="1609" spans="1:43" x14ac:dyDescent="0.25">
      <c r="A1609" s="233">
        <f t="shared" si="26"/>
        <v>0</v>
      </c>
      <c r="B1609" s="233">
        <f>РПЗ!$D1609</f>
        <v>0</v>
      </c>
      <c r="C1609" s="233">
        <f>РПЗ!$AA1660</f>
        <v>0</v>
      </c>
      <c r="D1609" s="633">
        <f>РПЗ!$AB1660</f>
        <v>0</v>
      </c>
      <c r="E1609" s="510"/>
      <c r="F1609" s="233">
        <f>РПЗ!Q1609</f>
        <v>0</v>
      </c>
      <c r="G1609" s="237">
        <f>Таблица5[[#This Row],[6]]</f>
        <v>0</v>
      </c>
      <c r="H1609" s="237">
        <f>РПЗ!R1609</f>
        <v>0</v>
      </c>
      <c r="I1609" s="15">
        <f>РПЗ!W1837</f>
        <v>0</v>
      </c>
      <c r="J1609" s="233">
        <f>РПЗ!X1837</f>
        <v>0</v>
      </c>
      <c r="K1609" s="283">
        <f>РПЗ!Z1837</f>
        <v>0</v>
      </c>
      <c r="L1609" s="17"/>
      <c r="M1609" s="18">
        <f>РПЗ!O1609</f>
        <v>0</v>
      </c>
      <c r="N1609" s="238">
        <f>Таблица5[[#This Row],[10]]</f>
        <v>0</v>
      </c>
      <c r="O1609" s="17"/>
      <c r="P1609" s="17"/>
      <c r="Q1609" s="17"/>
      <c r="R1609" s="17"/>
      <c r="S1609" s="17"/>
      <c r="T1609" s="686"/>
      <c r="U1609" s="18">
        <f>РПЗ!P1837</f>
        <v>0</v>
      </c>
      <c r="V1609" s="686"/>
      <c r="W1609" s="236">
        <f>РПЗ!L1837</f>
        <v>0</v>
      </c>
      <c r="X1609" s="689"/>
      <c r="Y1609" s="689"/>
      <c r="Z1609" s="690"/>
      <c r="AA1609" s="691"/>
      <c r="AB1609" s="111"/>
      <c r="AC1609" s="17"/>
      <c r="AD1609" s="690"/>
      <c r="AE1609" s="686"/>
      <c r="AF1609" s="474"/>
      <c r="AG1609" s="692"/>
      <c r="AH1609" s="236" t="str">
        <f>IF(Таблица5[[#This Row],[30]]=0,"НД",Таблица5[[#This Row],[20]]-Таблица5[[#This Row],[30]])</f>
        <v>НД</v>
      </c>
      <c r="AI1609" s="511" t="e">
        <f>IF(((1-Таблица5[[#This Row],[30]]/Таблица5[[#This Row],[20]])=1),"НД",(1-Таблица5[[#This Row],[30]]/Таблица5[[#This Row],[20]]))</f>
        <v>#DIV/0!</v>
      </c>
      <c r="AJ1609" s="111"/>
      <c r="AK1609" s="111"/>
      <c r="AL1609" s="512"/>
      <c r="AM1609" s="513"/>
      <c r="AN1609" s="465"/>
      <c r="AO1609" s="468">
        <f>РПЗ!AD1837</f>
        <v>0</v>
      </c>
      <c r="AP1609" s="472">
        <f>РПЗ!V1837</f>
        <v>0</v>
      </c>
      <c r="AQ1609" s="470">
        <f>IF(Таблица5[[#This Row],[11]]=0,,MONTH(Таблица5[[#This Row],[11]]))</f>
        <v>0</v>
      </c>
    </row>
    <row r="1610" spans="1:43" x14ac:dyDescent="0.25">
      <c r="A1610" s="233">
        <f t="shared" si="26"/>
        <v>0</v>
      </c>
      <c r="B1610" s="233">
        <f>РПЗ!$D1610</f>
        <v>0</v>
      </c>
      <c r="C1610" s="233">
        <f>РПЗ!$AA1661</f>
        <v>0</v>
      </c>
      <c r="D1610" s="633">
        <f>РПЗ!$AB1661</f>
        <v>0</v>
      </c>
      <c r="E1610" s="510"/>
      <c r="F1610" s="233">
        <f>РПЗ!Q1610</f>
        <v>0</v>
      </c>
      <c r="G1610" s="237">
        <f>Таблица5[[#This Row],[6]]</f>
        <v>0</v>
      </c>
      <c r="H1610" s="237">
        <f>РПЗ!R1610</f>
        <v>0</v>
      </c>
      <c r="I1610" s="15">
        <f>РПЗ!W1838</f>
        <v>0</v>
      </c>
      <c r="J1610" s="233">
        <f>РПЗ!X1838</f>
        <v>0</v>
      </c>
      <c r="K1610" s="283">
        <f>РПЗ!Z1838</f>
        <v>0</v>
      </c>
      <c r="L1610" s="17"/>
      <c r="M1610" s="18">
        <f>РПЗ!O1610</f>
        <v>0</v>
      </c>
      <c r="N1610" s="238">
        <f>Таблица5[[#This Row],[10]]</f>
        <v>0</v>
      </c>
      <c r="O1610" s="17"/>
      <c r="P1610" s="17"/>
      <c r="Q1610" s="17"/>
      <c r="R1610" s="17"/>
      <c r="S1610" s="17"/>
      <c r="T1610" s="686"/>
      <c r="U1610" s="18">
        <f>РПЗ!P1838</f>
        <v>0</v>
      </c>
      <c r="V1610" s="686"/>
      <c r="W1610" s="236">
        <f>РПЗ!L1838</f>
        <v>0</v>
      </c>
      <c r="X1610" s="689"/>
      <c r="Y1610" s="689"/>
      <c r="Z1610" s="690"/>
      <c r="AA1610" s="691"/>
      <c r="AB1610" s="111"/>
      <c r="AC1610" s="17"/>
      <c r="AD1610" s="690"/>
      <c r="AE1610" s="686"/>
      <c r="AF1610" s="474"/>
      <c r="AG1610" s="692"/>
      <c r="AH1610" s="236" t="str">
        <f>IF(Таблица5[[#This Row],[30]]=0,"НД",Таблица5[[#This Row],[20]]-Таблица5[[#This Row],[30]])</f>
        <v>НД</v>
      </c>
      <c r="AI1610" s="511" t="e">
        <f>IF(((1-Таблица5[[#This Row],[30]]/Таблица5[[#This Row],[20]])=1),"НД",(1-Таблица5[[#This Row],[30]]/Таблица5[[#This Row],[20]]))</f>
        <v>#DIV/0!</v>
      </c>
      <c r="AJ1610" s="111"/>
      <c r="AK1610" s="111"/>
      <c r="AL1610" s="512"/>
      <c r="AM1610" s="513"/>
      <c r="AN1610" s="465"/>
      <c r="AO1610" s="468">
        <f>РПЗ!AD1838</f>
        <v>0</v>
      </c>
      <c r="AP1610" s="472">
        <f>РПЗ!V1838</f>
        <v>0</v>
      </c>
      <c r="AQ1610" s="470">
        <f>IF(Таблица5[[#This Row],[11]]=0,,MONTH(Таблица5[[#This Row],[11]]))</f>
        <v>0</v>
      </c>
    </row>
    <row r="1611" spans="1:43" x14ac:dyDescent="0.25">
      <c r="A1611" s="233">
        <f t="shared" si="26"/>
        <v>0</v>
      </c>
      <c r="B1611" s="233">
        <f>РПЗ!$D1611</f>
        <v>0</v>
      </c>
      <c r="C1611" s="233">
        <f>РПЗ!$AA1662</f>
        <v>0</v>
      </c>
      <c r="D1611" s="633">
        <f>РПЗ!$AB1662</f>
        <v>0</v>
      </c>
      <c r="E1611" s="510"/>
      <c r="F1611" s="233">
        <f>РПЗ!Q1611</f>
        <v>0</v>
      </c>
      <c r="G1611" s="237">
        <f>Таблица5[[#This Row],[6]]</f>
        <v>0</v>
      </c>
      <c r="H1611" s="237">
        <f>РПЗ!R1611</f>
        <v>0</v>
      </c>
      <c r="I1611" s="15">
        <f>РПЗ!W1839</f>
        <v>0</v>
      </c>
      <c r="J1611" s="233">
        <f>РПЗ!X1839</f>
        <v>0</v>
      </c>
      <c r="K1611" s="283">
        <f>РПЗ!Z1839</f>
        <v>0</v>
      </c>
      <c r="L1611" s="17"/>
      <c r="M1611" s="18">
        <f>РПЗ!O1611</f>
        <v>0</v>
      </c>
      <c r="N1611" s="238">
        <f>Таблица5[[#This Row],[10]]</f>
        <v>0</v>
      </c>
      <c r="O1611" s="17"/>
      <c r="P1611" s="17"/>
      <c r="Q1611" s="17"/>
      <c r="R1611" s="17"/>
      <c r="S1611" s="17"/>
      <c r="T1611" s="686"/>
      <c r="U1611" s="18">
        <f>РПЗ!P1839</f>
        <v>0</v>
      </c>
      <c r="V1611" s="686"/>
      <c r="W1611" s="236">
        <f>РПЗ!L1839</f>
        <v>0</v>
      </c>
      <c r="X1611" s="689"/>
      <c r="Y1611" s="689"/>
      <c r="Z1611" s="690"/>
      <c r="AA1611" s="691"/>
      <c r="AB1611" s="111"/>
      <c r="AC1611" s="17"/>
      <c r="AD1611" s="690"/>
      <c r="AE1611" s="686"/>
      <c r="AF1611" s="474"/>
      <c r="AG1611" s="692"/>
      <c r="AH1611" s="236" t="str">
        <f>IF(Таблица5[[#This Row],[30]]=0,"НД",Таблица5[[#This Row],[20]]-Таблица5[[#This Row],[30]])</f>
        <v>НД</v>
      </c>
      <c r="AI1611" s="511" t="e">
        <f>IF(((1-Таблица5[[#This Row],[30]]/Таблица5[[#This Row],[20]])=1),"НД",(1-Таблица5[[#This Row],[30]]/Таблица5[[#This Row],[20]]))</f>
        <v>#DIV/0!</v>
      </c>
      <c r="AJ1611" s="111"/>
      <c r="AK1611" s="111"/>
      <c r="AL1611" s="512"/>
      <c r="AM1611" s="513"/>
      <c r="AN1611" s="465"/>
      <c r="AO1611" s="468">
        <f>РПЗ!AD1839</f>
        <v>0</v>
      </c>
      <c r="AP1611" s="472">
        <f>РПЗ!V1839</f>
        <v>0</v>
      </c>
      <c r="AQ1611" s="470">
        <f>IF(Таблица5[[#This Row],[11]]=0,,MONTH(Таблица5[[#This Row],[11]]))</f>
        <v>0</v>
      </c>
    </row>
    <row r="1612" spans="1:43" x14ac:dyDescent="0.25">
      <c r="A1612" s="233">
        <f t="shared" si="26"/>
        <v>0</v>
      </c>
      <c r="B1612" s="233">
        <f>РПЗ!$D1612</f>
        <v>0</v>
      </c>
      <c r="C1612" s="233">
        <f>РПЗ!$AA1663</f>
        <v>0</v>
      </c>
      <c r="D1612" s="633">
        <f>РПЗ!$AB1663</f>
        <v>0</v>
      </c>
      <c r="E1612" s="510"/>
      <c r="F1612" s="233">
        <f>РПЗ!Q1612</f>
        <v>0</v>
      </c>
      <c r="G1612" s="237">
        <f>Таблица5[[#This Row],[6]]</f>
        <v>0</v>
      </c>
      <c r="H1612" s="237">
        <f>РПЗ!R1612</f>
        <v>0</v>
      </c>
      <c r="I1612" s="15">
        <f>РПЗ!W1840</f>
        <v>0</v>
      </c>
      <c r="J1612" s="233">
        <f>РПЗ!X1840</f>
        <v>0</v>
      </c>
      <c r="K1612" s="283">
        <f>РПЗ!Z1840</f>
        <v>0</v>
      </c>
      <c r="L1612" s="17"/>
      <c r="M1612" s="18">
        <f>РПЗ!O1612</f>
        <v>0</v>
      </c>
      <c r="N1612" s="238">
        <f>Таблица5[[#This Row],[10]]</f>
        <v>0</v>
      </c>
      <c r="O1612" s="17"/>
      <c r="P1612" s="17"/>
      <c r="Q1612" s="17"/>
      <c r="R1612" s="17"/>
      <c r="S1612" s="17"/>
      <c r="T1612" s="686"/>
      <c r="U1612" s="18">
        <f>РПЗ!P1840</f>
        <v>0</v>
      </c>
      <c r="V1612" s="686"/>
      <c r="W1612" s="236">
        <f>РПЗ!L1840</f>
        <v>0</v>
      </c>
      <c r="X1612" s="689"/>
      <c r="Y1612" s="689"/>
      <c r="Z1612" s="690"/>
      <c r="AA1612" s="691"/>
      <c r="AB1612" s="111"/>
      <c r="AC1612" s="17"/>
      <c r="AD1612" s="690"/>
      <c r="AE1612" s="686"/>
      <c r="AF1612" s="474"/>
      <c r="AG1612" s="692"/>
      <c r="AH1612" s="236" t="str">
        <f>IF(Таблица5[[#This Row],[30]]=0,"НД",Таблица5[[#This Row],[20]]-Таблица5[[#This Row],[30]])</f>
        <v>НД</v>
      </c>
      <c r="AI1612" s="511" t="e">
        <f>IF(((1-Таблица5[[#This Row],[30]]/Таблица5[[#This Row],[20]])=1),"НД",(1-Таблица5[[#This Row],[30]]/Таблица5[[#This Row],[20]]))</f>
        <v>#DIV/0!</v>
      </c>
      <c r="AJ1612" s="111"/>
      <c r="AK1612" s="111"/>
      <c r="AL1612" s="512"/>
      <c r="AM1612" s="513"/>
      <c r="AN1612" s="465"/>
      <c r="AO1612" s="468">
        <f>РПЗ!AD1840</f>
        <v>0</v>
      </c>
      <c r="AP1612" s="472">
        <f>РПЗ!V1840</f>
        <v>0</v>
      </c>
      <c r="AQ1612" s="470">
        <f>IF(Таблица5[[#This Row],[11]]=0,,MONTH(Таблица5[[#This Row],[11]]))</f>
        <v>0</v>
      </c>
    </row>
    <row r="1613" spans="1:43" x14ac:dyDescent="0.25">
      <c r="A1613" s="233">
        <f t="shared" si="26"/>
        <v>0</v>
      </c>
      <c r="B1613" s="233">
        <f>РПЗ!$D1613</f>
        <v>0</v>
      </c>
      <c r="C1613" s="233">
        <f>РПЗ!$AA1664</f>
        <v>0</v>
      </c>
      <c r="D1613" s="633">
        <f>РПЗ!$AB1664</f>
        <v>0</v>
      </c>
      <c r="E1613" s="510"/>
      <c r="F1613" s="233">
        <f>РПЗ!Q1613</f>
        <v>0</v>
      </c>
      <c r="G1613" s="237">
        <f>Таблица5[[#This Row],[6]]</f>
        <v>0</v>
      </c>
      <c r="H1613" s="237">
        <f>РПЗ!R1613</f>
        <v>0</v>
      </c>
      <c r="I1613" s="15">
        <f>РПЗ!W1841</f>
        <v>0</v>
      </c>
      <c r="J1613" s="233">
        <f>РПЗ!X1841</f>
        <v>0</v>
      </c>
      <c r="K1613" s="283">
        <f>РПЗ!Z1841</f>
        <v>0</v>
      </c>
      <c r="L1613" s="17"/>
      <c r="M1613" s="18">
        <f>РПЗ!O1613</f>
        <v>0</v>
      </c>
      <c r="N1613" s="238">
        <f>Таблица5[[#This Row],[10]]</f>
        <v>0</v>
      </c>
      <c r="O1613" s="17"/>
      <c r="P1613" s="17"/>
      <c r="Q1613" s="17"/>
      <c r="R1613" s="17"/>
      <c r="S1613" s="17"/>
      <c r="T1613" s="686"/>
      <c r="U1613" s="18">
        <f>РПЗ!P1841</f>
        <v>0</v>
      </c>
      <c r="V1613" s="686"/>
      <c r="W1613" s="236">
        <f>РПЗ!L1841</f>
        <v>0</v>
      </c>
      <c r="X1613" s="689"/>
      <c r="Y1613" s="689"/>
      <c r="Z1613" s="690"/>
      <c r="AA1613" s="691"/>
      <c r="AB1613" s="111"/>
      <c r="AC1613" s="17"/>
      <c r="AD1613" s="690"/>
      <c r="AE1613" s="686"/>
      <c r="AF1613" s="474"/>
      <c r="AG1613" s="692"/>
      <c r="AH1613" s="236" t="str">
        <f>IF(Таблица5[[#This Row],[30]]=0,"НД",Таблица5[[#This Row],[20]]-Таблица5[[#This Row],[30]])</f>
        <v>НД</v>
      </c>
      <c r="AI1613" s="511" t="e">
        <f>IF(((1-Таблица5[[#This Row],[30]]/Таблица5[[#This Row],[20]])=1),"НД",(1-Таблица5[[#This Row],[30]]/Таблица5[[#This Row],[20]]))</f>
        <v>#DIV/0!</v>
      </c>
      <c r="AJ1613" s="111"/>
      <c r="AK1613" s="111"/>
      <c r="AL1613" s="512"/>
      <c r="AM1613" s="513"/>
      <c r="AN1613" s="465"/>
      <c r="AO1613" s="468">
        <f>РПЗ!AD1841</f>
        <v>0</v>
      </c>
      <c r="AP1613" s="472">
        <f>РПЗ!V1841</f>
        <v>0</v>
      </c>
      <c r="AQ1613" s="470">
        <f>IF(Таблица5[[#This Row],[11]]=0,,MONTH(Таблица5[[#This Row],[11]]))</f>
        <v>0</v>
      </c>
    </row>
    <row r="1614" spans="1:43" x14ac:dyDescent="0.25">
      <c r="A1614" s="233">
        <f t="shared" si="26"/>
        <v>0</v>
      </c>
      <c r="B1614" s="233">
        <f>РПЗ!$D1614</f>
        <v>0</v>
      </c>
      <c r="C1614" s="233">
        <f>РПЗ!$AA1665</f>
        <v>0</v>
      </c>
      <c r="D1614" s="633">
        <f>РПЗ!$AB1665</f>
        <v>0</v>
      </c>
      <c r="E1614" s="510"/>
      <c r="F1614" s="233">
        <f>РПЗ!Q1614</f>
        <v>0</v>
      </c>
      <c r="G1614" s="237">
        <f>Таблица5[[#This Row],[6]]</f>
        <v>0</v>
      </c>
      <c r="H1614" s="237">
        <f>РПЗ!R1614</f>
        <v>0</v>
      </c>
      <c r="I1614" s="15">
        <f>РПЗ!W1842</f>
        <v>0</v>
      </c>
      <c r="J1614" s="233">
        <f>РПЗ!X1842</f>
        <v>0</v>
      </c>
      <c r="K1614" s="283">
        <f>РПЗ!Z1842</f>
        <v>0</v>
      </c>
      <c r="L1614" s="17"/>
      <c r="M1614" s="18">
        <f>РПЗ!O1614</f>
        <v>0</v>
      </c>
      <c r="N1614" s="238">
        <f>Таблица5[[#This Row],[10]]</f>
        <v>0</v>
      </c>
      <c r="O1614" s="17"/>
      <c r="P1614" s="17"/>
      <c r="Q1614" s="17"/>
      <c r="R1614" s="17"/>
      <c r="S1614" s="17"/>
      <c r="T1614" s="686"/>
      <c r="U1614" s="18">
        <f>РПЗ!P1842</f>
        <v>0</v>
      </c>
      <c r="V1614" s="686"/>
      <c r="W1614" s="236">
        <f>РПЗ!L1842</f>
        <v>0</v>
      </c>
      <c r="X1614" s="689"/>
      <c r="Y1614" s="689"/>
      <c r="Z1614" s="690"/>
      <c r="AA1614" s="691"/>
      <c r="AB1614" s="111"/>
      <c r="AC1614" s="17"/>
      <c r="AD1614" s="690"/>
      <c r="AE1614" s="686"/>
      <c r="AF1614" s="474"/>
      <c r="AG1614" s="692"/>
      <c r="AH1614" s="236" t="str">
        <f>IF(Таблица5[[#This Row],[30]]=0,"НД",Таблица5[[#This Row],[20]]-Таблица5[[#This Row],[30]])</f>
        <v>НД</v>
      </c>
      <c r="AI1614" s="511" t="e">
        <f>IF(((1-Таблица5[[#This Row],[30]]/Таблица5[[#This Row],[20]])=1),"НД",(1-Таблица5[[#This Row],[30]]/Таблица5[[#This Row],[20]]))</f>
        <v>#DIV/0!</v>
      </c>
      <c r="AJ1614" s="111"/>
      <c r="AK1614" s="111"/>
      <c r="AL1614" s="512"/>
      <c r="AM1614" s="513"/>
      <c r="AN1614" s="465"/>
      <c r="AO1614" s="468">
        <f>РПЗ!AD1842</f>
        <v>0</v>
      </c>
      <c r="AP1614" s="472">
        <f>РПЗ!V1842</f>
        <v>0</v>
      </c>
      <c r="AQ1614" s="470">
        <f>IF(Таблица5[[#This Row],[11]]=0,,MONTH(Таблица5[[#This Row],[11]]))</f>
        <v>0</v>
      </c>
    </row>
    <row r="1615" spans="1:43" x14ac:dyDescent="0.25">
      <c r="A1615" s="233">
        <f t="shared" si="26"/>
        <v>0</v>
      </c>
      <c r="B1615" s="233">
        <f>РПЗ!$D1615</f>
        <v>0</v>
      </c>
      <c r="C1615" s="233">
        <f>РПЗ!$AA1666</f>
        <v>0</v>
      </c>
      <c r="D1615" s="633">
        <f>РПЗ!$AB1666</f>
        <v>0</v>
      </c>
      <c r="E1615" s="510"/>
      <c r="F1615" s="233">
        <f>РПЗ!Q1615</f>
        <v>0</v>
      </c>
      <c r="G1615" s="237">
        <f>Таблица5[[#This Row],[6]]</f>
        <v>0</v>
      </c>
      <c r="H1615" s="237">
        <f>РПЗ!R1615</f>
        <v>0</v>
      </c>
      <c r="I1615" s="15">
        <f>РПЗ!W1843</f>
        <v>0</v>
      </c>
      <c r="J1615" s="233">
        <f>РПЗ!X1843</f>
        <v>0</v>
      </c>
      <c r="K1615" s="283">
        <f>РПЗ!Z1843</f>
        <v>0</v>
      </c>
      <c r="L1615" s="17"/>
      <c r="M1615" s="18">
        <f>РПЗ!O1615</f>
        <v>0</v>
      </c>
      <c r="N1615" s="238">
        <f>Таблица5[[#This Row],[10]]</f>
        <v>0</v>
      </c>
      <c r="O1615" s="17"/>
      <c r="P1615" s="17"/>
      <c r="Q1615" s="17"/>
      <c r="R1615" s="17"/>
      <c r="S1615" s="17"/>
      <c r="T1615" s="686"/>
      <c r="U1615" s="18">
        <f>РПЗ!P1843</f>
        <v>0</v>
      </c>
      <c r="V1615" s="686"/>
      <c r="W1615" s="236">
        <f>РПЗ!L1843</f>
        <v>0</v>
      </c>
      <c r="X1615" s="689"/>
      <c r="Y1615" s="689"/>
      <c r="Z1615" s="690"/>
      <c r="AA1615" s="691"/>
      <c r="AB1615" s="111"/>
      <c r="AC1615" s="17"/>
      <c r="AD1615" s="690"/>
      <c r="AE1615" s="686"/>
      <c r="AF1615" s="474"/>
      <c r="AG1615" s="692"/>
      <c r="AH1615" s="236" t="str">
        <f>IF(Таблица5[[#This Row],[30]]=0,"НД",Таблица5[[#This Row],[20]]-Таблица5[[#This Row],[30]])</f>
        <v>НД</v>
      </c>
      <c r="AI1615" s="511" t="e">
        <f>IF(((1-Таблица5[[#This Row],[30]]/Таблица5[[#This Row],[20]])=1),"НД",(1-Таблица5[[#This Row],[30]]/Таблица5[[#This Row],[20]]))</f>
        <v>#DIV/0!</v>
      </c>
      <c r="AJ1615" s="111"/>
      <c r="AK1615" s="111"/>
      <c r="AL1615" s="512"/>
      <c r="AM1615" s="513"/>
      <c r="AN1615" s="465"/>
      <c r="AO1615" s="468">
        <f>РПЗ!AD1843</f>
        <v>0</v>
      </c>
      <c r="AP1615" s="472">
        <f>РПЗ!V1843</f>
        <v>0</v>
      </c>
      <c r="AQ1615" s="470">
        <f>IF(Таблица5[[#This Row],[11]]=0,,MONTH(Таблица5[[#This Row],[11]]))</f>
        <v>0</v>
      </c>
    </row>
    <row r="1616" spans="1:43" x14ac:dyDescent="0.25">
      <c r="A1616" s="233">
        <f t="shared" si="26"/>
        <v>0</v>
      </c>
      <c r="B1616" s="233">
        <f>РПЗ!$D1616</f>
        <v>0</v>
      </c>
      <c r="C1616" s="233">
        <f>РПЗ!$AA1667</f>
        <v>0</v>
      </c>
      <c r="D1616" s="633">
        <f>РПЗ!$AB1667</f>
        <v>0</v>
      </c>
      <c r="E1616" s="510"/>
      <c r="F1616" s="233">
        <f>РПЗ!Q1616</f>
        <v>0</v>
      </c>
      <c r="G1616" s="237">
        <f>Таблица5[[#This Row],[6]]</f>
        <v>0</v>
      </c>
      <c r="H1616" s="237">
        <f>РПЗ!R1616</f>
        <v>0</v>
      </c>
      <c r="I1616" s="15">
        <f>РПЗ!W1844</f>
        <v>0</v>
      </c>
      <c r="J1616" s="233">
        <f>РПЗ!X1844</f>
        <v>0</v>
      </c>
      <c r="K1616" s="283">
        <f>РПЗ!Z1844</f>
        <v>0</v>
      </c>
      <c r="L1616" s="17"/>
      <c r="M1616" s="18">
        <f>РПЗ!O1616</f>
        <v>0</v>
      </c>
      <c r="N1616" s="238">
        <f>Таблица5[[#This Row],[10]]</f>
        <v>0</v>
      </c>
      <c r="O1616" s="17"/>
      <c r="P1616" s="17"/>
      <c r="Q1616" s="17"/>
      <c r="R1616" s="17"/>
      <c r="S1616" s="17"/>
      <c r="T1616" s="686"/>
      <c r="U1616" s="18">
        <f>РПЗ!P1844</f>
        <v>0</v>
      </c>
      <c r="V1616" s="686"/>
      <c r="W1616" s="236">
        <f>РПЗ!L1844</f>
        <v>0</v>
      </c>
      <c r="X1616" s="689"/>
      <c r="Y1616" s="689"/>
      <c r="Z1616" s="690"/>
      <c r="AA1616" s="691"/>
      <c r="AB1616" s="111"/>
      <c r="AC1616" s="17"/>
      <c r="AD1616" s="690"/>
      <c r="AE1616" s="686"/>
      <c r="AF1616" s="474"/>
      <c r="AG1616" s="692"/>
      <c r="AH1616" s="236" t="str">
        <f>IF(Таблица5[[#This Row],[30]]=0,"НД",Таблица5[[#This Row],[20]]-Таблица5[[#This Row],[30]])</f>
        <v>НД</v>
      </c>
      <c r="AI1616" s="511" t="e">
        <f>IF(((1-Таблица5[[#This Row],[30]]/Таблица5[[#This Row],[20]])=1),"НД",(1-Таблица5[[#This Row],[30]]/Таблица5[[#This Row],[20]]))</f>
        <v>#DIV/0!</v>
      </c>
      <c r="AJ1616" s="111"/>
      <c r="AK1616" s="111"/>
      <c r="AL1616" s="512"/>
      <c r="AM1616" s="513"/>
      <c r="AN1616" s="465"/>
      <c r="AO1616" s="468">
        <f>РПЗ!AD1844</f>
        <v>0</v>
      </c>
      <c r="AP1616" s="472">
        <f>РПЗ!V1844</f>
        <v>0</v>
      </c>
      <c r="AQ1616" s="470">
        <f>IF(Таблица5[[#This Row],[11]]=0,,MONTH(Таблица5[[#This Row],[11]]))</f>
        <v>0</v>
      </c>
    </row>
    <row r="1617" spans="1:43" x14ac:dyDescent="0.25">
      <c r="A1617" s="233">
        <f t="shared" si="26"/>
        <v>0</v>
      </c>
      <c r="B1617" s="233">
        <f>РПЗ!$D1617</f>
        <v>0</v>
      </c>
      <c r="C1617" s="233">
        <f>РПЗ!$AA1668</f>
        <v>0</v>
      </c>
      <c r="D1617" s="633">
        <f>РПЗ!$AB1668</f>
        <v>0</v>
      </c>
      <c r="E1617" s="510"/>
      <c r="F1617" s="233">
        <f>РПЗ!Q1617</f>
        <v>0</v>
      </c>
      <c r="G1617" s="237">
        <f>Таблица5[[#This Row],[6]]</f>
        <v>0</v>
      </c>
      <c r="H1617" s="237">
        <f>РПЗ!R1617</f>
        <v>0</v>
      </c>
      <c r="I1617" s="15">
        <f>РПЗ!W1845</f>
        <v>0</v>
      </c>
      <c r="J1617" s="233">
        <f>РПЗ!X1845</f>
        <v>0</v>
      </c>
      <c r="K1617" s="283">
        <f>РПЗ!Z1845</f>
        <v>0</v>
      </c>
      <c r="L1617" s="17"/>
      <c r="M1617" s="18">
        <f>РПЗ!O1617</f>
        <v>0</v>
      </c>
      <c r="N1617" s="238">
        <f>Таблица5[[#This Row],[10]]</f>
        <v>0</v>
      </c>
      <c r="O1617" s="17"/>
      <c r="P1617" s="17"/>
      <c r="Q1617" s="17"/>
      <c r="R1617" s="17"/>
      <c r="S1617" s="17"/>
      <c r="T1617" s="686"/>
      <c r="U1617" s="18">
        <f>РПЗ!P1845</f>
        <v>0</v>
      </c>
      <c r="V1617" s="686"/>
      <c r="W1617" s="236">
        <f>РПЗ!L1845</f>
        <v>0</v>
      </c>
      <c r="X1617" s="689"/>
      <c r="Y1617" s="689"/>
      <c r="Z1617" s="690"/>
      <c r="AA1617" s="691"/>
      <c r="AB1617" s="111"/>
      <c r="AC1617" s="17"/>
      <c r="AD1617" s="690"/>
      <c r="AE1617" s="686"/>
      <c r="AF1617" s="474"/>
      <c r="AG1617" s="692"/>
      <c r="AH1617" s="236" t="str">
        <f>IF(Таблица5[[#This Row],[30]]=0,"НД",Таблица5[[#This Row],[20]]-Таблица5[[#This Row],[30]])</f>
        <v>НД</v>
      </c>
      <c r="AI1617" s="511" t="e">
        <f>IF(((1-Таблица5[[#This Row],[30]]/Таблица5[[#This Row],[20]])=1),"НД",(1-Таблица5[[#This Row],[30]]/Таблица5[[#This Row],[20]]))</f>
        <v>#DIV/0!</v>
      </c>
      <c r="AJ1617" s="111"/>
      <c r="AK1617" s="111"/>
      <c r="AL1617" s="512"/>
      <c r="AM1617" s="513"/>
      <c r="AN1617" s="465"/>
      <c r="AO1617" s="468">
        <f>РПЗ!AD1845</f>
        <v>0</v>
      </c>
      <c r="AP1617" s="472">
        <f>РПЗ!V1845</f>
        <v>0</v>
      </c>
      <c r="AQ1617" s="470">
        <f>IF(Таблица5[[#This Row],[11]]=0,,MONTH(Таблица5[[#This Row],[11]]))</f>
        <v>0</v>
      </c>
    </row>
    <row r="1618" spans="1:43" x14ac:dyDescent="0.25">
      <c r="A1618" s="233">
        <f t="shared" si="26"/>
        <v>0</v>
      </c>
      <c r="B1618" s="233">
        <f>РПЗ!$D1618</f>
        <v>0</v>
      </c>
      <c r="C1618" s="233">
        <f>РПЗ!$AA1669</f>
        <v>0</v>
      </c>
      <c r="D1618" s="633">
        <f>РПЗ!$AB1669</f>
        <v>0</v>
      </c>
      <c r="E1618" s="510"/>
      <c r="F1618" s="233">
        <f>РПЗ!Q1618</f>
        <v>0</v>
      </c>
      <c r="G1618" s="237">
        <f>Таблица5[[#This Row],[6]]</f>
        <v>0</v>
      </c>
      <c r="H1618" s="237">
        <f>РПЗ!R1618</f>
        <v>0</v>
      </c>
      <c r="I1618" s="15">
        <f>РПЗ!W1846</f>
        <v>0</v>
      </c>
      <c r="J1618" s="233">
        <f>РПЗ!X1846</f>
        <v>0</v>
      </c>
      <c r="K1618" s="283">
        <f>РПЗ!Z1846</f>
        <v>0</v>
      </c>
      <c r="L1618" s="17"/>
      <c r="M1618" s="18">
        <f>РПЗ!O1618</f>
        <v>0</v>
      </c>
      <c r="N1618" s="238">
        <f>Таблица5[[#This Row],[10]]</f>
        <v>0</v>
      </c>
      <c r="O1618" s="17"/>
      <c r="P1618" s="17"/>
      <c r="Q1618" s="17"/>
      <c r="R1618" s="17"/>
      <c r="S1618" s="17"/>
      <c r="T1618" s="686"/>
      <c r="U1618" s="18">
        <f>РПЗ!P1846</f>
        <v>0</v>
      </c>
      <c r="V1618" s="686"/>
      <c r="W1618" s="236">
        <f>РПЗ!L1846</f>
        <v>0</v>
      </c>
      <c r="X1618" s="689"/>
      <c r="Y1618" s="689"/>
      <c r="Z1618" s="690"/>
      <c r="AA1618" s="691"/>
      <c r="AB1618" s="111"/>
      <c r="AC1618" s="17"/>
      <c r="AD1618" s="690"/>
      <c r="AE1618" s="686"/>
      <c r="AF1618" s="474"/>
      <c r="AG1618" s="692"/>
      <c r="AH1618" s="236" t="str">
        <f>IF(Таблица5[[#This Row],[30]]=0,"НД",Таблица5[[#This Row],[20]]-Таблица5[[#This Row],[30]])</f>
        <v>НД</v>
      </c>
      <c r="AI1618" s="511" t="e">
        <f>IF(((1-Таблица5[[#This Row],[30]]/Таблица5[[#This Row],[20]])=1),"НД",(1-Таблица5[[#This Row],[30]]/Таблица5[[#This Row],[20]]))</f>
        <v>#DIV/0!</v>
      </c>
      <c r="AJ1618" s="111"/>
      <c r="AK1618" s="111"/>
      <c r="AL1618" s="512"/>
      <c r="AM1618" s="513"/>
      <c r="AN1618" s="465"/>
      <c r="AO1618" s="468">
        <f>РПЗ!AD1846</f>
        <v>0</v>
      </c>
      <c r="AP1618" s="472">
        <f>РПЗ!V1846</f>
        <v>0</v>
      </c>
      <c r="AQ1618" s="470">
        <f>IF(Таблица5[[#This Row],[11]]=0,,MONTH(Таблица5[[#This Row],[11]]))</f>
        <v>0</v>
      </c>
    </row>
    <row r="1619" spans="1:43" x14ac:dyDescent="0.25">
      <c r="A1619" s="233">
        <f t="shared" si="26"/>
        <v>0</v>
      </c>
      <c r="B1619" s="233">
        <f>РПЗ!$D1619</f>
        <v>0</v>
      </c>
      <c r="C1619" s="233">
        <f>РПЗ!$AA1670</f>
        <v>0</v>
      </c>
      <c r="D1619" s="633">
        <f>РПЗ!$AB1670</f>
        <v>0</v>
      </c>
      <c r="E1619" s="510"/>
      <c r="F1619" s="233">
        <f>РПЗ!Q1619</f>
        <v>0</v>
      </c>
      <c r="G1619" s="237">
        <f>Таблица5[[#This Row],[6]]</f>
        <v>0</v>
      </c>
      <c r="H1619" s="237">
        <f>РПЗ!R1619</f>
        <v>0</v>
      </c>
      <c r="I1619" s="15">
        <f>РПЗ!W1847</f>
        <v>0</v>
      </c>
      <c r="J1619" s="233">
        <f>РПЗ!X1847</f>
        <v>0</v>
      </c>
      <c r="K1619" s="283">
        <f>РПЗ!Z1847</f>
        <v>0</v>
      </c>
      <c r="L1619" s="17"/>
      <c r="M1619" s="18">
        <f>РПЗ!O1619</f>
        <v>0</v>
      </c>
      <c r="N1619" s="238">
        <f>Таблица5[[#This Row],[10]]</f>
        <v>0</v>
      </c>
      <c r="O1619" s="17"/>
      <c r="P1619" s="17"/>
      <c r="Q1619" s="17"/>
      <c r="R1619" s="17"/>
      <c r="S1619" s="17"/>
      <c r="T1619" s="686"/>
      <c r="U1619" s="18">
        <f>РПЗ!P1847</f>
        <v>0</v>
      </c>
      <c r="V1619" s="686"/>
      <c r="W1619" s="236">
        <f>РПЗ!L1847</f>
        <v>0</v>
      </c>
      <c r="X1619" s="689"/>
      <c r="Y1619" s="689"/>
      <c r="Z1619" s="690"/>
      <c r="AA1619" s="691"/>
      <c r="AB1619" s="111"/>
      <c r="AC1619" s="17"/>
      <c r="AD1619" s="690"/>
      <c r="AE1619" s="686"/>
      <c r="AF1619" s="474"/>
      <c r="AG1619" s="692"/>
      <c r="AH1619" s="236" t="str">
        <f>IF(Таблица5[[#This Row],[30]]=0,"НД",Таблица5[[#This Row],[20]]-Таблица5[[#This Row],[30]])</f>
        <v>НД</v>
      </c>
      <c r="AI1619" s="511" t="e">
        <f>IF(((1-Таблица5[[#This Row],[30]]/Таблица5[[#This Row],[20]])=1),"НД",(1-Таблица5[[#This Row],[30]]/Таблица5[[#This Row],[20]]))</f>
        <v>#DIV/0!</v>
      </c>
      <c r="AJ1619" s="111"/>
      <c r="AK1619" s="111"/>
      <c r="AL1619" s="512"/>
      <c r="AM1619" s="513"/>
      <c r="AN1619" s="465"/>
      <c r="AO1619" s="468">
        <f>РПЗ!AD1847</f>
        <v>0</v>
      </c>
      <c r="AP1619" s="472">
        <f>РПЗ!V1847</f>
        <v>0</v>
      </c>
      <c r="AQ1619" s="470">
        <f>IF(Таблица5[[#This Row],[11]]=0,,MONTH(Таблица5[[#This Row],[11]]))</f>
        <v>0</v>
      </c>
    </row>
    <row r="1620" spans="1:43" x14ac:dyDescent="0.25">
      <c r="A1620" s="233">
        <f t="shared" si="26"/>
        <v>0</v>
      </c>
      <c r="B1620" s="233">
        <f>РПЗ!$D1620</f>
        <v>0</v>
      </c>
      <c r="C1620" s="233">
        <f>РПЗ!$AA1671</f>
        <v>0</v>
      </c>
      <c r="D1620" s="633">
        <f>РПЗ!$AB1671</f>
        <v>0</v>
      </c>
      <c r="E1620" s="510"/>
      <c r="F1620" s="233">
        <f>РПЗ!Q1620</f>
        <v>0</v>
      </c>
      <c r="G1620" s="237">
        <f>Таблица5[[#This Row],[6]]</f>
        <v>0</v>
      </c>
      <c r="H1620" s="237">
        <f>РПЗ!R1620</f>
        <v>0</v>
      </c>
      <c r="I1620" s="15">
        <f>РПЗ!W1848</f>
        <v>0</v>
      </c>
      <c r="J1620" s="233">
        <f>РПЗ!X1848</f>
        <v>0</v>
      </c>
      <c r="K1620" s="283">
        <f>РПЗ!Z1848</f>
        <v>0</v>
      </c>
      <c r="L1620" s="17"/>
      <c r="M1620" s="18">
        <f>РПЗ!O1620</f>
        <v>0</v>
      </c>
      <c r="N1620" s="238">
        <f>Таблица5[[#This Row],[10]]</f>
        <v>0</v>
      </c>
      <c r="O1620" s="17"/>
      <c r="P1620" s="17"/>
      <c r="Q1620" s="17"/>
      <c r="R1620" s="17"/>
      <c r="S1620" s="17"/>
      <c r="T1620" s="686"/>
      <c r="U1620" s="18">
        <f>РПЗ!P1848</f>
        <v>0</v>
      </c>
      <c r="V1620" s="686"/>
      <c r="W1620" s="236">
        <f>РПЗ!L1848</f>
        <v>0</v>
      </c>
      <c r="X1620" s="689"/>
      <c r="Y1620" s="689"/>
      <c r="Z1620" s="690"/>
      <c r="AA1620" s="691"/>
      <c r="AB1620" s="111"/>
      <c r="AC1620" s="17"/>
      <c r="AD1620" s="690"/>
      <c r="AE1620" s="686"/>
      <c r="AF1620" s="474"/>
      <c r="AG1620" s="692"/>
      <c r="AH1620" s="236" t="str">
        <f>IF(Таблица5[[#This Row],[30]]=0,"НД",Таблица5[[#This Row],[20]]-Таблица5[[#This Row],[30]])</f>
        <v>НД</v>
      </c>
      <c r="AI1620" s="511" t="e">
        <f>IF(((1-Таблица5[[#This Row],[30]]/Таблица5[[#This Row],[20]])=1),"НД",(1-Таблица5[[#This Row],[30]]/Таблица5[[#This Row],[20]]))</f>
        <v>#DIV/0!</v>
      </c>
      <c r="AJ1620" s="111"/>
      <c r="AK1620" s="111"/>
      <c r="AL1620" s="512"/>
      <c r="AM1620" s="513"/>
      <c r="AN1620" s="465"/>
      <c r="AO1620" s="468">
        <f>РПЗ!AD1848</f>
        <v>0</v>
      </c>
      <c r="AP1620" s="472">
        <f>РПЗ!V1848</f>
        <v>0</v>
      </c>
      <c r="AQ1620" s="470">
        <f>IF(Таблица5[[#This Row],[11]]=0,,MONTH(Таблица5[[#This Row],[11]]))</f>
        <v>0</v>
      </c>
    </row>
    <row r="1621" spans="1:43" x14ac:dyDescent="0.25">
      <c r="A1621" s="233">
        <f t="shared" si="26"/>
        <v>0</v>
      </c>
      <c r="B1621" s="233">
        <f>РПЗ!$D1621</f>
        <v>0</v>
      </c>
      <c r="C1621" s="233">
        <f>РПЗ!$AA1672</f>
        <v>0</v>
      </c>
      <c r="D1621" s="633">
        <f>РПЗ!$AB1672</f>
        <v>0</v>
      </c>
      <c r="E1621" s="510"/>
      <c r="F1621" s="233">
        <f>РПЗ!Q1621</f>
        <v>0</v>
      </c>
      <c r="G1621" s="237">
        <f>Таблица5[[#This Row],[6]]</f>
        <v>0</v>
      </c>
      <c r="H1621" s="237">
        <f>РПЗ!R1621</f>
        <v>0</v>
      </c>
      <c r="I1621" s="15">
        <f>РПЗ!W1849</f>
        <v>0</v>
      </c>
      <c r="J1621" s="233">
        <f>РПЗ!X1849</f>
        <v>0</v>
      </c>
      <c r="K1621" s="283">
        <f>РПЗ!Z1849</f>
        <v>0</v>
      </c>
      <c r="L1621" s="17"/>
      <c r="M1621" s="18">
        <f>РПЗ!O1621</f>
        <v>0</v>
      </c>
      <c r="N1621" s="238">
        <f>Таблица5[[#This Row],[10]]</f>
        <v>0</v>
      </c>
      <c r="O1621" s="17"/>
      <c r="P1621" s="17"/>
      <c r="Q1621" s="17"/>
      <c r="R1621" s="17"/>
      <c r="S1621" s="17"/>
      <c r="T1621" s="686"/>
      <c r="U1621" s="18">
        <f>РПЗ!P1849</f>
        <v>0</v>
      </c>
      <c r="V1621" s="686"/>
      <c r="W1621" s="236">
        <f>РПЗ!L1849</f>
        <v>0</v>
      </c>
      <c r="X1621" s="689"/>
      <c r="Y1621" s="689"/>
      <c r="Z1621" s="690"/>
      <c r="AA1621" s="691"/>
      <c r="AB1621" s="111"/>
      <c r="AC1621" s="17"/>
      <c r="AD1621" s="690"/>
      <c r="AE1621" s="686"/>
      <c r="AF1621" s="474"/>
      <c r="AG1621" s="692"/>
      <c r="AH1621" s="236" t="str">
        <f>IF(Таблица5[[#This Row],[30]]=0,"НД",Таблица5[[#This Row],[20]]-Таблица5[[#This Row],[30]])</f>
        <v>НД</v>
      </c>
      <c r="AI1621" s="511" t="e">
        <f>IF(((1-Таблица5[[#This Row],[30]]/Таблица5[[#This Row],[20]])=1),"НД",(1-Таблица5[[#This Row],[30]]/Таблица5[[#This Row],[20]]))</f>
        <v>#DIV/0!</v>
      </c>
      <c r="AJ1621" s="111"/>
      <c r="AK1621" s="111"/>
      <c r="AL1621" s="512"/>
      <c r="AM1621" s="513"/>
      <c r="AN1621" s="465"/>
      <c r="AO1621" s="468">
        <f>РПЗ!AD1849</f>
        <v>0</v>
      </c>
      <c r="AP1621" s="472">
        <f>РПЗ!V1849</f>
        <v>0</v>
      </c>
      <c r="AQ1621" s="470">
        <f>IF(Таблица5[[#This Row],[11]]=0,,MONTH(Таблица5[[#This Row],[11]]))</f>
        <v>0</v>
      </c>
    </row>
    <row r="1622" spans="1:43" x14ac:dyDescent="0.25">
      <c r="A1622" s="233">
        <f t="shared" si="26"/>
        <v>0</v>
      </c>
      <c r="B1622" s="233">
        <f>РПЗ!$D1850</f>
        <v>0</v>
      </c>
      <c r="C1622" s="233">
        <f>РПЗ!$AA1673</f>
        <v>0</v>
      </c>
      <c r="D1622" s="633">
        <f>РПЗ!$AB1673</f>
        <v>0</v>
      </c>
      <c r="E1622" s="510"/>
      <c r="F1622" s="233">
        <f>РПЗ!Q1622</f>
        <v>0</v>
      </c>
      <c r="G1622" s="237">
        <f>Таблица5[[#This Row],[6]]</f>
        <v>0</v>
      </c>
      <c r="H1622" s="237">
        <f>РПЗ!R1622</f>
        <v>0</v>
      </c>
      <c r="I1622" s="15">
        <f>РПЗ!W1850</f>
        <v>0</v>
      </c>
      <c r="J1622" s="233">
        <f>РПЗ!X1850</f>
        <v>0</v>
      </c>
      <c r="K1622" s="283">
        <f>РПЗ!Z1850</f>
        <v>0</v>
      </c>
      <c r="L1622" s="17"/>
      <c r="M1622" s="18">
        <f>РПЗ!O1622</f>
        <v>0</v>
      </c>
      <c r="N1622" s="238">
        <f>Таблица5[[#This Row],[10]]</f>
        <v>0</v>
      </c>
      <c r="O1622" s="17"/>
      <c r="P1622" s="17"/>
      <c r="Q1622" s="17"/>
      <c r="R1622" s="17"/>
      <c r="S1622" s="17"/>
      <c r="T1622" s="686"/>
      <c r="U1622" s="18">
        <f>РПЗ!P1850</f>
        <v>0</v>
      </c>
      <c r="V1622" s="686"/>
      <c r="W1622" s="236">
        <f>РПЗ!L1850</f>
        <v>0</v>
      </c>
      <c r="X1622" s="689"/>
      <c r="Y1622" s="689"/>
      <c r="Z1622" s="690"/>
      <c r="AA1622" s="691"/>
      <c r="AB1622" s="111"/>
      <c r="AC1622" s="17"/>
      <c r="AD1622" s="690"/>
      <c r="AE1622" s="686"/>
      <c r="AF1622" s="474"/>
      <c r="AG1622" s="692"/>
      <c r="AH1622" s="236" t="str">
        <f>IF(Таблица5[[#This Row],[30]]=0,"НД",Таблица5[[#This Row],[20]]-Таблица5[[#This Row],[30]])</f>
        <v>НД</v>
      </c>
      <c r="AI1622" s="511" t="e">
        <f>IF(((1-Таблица5[[#This Row],[30]]/Таблица5[[#This Row],[20]])=1),"НД",(1-Таблица5[[#This Row],[30]]/Таблица5[[#This Row],[20]]))</f>
        <v>#DIV/0!</v>
      </c>
      <c r="AJ1622" s="111"/>
      <c r="AK1622" s="111"/>
      <c r="AL1622" s="512"/>
      <c r="AM1622" s="513"/>
      <c r="AN1622" s="465"/>
      <c r="AO1622" s="468">
        <f>РПЗ!AD1850</f>
        <v>0</v>
      </c>
      <c r="AP1622" s="472">
        <f>РПЗ!V1850</f>
        <v>0</v>
      </c>
      <c r="AQ1622" s="470">
        <f>IF(Таблица5[[#This Row],[11]]=0,,MONTH(Таблица5[[#This Row],[11]]))</f>
        <v>0</v>
      </c>
    </row>
    <row r="1623" spans="1:43" x14ac:dyDescent="0.25">
      <c r="A1623" s="233">
        <f t="shared" si="26"/>
        <v>0</v>
      </c>
      <c r="B1623" s="233">
        <f>РПЗ!$D1851</f>
        <v>0</v>
      </c>
      <c r="C1623" s="233">
        <f>РПЗ!$AA1674</f>
        <v>0</v>
      </c>
      <c r="D1623" s="633">
        <f>РПЗ!$AB1674</f>
        <v>0</v>
      </c>
      <c r="E1623" s="510"/>
      <c r="F1623" s="233">
        <f>РПЗ!Q1623</f>
        <v>0</v>
      </c>
      <c r="G1623" s="237">
        <f>Таблица5[[#This Row],[6]]</f>
        <v>0</v>
      </c>
      <c r="H1623" s="237">
        <f>РПЗ!R1623</f>
        <v>0</v>
      </c>
      <c r="I1623" s="15">
        <f>РПЗ!W1851</f>
        <v>0</v>
      </c>
      <c r="J1623" s="233">
        <f>РПЗ!X1851</f>
        <v>0</v>
      </c>
      <c r="K1623" s="283">
        <f>РПЗ!Z1851</f>
        <v>0</v>
      </c>
      <c r="L1623" s="17"/>
      <c r="M1623" s="18">
        <f>РПЗ!O1623</f>
        <v>0</v>
      </c>
      <c r="N1623" s="238">
        <f>Таблица5[[#This Row],[10]]</f>
        <v>0</v>
      </c>
      <c r="O1623" s="17"/>
      <c r="P1623" s="17"/>
      <c r="Q1623" s="17"/>
      <c r="R1623" s="17"/>
      <c r="S1623" s="17"/>
      <c r="T1623" s="686"/>
      <c r="U1623" s="18">
        <f>РПЗ!P1851</f>
        <v>0</v>
      </c>
      <c r="V1623" s="686"/>
      <c r="W1623" s="236">
        <f>РПЗ!L1851</f>
        <v>0</v>
      </c>
      <c r="X1623" s="689"/>
      <c r="Y1623" s="689"/>
      <c r="Z1623" s="690"/>
      <c r="AA1623" s="691"/>
      <c r="AB1623" s="111"/>
      <c r="AC1623" s="17"/>
      <c r="AD1623" s="690"/>
      <c r="AE1623" s="686"/>
      <c r="AF1623" s="474"/>
      <c r="AG1623" s="692"/>
      <c r="AH1623" s="236" t="str">
        <f>IF(Таблица5[[#This Row],[30]]=0,"НД",Таблица5[[#This Row],[20]]-Таблица5[[#This Row],[30]])</f>
        <v>НД</v>
      </c>
      <c r="AI1623" s="511" t="e">
        <f>IF(((1-Таблица5[[#This Row],[30]]/Таблица5[[#This Row],[20]])=1),"НД",(1-Таблица5[[#This Row],[30]]/Таблица5[[#This Row],[20]]))</f>
        <v>#DIV/0!</v>
      </c>
      <c r="AJ1623" s="111"/>
      <c r="AK1623" s="111"/>
      <c r="AL1623" s="512"/>
      <c r="AM1623" s="513"/>
      <c r="AN1623" s="465"/>
      <c r="AO1623" s="468">
        <f>РПЗ!AD1851</f>
        <v>0</v>
      </c>
      <c r="AP1623" s="472">
        <f>РПЗ!V1851</f>
        <v>0</v>
      </c>
      <c r="AQ1623" s="470">
        <f>IF(Таблица5[[#This Row],[11]]=0,,MONTH(Таблица5[[#This Row],[11]]))</f>
        <v>0</v>
      </c>
    </row>
    <row r="1624" spans="1:43" x14ac:dyDescent="0.25">
      <c r="A1624" s="233">
        <f t="shared" si="26"/>
        <v>0</v>
      </c>
      <c r="B1624" s="233">
        <f>РПЗ!$D1852</f>
        <v>0</v>
      </c>
      <c r="C1624" s="233">
        <f>РПЗ!$AA1675</f>
        <v>0</v>
      </c>
      <c r="D1624" s="633">
        <f>РПЗ!$AB1675</f>
        <v>0</v>
      </c>
      <c r="E1624" s="510"/>
      <c r="F1624" s="233">
        <f>РПЗ!Q1624</f>
        <v>0</v>
      </c>
      <c r="G1624" s="237">
        <f>Таблица5[[#This Row],[6]]</f>
        <v>0</v>
      </c>
      <c r="H1624" s="237">
        <f>РПЗ!R1624</f>
        <v>0</v>
      </c>
      <c r="I1624" s="15">
        <f>РПЗ!W1852</f>
        <v>0</v>
      </c>
      <c r="J1624" s="233">
        <f>РПЗ!X1852</f>
        <v>0</v>
      </c>
      <c r="K1624" s="283">
        <f>РПЗ!Z1852</f>
        <v>0</v>
      </c>
      <c r="L1624" s="17"/>
      <c r="M1624" s="18">
        <f>РПЗ!O1624</f>
        <v>0</v>
      </c>
      <c r="N1624" s="238">
        <f>Таблица5[[#This Row],[10]]</f>
        <v>0</v>
      </c>
      <c r="O1624" s="17"/>
      <c r="P1624" s="17"/>
      <c r="Q1624" s="17"/>
      <c r="R1624" s="17"/>
      <c r="S1624" s="17"/>
      <c r="T1624" s="686"/>
      <c r="U1624" s="18">
        <f>РПЗ!P1852</f>
        <v>0</v>
      </c>
      <c r="V1624" s="686"/>
      <c r="W1624" s="236">
        <f>РПЗ!L1852</f>
        <v>0</v>
      </c>
      <c r="X1624" s="689"/>
      <c r="Y1624" s="689"/>
      <c r="Z1624" s="690"/>
      <c r="AA1624" s="691"/>
      <c r="AB1624" s="111"/>
      <c r="AC1624" s="17"/>
      <c r="AD1624" s="690"/>
      <c r="AE1624" s="686"/>
      <c r="AF1624" s="474"/>
      <c r="AG1624" s="692"/>
      <c r="AH1624" s="236" t="str">
        <f>IF(Таблица5[[#This Row],[30]]=0,"НД",Таблица5[[#This Row],[20]]-Таблица5[[#This Row],[30]])</f>
        <v>НД</v>
      </c>
      <c r="AI1624" s="511" t="e">
        <f>IF(((1-Таблица5[[#This Row],[30]]/Таблица5[[#This Row],[20]])=1),"НД",(1-Таблица5[[#This Row],[30]]/Таблица5[[#This Row],[20]]))</f>
        <v>#DIV/0!</v>
      </c>
      <c r="AJ1624" s="111"/>
      <c r="AK1624" s="111"/>
      <c r="AL1624" s="512"/>
      <c r="AM1624" s="513"/>
      <c r="AN1624" s="465"/>
      <c r="AO1624" s="468">
        <f>РПЗ!AD1852</f>
        <v>0</v>
      </c>
      <c r="AP1624" s="472">
        <f>РПЗ!V1852</f>
        <v>0</v>
      </c>
      <c r="AQ1624" s="470">
        <f>IF(Таблица5[[#This Row],[11]]=0,,MONTH(Таблица5[[#This Row],[11]]))</f>
        <v>0</v>
      </c>
    </row>
    <row r="1625" spans="1:43" x14ac:dyDescent="0.25">
      <c r="A1625" s="233">
        <f t="shared" si="26"/>
        <v>0</v>
      </c>
      <c r="B1625" s="233">
        <f>РПЗ!$D1853</f>
        <v>0</v>
      </c>
      <c r="C1625" s="233">
        <f>РПЗ!$AA1676</f>
        <v>0</v>
      </c>
      <c r="D1625" s="633">
        <f>РПЗ!$AB1676</f>
        <v>0</v>
      </c>
      <c r="E1625" s="510"/>
      <c r="F1625" s="233">
        <f>РПЗ!Q1625</f>
        <v>0</v>
      </c>
      <c r="G1625" s="237">
        <f>Таблица5[[#This Row],[6]]</f>
        <v>0</v>
      </c>
      <c r="H1625" s="237">
        <f>РПЗ!R1625</f>
        <v>0</v>
      </c>
      <c r="I1625" s="15">
        <f>РПЗ!W1853</f>
        <v>0</v>
      </c>
      <c r="J1625" s="233">
        <f>РПЗ!X1853</f>
        <v>0</v>
      </c>
      <c r="K1625" s="283">
        <f>РПЗ!Z1853</f>
        <v>0</v>
      </c>
      <c r="L1625" s="17"/>
      <c r="M1625" s="18">
        <f>РПЗ!O1625</f>
        <v>0</v>
      </c>
      <c r="N1625" s="238">
        <f>Таблица5[[#This Row],[10]]</f>
        <v>0</v>
      </c>
      <c r="O1625" s="17"/>
      <c r="P1625" s="17"/>
      <c r="Q1625" s="17"/>
      <c r="R1625" s="17"/>
      <c r="S1625" s="17"/>
      <c r="T1625" s="686"/>
      <c r="U1625" s="18">
        <f>РПЗ!P1853</f>
        <v>0</v>
      </c>
      <c r="V1625" s="686"/>
      <c r="W1625" s="236">
        <f>РПЗ!L1853</f>
        <v>0</v>
      </c>
      <c r="X1625" s="689"/>
      <c r="Y1625" s="689"/>
      <c r="Z1625" s="690"/>
      <c r="AA1625" s="691"/>
      <c r="AB1625" s="111"/>
      <c r="AC1625" s="17"/>
      <c r="AD1625" s="690"/>
      <c r="AE1625" s="686"/>
      <c r="AF1625" s="474"/>
      <c r="AG1625" s="692"/>
      <c r="AH1625" s="236" t="str">
        <f>IF(Таблица5[[#This Row],[30]]=0,"НД",Таблица5[[#This Row],[20]]-Таблица5[[#This Row],[30]])</f>
        <v>НД</v>
      </c>
      <c r="AI1625" s="511" t="e">
        <f>IF(((1-Таблица5[[#This Row],[30]]/Таблица5[[#This Row],[20]])=1),"НД",(1-Таблица5[[#This Row],[30]]/Таблица5[[#This Row],[20]]))</f>
        <v>#DIV/0!</v>
      </c>
      <c r="AJ1625" s="111"/>
      <c r="AK1625" s="111"/>
      <c r="AL1625" s="512"/>
      <c r="AM1625" s="513"/>
      <c r="AN1625" s="465"/>
      <c r="AO1625" s="468">
        <f>РПЗ!AD1853</f>
        <v>0</v>
      </c>
      <c r="AP1625" s="472">
        <f>РПЗ!V1853</f>
        <v>0</v>
      </c>
      <c r="AQ1625" s="470">
        <f>IF(Таблица5[[#This Row],[11]]=0,,MONTH(Таблица5[[#This Row],[11]]))</f>
        <v>0</v>
      </c>
    </row>
    <row r="1626" spans="1:43" x14ac:dyDescent="0.25">
      <c r="A1626" s="233">
        <f t="shared" si="26"/>
        <v>0</v>
      </c>
      <c r="B1626" s="233">
        <f>РПЗ!$D1854</f>
        <v>0</v>
      </c>
      <c r="C1626" s="233">
        <f>РПЗ!$AA1677</f>
        <v>0</v>
      </c>
      <c r="D1626" s="633">
        <f>РПЗ!$AB1677</f>
        <v>0</v>
      </c>
      <c r="E1626" s="510"/>
      <c r="F1626" s="233">
        <f>РПЗ!Q1626</f>
        <v>0</v>
      </c>
      <c r="G1626" s="237">
        <f>Таблица5[[#This Row],[6]]</f>
        <v>0</v>
      </c>
      <c r="H1626" s="237">
        <f>РПЗ!R1626</f>
        <v>0</v>
      </c>
      <c r="I1626" s="15">
        <f>РПЗ!W1854</f>
        <v>0</v>
      </c>
      <c r="J1626" s="233">
        <f>РПЗ!X1854</f>
        <v>0</v>
      </c>
      <c r="K1626" s="283">
        <f>РПЗ!Z1854</f>
        <v>0</v>
      </c>
      <c r="L1626" s="17"/>
      <c r="M1626" s="18">
        <f>РПЗ!O1626</f>
        <v>0</v>
      </c>
      <c r="N1626" s="238">
        <f>Таблица5[[#This Row],[10]]</f>
        <v>0</v>
      </c>
      <c r="O1626" s="17"/>
      <c r="P1626" s="17"/>
      <c r="Q1626" s="17"/>
      <c r="R1626" s="17"/>
      <c r="S1626" s="17"/>
      <c r="T1626" s="686"/>
      <c r="U1626" s="18">
        <f>РПЗ!P1854</f>
        <v>0</v>
      </c>
      <c r="V1626" s="686"/>
      <c r="W1626" s="236">
        <f>РПЗ!L1854</f>
        <v>0</v>
      </c>
      <c r="X1626" s="689"/>
      <c r="Y1626" s="689"/>
      <c r="Z1626" s="690"/>
      <c r="AA1626" s="691"/>
      <c r="AB1626" s="111"/>
      <c r="AC1626" s="17"/>
      <c r="AD1626" s="690"/>
      <c r="AE1626" s="686"/>
      <c r="AF1626" s="474"/>
      <c r="AG1626" s="692"/>
      <c r="AH1626" s="236" t="str">
        <f>IF(Таблица5[[#This Row],[30]]=0,"НД",Таблица5[[#This Row],[20]]-Таблица5[[#This Row],[30]])</f>
        <v>НД</v>
      </c>
      <c r="AI1626" s="511" t="e">
        <f>IF(((1-Таблица5[[#This Row],[30]]/Таблица5[[#This Row],[20]])=1),"НД",(1-Таблица5[[#This Row],[30]]/Таблица5[[#This Row],[20]]))</f>
        <v>#DIV/0!</v>
      </c>
      <c r="AJ1626" s="111"/>
      <c r="AK1626" s="111"/>
      <c r="AL1626" s="512"/>
      <c r="AM1626" s="513"/>
      <c r="AN1626" s="465"/>
      <c r="AO1626" s="468">
        <f>РПЗ!AD1854</f>
        <v>0</v>
      </c>
      <c r="AP1626" s="472">
        <f>РПЗ!V1854</f>
        <v>0</v>
      </c>
      <c r="AQ1626" s="470">
        <f>IF(Таблица5[[#This Row],[11]]=0,,MONTH(Таблица5[[#This Row],[11]]))</f>
        <v>0</v>
      </c>
    </row>
    <row r="1627" spans="1:43" x14ac:dyDescent="0.25">
      <c r="A1627" s="233">
        <f t="shared" si="26"/>
        <v>0</v>
      </c>
      <c r="B1627" s="233">
        <f>РПЗ!$D1855</f>
        <v>0</v>
      </c>
      <c r="C1627" s="233">
        <f>РПЗ!$AA1678</f>
        <v>0</v>
      </c>
      <c r="D1627" s="633">
        <f>РПЗ!$AB1678</f>
        <v>0</v>
      </c>
      <c r="E1627" s="510"/>
      <c r="F1627" s="233">
        <f>РПЗ!Q1627</f>
        <v>0</v>
      </c>
      <c r="G1627" s="237">
        <f>Таблица5[[#This Row],[6]]</f>
        <v>0</v>
      </c>
      <c r="H1627" s="237">
        <f>РПЗ!R1627</f>
        <v>0</v>
      </c>
      <c r="I1627" s="15">
        <f>РПЗ!W1855</f>
        <v>0</v>
      </c>
      <c r="J1627" s="233">
        <f>РПЗ!X1855</f>
        <v>0</v>
      </c>
      <c r="K1627" s="283">
        <f>РПЗ!Z1855</f>
        <v>0</v>
      </c>
      <c r="L1627" s="17"/>
      <c r="M1627" s="18">
        <f>РПЗ!O1627</f>
        <v>0</v>
      </c>
      <c r="N1627" s="238">
        <f>Таблица5[[#This Row],[10]]</f>
        <v>0</v>
      </c>
      <c r="O1627" s="17"/>
      <c r="P1627" s="17"/>
      <c r="Q1627" s="17"/>
      <c r="R1627" s="17"/>
      <c r="S1627" s="17"/>
      <c r="T1627" s="686"/>
      <c r="U1627" s="18">
        <f>РПЗ!P1855</f>
        <v>0</v>
      </c>
      <c r="V1627" s="686"/>
      <c r="W1627" s="236">
        <f>РПЗ!L1855</f>
        <v>0</v>
      </c>
      <c r="X1627" s="689"/>
      <c r="Y1627" s="689"/>
      <c r="Z1627" s="690"/>
      <c r="AA1627" s="691"/>
      <c r="AB1627" s="111"/>
      <c r="AC1627" s="17"/>
      <c r="AD1627" s="690"/>
      <c r="AE1627" s="686"/>
      <c r="AF1627" s="474"/>
      <c r="AG1627" s="692"/>
      <c r="AH1627" s="236" t="str">
        <f>IF(Таблица5[[#This Row],[30]]=0,"НД",Таблица5[[#This Row],[20]]-Таблица5[[#This Row],[30]])</f>
        <v>НД</v>
      </c>
      <c r="AI1627" s="511" t="e">
        <f>IF(((1-Таблица5[[#This Row],[30]]/Таблица5[[#This Row],[20]])=1),"НД",(1-Таблица5[[#This Row],[30]]/Таблица5[[#This Row],[20]]))</f>
        <v>#DIV/0!</v>
      </c>
      <c r="AJ1627" s="111"/>
      <c r="AK1627" s="111"/>
      <c r="AL1627" s="512"/>
      <c r="AM1627" s="513"/>
      <c r="AN1627" s="465"/>
      <c r="AO1627" s="468">
        <f>РПЗ!AD1855</f>
        <v>0</v>
      </c>
      <c r="AP1627" s="472">
        <f>РПЗ!V1855</f>
        <v>0</v>
      </c>
      <c r="AQ1627" s="470">
        <f>IF(Таблица5[[#This Row],[11]]=0,,MONTH(Таблица5[[#This Row],[11]]))</f>
        <v>0</v>
      </c>
    </row>
    <row r="1628" spans="1:43" x14ac:dyDescent="0.25">
      <c r="A1628" s="233">
        <f t="shared" si="26"/>
        <v>0</v>
      </c>
      <c r="B1628" s="233">
        <f>РПЗ!$D1856</f>
        <v>0</v>
      </c>
      <c r="C1628" s="233">
        <f>РПЗ!$AA1679</f>
        <v>0</v>
      </c>
      <c r="D1628" s="633">
        <f>РПЗ!$AB1679</f>
        <v>0</v>
      </c>
      <c r="E1628" s="510"/>
      <c r="F1628" s="233">
        <f>РПЗ!Q1628</f>
        <v>0</v>
      </c>
      <c r="G1628" s="237">
        <f>Таблица5[[#This Row],[6]]</f>
        <v>0</v>
      </c>
      <c r="H1628" s="237">
        <f>РПЗ!R1628</f>
        <v>0</v>
      </c>
      <c r="I1628" s="15">
        <f>РПЗ!W1856</f>
        <v>0</v>
      </c>
      <c r="J1628" s="233">
        <f>РПЗ!X1856</f>
        <v>0</v>
      </c>
      <c r="K1628" s="283">
        <f>РПЗ!Z1856</f>
        <v>0</v>
      </c>
      <c r="L1628" s="17"/>
      <c r="M1628" s="18">
        <f>РПЗ!O1628</f>
        <v>0</v>
      </c>
      <c r="N1628" s="238">
        <f>Таблица5[[#This Row],[10]]</f>
        <v>0</v>
      </c>
      <c r="O1628" s="17"/>
      <c r="P1628" s="17"/>
      <c r="Q1628" s="17"/>
      <c r="R1628" s="17"/>
      <c r="S1628" s="17"/>
      <c r="T1628" s="686"/>
      <c r="U1628" s="18">
        <f>РПЗ!P1856</f>
        <v>0</v>
      </c>
      <c r="V1628" s="686"/>
      <c r="W1628" s="236">
        <f>РПЗ!L1856</f>
        <v>0</v>
      </c>
      <c r="X1628" s="689"/>
      <c r="Y1628" s="689"/>
      <c r="Z1628" s="690"/>
      <c r="AA1628" s="691"/>
      <c r="AB1628" s="111"/>
      <c r="AC1628" s="17"/>
      <c r="AD1628" s="690"/>
      <c r="AE1628" s="686"/>
      <c r="AF1628" s="474"/>
      <c r="AG1628" s="692"/>
      <c r="AH1628" s="236" t="str">
        <f>IF(Таблица5[[#This Row],[30]]=0,"НД",Таблица5[[#This Row],[20]]-Таблица5[[#This Row],[30]])</f>
        <v>НД</v>
      </c>
      <c r="AI1628" s="511" t="e">
        <f>IF(((1-Таблица5[[#This Row],[30]]/Таблица5[[#This Row],[20]])=1),"НД",(1-Таблица5[[#This Row],[30]]/Таблица5[[#This Row],[20]]))</f>
        <v>#DIV/0!</v>
      </c>
      <c r="AJ1628" s="111"/>
      <c r="AK1628" s="111"/>
      <c r="AL1628" s="512"/>
      <c r="AM1628" s="513"/>
      <c r="AN1628" s="465"/>
      <c r="AO1628" s="468">
        <f>РПЗ!AD1856</f>
        <v>0</v>
      </c>
      <c r="AP1628" s="472">
        <f>РПЗ!V1856</f>
        <v>0</v>
      </c>
      <c r="AQ1628" s="470">
        <f>IF(Таблица5[[#This Row],[11]]=0,,MONTH(Таблица5[[#This Row],[11]]))</f>
        <v>0</v>
      </c>
    </row>
    <row r="1629" spans="1:43" x14ac:dyDescent="0.25">
      <c r="A1629" s="233">
        <f t="shared" si="26"/>
        <v>0</v>
      </c>
      <c r="B1629" s="233">
        <f>РПЗ!$D1857</f>
        <v>0</v>
      </c>
      <c r="C1629" s="233">
        <f>РПЗ!$AA1680</f>
        <v>0</v>
      </c>
      <c r="D1629" s="633">
        <f>РПЗ!$AB1680</f>
        <v>0</v>
      </c>
      <c r="E1629" s="510"/>
      <c r="F1629" s="233">
        <f>РПЗ!Q1629</f>
        <v>0</v>
      </c>
      <c r="G1629" s="237">
        <f>Таблица5[[#This Row],[6]]</f>
        <v>0</v>
      </c>
      <c r="H1629" s="237">
        <f>РПЗ!R1629</f>
        <v>0</v>
      </c>
      <c r="I1629" s="15">
        <f>РПЗ!W1857</f>
        <v>0</v>
      </c>
      <c r="J1629" s="233">
        <f>РПЗ!X1857</f>
        <v>0</v>
      </c>
      <c r="K1629" s="283">
        <f>РПЗ!Z1857</f>
        <v>0</v>
      </c>
      <c r="L1629" s="17"/>
      <c r="M1629" s="18">
        <f>РПЗ!O1629</f>
        <v>0</v>
      </c>
      <c r="N1629" s="238">
        <f>Таблица5[[#This Row],[10]]</f>
        <v>0</v>
      </c>
      <c r="O1629" s="17"/>
      <c r="P1629" s="17"/>
      <c r="Q1629" s="17"/>
      <c r="R1629" s="17"/>
      <c r="S1629" s="17"/>
      <c r="T1629" s="686"/>
      <c r="U1629" s="18">
        <f>РПЗ!P1857</f>
        <v>0</v>
      </c>
      <c r="V1629" s="686"/>
      <c r="W1629" s="236">
        <f>РПЗ!L1857</f>
        <v>0</v>
      </c>
      <c r="X1629" s="689"/>
      <c r="Y1629" s="689"/>
      <c r="Z1629" s="690"/>
      <c r="AA1629" s="691"/>
      <c r="AB1629" s="111"/>
      <c r="AC1629" s="17"/>
      <c r="AD1629" s="690"/>
      <c r="AE1629" s="686"/>
      <c r="AF1629" s="474"/>
      <c r="AG1629" s="692"/>
      <c r="AH1629" s="236" t="str">
        <f>IF(Таблица5[[#This Row],[30]]=0,"НД",Таблица5[[#This Row],[20]]-Таблица5[[#This Row],[30]])</f>
        <v>НД</v>
      </c>
      <c r="AI1629" s="511" t="e">
        <f>IF(((1-Таблица5[[#This Row],[30]]/Таблица5[[#This Row],[20]])=1),"НД",(1-Таблица5[[#This Row],[30]]/Таблица5[[#This Row],[20]]))</f>
        <v>#DIV/0!</v>
      </c>
      <c r="AJ1629" s="111"/>
      <c r="AK1629" s="111"/>
      <c r="AL1629" s="512"/>
      <c r="AM1629" s="513"/>
      <c r="AN1629" s="465"/>
      <c r="AO1629" s="468">
        <f>РПЗ!AD1857</f>
        <v>0</v>
      </c>
      <c r="AP1629" s="472">
        <f>РПЗ!V1857</f>
        <v>0</v>
      </c>
      <c r="AQ1629" s="470">
        <f>IF(Таблица5[[#This Row],[11]]=0,,MONTH(Таблица5[[#This Row],[11]]))</f>
        <v>0</v>
      </c>
    </row>
    <row r="1630" spans="1:43" x14ac:dyDescent="0.25">
      <c r="A1630" s="233">
        <f t="shared" si="26"/>
        <v>0</v>
      </c>
      <c r="B1630" s="233">
        <f>РПЗ!$D1858</f>
        <v>0</v>
      </c>
      <c r="C1630" s="233">
        <f>РПЗ!$AA1681</f>
        <v>0</v>
      </c>
      <c r="D1630" s="633">
        <f>РПЗ!$AB1681</f>
        <v>0</v>
      </c>
      <c r="E1630" s="510"/>
      <c r="F1630" s="233">
        <f>РПЗ!Q1630</f>
        <v>0</v>
      </c>
      <c r="G1630" s="237">
        <f>Таблица5[[#This Row],[6]]</f>
        <v>0</v>
      </c>
      <c r="H1630" s="237">
        <f>РПЗ!R1630</f>
        <v>0</v>
      </c>
      <c r="I1630" s="15">
        <f>РПЗ!W1858</f>
        <v>0</v>
      </c>
      <c r="J1630" s="233">
        <f>РПЗ!X1858</f>
        <v>0</v>
      </c>
      <c r="K1630" s="283">
        <f>РПЗ!Z1858</f>
        <v>0</v>
      </c>
      <c r="L1630" s="17"/>
      <c r="M1630" s="18">
        <f>РПЗ!O1630</f>
        <v>0</v>
      </c>
      <c r="N1630" s="238">
        <f>Таблица5[[#This Row],[10]]</f>
        <v>0</v>
      </c>
      <c r="O1630" s="17"/>
      <c r="P1630" s="17"/>
      <c r="Q1630" s="17"/>
      <c r="R1630" s="17"/>
      <c r="S1630" s="17"/>
      <c r="T1630" s="686"/>
      <c r="U1630" s="18">
        <f>РПЗ!P1858</f>
        <v>0</v>
      </c>
      <c r="V1630" s="686"/>
      <c r="W1630" s="236">
        <f>РПЗ!L1858</f>
        <v>0</v>
      </c>
      <c r="X1630" s="689"/>
      <c r="Y1630" s="689"/>
      <c r="Z1630" s="690"/>
      <c r="AA1630" s="691"/>
      <c r="AB1630" s="111"/>
      <c r="AC1630" s="17"/>
      <c r="AD1630" s="690"/>
      <c r="AE1630" s="686"/>
      <c r="AF1630" s="474"/>
      <c r="AG1630" s="692"/>
      <c r="AH1630" s="236" t="str">
        <f>IF(Таблица5[[#This Row],[30]]=0,"НД",Таблица5[[#This Row],[20]]-Таблица5[[#This Row],[30]])</f>
        <v>НД</v>
      </c>
      <c r="AI1630" s="511" t="e">
        <f>IF(((1-Таблица5[[#This Row],[30]]/Таблица5[[#This Row],[20]])=1),"НД",(1-Таблица5[[#This Row],[30]]/Таблица5[[#This Row],[20]]))</f>
        <v>#DIV/0!</v>
      </c>
      <c r="AJ1630" s="111"/>
      <c r="AK1630" s="111"/>
      <c r="AL1630" s="512"/>
      <c r="AM1630" s="513"/>
      <c r="AN1630" s="465"/>
      <c r="AO1630" s="468">
        <f>РПЗ!AD1858</f>
        <v>0</v>
      </c>
      <c r="AP1630" s="472">
        <f>РПЗ!V1858</f>
        <v>0</v>
      </c>
      <c r="AQ1630" s="470">
        <f>IF(Таблица5[[#This Row],[11]]=0,,MONTH(Таблица5[[#This Row],[11]]))</f>
        <v>0</v>
      </c>
    </row>
    <row r="1631" spans="1:43" x14ac:dyDescent="0.25">
      <c r="A1631" s="233">
        <f t="shared" si="26"/>
        <v>0</v>
      </c>
      <c r="B1631" s="233">
        <f>РПЗ!$D1859</f>
        <v>0</v>
      </c>
      <c r="C1631" s="233">
        <f>РПЗ!$AA1682</f>
        <v>0</v>
      </c>
      <c r="D1631" s="633">
        <f>РПЗ!$AB1682</f>
        <v>0</v>
      </c>
      <c r="E1631" s="510"/>
      <c r="F1631" s="233">
        <f>РПЗ!Q1631</f>
        <v>0</v>
      </c>
      <c r="G1631" s="237">
        <f>Таблица5[[#This Row],[6]]</f>
        <v>0</v>
      </c>
      <c r="H1631" s="237">
        <f>РПЗ!R1631</f>
        <v>0</v>
      </c>
      <c r="I1631" s="15">
        <f>РПЗ!W1859</f>
        <v>0</v>
      </c>
      <c r="J1631" s="233">
        <f>РПЗ!X1859</f>
        <v>0</v>
      </c>
      <c r="K1631" s="283">
        <f>РПЗ!Z1859</f>
        <v>0</v>
      </c>
      <c r="L1631" s="17"/>
      <c r="M1631" s="18">
        <f>РПЗ!O1631</f>
        <v>0</v>
      </c>
      <c r="N1631" s="238">
        <f>Таблица5[[#This Row],[10]]</f>
        <v>0</v>
      </c>
      <c r="O1631" s="17"/>
      <c r="P1631" s="17"/>
      <c r="Q1631" s="17"/>
      <c r="R1631" s="17"/>
      <c r="S1631" s="17"/>
      <c r="T1631" s="686"/>
      <c r="U1631" s="18">
        <f>РПЗ!P1859</f>
        <v>0</v>
      </c>
      <c r="V1631" s="686"/>
      <c r="W1631" s="236">
        <f>РПЗ!L1859</f>
        <v>0</v>
      </c>
      <c r="X1631" s="689"/>
      <c r="Y1631" s="689"/>
      <c r="Z1631" s="690"/>
      <c r="AA1631" s="691"/>
      <c r="AB1631" s="111"/>
      <c r="AC1631" s="17"/>
      <c r="AD1631" s="690"/>
      <c r="AE1631" s="686"/>
      <c r="AF1631" s="474"/>
      <c r="AG1631" s="692"/>
      <c r="AH1631" s="236" t="str">
        <f>IF(Таблица5[[#This Row],[30]]=0,"НД",Таблица5[[#This Row],[20]]-Таблица5[[#This Row],[30]])</f>
        <v>НД</v>
      </c>
      <c r="AI1631" s="511" t="e">
        <f>IF(((1-Таблица5[[#This Row],[30]]/Таблица5[[#This Row],[20]])=1),"НД",(1-Таблица5[[#This Row],[30]]/Таблица5[[#This Row],[20]]))</f>
        <v>#DIV/0!</v>
      </c>
      <c r="AJ1631" s="111"/>
      <c r="AK1631" s="111"/>
      <c r="AL1631" s="512"/>
      <c r="AM1631" s="513"/>
      <c r="AN1631" s="465"/>
      <c r="AO1631" s="468">
        <f>РПЗ!AD1859</f>
        <v>0</v>
      </c>
      <c r="AP1631" s="472">
        <f>РПЗ!V1859</f>
        <v>0</v>
      </c>
      <c r="AQ1631" s="470">
        <f>IF(Таблица5[[#This Row],[11]]=0,,MONTH(Таблица5[[#This Row],[11]]))</f>
        <v>0</v>
      </c>
    </row>
    <row r="1632" spans="1:43" x14ac:dyDescent="0.25">
      <c r="A1632" s="233">
        <f t="shared" si="26"/>
        <v>0</v>
      </c>
      <c r="B1632" s="233">
        <f>РПЗ!$D1860</f>
        <v>0</v>
      </c>
      <c r="C1632" s="233">
        <f>РПЗ!$AA1683</f>
        <v>0</v>
      </c>
      <c r="D1632" s="633">
        <f>РПЗ!$AB1683</f>
        <v>0</v>
      </c>
      <c r="E1632" s="510"/>
      <c r="F1632" s="233">
        <f>РПЗ!Q1632</f>
        <v>0</v>
      </c>
      <c r="G1632" s="237">
        <f>Таблица5[[#This Row],[6]]</f>
        <v>0</v>
      </c>
      <c r="H1632" s="237">
        <f>РПЗ!R1632</f>
        <v>0</v>
      </c>
      <c r="I1632" s="15">
        <f>РПЗ!W1860</f>
        <v>0</v>
      </c>
      <c r="J1632" s="233">
        <f>РПЗ!X1860</f>
        <v>0</v>
      </c>
      <c r="K1632" s="283">
        <f>РПЗ!Z1860</f>
        <v>0</v>
      </c>
      <c r="L1632" s="17"/>
      <c r="M1632" s="18">
        <f>РПЗ!O1632</f>
        <v>0</v>
      </c>
      <c r="N1632" s="238">
        <f>Таблица5[[#This Row],[10]]</f>
        <v>0</v>
      </c>
      <c r="O1632" s="17"/>
      <c r="P1632" s="17"/>
      <c r="Q1632" s="17"/>
      <c r="R1632" s="17"/>
      <c r="S1632" s="17"/>
      <c r="T1632" s="686"/>
      <c r="U1632" s="18">
        <f>РПЗ!P1860</f>
        <v>0</v>
      </c>
      <c r="V1632" s="686"/>
      <c r="W1632" s="236">
        <f>РПЗ!L1860</f>
        <v>0</v>
      </c>
      <c r="X1632" s="689"/>
      <c r="Y1632" s="689"/>
      <c r="Z1632" s="690"/>
      <c r="AA1632" s="691"/>
      <c r="AB1632" s="111"/>
      <c r="AC1632" s="17"/>
      <c r="AD1632" s="690"/>
      <c r="AE1632" s="686"/>
      <c r="AF1632" s="474"/>
      <c r="AG1632" s="692"/>
      <c r="AH1632" s="236" t="str">
        <f>IF(Таблица5[[#This Row],[30]]=0,"НД",Таблица5[[#This Row],[20]]-Таблица5[[#This Row],[30]])</f>
        <v>НД</v>
      </c>
      <c r="AI1632" s="511" t="e">
        <f>IF(((1-Таблица5[[#This Row],[30]]/Таблица5[[#This Row],[20]])=1),"НД",(1-Таблица5[[#This Row],[30]]/Таблица5[[#This Row],[20]]))</f>
        <v>#DIV/0!</v>
      </c>
      <c r="AJ1632" s="111"/>
      <c r="AK1632" s="111"/>
      <c r="AL1632" s="512"/>
      <c r="AM1632" s="513"/>
      <c r="AN1632" s="465"/>
      <c r="AO1632" s="468">
        <f>РПЗ!AD1860</f>
        <v>0</v>
      </c>
      <c r="AP1632" s="472">
        <f>РПЗ!V1860</f>
        <v>0</v>
      </c>
      <c r="AQ1632" s="470">
        <f>IF(Таблица5[[#This Row],[11]]=0,,MONTH(Таблица5[[#This Row],[11]]))</f>
        <v>0</v>
      </c>
    </row>
    <row r="1633" spans="1:43" x14ac:dyDescent="0.25">
      <c r="A1633" s="233">
        <f t="shared" si="26"/>
        <v>0</v>
      </c>
      <c r="B1633" s="233">
        <f>РПЗ!$D1861</f>
        <v>0</v>
      </c>
      <c r="C1633" s="233">
        <f>РПЗ!$AA1684</f>
        <v>0</v>
      </c>
      <c r="D1633" s="633">
        <f>РПЗ!$AB1684</f>
        <v>0</v>
      </c>
      <c r="E1633" s="510"/>
      <c r="F1633" s="233">
        <f>РПЗ!Q1633</f>
        <v>0</v>
      </c>
      <c r="G1633" s="237">
        <f>Таблица5[[#This Row],[6]]</f>
        <v>0</v>
      </c>
      <c r="H1633" s="237">
        <f>РПЗ!R1633</f>
        <v>0</v>
      </c>
      <c r="I1633" s="15">
        <f>РПЗ!W1861</f>
        <v>0</v>
      </c>
      <c r="J1633" s="233">
        <f>РПЗ!X1861</f>
        <v>0</v>
      </c>
      <c r="K1633" s="283">
        <f>РПЗ!Z1861</f>
        <v>0</v>
      </c>
      <c r="L1633" s="17"/>
      <c r="M1633" s="18">
        <f>РПЗ!O1633</f>
        <v>0</v>
      </c>
      <c r="N1633" s="238">
        <f>Таблица5[[#This Row],[10]]</f>
        <v>0</v>
      </c>
      <c r="O1633" s="17"/>
      <c r="P1633" s="17"/>
      <c r="Q1633" s="17"/>
      <c r="R1633" s="17"/>
      <c r="S1633" s="17"/>
      <c r="T1633" s="686"/>
      <c r="U1633" s="18">
        <f>РПЗ!P1861</f>
        <v>0</v>
      </c>
      <c r="V1633" s="686"/>
      <c r="W1633" s="236">
        <f>РПЗ!L1861</f>
        <v>0</v>
      </c>
      <c r="X1633" s="689"/>
      <c r="Y1633" s="689"/>
      <c r="Z1633" s="690"/>
      <c r="AA1633" s="691"/>
      <c r="AB1633" s="111"/>
      <c r="AC1633" s="17"/>
      <c r="AD1633" s="690"/>
      <c r="AE1633" s="686"/>
      <c r="AF1633" s="474"/>
      <c r="AG1633" s="692"/>
      <c r="AH1633" s="236" t="str">
        <f>IF(Таблица5[[#This Row],[30]]=0,"НД",Таблица5[[#This Row],[20]]-Таблица5[[#This Row],[30]])</f>
        <v>НД</v>
      </c>
      <c r="AI1633" s="511" t="e">
        <f>IF(((1-Таблица5[[#This Row],[30]]/Таблица5[[#This Row],[20]])=1),"НД",(1-Таблица5[[#This Row],[30]]/Таблица5[[#This Row],[20]]))</f>
        <v>#DIV/0!</v>
      </c>
      <c r="AJ1633" s="111"/>
      <c r="AK1633" s="111"/>
      <c r="AL1633" s="512"/>
      <c r="AM1633" s="513"/>
      <c r="AN1633" s="465"/>
      <c r="AO1633" s="468">
        <f>РПЗ!AD1861</f>
        <v>0</v>
      </c>
      <c r="AP1633" s="472">
        <f>РПЗ!V1861</f>
        <v>0</v>
      </c>
      <c r="AQ1633" s="470">
        <f>IF(Таблица5[[#This Row],[11]]=0,,MONTH(Таблица5[[#This Row],[11]]))</f>
        <v>0</v>
      </c>
    </row>
    <row r="1634" spans="1:43" x14ac:dyDescent="0.25">
      <c r="A1634" s="233">
        <f t="shared" si="26"/>
        <v>0</v>
      </c>
      <c r="B1634" s="233">
        <f>РПЗ!$D1862</f>
        <v>0</v>
      </c>
      <c r="C1634" s="233">
        <f>РПЗ!$AA1685</f>
        <v>0</v>
      </c>
      <c r="D1634" s="633">
        <f>РПЗ!$AB1685</f>
        <v>0</v>
      </c>
      <c r="E1634" s="510"/>
      <c r="F1634" s="233">
        <f>РПЗ!Q1634</f>
        <v>0</v>
      </c>
      <c r="G1634" s="237">
        <f>Таблица5[[#This Row],[6]]</f>
        <v>0</v>
      </c>
      <c r="H1634" s="237">
        <f>РПЗ!R1634</f>
        <v>0</v>
      </c>
      <c r="I1634" s="15">
        <f>РПЗ!W1862</f>
        <v>0</v>
      </c>
      <c r="J1634" s="233">
        <f>РПЗ!X1862</f>
        <v>0</v>
      </c>
      <c r="K1634" s="283">
        <f>РПЗ!Z1862</f>
        <v>0</v>
      </c>
      <c r="L1634" s="17"/>
      <c r="M1634" s="18">
        <f>РПЗ!O1634</f>
        <v>0</v>
      </c>
      <c r="N1634" s="238">
        <f>Таблица5[[#This Row],[10]]</f>
        <v>0</v>
      </c>
      <c r="O1634" s="17"/>
      <c r="P1634" s="17"/>
      <c r="Q1634" s="17"/>
      <c r="R1634" s="17"/>
      <c r="S1634" s="17"/>
      <c r="T1634" s="686"/>
      <c r="U1634" s="18">
        <f>РПЗ!P1862</f>
        <v>0</v>
      </c>
      <c r="V1634" s="686"/>
      <c r="W1634" s="236">
        <f>РПЗ!L1862</f>
        <v>0</v>
      </c>
      <c r="X1634" s="689"/>
      <c r="Y1634" s="689"/>
      <c r="Z1634" s="690"/>
      <c r="AA1634" s="691"/>
      <c r="AB1634" s="111"/>
      <c r="AC1634" s="17"/>
      <c r="AD1634" s="690"/>
      <c r="AE1634" s="686"/>
      <c r="AF1634" s="474"/>
      <c r="AG1634" s="692"/>
      <c r="AH1634" s="236" t="str">
        <f>IF(Таблица5[[#This Row],[30]]=0,"НД",Таблица5[[#This Row],[20]]-Таблица5[[#This Row],[30]])</f>
        <v>НД</v>
      </c>
      <c r="AI1634" s="511" t="e">
        <f>IF(((1-Таблица5[[#This Row],[30]]/Таблица5[[#This Row],[20]])=1),"НД",(1-Таблица5[[#This Row],[30]]/Таблица5[[#This Row],[20]]))</f>
        <v>#DIV/0!</v>
      </c>
      <c r="AJ1634" s="111"/>
      <c r="AK1634" s="111"/>
      <c r="AL1634" s="512"/>
      <c r="AM1634" s="513"/>
      <c r="AN1634" s="465"/>
      <c r="AO1634" s="468">
        <f>РПЗ!AD1862</f>
        <v>0</v>
      </c>
      <c r="AP1634" s="472">
        <f>РПЗ!V1862</f>
        <v>0</v>
      </c>
      <c r="AQ1634" s="470">
        <f>IF(Таблица5[[#This Row],[11]]=0,,MONTH(Таблица5[[#This Row],[11]]))</f>
        <v>0</v>
      </c>
    </row>
    <row r="1635" spans="1:43" x14ac:dyDescent="0.25">
      <c r="A1635" s="233">
        <f t="shared" si="26"/>
        <v>0</v>
      </c>
      <c r="B1635" s="233">
        <f>РПЗ!$D1863</f>
        <v>0</v>
      </c>
      <c r="C1635" s="233">
        <f>РПЗ!$AA1686</f>
        <v>0</v>
      </c>
      <c r="D1635" s="633">
        <f>РПЗ!$AB1686</f>
        <v>0</v>
      </c>
      <c r="E1635" s="510"/>
      <c r="F1635" s="233">
        <f>РПЗ!Q1635</f>
        <v>0</v>
      </c>
      <c r="G1635" s="237">
        <f>Таблица5[[#This Row],[6]]</f>
        <v>0</v>
      </c>
      <c r="H1635" s="237">
        <f>РПЗ!R1635</f>
        <v>0</v>
      </c>
      <c r="I1635" s="15">
        <f>РПЗ!W1863</f>
        <v>0</v>
      </c>
      <c r="J1635" s="233">
        <f>РПЗ!X1863</f>
        <v>0</v>
      </c>
      <c r="K1635" s="283">
        <f>РПЗ!Z1863</f>
        <v>0</v>
      </c>
      <c r="L1635" s="17"/>
      <c r="M1635" s="18">
        <f>РПЗ!O1635</f>
        <v>0</v>
      </c>
      <c r="N1635" s="238">
        <f>Таблица5[[#This Row],[10]]</f>
        <v>0</v>
      </c>
      <c r="O1635" s="17"/>
      <c r="P1635" s="17"/>
      <c r="Q1635" s="17"/>
      <c r="R1635" s="17"/>
      <c r="S1635" s="17"/>
      <c r="T1635" s="686"/>
      <c r="U1635" s="18">
        <f>РПЗ!P1863</f>
        <v>0</v>
      </c>
      <c r="V1635" s="686"/>
      <c r="W1635" s="236">
        <f>РПЗ!L1863</f>
        <v>0</v>
      </c>
      <c r="X1635" s="689"/>
      <c r="Y1635" s="689"/>
      <c r="Z1635" s="690"/>
      <c r="AA1635" s="691"/>
      <c r="AB1635" s="111"/>
      <c r="AC1635" s="17"/>
      <c r="AD1635" s="690"/>
      <c r="AE1635" s="686"/>
      <c r="AF1635" s="474"/>
      <c r="AG1635" s="692"/>
      <c r="AH1635" s="236" t="str">
        <f>IF(Таблица5[[#This Row],[30]]=0,"НД",Таблица5[[#This Row],[20]]-Таблица5[[#This Row],[30]])</f>
        <v>НД</v>
      </c>
      <c r="AI1635" s="511" t="e">
        <f>IF(((1-Таблица5[[#This Row],[30]]/Таблица5[[#This Row],[20]])=1),"НД",(1-Таблица5[[#This Row],[30]]/Таблица5[[#This Row],[20]]))</f>
        <v>#DIV/0!</v>
      </c>
      <c r="AJ1635" s="111"/>
      <c r="AK1635" s="111"/>
      <c r="AL1635" s="512"/>
      <c r="AM1635" s="513"/>
      <c r="AN1635" s="465"/>
      <c r="AO1635" s="468">
        <f>РПЗ!AD1863</f>
        <v>0</v>
      </c>
      <c r="AP1635" s="472">
        <f>РПЗ!V1863</f>
        <v>0</v>
      </c>
      <c r="AQ1635" s="470">
        <f>IF(Таблица5[[#This Row],[11]]=0,,MONTH(Таблица5[[#This Row],[11]]))</f>
        <v>0</v>
      </c>
    </row>
    <row r="1636" spans="1:43" x14ac:dyDescent="0.25">
      <c r="A1636" s="233">
        <f t="shared" si="26"/>
        <v>0</v>
      </c>
      <c r="B1636" s="233">
        <f>РПЗ!$D1864</f>
        <v>0</v>
      </c>
      <c r="C1636" s="233">
        <f>РПЗ!$AA1687</f>
        <v>0</v>
      </c>
      <c r="D1636" s="633">
        <f>РПЗ!$AB1687</f>
        <v>0</v>
      </c>
      <c r="E1636" s="510"/>
      <c r="F1636" s="233">
        <f>РПЗ!Q1636</f>
        <v>0</v>
      </c>
      <c r="G1636" s="237">
        <f>Таблица5[[#This Row],[6]]</f>
        <v>0</v>
      </c>
      <c r="H1636" s="237">
        <f>РПЗ!R1636</f>
        <v>0</v>
      </c>
      <c r="I1636" s="15">
        <f>РПЗ!W1864</f>
        <v>0</v>
      </c>
      <c r="J1636" s="233">
        <f>РПЗ!X1864</f>
        <v>0</v>
      </c>
      <c r="K1636" s="283">
        <f>РПЗ!Z1864</f>
        <v>0</v>
      </c>
      <c r="L1636" s="17"/>
      <c r="M1636" s="18">
        <f>РПЗ!O1636</f>
        <v>0</v>
      </c>
      <c r="N1636" s="238">
        <f>Таблица5[[#This Row],[10]]</f>
        <v>0</v>
      </c>
      <c r="O1636" s="17"/>
      <c r="P1636" s="17"/>
      <c r="Q1636" s="17"/>
      <c r="R1636" s="17"/>
      <c r="S1636" s="17"/>
      <c r="T1636" s="686"/>
      <c r="U1636" s="18">
        <f>РПЗ!P1864</f>
        <v>0</v>
      </c>
      <c r="V1636" s="686"/>
      <c r="W1636" s="236">
        <f>РПЗ!L1864</f>
        <v>0</v>
      </c>
      <c r="X1636" s="689"/>
      <c r="Y1636" s="689"/>
      <c r="Z1636" s="690"/>
      <c r="AA1636" s="691"/>
      <c r="AB1636" s="111"/>
      <c r="AC1636" s="17"/>
      <c r="AD1636" s="690"/>
      <c r="AE1636" s="686"/>
      <c r="AF1636" s="474"/>
      <c r="AG1636" s="692"/>
      <c r="AH1636" s="236" t="str">
        <f>IF(Таблица5[[#This Row],[30]]=0,"НД",Таблица5[[#This Row],[20]]-Таблица5[[#This Row],[30]])</f>
        <v>НД</v>
      </c>
      <c r="AI1636" s="511" t="e">
        <f>IF(((1-Таблица5[[#This Row],[30]]/Таблица5[[#This Row],[20]])=1),"НД",(1-Таблица5[[#This Row],[30]]/Таблица5[[#This Row],[20]]))</f>
        <v>#DIV/0!</v>
      </c>
      <c r="AJ1636" s="111"/>
      <c r="AK1636" s="111"/>
      <c r="AL1636" s="512"/>
      <c r="AM1636" s="513"/>
      <c r="AN1636" s="465"/>
      <c r="AO1636" s="468">
        <f>РПЗ!AD1864</f>
        <v>0</v>
      </c>
      <c r="AP1636" s="472">
        <f>РПЗ!V1864</f>
        <v>0</v>
      </c>
      <c r="AQ1636" s="470">
        <f>IF(Таблица5[[#This Row],[11]]=0,,MONTH(Таблица5[[#This Row],[11]]))</f>
        <v>0</v>
      </c>
    </row>
    <row r="1637" spans="1:43" x14ac:dyDescent="0.25">
      <c r="A1637" s="233">
        <f t="shared" si="26"/>
        <v>0</v>
      </c>
      <c r="B1637" s="233">
        <f>РПЗ!$D1865</f>
        <v>0</v>
      </c>
      <c r="C1637" s="233">
        <f>РПЗ!$AA1688</f>
        <v>0</v>
      </c>
      <c r="D1637" s="633">
        <f>РПЗ!$AB1688</f>
        <v>0</v>
      </c>
      <c r="E1637" s="510"/>
      <c r="F1637" s="233">
        <f>РПЗ!Q1637</f>
        <v>0</v>
      </c>
      <c r="G1637" s="237">
        <f>Таблица5[[#This Row],[6]]</f>
        <v>0</v>
      </c>
      <c r="H1637" s="237">
        <f>РПЗ!R1637</f>
        <v>0</v>
      </c>
      <c r="I1637" s="15">
        <f>РПЗ!W1865</f>
        <v>0</v>
      </c>
      <c r="J1637" s="233">
        <f>РПЗ!X1865</f>
        <v>0</v>
      </c>
      <c r="K1637" s="283">
        <f>РПЗ!Z1865</f>
        <v>0</v>
      </c>
      <c r="L1637" s="17"/>
      <c r="M1637" s="18">
        <f>РПЗ!O1637</f>
        <v>0</v>
      </c>
      <c r="N1637" s="238">
        <f>Таблица5[[#This Row],[10]]</f>
        <v>0</v>
      </c>
      <c r="O1637" s="17"/>
      <c r="P1637" s="17"/>
      <c r="Q1637" s="17"/>
      <c r="R1637" s="17"/>
      <c r="S1637" s="17"/>
      <c r="T1637" s="686"/>
      <c r="U1637" s="18">
        <f>РПЗ!P1865</f>
        <v>0</v>
      </c>
      <c r="V1637" s="686"/>
      <c r="W1637" s="236">
        <f>РПЗ!L1865</f>
        <v>0</v>
      </c>
      <c r="X1637" s="689"/>
      <c r="Y1637" s="689"/>
      <c r="Z1637" s="690"/>
      <c r="AA1637" s="691"/>
      <c r="AB1637" s="111"/>
      <c r="AC1637" s="17"/>
      <c r="AD1637" s="690"/>
      <c r="AE1637" s="686"/>
      <c r="AF1637" s="474"/>
      <c r="AG1637" s="692"/>
      <c r="AH1637" s="236" t="str">
        <f>IF(Таблица5[[#This Row],[30]]=0,"НД",Таблица5[[#This Row],[20]]-Таблица5[[#This Row],[30]])</f>
        <v>НД</v>
      </c>
      <c r="AI1637" s="511" t="e">
        <f>IF(((1-Таблица5[[#This Row],[30]]/Таблица5[[#This Row],[20]])=1),"НД",(1-Таблица5[[#This Row],[30]]/Таблица5[[#This Row],[20]]))</f>
        <v>#DIV/0!</v>
      </c>
      <c r="AJ1637" s="111"/>
      <c r="AK1637" s="111"/>
      <c r="AL1637" s="512"/>
      <c r="AM1637" s="513"/>
      <c r="AN1637" s="465"/>
      <c r="AO1637" s="468">
        <f>РПЗ!AD1865</f>
        <v>0</v>
      </c>
      <c r="AP1637" s="472">
        <f>РПЗ!V1865</f>
        <v>0</v>
      </c>
      <c r="AQ1637" s="470">
        <f>IF(Таблица5[[#This Row],[11]]=0,,MONTH(Таблица5[[#This Row],[11]]))</f>
        <v>0</v>
      </c>
    </row>
    <row r="1638" spans="1:43" x14ac:dyDescent="0.25">
      <c r="A1638" s="233">
        <f t="shared" si="26"/>
        <v>0</v>
      </c>
      <c r="B1638" s="233">
        <f>РПЗ!$D1866</f>
        <v>0</v>
      </c>
      <c r="C1638" s="233">
        <f>РПЗ!$AA1689</f>
        <v>0</v>
      </c>
      <c r="D1638" s="633">
        <f>РПЗ!$AB1689</f>
        <v>0</v>
      </c>
      <c r="E1638" s="510"/>
      <c r="F1638" s="233">
        <f>РПЗ!Q1638</f>
        <v>0</v>
      </c>
      <c r="G1638" s="237">
        <f>Таблица5[[#This Row],[6]]</f>
        <v>0</v>
      </c>
      <c r="H1638" s="237">
        <f>РПЗ!R1638</f>
        <v>0</v>
      </c>
      <c r="I1638" s="15">
        <f>РПЗ!W1866</f>
        <v>0</v>
      </c>
      <c r="J1638" s="233">
        <f>РПЗ!X1866</f>
        <v>0</v>
      </c>
      <c r="K1638" s="283">
        <f>РПЗ!Z1866</f>
        <v>0</v>
      </c>
      <c r="L1638" s="17"/>
      <c r="M1638" s="18">
        <f>РПЗ!O1638</f>
        <v>0</v>
      </c>
      <c r="N1638" s="238">
        <f>Таблица5[[#This Row],[10]]</f>
        <v>0</v>
      </c>
      <c r="O1638" s="17"/>
      <c r="P1638" s="17"/>
      <c r="Q1638" s="17"/>
      <c r="R1638" s="17"/>
      <c r="S1638" s="17"/>
      <c r="T1638" s="686"/>
      <c r="U1638" s="18">
        <f>РПЗ!P1866</f>
        <v>0</v>
      </c>
      <c r="V1638" s="686"/>
      <c r="W1638" s="236">
        <f>РПЗ!L1866</f>
        <v>0</v>
      </c>
      <c r="X1638" s="689"/>
      <c r="Y1638" s="689"/>
      <c r="Z1638" s="690"/>
      <c r="AA1638" s="691"/>
      <c r="AB1638" s="111"/>
      <c r="AC1638" s="17"/>
      <c r="AD1638" s="690"/>
      <c r="AE1638" s="686"/>
      <c r="AF1638" s="474"/>
      <c r="AG1638" s="692"/>
      <c r="AH1638" s="236" t="str">
        <f>IF(Таблица5[[#This Row],[30]]=0,"НД",Таблица5[[#This Row],[20]]-Таблица5[[#This Row],[30]])</f>
        <v>НД</v>
      </c>
      <c r="AI1638" s="511" t="e">
        <f>IF(((1-Таблица5[[#This Row],[30]]/Таблица5[[#This Row],[20]])=1),"НД",(1-Таблица5[[#This Row],[30]]/Таблица5[[#This Row],[20]]))</f>
        <v>#DIV/0!</v>
      </c>
      <c r="AJ1638" s="111"/>
      <c r="AK1638" s="111"/>
      <c r="AL1638" s="512"/>
      <c r="AM1638" s="513"/>
      <c r="AN1638" s="465"/>
      <c r="AO1638" s="468">
        <f>РПЗ!AD1866</f>
        <v>0</v>
      </c>
      <c r="AP1638" s="472">
        <f>РПЗ!V1866</f>
        <v>0</v>
      </c>
      <c r="AQ1638" s="470">
        <f>IF(Таблица5[[#This Row],[11]]=0,,MONTH(Таблица5[[#This Row],[11]]))</f>
        <v>0</v>
      </c>
    </row>
    <row r="1639" spans="1:43" x14ac:dyDescent="0.25">
      <c r="A1639" s="233">
        <f t="shared" si="26"/>
        <v>0</v>
      </c>
      <c r="B1639" s="233">
        <f>РПЗ!$D1867</f>
        <v>0</v>
      </c>
      <c r="C1639" s="233">
        <f>РПЗ!$AA1690</f>
        <v>0</v>
      </c>
      <c r="D1639" s="633">
        <f>РПЗ!$AB1690</f>
        <v>0</v>
      </c>
      <c r="E1639" s="510"/>
      <c r="F1639" s="233">
        <f>РПЗ!Q1639</f>
        <v>0</v>
      </c>
      <c r="G1639" s="237">
        <f>Таблица5[[#This Row],[6]]</f>
        <v>0</v>
      </c>
      <c r="H1639" s="237">
        <f>РПЗ!R1639</f>
        <v>0</v>
      </c>
      <c r="I1639" s="15">
        <f>РПЗ!W1867</f>
        <v>0</v>
      </c>
      <c r="J1639" s="233">
        <f>РПЗ!X1867</f>
        <v>0</v>
      </c>
      <c r="K1639" s="283">
        <f>РПЗ!Z1867</f>
        <v>0</v>
      </c>
      <c r="L1639" s="17"/>
      <c r="M1639" s="18">
        <f>РПЗ!O1639</f>
        <v>0</v>
      </c>
      <c r="N1639" s="238">
        <f>Таблица5[[#This Row],[10]]</f>
        <v>0</v>
      </c>
      <c r="O1639" s="17"/>
      <c r="P1639" s="17"/>
      <c r="Q1639" s="17"/>
      <c r="R1639" s="17"/>
      <c r="S1639" s="17"/>
      <c r="T1639" s="686"/>
      <c r="U1639" s="18">
        <f>РПЗ!P1867</f>
        <v>0</v>
      </c>
      <c r="V1639" s="686"/>
      <c r="W1639" s="236">
        <f>РПЗ!L1867</f>
        <v>0</v>
      </c>
      <c r="X1639" s="689"/>
      <c r="Y1639" s="689"/>
      <c r="Z1639" s="690"/>
      <c r="AA1639" s="691"/>
      <c r="AB1639" s="111"/>
      <c r="AC1639" s="17"/>
      <c r="AD1639" s="690"/>
      <c r="AE1639" s="686"/>
      <c r="AF1639" s="474"/>
      <c r="AG1639" s="692"/>
      <c r="AH1639" s="236" t="str">
        <f>IF(Таблица5[[#This Row],[30]]=0,"НД",Таблица5[[#This Row],[20]]-Таблица5[[#This Row],[30]])</f>
        <v>НД</v>
      </c>
      <c r="AI1639" s="511" t="e">
        <f>IF(((1-Таблица5[[#This Row],[30]]/Таблица5[[#This Row],[20]])=1),"НД",(1-Таблица5[[#This Row],[30]]/Таблица5[[#This Row],[20]]))</f>
        <v>#DIV/0!</v>
      </c>
      <c r="AJ1639" s="111"/>
      <c r="AK1639" s="111"/>
      <c r="AL1639" s="512"/>
      <c r="AM1639" s="513"/>
      <c r="AN1639" s="465"/>
      <c r="AO1639" s="468">
        <f>РПЗ!AD1867</f>
        <v>0</v>
      </c>
      <c r="AP1639" s="472">
        <f>РПЗ!V1867</f>
        <v>0</v>
      </c>
      <c r="AQ1639" s="470">
        <f>IF(Таблица5[[#This Row],[11]]=0,,MONTH(Таблица5[[#This Row],[11]]))</f>
        <v>0</v>
      </c>
    </row>
    <row r="1640" spans="1:43" x14ac:dyDescent="0.25">
      <c r="A1640" s="233">
        <f t="shared" si="26"/>
        <v>0</v>
      </c>
      <c r="B1640" s="233">
        <f>РПЗ!$D1868</f>
        <v>0</v>
      </c>
      <c r="C1640" s="233">
        <f>РПЗ!$AA1868</f>
        <v>0</v>
      </c>
      <c r="D1640" s="633">
        <f>РПЗ!$AB1868</f>
        <v>0</v>
      </c>
      <c r="E1640" s="510"/>
      <c r="F1640" s="233">
        <f>РПЗ!Q1640</f>
        <v>0</v>
      </c>
      <c r="G1640" s="237">
        <f>Таблица5[[#This Row],[6]]</f>
        <v>0</v>
      </c>
      <c r="H1640" s="237">
        <f>РПЗ!R1640</f>
        <v>0</v>
      </c>
      <c r="I1640" s="15">
        <f>РПЗ!W1868</f>
        <v>0</v>
      </c>
      <c r="J1640" s="233">
        <f>РПЗ!X1868</f>
        <v>0</v>
      </c>
      <c r="K1640" s="283">
        <f>РПЗ!Z1868</f>
        <v>0</v>
      </c>
      <c r="L1640" s="17"/>
      <c r="M1640" s="18">
        <f>РПЗ!O1640</f>
        <v>0</v>
      </c>
      <c r="N1640" s="238">
        <f>Таблица5[[#This Row],[10]]</f>
        <v>0</v>
      </c>
      <c r="O1640" s="17"/>
      <c r="P1640" s="17"/>
      <c r="Q1640" s="17"/>
      <c r="R1640" s="17"/>
      <c r="S1640" s="17"/>
      <c r="T1640" s="686"/>
      <c r="U1640" s="18">
        <f>РПЗ!P1868</f>
        <v>0</v>
      </c>
      <c r="V1640" s="686"/>
      <c r="W1640" s="236">
        <f>РПЗ!L1868</f>
        <v>0</v>
      </c>
      <c r="X1640" s="689"/>
      <c r="Y1640" s="689"/>
      <c r="Z1640" s="690"/>
      <c r="AA1640" s="691"/>
      <c r="AB1640" s="111"/>
      <c r="AC1640" s="17"/>
      <c r="AD1640" s="690"/>
      <c r="AE1640" s="686"/>
      <c r="AF1640" s="474"/>
      <c r="AG1640" s="692"/>
      <c r="AH1640" s="236" t="str">
        <f>IF(Таблица5[[#This Row],[30]]=0,"НД",Таблица5[[#This Row],[20]]-Таблица5[[#This Row],[30]])</f>
        <v>НД</v>
      </c>
      <c r="AI1640" s="511" t="e">
        <f>IF(((1-Таблица5[[#This Row],[30]]/Таблица5[[#This Row],[20]])=1),"НД",(1-Таблица5[[#This Row],[30]]/Таблица5[[#This Row],[20]]))</f>
        <v>#DIV/0!</v>
      </c>
      <c r="AJ1640" s="111"/>
      <c r="AK1640" s="111"/>
      <c r="AL1640" s="512"/>
      <c r="AM1640" s="513"/>
      <c r="AN1640" s="465"/>
      <c r="AO1640" s="468">
        <f>РПЗ!AD1868</f>
        <v>0</v>
      </c>
      <c r="AP1640" s="472">
        <f>РПЗ!V1868</f>
        <v>0</v>
      </c>
      <c r="AQ1640" s="470">
        <f>IF(Таблица5[[#This Row],[11]]=0,,MONTH(Таблица5[[#This Row],[11]]))</f>
        <v>0</v>
      </c>
    </row>
    <row r="1641" spans="1:43" x14ac:dyDescent="0.25">
      <c r="A1641" s="233">
        <f t="shared" si="26"/>
        <v>0</v>
      </c>
      <c r="B1641" s="233">
        <f>РПЗ!$D1869</f>
        <v>0</v>
      </c>
      <c r="C1641" s="233">
        <f>РПЗ!$AA1869</f>
        <v>0</v>
      </c>
      <c r="D1641" s="633">
        <f>РПЗ!$AB1869</f>
        <v>0</v>
      </c>
      <c r="E1641" s="510"/>
      <c r="F1641" s="233">
        <f>РПЗ!Q1641</f>
        <v>0</v>
      </c>
      <c r="G1641" s="237">
        <f>Таблица5[[#This Row],[6]]</f>
        <v>0</v>
      </c>
      <c r="H1641" s="237">
        <f>РПЗ!R1641</f>
        <v>0</v>
      </c>
      <c r="I1641" s="15">
        <f>РПЗ!W1869</f>
        <v>0</v>
      </c>
      <c r="J1641" s="233">
        <f>РПЗ!X1869</f>
        <v>0</v>
      </c>
      <c r="K1641" s="283">
        <f>РПЗ!Z1869</f>
        <v>0</v>
      </c>
      <c r="L1641" s="17"/>
      <c r="M1641" s="18">
        <f>РПЗ!O1641</f>
        <v>0</v>
      </c>
      <c r="N1641" s="238">
        <f>Таблица5[[#This Row],[10]]</f>
        <v>0</v>
      </c>
      <c r="O1641" s="17"/>
      <c r="P1641" s="17"/>
      <c r="Q1641" s="17"/>
      <c r="R1641" s="17"/>
      <c r="S1641" s="17"/>
      <c r="T1641" s="686"/>
      <c r="U1641" s="18">
        <f>РПЗ!P1869</f>
        <v>0</v>
      </c>
      <c r="V1641" s="686"/>
      <c r="W1641" s="236">
        <f>РПЗ!L1869</f>
        <v>0</v>
      </c>
      <c r="X1641" s="689"/>
      <c r="Y1641" s="689"/>
      <c r="Z1641" s="690"/>
      <c r="AA1641" s="691"/>
      <c r="AB1641" s="111"/>
      <c r="AC1641" s="17"/>
      <c r="AD1641" s="690"/>
      <c r="AE1641" s="686"/>
      <c r="AF1641" s="474"/>
      <c r="AG1641" s="692"/>
      <c r="AH1641" s="236" t="str">
        <f>IF(Таблица5[[#This Row],[30]]=0,"НД",Таблица5[[#This Row],[20]]-Таблица5[[#This Row],[30]])</f>
        <v>НД</v>
      </c>
      <c r="AI1641" s="511" t="e">
        <f>IF(((1-Таблица5[[#This Row],[30]]/Таблица5[[#This Row],[20]])=1),"НД",(1-Таблица5[[#This Row],[30]]/Таблица5[[#This Row],[20]]))</f>
        <v>#DIV/0!</v>
      </c>
      <c r="AJ1641" s="111"/>
      <c r="AK1641" s="111"/>
      <c r="AL1641" s="512"/>
      <c r="AM1641" s="513"/>
      <c r="AN1641" s="465"/>
      <c r="AO1641" s="468">
        <f>РПЗ!AD1869</f>
        <v>0</v>
      </c>
      <c r="AP1641" s="472">
        <f>РПЗ!V1869</f>
        <v>0</v>
      </c>
      <c r="AQ1641" s="470">
        <f>IF(Таблица5[[#This Row],[11]]=0,,MONTH(Таблица5[[#This Row],[11]]))</f>
        <v>0</v>
      </c>
    </row>
    <row r="1642" spans="1:43" x14ac:dyDescent="0.25">
      <c r="A1642" s="233">
        <f t="shared" si="26"/>
        <v>0</v>
      </c>
      <c r="B1642" s="233">
        <f>РПЗ!$D1870</f>
        <v>0</v>
      </c>
      <c r="C1642" s="233">
        <f>РПЗ!$AA1870</f>
        <v>0</v>
      </c>
      <c r="D1642" s="633">
        <f>РПЗ!$AB1870</f>
        <v>0</v>
      </c>
      <c r="E1642" s="510"/>
      <c r="F1642" s="233">
        <f>РПЗ!Q1642</f>
        <v>0</v>
      </c>
      <c r="G1642" s="237">
        <f>Таблица5[[#This Row],[6]]</f>
        <v>0</v>
      </c>
      <c r="H1642" s="237">
        <f>РПЗ!R1642</f>
        <v>0</v>
      </c>
      <c r="I1642" s="15">
        <f>РПЗ!W1870</f>
        <v>0</v>
      </c>
      <c r="J1642" s="233">
        <f>РПЗ!X1870</f>
        <v>0</v>
      </c>
      <c r="K1642" s="283">
        <f>РПЗ!Z1870</f>
        <v>0</v>
      </c>
      <c r="L1642" s="17"/>
      <c r="M1642" s="18">
        <f>РПЗ!O1642</f>
        <v>0</v>
      </c>
      <c r="N1642" s="238">
        <f>Таблица5[[#This Row],[10]]</f>
        <v>0</v>
      </c>
      <c r="O1642" s="17"/>
      <c r="P1642" s="17"/>
      <c r="Q1642" s="17"/>
      <c r="R1642" s="17"/>
      <c r="S1642" s="17"/>
      <c r="T1642" s="686"/>
      <c r="U1642" s="18">
        <f>РПЗ!P1870</f>
        <v>0</v>
      </c>
      <c r="V1642" s="686"/>
      <c r="W1642" s="236">
        <f>РПЗ!L1870</f>
        <v>0</v>
      </c>
      <c r="X1642" s="689"/>
      <c r="Y1642" s="689"/>
      <c r="Z1642" s="690"/>
      <c r="AA1642" s="691"/>
      <c r="AB1642" s="111"/>
      <c r="AC1642" s="17"/>
      <c r="AD1642" s="690"/>
      <c r="AE1642" s="686"/>
      <c r="AF1642" s="474"/>
      <c r="AG1642" s="692"/>
      <c r="AH1642" s="236" t="str">
        <f>IF(Таблица5[[#This Row],[30]]=0,"НД",Таблица5[[#This Row],[20]]-Таблица5[[#This Row],[30]])</f>
        <v>НД</v>
      </c>
      <c r="AI1642" s="511" t="e">
        <f>IF(((1-Таблица5[[#This Row],[30]]/Таблица5[[#This Row],[20]])=1),"НД",(1-Таблица5[[#This Row],[30]]/Таблица5[[#This Row],[20]]))</f>
        <v>#DIV/0!</v>
      </c>
      <c r="AJ1642" s="111"/>
      <c r="AK1642" s="111"/>
      <c r="AL1642" s="512"/>
      <c r="AM1642" s="513"/>
      <c r="AN1642" s="465"/>
      <c r="AO1642" s="468">
        <f>РПЗ!AD1870</f>
        <v>0</v>
      </c>
      <c r="AP1642" s="472">
        <f>РПЗ!V1870</f>
        <v>0</v>
      </c>
      <c r="AQ1642" s="470">
        <f>IF(Таблица5[[#This Row],[11]]=0,,MONTH(Таблица5[[#This Row],[11]]))</f>
        <v>0</v>
      </c>
    </row>
    <row r="1643" spans="1:43" x14ac:dyDescent="0.25">
      <c r="A1643" s="233">
        <f t="shared" si="26"/>
        <v>0</v>
      </c>
      <c r="B1643" s="233">
        <f>РПЗ!$D1871</f>
        <v>0</v>
      </c>
      <c r="C1643" s="233">
        <f>РПЗ!$AA1871</f>
        <v>0</v>
      </c>
      <c r="D1643" s="633">
        <f>РПЗ!$AB1871</f>
        <v>0</v>
      </c>
      <c r="E1643" s="510"/>
      <c r="F1643" s="233">
        <f>РПЗ!Q1643</f>
        <v>0</v>
      </c>
      <c r="G1643" s="237">
        <f>Таблица5[[#This Row],[6]]</f>
        <v>0</v>
      </c>
      <c r="H1643" s="237">
        <f>РПЗ!R1643</f>
        <v>0</v>
      </c>
      <c r="I1643" s="15">
        <f>РПЗ!W1871</f>
        <v>0</v>
      </c>
      <c r="J1643" s="233">
        <f>РПЗ!X1871</f>
        <v>0</v>
      </c>
      <c r="K1643" s="283">
        <f>РПЗ!Z1871</f>
        <v>0</v>
      </c>
      <c r="L1643" s="17"/>
      <c r="M1643" s="18">
        <f>РПЗ!O1643</f>
        <v>0</v>
      </c>
      <c r="N1643" s="238">
        <f>Таблица5[[#This Row],[10]]</f>
        <v>0</v>
      </c>
      <c r="O1643" s="17"/>
      <c r="P1643" s="17"/>
      <c r="Q1643" s="17"/>
      <c r="R1643" s="17"/>
      <c r="S1643" s="17"/>
      <c r="T1643" s="686"/>
      <c r="U1643" s="18">
        <f>РПЗ!P1871</f>
        <v>0</v>
      </c>
      <c r="V1643" s="686"/>
      <c r="W1643" s="236">
        <f>РПЗ!L1871</f>
        <v>0</v>
      </c>
      <c r="X1643" s="689"/>
      <c r="Y1643" s="689"/>
      <c r="Z1643" s="690"/>
      <c r="AA1643" s="691"/>
      <c r="AB1643" s="111"/>
      <c r="AC1643" s="17"/>
      <c r="AD1643" s="690"/>
      <c r="AE1643" s="686"/>
      <c r="AF1643" s="474"/>
      <c r="AG1643" s="692"/>
      <c r="AH1643" s="236" t="str">
        <f>IF(Таблица5[[#This Row],[30]]=0,"НД",Таблица5[[#This Row],[20]]-Таблица5[[#This Row],[30]])</f>
        <v>НД</v>
      </c>
      <c r="AI1643" s="511" t="e">
        <f>IF(((1-Таблица5[[#This Row],[30]]/Таблица5[[#This Row],[20]])=1),"НД",(1-Таблица5[[#This Row],[30]]/Таблица5[[#This Row],[20]]))</f>
        <v>#DIV/0!</v>
      </c>
      <c r="AJ1643" s="111"/>
      <c r="AK1643" s="111"/>
      <c r="AL1643" s="512"/>
      <c r="AM1643" s="513"/>
      <c r="AN1643" s="465"/>
      <c r="AO1643" s="468">
        <f>РПЗ!AD1871</f>
        <v>0</v>
      </c>
      <c r="AP1643" s="472">
        <f>РПЗ!V1871</f>
        <v>0</v>
      </c>
      <c r="AQ1643" s="470">
        <f>IF(Таблица5[[#This Row],[11]]=0,,MONTH(Таблица5[[#This Row],[11]]))</f>
        <v>0</v>
      </c>
    </row>
    <row r="1644" spans="1:43" x14ac:dyDescent="0.25">
      <c r="A1644" s="233">
        <f t="shared" si="26"/>
        <v>0</v>
      </c>
      <c r="B1644" s="233">
        <f>РПЗ!$D1872</f>
        <v>0</v>
      </c>
      <c r="C1644" s="233">
        <f>РПЗ!$AA1872</f>
        <v>0</v>
      </c>
      <c r="D1644" s="633">
        <f>РПЗ!$AB1872</f>
        <v>0</v>
      </c>
      <c r="E1644" s="510"/>
      <c r="F1644" s="233">
        <f>РПЗ!Q1644</f>
        <v>0</v>
      </c>
      <c r="G1644" s="237">
        <f>Таблица5[[#This Row],[6]]</f>
        <v>0</v>
      </c>
      <c r="H1644" s="237">
        <f>РПЗ!R1644</f>
        <v>0</v>
      </c>
      <c r="I1644" s="15">
        <f>РПЗ!W1872</f>
        <v>0</v>
      </c>
      <c r="J1644" s="233">
        <f>РПЗ!X1872</f>
        <v>0</v>
      </c>
      <c r="K1644" s="283">
        <f>РПЗ!Z1872</f>
        <v>0</v>
      </c>
      <c r="L1644" s="17"/>
      <c r="M1644" s="18">
        <f>РПЗ!O1644</f>
        <v>0</v>
      </c>
      <c r="N1644" s="238">
        <f>Таблица5[[#This Row],[10]]</f>
        <v>0</v>
      </c>
      <c r="O1644" s="17"/>
      <c r="P1644" s="17"/>
      <c r="Q1644" s="17"/>
      <c r="R1644" s="17"/>
      <c r="S1644" s="17"/>
      <c r="T1644" s="686"/>
      <c r="U1644" s="18">
        <f>РПЗ!P1872</f>
        <v>0</v>
      </c>
      <c r="V1644" s="686"/>
      <c r="W1644" s="236">
        <f>РПЗ!L1872</f>
        <v>0</v>
      </c>
      <c r="X1644" s="689"/>
      <c r="Y1644" s="689"/>
      <c r="Z1644" s="690"/>
      <c r="AA1644" s="691"/>
      <c r="AB1644" s="111"/>
      <c r="AC1644" s="17"/>
      <c r="AD1644" s="690"/>
      <c r="AE1644" s="686"/>
      <c r="AF1644" s="474"/>
      <c r="AG1644" s="692"/>
      <c r="AH1644" s="236" t="str">
        <f>IF(Таблица5[[#This Row],[30]]=0,"НД",Таблица5[[#This Row],[20]]-Таблица5[[#This Row],[30]])</f>
        <v>НД</v>
      </c>
      <c r="AI1644" s="511" t="e">
        <f>IF(((1-Таблица5[[#This Row],[30]]/Таблица5[[#This Row],[20]])=1),"НД",(1-Таблица5[[#This Row],[30]]/Таблица5[[#This Row],[20]]))</f>
        <v>#DIV/0!</v>
      </c>
      <c r="AJ1644" s="111"/>
      <c r="AK1644" s="111"/>
      <c r="AL1644" s="512"/>
      <c r="AM1644" s="513"/>
      <c r="AN1644" s="465"/>
      <c r="AO1644" s="468">
        <f>РПЗ!AD1872</f>
        <v>0</v>
      </c>
      <c r="AP1644" s="472">
        <f>РПЗ!V1872</f>
        <v>0</v>
      </c>
      <c r="AQ1644" s="470">
        <f>IF(Таблица5[[#This Row],[11]]=0,,MONTH(Таблица5[[#This Row],[11]]))</f>
        <v>0</v>
      </c>
    </row>
    <row r="1645" spans="1:43" x14ac:dyDescent="0.25">
      <c r="A1645" s="233">
        <f t="shared" si="26"/>
        <v>0</v>
      </c>
      <c r="B1645" s="233">
        <f>РПЗ!$D1873</f>
        <v>0</v>
      </c>
      <c r="C1645" s="233">
        <f>РПЗ!$AA1873</f>
        <v>0</v>
      </c>
      <c r="D1645" s="633">
        <f>РПЗ!$AB1873</f>
        <v>0</v>
      </c>
      <c r="E1645" s="510"/>
      <c r="F1645" s="233">
        <f>РПЗ!Q1645</f>
        <v>0</v>
      </c>
      <c r="G1645" s="237">
        <f>Таблица5[[#This Row],[6]]</f>
        <v>0</v>
      </c>
      <c r="H1645" s="237">
        <f>РПЗ!R1645</f>
        <v>0</v>
      </c>
      <c r="I1645" s="15">
        <f>РПЗ!W1873</f>
        <v>0</v>
      </c>
      <c r="J1645" s="233">
        <f>РПЗ!X1873</f>
        <v>0</v>
      </c>
      <c r="K1645" s="283">
        <f>РПЗ!Z1873</f>
        <v>0</v>
      </c>
      <c r="L1645" s="17"/>
      <c r="M1645" s="18">
        <f>РПЗ!O1645</f>
        <v>0</v>
      </c>
      <c r="N1645" s="238">
        <f>Таблица5[[#This Row],[10]]</f>
        <v>0</v>
      </c>
      <c r="O1645" s="17"/>
      <c r="P1645" s="17"/>
      <c r="Q1645" s="17"/>
      <c r="R1645" s="17"/>
      <c r="S1645" s="17"/>
      <c r="T1645" s="686"/>
      <c r="U1645" s="18">
        <f>РПЗ!P1873</f>
        <v>0</v>
      </c>
      <c r="V1645" s="686"/>
      <c r="W1645" s="236">
        <f>РПЗ!L1873</f>
        <v>0</v>
      </c>
      <c r="X1645" s="689"/>
      <c r="Y1645" s="689"/>
      <c r="Z1645" s="690"/>
      <c r="AA1645" s="691"/>
      <c r="AB1645" s="111"/>
      <c r="AC1645" s="17"/>
      <c r="AD1645" s="690"/>
      <c r="AE1645" s="686"/>
      <c r="AF1645" s="474"/>
      <c r="AG1645" s="692"/>
      <c r="AH1645" s="236" t="str">
        <f>IF(Таблица5[[#This Row],[30]]=0,"НД",Таблица5[[#This Row],[20]]-Таблица5[[#This Row],[30]])</f>
        <v>НД</v>
      </c>
      <c r="AI1645" s="511" t="e">
        <f>IF(((1-Таблица5[[#This Row],[30]]/Таблица5[[#This Row],[20]])=1),"НД",(1-Таблица5[[#This Row],[30]]/Таблица5[[#This Row],[20]]))</f>
        <v>#DIV/0!</v>
      </c>
      <c r="AJ1645" s="111"/>
      <c r="AK1645" s="111"/>
      <c r="AL1645" s="512"/>
      <c r="AM1645" s="513"/>
      <c r="AN1645" s="465"/>
      <c r="AO1645" s="468">
        <f>РПЗ!AD1873</f>
        <v>0</v>
      </c>
      <c r="AP1645" s="472">
        <f>РПЗ!V1873</f>
        <v>0</v>
      </c>
      <c r="AQ1645" s="470">
        <f>IF(Таблица5[[#This Row],[11]]=0,,MONTH(Таблица5[[#This Row],[11]]))</f>
        <v>0</v>
      </c>
    </row>
    <row r="1646" spans="1:43" x14ac:dyDescent="0.25">
      <c r="A1646" s="233">
        <f t="shared" si="26"/>
        <v>0</v>
      </c>
      <c r="B1646" s="233">
        <f>РПЗ!$D1874</f>
        <v>0</v>
      </c>
      <c r="C1646" s="233">
        <f>РПЗ!$AA1874</f>
        <v>0</v>
      </c>
      <c r="D1646" s="633">
        <f>РПЗ!$AB1874</f>
        <v>0</v>
      </c>
      <c r="E1646" s="510"/>
      <c r="F1646" s="233">
        <f>РПЗ!Q1646</f>
        <v>0</v>
      </c>
      <c r="G1646" s="237">
        <f>Таблица5[[#This Row],[6]]</f>
        <v>0</v>
      </c>
      <c r="H1646" s="237">
        <f>РПЗ!R1646</f>
        <v>0</v>
      </c>
      <c r="I1646" s="15">
        <f>РПЗ!W1874</f>
        <v>0</v>
      </c>
      <c r="J1646" s="233">
        <f>РПЗ!X1874</f>
        <v>0</v>
      </c>
      <c r="K1646" s="283">
        <f>РПЗ!Z1874</f>
        <v>0</v>
      </c>
      <c r="L1646" s="17"/>
      <c r="M1646" s="18">
        <f>РПЗ!O1646</f>
        <v>0</v>
      </c>
      <c r="N1646" s="238">
        <f>Таблица5[[#This Row],[10]]</f>
        <v>0</v>
      </c>
      <c r="O1646" s="17"/>
      <c r="P1646" s="17"/>
      <c r="Q1646" s="17"/>
      <c r="R1646" s="17"/>
      <c r="S1646" s="17"/>
      <c r="T1646" s="686"/>
      <c r="U1646" s="18">
        <f>РПЗ!P1874</f>
        <v>0</v>
      </c>
      <c r="V1646" s="686"/>
      <c r="W1646" s="236">
        <f>РПЗ!L1874</f>
        <v>0</v>
      </c>
      <c r="X1646" s="689"/>
      <c r="Y1646" s="689"/>
      <c r="Z1646" s="690"/>
      <c r="AA1646" s="691"/>
      <c r="AB1646" s="111"/>
      <c r="AC1646" s="17"/>
      <c r="AD1646" s="690"/>
      <c r="AE1646" s="686"/>
      <c r="AF1646" s="474"/>
      <c r="AG1646" s="692"/>
      <c r="AH1646" s="236" t="str">
        <f>IF(Таблица5[[#This Row],[30]]=0,"НД",Таблица5[[#This Row],[20]]-Таблица5[[#This Row],[30]])</f>
        <v>НД</v>
      </c>
      <c r="AI1646" s="511" t="e">
        <f>IF(((1-Таблица5[[#This Row],[30]]/Таблица5[[#This Row],[20]])=1),"НД",(1-Таблица5[[#This Row],[30]]/Таблица5[[#This Row],[20]]))</f>
        <v>#DIV/0!</v>
      </c>
      <c r="AJ1646" s="111"/>
      <c r="AK1646" s="111"/>
      <c r="AL1646" s="512"/>
      <c r="AM1646" s="513"/>
      <c r="AN1646" s="465"/>
      <c r="AO1646" s="468">
        <f>РПЗ!AD1874</f>
        <v>0</v>
      </c>
      <c r="AP1646" s="472">
        <f>РПЗ!V1874</f>
        <v>0</v>
      </c>
      <c r="AQ1646" s="470">
        <f>IF(Таблица5[[#This Row],[11]]=0,,MONTH(Таблица5[[#This Row],[11]]))</f>
        <v>0</v>
      </c>
    </row>
    <row r="1647" spans="1:43" x14ac:dyDescent="0.25">
      <c r="A1647" s="233">
        <f t="shared" si="26"/>
        <v>0</v>
      </c>
      <c r="B1647" s="233">
        <f>РПЗ!$D1875</f>
        <v>0</v>
      </c>
      <c r="C1647" s="233">
        <f>РПЗ!$AA1875</f>
        <v>0</v>
      </c>
      <c r="D1647" s="633">
        <f>РПЗ!$AB1875</f>
        <v>0</v>
      </c>
      <c r="E1647" s="510"/>
      <c r="F1647" s="233">
        <f>РПЗ!Q1647</f>
        <v>0</v>
      </c>
      <c r="G1647" s="237">
        <f>Таблица5[[#This Row],[6]]</f>
        <v>0</v>
      </c>
      <c r="H1647" s="237">
        <f>РПЗ!R1647</f>
        <v>0</v>
      </c>
      <c r="I1647" s="15">
        <f>РПЗ!W1875</f>
        <v>0</v>
      </c>
      <c r="J1647" s="233">
        <f>РПЗ!X1875</f>
        <v>0</v>
      </c>
      <c r="K1647" s="283">
        <f>РПЗ!Z1875</f>
        <v>0</v>
      </c>
      <c r="L1647" s="17"/>
      <c r="M1647" s="18">
        <f>РПЗ!O1647</f>
        <v>0</v>
      </c>
      <c r="N1647" s="238">
        <f>Таблица5[[#This Row],[10]]</f>
        <v>0</v>
      </c>
      <c r="O1647" s="17"/>
      <c r="P1647" s="17"/>
      <c r="Q1647" s="17"/>
      <c r="R1647" s="17"/>
      <c r="S1647" s="17"/>
      <c r="T1647" s="686"/>
      <c r="U1647" s="18">
        <f>РПЗ!P1875</f>
        <v>0</v>
      </c>
      <c r="V1647" s="686"/>
      <c r="W1647" s="236">
        <f>РПЗ!L1875</f>
        <v>0</v>
      </c>
      <c r="X1647" s="689"/>
      <c r="Y1647" s="689"/>
      <c r="Z1647" s="690"/>
      <c r="AA1647" s="691"/>
      <c r="AB1647" s="111"/>
      <c r="AC1647" s="17"/>
      <c r="AD1647" s="690"/>
      <c r="AE1647" s="686"/>
      <c r="AF1647" s="474"/>
      <c r="AG1647" s="692"/>
      <c r="AH1647" s="236" t="str">
        <f>IF(Таблица5[[#This Row],[30]]=0,"НД",Таблица5[[#This Row],[20]]-Таблица5[[#This Row],[30]])</f>
        <v>НД</v>
      </c>
      <c r="AI1647" s="511" t="e">
        <f>IF(((1-Таблица5[[#This Row],[30]]/Таблица5[[#This Row],[20]])=1),"НД",(1-Таблица5[[#This Row],[30]]/Таблица5[[#This Row],[20]]))</f>
        <v>#DIV/0!</v>
      </c>
      <c r="AJ1647" s="111"/>
      <c r="AK1647" s="111"/>
      <c r="AL1647" s="512"/>
      <c r="AM1647" s="513"/>
      <c r="AN1647" s="465"/>
      <c r="AO1647" s="468">
        <f>РПЗ!AD1875</f>
        <v>0</v>
      </c>
      <c r="AP1647" s="472">
        <f>РПЗ!V1875</f>
        <v>0</v>
      </c>
      <c r="AQ1647" s="470">
        <f>IF(Таблица5[[#This Row],[11]]=0,,MONTH(Таблица5[[#This Row],[11]]))</f>
        <v>0</v>
      </c>
    </row>
    <row r="1648" spans="1:43" x14ac:dyDescent="0.25">
      <c r="A1648" s="233">
        <f t="shared" si="26"/>
        <v>0</v>
      </c>
      <c r="B1648" s="233">
        <f>РПЗ!$D1876</f>
        <v>0</v>
      </c>
      <c r="C1648" s="233">
        <f>РПЗ!$AA1876</f>
        <v>0</v>
      </c>
      <c r="D1648" s="633">
        <f>РПЗ!$AB1876</f>
        <v>0</v>
      </c>
      <c r="E1648" s="510"/>
      <c r="F1648" s="233">
        <f>РПЗ!Q1648</f>
        <v>0</v>
      </c>
      <c r="G1648" s="237">
        <f>Таблица5[[#This Row],[6]]</f>
        <v>0</v>
      </c>
      <c r="H1648" s="237">
        <f>РПЗ!R1648</f>
        <v>0</v>
      </c>
      <c r="I1648" s="15">
        <f>РПЗ!W1876</f>
        <v>0</v>
      </c>
      <c r="J1648" s="233">
        <f>РПЗ!X1876</f>
        <v>0</v>
      </c>
      <c r="K1648" s="283">
        <f>РПЗ!Z1876</f>
        <v>0</v>
      </c>
      <c r="L1648" s="17"/>
      <c r="M1648" s="18">
        <f>РПЗ!O1648</f>
        <v>0</v>
      </c>
      <c r="N1648" s="238">
        <f>Таблица5[[#This Row],[10]]</f>
        <v>0</v>
      </c>
      <c r="O1648" s="17"/>
      <c r="P1648" s="17"/>
      <c r="Q1648" s="17"/>
      <c r="R1648" s="17"/>
      <c r="S1648" s="17"/>
      <c r="T1648" s="686"/>
      <c r="U1648" s="18">
        <f>РПЗ!P1876</f>
        <v>0</v>
      </c>
      <c r="V1648" s="686"/>
      <c r="W1648" s="236">
        <f>РПЗ!L1876</f>
        <v>0</v>
      </c>
      <c r="X1648" s="689"/>
      <c r="Y1648" s="689"/>
      <c r="Z1648" s="690"/>
      <c r="AA1648" s="691"/>
      <c r="AB1648" s="111"/>
      <c r="AC1648" s="17"/>
      <c r="AD1648" s="690"/>
      <c r="AE1648" s="686"/>
      <c r="AF1648" s="474"/>
      <c r="AG1648" s="692"/>
      <c r="AH1648" s="236" t="str">
        <f>IF(Таблица5[[#This Row],[30]]=0,"НД",Таблица5[[#This Row],[20]]-Таблица5[[#This Row],[30]])</f>
        <v>НД</v>
      </c>
      <c r="AI1648" s="511" t="e">
        <f>IF(((1-Таблица5[[#This Row],[30]]/Таблица5[[#This Row],[20]])=1),"НД",(1-Таблица5[[#This Row],[30]]/Таблица5[[#This Row],[20]]))</f>
        <v>#DIV/0!</v>
      </c>
      <c r="AJ1648" s="111"/>
      <c r="AK1648" s="111"/>
      <c r="AL1648" s="512"/>
      <c r="AM1648" s="513"/>
      <c r="AN1648" s="465"/>
      <c r="AO1648" s="468">
        <f>РПЗ!AD1876</f>
        <v>0</v>
      </c>
      <c r="AP1648" s="472">
        <f>РПЗ!V1876</f>
        <v>0</v>
      </c>
      <c r="AQ1648" s="470">
        <f>IF(Таблица5[[#This Row],[11]]=0,,MONTH(Таблица5[[#This Row],[11]]))</f>
        <v>0</v>
      </c>
    </row>
    <row r="1649" spans="1:43" x14ac:dyDescent="0.25">
      <c r="A1649" s="233">
        <f t="shared" si="26"/>
        <v>0</v>
      </c>
      <c r="B1649" s="233">
        <f>РПЗ!$D1877</f>
        <v>0</v>
      </c>
      <c r="C1649" s="233">
        <f>РПЗ!$AA1877</f>
        <v>0</v>
      </c>
      <c r="D1649" s="633">
        <f>РПЗ!$AB1877</f>
        <v>0</v>
      </c>
      <c r="E1649" s="510"/>
      <c r="F1649" s="233">
        <f>РПЗ!Q1649</f>
        <v>0</v>
      </c>
      <c r="G1649" s="237">
        <f>Таблица5[[#This Row],[6]]</f>
        <v>0</v>
      </c>
      <c r="H1649" s="237">
        <f>РПЗ!R1649</f>
        <v>0</v>
      </c>
      <c r="I1649" s="15">
        <f>РПЗ!W1877</f>
        <v>0</v>
      </c>
      <c r="J1649" s="233">
        <f>РПЗ!X1877</f>
        <v>0</v>
      </c>
      <c r="K1649" s="283">
        <f>РПЗ!Z1877</f>
        <v>0</v>
      </c>
      <c r="L1649" s="17"/>
      <c r="M1649" s="18">
        <f>РПЗ!O1649</f>
        <v>0</v>
      </c>
      <c r="N1649" s="238">
        <f>Таблица5[[#This Row],[10]]</f>
        <v>0</v>
      </c>
      <c r="O1649" s="17"/>
      <c r="P1649" s="17"/>
      <c r="Q1649" s="17"/>
      <c r="R1649" s="17"/>
      <c r="S1649" s="17"/>
      <c r="T1649" s="686"/>
      <c r="U1649" s="18">
        <f>РПЗ!P1877</f>
        <v>0</v>
      </c>
      <c r="V1649" s="686"/>
      <c r="W1649" s="236">
        <f>РПЗ!L1877</f>
        <v>0</v>
      </c>
      <c r="X1649" s="689"/>
      <c r="Y1649" s="689"/>
      <c r="Z1649" s="690"/>
      <c r="AA1649" s="691"/>
      <c r="AB1649" s="111"/>
      <c r="AC1649" s="17"/>
      <c r="AD1649" s="690"/>
      <c r="AE1649" s="686"/>
      <c r="AF1649" s="474"/>
      <c r="AG1649" s="692"/>
      <c r="AH1649" s="236" t="str">
        <f>IF(Таблица5[[#This Row],[30]]=0,"НД",Таблица5[[#This Row],[20]]-Таблица5[[#This Row],[30]])</f>
        <v>НД</v>
      </c>
      <c r="AI1649" s="511" t="e">
        <f>IF(((1-Таблица5[[#This Row],[30]]/Таблица5[[#This Row],[20]])=1),"НД",(1-Таблица5[[#This Row],[30]]/Таблица5[[#This Row],[20]]))</f>
        <v>#DIV/0!</v>
      </c>
      <c r="AJ1649" s="111"/>
      <c r="AK1649" s="111"/>
      <c r="AL1649" s="512"/>
      <c r="AM1649" s="513"/>
      <c r="AN1649" s="465"/>
      <c r="AO1649" s="468">
        <f>РПЗ!AD1877</f>
        <v>0</v>
      </c>
      <c r="AP1649" s="472">
        <f>РПЗ!V1877</f>
        <v>0</v>
      </c>
      <c r="AQ1649" s="470">
        <f>IF(Таблица5[[#This Row],[11]]=0,,MONTH(Таблица5[[#This Row],[11]]))</f>
        <v>0</v>
      </c>
    </row>
    <row r="1650" spans="1:43" x14ac:dyDescent="0.25">
      <c r="A1650" s="233">
        <f t="shared" si="26"/>
        <v>0</v>
      </c>
      <c r="B1650" s="233">
        <f>РПЗ!$D1878</f>
        <v>0</v>
      </c>
      <c r="C1650" s="233">
        <f>РПЗ!$AA1878</f>
        <v>0</v>
      </c>
      <c r="D1650" s="633">
        <f>РПЗ!$AB1878</f>
        <v>0</v>
      </c>
      <c r="E1650" s="510"/>
      <c r="F1650" s="233">
        <f>РПЗ!Q1650</f>
        <v>0</v>
      </c>
      <c r="G1650" s="237">
        <f>Таблица5[[#This Row],[6]]</f>
        <v>0</v>
      </c>
      <c r="H1650" s="237">
        <f>РПЗ!R1650</f>
        <v>0</v>
      </c>
      <c r="I1650" s="15">
        <f>РПЗ!W1878</f>
        <v>0</v>
      </c>
      <c r="J1650" s="233">
        <f>РПЗ!X1878</f>
        <v>0</v>
      </c>
      <c r="K1650" s="283">
        <f>РПЗ!Z1878</f>
        <v>0</v>
      </c>
      <c r="L1650" s="17"/>
      <c r="M1650" s="18">
        <f>РПЗ!O1650</f>
        <v>0</v>
      </c>
      <c r="N1650" s="238">
        <f>Таблица5[[#This Row],[10]]</f>
        <v>0</v>
      </c>
      <c r="O1650" s="17"/>
      <c r="P1650" s="17"/>
      <c r="Q1650" s="17"/>
      <c r="R1650" s="17"/>
      <c r="S1650" s="17"/>
      <c r="T1650" s="686"/>
      <c r="U1650" s="18">
        <f>РПЗ!P1878</f>
        <v>0</v>
      </c>
      <c r="V1650" s="686"/>
      <c r="W1650" s="236">
        <f>РПЗ!L1878</f>
        <v>0</v>
      </c>
      <c r="X1650" s="689"/>
      <c r="Y1650" s="689"/>
      <c r="Z1650" s="690"/>
      <c r="AA1650" s="691"/>
      <c r="AB1650" s="111"/>
      <c r="AC1650" s="17"/>
      <c r="AD1650" s="690"/>
      <c r="AE1650" s="686"/>
      <c r="AF1650" s="474"/>
      <c r="AG1650" s="692"/>
      <c r="AH1650" s="236" t="str">
        <f>IF(Таблица5[[#This Row],[30]]=0,"НД",Таблица5[[#This Row],[20]]-Таблица5[[#This Row],[30]])</f>
        <v>НД</v>
      </c>
      <c r="AI1650" s="511" t="e">
        <f>IF(((1-Таблица5[[#This Row],[30]]/Таблица5[[#This Row],[20]])=1),"НД",(1-Таблица5[[#This Row],[30]]/Таблица5[[#This Row],[20]]))</f>
        <v>#DIV/0!</v>
      </c>
      <c r="AJ1650" s="111"/>
      <c r="AK1650" s="111"/>
      <c r="AL1650" s="512"/>
      <c r="AM1650" s="513"/>
      <c r="AN1650" s="465"/>
      <c r="AO1650" s="468">
        <f>РПЗ!AD1878</f>
        <v>0</v>
      </c>
      <c r="AP1650" s="472">
        <f>РПЗ!V1878</f>
        <v>0</v>
      </c>
      <c r="AQ1650" s="470">
        <f>IF(Таблица5[[#This Row],[11]]=0,,MONTH(Таблица5[[#This Row],[11]]))</f>
        <v>0</v>
      </c>
    </row>
    <row r="1651" spans="1:43" x14ac:dyDescent="0.25">
      <c r="A1651" s="233">
        <f t="shared" ref="A1651:A1679" si="27">INDEX(Диапазон1,ROW(), COLUMN())</f>
        <v>0</v>
      </c>
      <c r="B1651" s="233">
        <f>РПЗ!$D1879</f>
        <v>0</v>
      </c>
      <c r="C1651" s="233">
        <f>РПЗ!$AA1879</f>
        <v>0</v>
      </c>
      <c r="D1651" s="633">
        <f>РПЗ!$AB1879</f>
        <v>0</v>
      </c>
      <c r="E1651" s="510"/>
      <c r="F1651" s="233">
        <f>РПЗ!Q1651</f>
        <v>0</v>
      </c>
      <c r="G1651" s="237">
        <f>Таблица5[[#This Row],[6]]</f>
        <v>0</v>
      </c>
      <c r="H1651" s="237">
        <f>РПЗ!R1651</f>
        <v>0</v>
      </c>
      <c r="I1651" s="15">
        <f>РПЗ!W1879</f>
        <v>0</v>
      </c>
      <c r="J1651" s="233">
        <f>РПЗ!X1879</f>
        <v>0</v>
      </c>
      <c r="K1651" s="283">
        <f>РПЗ!Z1879</f>
        <v>0</v>
      </c>
      <c r="L1651" s="17"/>
      <c r="M1651" s="18">
        <f>РПЗ!O1651</f>
        <v>0</v>
      </c>
      <c r="N1651" s="238">
        <f>Таблица5[[#This Row],[10]]</f>
        <v>0</v>
      </c>
      <c r="O1651" s="17"/>
      <c r="P1651" s="17"/>
      <c r="Q1651" s="17"/>
      <c r="R1651" s="17"/>
      <c r="S1651" s="17"/>
      <c r="T1651" s="686"/>
      <c r="U1651" s="18">
        <f>РПЗ!P1879</f>
        <v>0</v>
      </c>
      <c r="V1651" s="686"/>
      <c r="W1651" s="236">
        <f>РПЗ!L1879</f>
        <v>0</v>
      </c>
      <c r="X1651" s="689"/>
      <c r="Y1651" s="689"/>
      <c r="Z1651" s="690"/>
      <c r="AA1651" s="691"/>
      <c r="AB1651" s="111"/>
      <c r="AC1651" s="17"/>
      <c r="AD1651" s="690"/>
      <c r="AE1651" s="686"/>
      <c r="AF1651" s="474"/>
      <c r="AG1651" s="692"/>
      <c r="AH1651" s="236" t="str">
        <f>IF(Таблица5[[#This Row],[30]]=0,"НД",Таблица5[[#This Row],[20]]-Таблица5[[#This Row],[30]])</f>
        <v>НД</v>
      </c>
      <c r="AI1651" s="511" t="e">
        <f>IF(((1-Таблица5[[#This Row],[30]]/Таблица5[[#This Row],[20]])=1),"НД",(1-Таблица5[[#This Row],[30]]/Таблица5[[#This Row],[20]]))</f>
        <v>#DIV/0!</v>
      </c>
      <c r="AJ1651" s="111"/>
      <c r="AK1651" s="111"/>
      <c r="AL1651" s="512"/>
      <c r="AM1651" s="513"/>
      <c r="AN1651" s="465"/>
      <c r="AO1651" s="468">
        <f>РПЗ!AD1879</f>
        <v>0</v>
      </c>
      <c r="AP1651" s="472">
        <f>РПЗ!V1879</f>
        <v>0</v>
      </c>
      <c r="AQ1651" s="470">
        <f>IF(Таблица5[[#This Row],[11]]=0,,MONTH(Таблица5[[#This Row],[11]]))</f>
        <v>0</v>
      </c>
    </row>
    <row r="1652" spans="1:43" x14ac:dyDescent="0.25">
      <c r="A1652" s="233">
        <f t="shared" si="27"/>
        <v>0</v>
      </c>
      <c r="B1652" s="233">
        <f>РПЗ!$D1880</f>
        <v>0</v>
      </c>
      <c r="C1652" s="233">
        <f>РПЗ!$AA1880</f>
        <v>0</v>
      </c>
      <c r="D1652" s="633">
        <f>РПЗ!$AB1880</f>
        <v>0</v>
      </c>
      <c r="E1652" s="510"/>
      <c r="F1652" s="233">
        <f>РПЗ!Q1880</f>
        <v>0</v>
      </c>
      <c r="G1652" s="237">
        <f>Таблица5[[#This Row],[6]]</f>
        <v>0</v>
      </c>
      <c r="H1652" s="237">
        <f>РПЗ!R1880</f>
        <v>0</v>
      </c>
      <c r="I1652" s="15">
        <f>РПЗ!W1880</f>
        <v>0</v>
      </c>
      <c r="J1652" s="233">
        <f>РПЗ!X1880</f>
        <v>0</v>
      </c>
      <c r="K1652" s="283">
        <f>РПЗ!Z1880</f>
        <v>0</v>
      </c>
      <c r="L1652" s="17"/>
      <c r="M1652" s="18">
        <f>РПЗ!O1652</f>
        <v>0</v>
      </c>
      <c r="N1652" s="238">
        <f>Таблица5[[#This Row],[10]]</f>
        <v>0</v>
      </c>
      <c r="O1652" s="17"/>
      <c r="P1652" s="17"/>
      <c r="Q1652" s="17"/>
      <c r="R1652" s="17"/>
      <c r="S1652" s="17"/>
      <c r="T1652" s="686"/>
      <c r="U1652" s="18">
        <f>РПЗ!P1880</f>
        <v>0</v>
      </c>
      <c r="V1652" s="686"/>
      <c r="W1652" s="236">
        <f>РПЗ!L1880</f>
        <v>0</v>
      </c>
      <c r="X1652" s="689"/>
      <c r="Y1652" s="689"/>
      <c r="Z1652" s="690"/>
      <c r="AA1652" s="691"/>
      <c r="AB1652" s="111"/>
      <c r="AC1652" s="17"/>
      <c r="AD1652" s="690"/>
      <c r="AE1652" s="686"/>
      <c r="AF1652" s="474"/>
      <c r="AG1652" s="692"/>
      <c r="AH1652" s="236" t="str">
        <f>IF(Таблица5[[#This Row],[30]]=0,"НД",Таблица5[[#This Row],[20]]-Таблица5[[#This Row],[30]])</f>
        <v>НД</v>
      </c>
      <c r="AI1652" s="511" t="e">
        <f>IF(((1-Таблица5[[#This Row],[30]]/Таблица5[[#This Row],[20]])=1),"НД",(1-Таблица5[[#This Row],[30]]/Таблица5[[#This Row],[20]]))</f>
        <v>#DIV/0!</v>
      </c>
      <c r="AJ1652" s="111"/>
      <c r="AK1652" s="111"/>
      <c r="AL1652" s="512"/>
      <c r="AM1652" s="513"/>
      <c r="AN1652" s="465"/>
      <c r="AO1652" s="468">
        <f>РПЗ!AD1880</f>
        <v>0</v>
      </c>
      <c r="AP1652" s="472">
        <f>РПЗ!V1880</f>
        <v>0</v>
      </c>
      <c r="AQ1652" s="470">
        <f>IF(Таблица5[[#This Row],[11]]=0,,MONTH(Таблица5[[#This Row],[11]]))</f>
        <v>0</v>
      </c>
    </row>
    <row r="1653" spans="1:43" x14ac:dyDescent="0.25">
      <c r="A1653" s="233">
        <f t="shared" si="27"/>
        <v>0</v>
      </c>
      <c r="B1653" s="233">
        <f>РПЗ!$D1881</f>
        <v>0</v>
      </c>
      <c r="C1653" s="233">
        <f>РПЗ!$AA1881</f>
        <v>0</v>
      </c>
      <c r="D1653" s="633">
        <f>РПЗ!$AB1881</f>
        <v>0</v>
      </c>
      <c r="E1653" s="510"/>
      <c r="F1653" s="233">
        <f>РПЗ!Q1881</f>
        <v>0</v>
      </c>
      <c r="G1653" s="237">
        <f>Таблица5[[#This Row],[6]]</f>
        <v>0</v>
      </c>
      <c r="H1653" s="237">
        <f>РПЗ!R1881</f>
        <v>0</v>
      </c>
      <c r="I1653" s="15">
        <f>РПЗ!W1881</f>
        <v>0</v>
      </c>
      <c r="J1653" s="233">
        <f>РПЗ!X1881</f>
        <v>0</v>
      </c>
      <c r="K1653" s="283">
        <f>РПЗ!Z1881</f>
        <v>0</v>
      </c>
      <c r="L1653" s="17"/>
      <c r="M1653" s="18">
        <f>РПЗ!O1653</f>
        <v>0</v>
      </c>
      <c r="N1653" s="238">
        <f>Таблица5[[#This Row],[10]]</f>
        <v>0</v>
      </c>
      <c r="O1653" s="17"/>
      <c r="P1653" s="17"/>
      <c r="Q1653" s="17"/>
      <c r="R1653" s="17"/>
      <c r="S1653" s="17"/>
      <c r="T1653" s="686"/>
      <c r="U1653" s="18">
        <f>РПЗ!P1881</f>
        <v>0</v>
      </c>
      <c r="V1653" s="686"/>
      <c r="W1653" s="236">
        <f>РПЗ!L1881</f>
        <v>0</v>
      </c>
      <c r="X1653" s="689"/>
      <c r="Y1653" s="689"/>
      <c r="Z1653" s="690"/>
      <c r="AA1653" s="691"/>
      <c r="AB1653" s="111"/>
      <c r="AC1653" s="17"/>
      <c r="AD1653" s="690"/>
      <c r="AE1653" s="686"/>
      <c r="AF1653" s="474"/>
      <c r="AG1653" s="692"/>
      <c r="AH1653" s="236" t="str">
        <f>IF(Таблица5[[#This Row],[30]]=0,"НД",Таблица5[[#This Row],[20]]-Таблица5[[#This Row],[30]])</f>
        <v>НД</v>
      </c>
      <c r="AI1653" s="511" t="e">
        <f>IF(((1-Таблица5[[#This Row],[30]]/Таблица5[[#This Row],[20]])=1),"НД",(1-Таблица5[[#This Row],[30]]/Таблица5[[#This Row],[20]]))</f>
        <v>#DIV/0!</v>
      </c>
      <c r="AJ1653" s="111"/>
      <c r="AK1653" s="111"/>
      <c r="AL1653" s="512"/>
      <c r="AM1653" s="513"/>
      <c r="AN1653" s="465"/>
      <c r="AO1653" s="468">
        <f>РПЗ!AD1881</f>
        <v>0</v>
      </c>
      <c r="AP1653" s="472">
        <f>РПЗ!V1881</f>
        <v>0</v>
      </c>
      <c r="AQ1653" s="470">
        <f>IF(Таблица5[[#This Row],[11]]=0,,MONTH(Таблица5[[#This Row],[11]]))</f>
        <v>0</v>
      </c>
    </row>
    <row r="1654" spans="1:43" x14ac:dyDescent="0.25">
      <c r="A1654" s="233">
        <f t="shared" si="27"/>
        <v>0</v>
      </c>
      <c r="B1654" s="233">
        <f>РПЗ!$D1882</f>
        <v>0</v>
      </c>
      <c r="C1654" s="233">
        <f>РПЗ!$AA1882</f>
        <v>0</v>
      </c>
      <c r="D1654" s="633">
        <f>РПЗ!$AB1882</f>
        <v>0</v>
      </c>
      <c r="E1654" s="510"/>
      <c r="F1654" s="233">
        <f>РПЗ!Q1882</f>
        <v>0</v>
      </c>
      <c r="G1654" s="237">
        <f>Таблица5[[#This Row],[6]]</f>
        <v>0</v>
      </c>
      <c r="H1654" s="237">
        <f>РПЗ!R1882</f>
        <v>0</v>
      </c>
      <c r="I1654" s="15">
        <f>РПЗ!W1882</f>
        <v>0</v>
      </c>
      <c r="J1654" s="233">
        <f>РПЗ!X1882</f>
        <v>0</v>
      </c>
      <c r="K1654" s="283">
        <f>РПЗ!Z1882</f>
        <v>0</v>
      </c>
      <c r="L1654" s="17"/>
      <c r="M1654" s="18">
        <f>РПЗ!O1654</f>
        <v>0</v>
      </c>
      <c r="N1654" s="238">
        <f>Таблица5[[#This Row],[10]]</f>
        <v>0</v>
      </c>
      <c r="O1654" s="17"/>
      <c r="P1654" s="17"/>
      <c r="Q1654" s="17"/>
      <c r="R1654" s="17"/>
      <c r="S1654" s="17"/>
      <c r="T1654" s="686"/>
      <c r="U1654" s="18">
        <f>РПЗ!P1882</f>
        <v>0</v>
      </c>
      <c r="V1654" s="686"/>
      <c r="W1654" s="236">
        <f>РПЗ!L1882</f>
        <v>0</v>
      </c>
      <c r="X1654" s="689"/>
      <c r="Y1654" s="689"/>
      <c r="Z1654" s="690"/>
      <c r="AA1654" s="691"/>
      <c r="AB1654" s="111"/>
      <c r="AC1654" s="17"/>
      <c r="AD1654" s="690"/>
      <c r="AE1654" s="686"/>
      <c r="AF1654" s="474"/>
      <c r="AG1654" s="692"/>
      <c r="AH1654" s="236" t="str">
        <f>IF(Таблица5[[#This Row],[30]]=0,"НД",Таблица5[[#This Row],[20]]-Таблица5[[#This Row],[30]])</f>
        <v>НД</v>
      </c>
      <c r="AI1654" s="511" t="e">
        <f>IF(((1-Таблица5[[#This Row],[30]]/Таблица5[[#This Row],[20]])=1),"НД",(1-Таблица5[[#This Row],[30]]/Таблица5[[#This Row],[20]]))</f>
        <v>#DIV/0!</v>
      </c>
      <c r="AJ1654" s="111"/>
      <c r="AK1654" s="111"/>
      <c r="AL1654" s="512"/>
      <c r="AM1654" s="513"/>
      <c r="AN1654" s="465"/>
      <c r="AO1654" s="468">
        <f>РПЗ!AD1882</f>
        <v>0</v>
      </c>
      <c r="AP1654" s="472">
        <f>РПЗ!V1882</f>
        <v>0</v>
      </c>
      <c r="AQ1654" s="470">
        <f>IF(Таблица5[[#This Row],[11]]=0,,MONTH(Таблица5[[#This Row],[11]]))</f>
        <v>0</v>
      </c>
    </row>
    <row r="1655" spans="1:43" x14ac:dyDescent="0.25">
      <c r="A1655" s="233">
        <f t="shared" si="27"/>
        <v>0</v>
      </c>
      <c r="B1655" s="233">
        <f>РПЗ!$D1883</f>
        <v>0</v>
      </c>
      <c r="C1655" s="233">
        <f>РПЗ!$AA1883</f>
        <v>0</v>
      </c>
      <c r="D1655" s="633">
        <f>РПЗ!$AB1883</f>
        <v>0</v>
      </c>
      <c r="E1655" s="510"/>
      <c r="F1655" s="233">
        <f>РПЗ!Q1883</f>
        <v>0</v>
      </c>
      <c r="G1655" s="237">
        <f>Таблица5[[#This Row],[6]]</f>
        <v>0</v>
      </c>
      <c r="H1655" s="237">
        <f>РПЗ!R1883</f>
        <v>0</v>
      </c>
      <c r="I1655" s="15">
        <f>РПЗ!W1883</f>
        <v>0</v>
      </c>
      <c r="J1655" s="233">
        <f>РПЗ!X1883</f>
        <v>0</v>
      </c>
      <c r="K1655" s="283">
        <f>РПЗ!Z1883</f>
        <v>0</v>
      </c>
      <c r="L1655" s="17"/>
      <c r="M1655" s="18">
        <f>РПЗ!O1655</f>
        <v>0</v>
      </c>
      <c r="N1655" s="238">
        <f>Таблица5[[#This Row],[10]]</f>
        <v>0</v>
      </c>
      <c r="O1655" s="17"/>
      <c r="P1655" s="17"/>
      <c r="Q1655" s="17"/>
      <c r="R1655" s="17"/>
      <c r="S1655" s="17"/>
      <c r="T1655" s="686"/>
      <c r="U1655" s="18">
        <f>РПЗ!P1883</f>
        <v>0</v>
      </c>
      <c r="V1655" s="686"/>
      <c r="W1655" s="236">
        <f>РПЗ!L1883</f>
        <v>0</v>
      </c>
      <c r="X1655" s="689"/>
      <c r="Y1655" s="689"/>
      <c r="Z1655" s="690"/>
      <c r="AA1655" s="691"/>
      <c r="AB1655" s="111"/>
      <c r="AC1655" s="17"/>
      <c r="AD1655" s="690"/>
      <c r="AE1655" s="686"/>
      <c r="AF1655" s="474"/>
      <c r="AG1655" s="692"/>
      <c r="AH1655" s="236" t="str">
        <f>IF(Таблица5[[#This Row],[30]]=0,"НД",Таблица5[[#This Row],[20]]-Таблица5[[#This Row],[30]])</f>
        <v>НД</v>
      </c>
      <c r="AI1655" s="511" t="e">
        <f>IF(((1-Таблица5[[#This Row],[30]]/Таблица5[[#This Row],[20]])=1),"НД",(1-Таблица5[[#This Row],[30]]/Таблица5[[#This Row],[20]]))</f>
        <v>#DIV/0!</v>
      </c>
      <c r="AJ1655" s="111"/>
      <c r="AK1655" s="111"/>
      <c r="AL1655" s="512"/>
      <c r="AM1655" s="513"/>
      <c r="AN1655" s="465"/>
      <c r="AO1655" s="468">
        <f>РПЗ!AD1883</f>
        <v>0</v>
      </c>
      <c r="AP1655" s="472">
        <f>РПЗ!V1883</f>
        <v>0</v>
      </c>
      <c r="AQ1655" s="470">
        <f>IF(Таблица5[[#This Row],[11]]=0,,MONTH(Таблица5[[#This Row],[11]]))</f>
        <v>0</v>
      </c>
    </row>
    <row r="1656" spans="1:43" x14ac:dyDescent="0.25">
      <c r="A1656" s="233">
        <f t="shared" si="27"/>
        <v>0</v>
      </c>
      <c r="B1656" s="233">
        <f>РПЗ!$D1884</f>
        <v>0</v>
      </c>
      <c r="C1656" s="233">
        <f>РПЗ!$AA1884</f>
        <v>0</v>
      </c>
      <c r="D1656" s="633">
        <f>РПЗ!$AB1884</f>
        <v>0</v>
      </c>
      <c r="E1656" s="510"/>
      <c r="F1656" s="233">
        <f>РПЗ!Q1884</f>
        <v>0</v>
      </c>
      <c r="G1656" s="237">
        <f>Таблица5[[#This Row],[6]]</f>
        <v>0</v>
      </c>
      <c r="H1656" s="237">
        <f>РПЗ!R1884</f>
        <v>0</v>
      </c>
      <c r="I1656" s="15">
        <f>РПЗ!W1884</f>
        <v>0</v>
      </c>
      <c r="J1656" s="233">
        <f>РПЗ!X1884</f>
        <v>0</v>
      </c>
      <c r="K1656" s="283">
        <f>РПЗ!Z1884</f>
        <v>0</v>
      </c>
      <c r="L1656" s="17"/>
      <c r="M1656" s="18">
        <f>РПЗ!O1656</f>
        <v>0</v>
      </c>
      <c r="N1656" s="238">
        <f>Таблица5[[#This Row],[10]]</f>
        <v>0</v>
      </c>
      <c r="O1656" s="17"/>
      <c r="P1656" s="17"/>
      <c r="Q1656" s="17"/>
      <c r="R1656" s="17"/>
      <c r="S1656" s="17"/>
      <c r="T1656" s="686"/>
      <c r="U1656" s="18">
        <f>РПЗ!P1884</f>
        <v>0</v>
      </c>
      <c r="V1656" s="686"/>
      <c r="W1656" s="236">
        <f>РПЗ!L1884</f>
        <v>0</v>
      </c>
      <c r="X1656" s="689"/>
      <c r="Y1656" s="689"/>
      <c r="Z1656" s="690"/>
      <c r="AA1656" s="691"/>
      <c r="AB1656" s="111"/>
      <c r="AC1656" s="17"/>
      <c r="AD1656" s="690"/>
      <c r="AE1656" s="686"/>
      <c r="AF1656" s="474"/>
      <c r="AG1656" s="692"/>
      <c r="AH1656" s="236" t="str">
        <f>IF(Таблица5[[#This Row],[30]]=0,"НД",Таблица5[[#This Row],[20]]-Таблица5[[#This Row],[30]])</f>
        <v>НД</v>
      </c>
      <c r="AI1656" s="511" t="e">
        <f>IF(((1-Таблица5[[#This Row],[30]]/Таблица5[[#This Row],[20]])=1),"НД",(1-Таблица5[[#This Row],[30]]/Таблица5[[#This Row],[20]]))</f>
        <v>#DIV/0!</v>
      </c>
      <c r="AJ1656" s="111"/>
      <c r="AK1656" s="111"/>
      <c r="AL1656" s="512"/>
      <c r="AM1656" s="513"/>
      <c r="AN1656" s="465"/>
      <c r="AO1656" s="468">
        <f>РПЗ!AD1884</f>
        <v>0</v>
      </c>
      <c r="AP1656" s="472">
        <f>РПЗ!V1884</f>
        <v>0</v>
      </c>
      <c r="AQ1656" s="470">
        <f>IF(Таблица5[[#This Row],[11]]=0,,MONTH(Таблица5[[#This Row],[11]]))</f>
        <v>0</v>
      </c>
    </row>
    <row r="1657" spans="1:43" x14ac:dyDescent="0.25">
      <c r="A1657" s="233">
        <f t="shared" si="27"/>
        <v>0</v>
      </c>
      <c r="B1657" s="233">
        <f>РПЗ!$D1885</f>
        <v>0</v>
      </c>
      <c r="C1657" s="233">
        <f>РПЗ!$AA1885</f>
        <v>0</v>
      </c>
      <c r="D1657" s="633">
        <f>РПЗ!$AB1885</f>
        <v>0</v>
      </c>
      <c r="E1657" s="510"/>
      <c r="F1657" s="233">
        <f>РПЗ!Q1885</f>
        <v>0</v>
      </c>
      <c r="G1657" s="237">
        <f>Таблица5[[#This Row],[6]]</f>
        <v>0</v>
      </c>
      <c r="H1657" s="237">
        <f>РПЗ!R1885</f>
        <v>0</v>
      </c>
      <c r="I1657" s="15">
        <f>РПЗ!W1885</f>
        <v>0</v>
      </c>
      <c r="J1657" s="233">
        <f>РПЗ!X1885</f>
        <v>0</v>
      </c>
      <c r="K1657" s="283">
        <f>РПЗ!Z1885</f>
        <v>0</v>
      </c>
      <c r="L1657" s="17"/>
      <c r="M1657" s="18">
        <f>РПЗ!O1657</f>
        <v>0</v>
      </c>
      <c r="N1657" s="238">
        <f>Таблица5[[#This Row],[10]]</f>
        <v>0</v>
      </c>
      <c r="O1657" s="17"/>
      <c r="P1657" s="17"/>
      <c r="Q1657" s="17"/>
      <c r="R1657" s="17"/>
      <c r="S1657" s="17"/>
      <c r="T1657" s="686"/>
      <c r="U1657" s="18">
        <f>РПЗ!P1885</f>
        <v>0</v>
      </c>
      <c r="V1657" s="686"/>
      <c r="W1657" s="236">
        <f>РПЗ!L1885</f>
        <v>0</v>
      </c>
      <c r="X1657" s="689"/>
      <c r="Y1657" s="689"/>
      <c r="Z1657" s="690"/>
      <c r="AA1657" s="691"/>
      <c r="AB1657" s="111"/>
      <c r="AC1657" s="17"/>
      <c r="AD1657" s="690"/>
      <c r="AE1657" s="686"/>
      <c r="AF1657" s="474"/>
      <c r="AG1657" s="692"/>
      <c r="AH1657" s="236" t="str">
        <f>IF(Таблица5[[#This Row],[30]]=0,"НД",Таблица5[[#This Row],[20]]-Таблица5[[#This Row],[30]])</f>
        <v>НД</v>
      </c>
      <c r="AI1657" s="511" t="e">
        <f>IF(((1-Таблица5[[#This Row],[30]]/Таблица5[[#This Row],[20]])=1),"НД",(1-Таблица5[[#This Row],[30]]/Таблица5[[#This Row],[20]]))</f>
        <v>#DIV/0!</v>
      </c>
      <c r="AJ1657" s="111"/>
      <c r="AK1657" s="111"/>
      <c r="AL1657" s="512"/>
      <c r="AM1657" s="513"/>
      <c r="AN1657" s="465"/>
      <c r="AO1657" s="468">
        <f>РПЗ!AD1885</f>
        <v>0</v>
      </c>
      <c r="AP1657" s="472">
        <f>РПЗ!V1885</f>
        <v>0</v>
      </c>
      <c r="AQ1657" s="470">
        <f>IF(Таблица5[[#This Row],[11]]=0,,MONTH(Таблица5[[#This Row],[11]]))</f>
        <v>0</v>
      </c>
    </row>
    <row r="1658" spans="1:43" x14ac:dyDescent="0.25">
      <c r="A1658" s="233">
        <f t="shared" si="27"/>
        <v>0</v>
      </c>
      <c r="B1658" s="233">
        <f>РПЗ!$D1886</f>
        <v>0</v>
      </c>
      <c r="C1658" s="233">
        <f>РПЗ!$AA1886</f>
        <v>0</v>
      </c>
      <c r="D1658" s="633">
        <f>РПЗ!$AB1886</f>
        <v>0</v>
      </c>
      <c r="E1658" s="510"/>
      <c r="F1658" s="233">
        <f>РПЗ!Q1886</f>
        <v>0</v>
      </c>
      <c r="G1658" s="237">
        <f>Таблица5[[#This Row],[6]]</f>
        <v>0</v>
      </c>
      <c r="H1658" s="237">
        <f>РПЗ!R1886</f>
        <v>0</v>
      </c>
      <c r="I1658" s="15">
        <f>РПЗ!W1886</f>
        <v>0</v>
      </c>
      <c r="J1658" s="233">
        <f>РПЗ!X1886</f>
        <v>0</v>
      </c>
      <c r="K1658" s="283">
        <f>РПЗ!Z1886</f>
        <v>0</v>
      </c>
      <c r="L1658" s="17"/>
      <c r="M1658" s="18">
        <f>РПЗ!O1658</f>
        <v>0</v>
      </c>
      <c r="N1658" s="238">
        <f>Таблица5[[#This Row],[10]]</f>
        <v>0</v>
      </c>
      <c r="O1658" s="17"/>
      <c r="P1658" s="17"/>
      <c r="Q1658" s="17"/>
      <c r="R1658" s="17"/>
      <c r="S1658" s="17"/>
      <c r="T1658" s="686"/>
      <c r="U1658" s="18">
        <f>РПЗ!P1886</f>
        <v>0</v>
      </c>
      <c r="V1658" s="686"/>
      <c r="W1658" s="236">
        <f>РПЗ!L1886</f>
        <v>0</v>
      </c>
      <c r="X1658" s="689"/>
      <c r="Y1658" s="689"/>
      <c r="Z1658" s="690"/>
      <c r="AA1658" s="691"/>
      <c r="AB1658" s="111"/>
      <c r="AC1658" s="17"/>
      <c r="AD1658" s="690"/>
      <c r="AE1658" s="686"/>
      <c r="AF1658" s="474"/>
      <c r="AG1658" s="692"/>
      <c r="AH1658" s="236" t="str">
        <f>IF(Таблица5[[#This Row],[30]]=0,"НД",Таблица5[[#This Row],[20]]-Таблица5[[#This Row],[30]])</f>
        <v>НД</v>
      </c>
      <c r="AI1658" s="511" t="e">
        <f>IF(((1-Таблица5[[#This Row],[30]]/Таблица5[[#This Row],[20]])=1),"НД",(1-Таблица5[[#This Row],[30]]/Таблица5[[#This Row],[20]]))</f>
        <v>#DIV/0!</v>
      </c>
      <c r="AJ1658" s="111"/>
      <c r="AK1658" s="111"/>
      <c r="AL1658" s="512"/>
      <c r="AM1658" s="513"/>
      <c r="AN1658" s="465"/>
      <c r="AO1658" s="468">
        <f>РПЗ!AD1886</f>
        <v>0</v>
      </c>
      <c r="AP1658" s="472">
        <f>РПЗ!V1886</f>
        <v>0</v>
      </c>
      <c r="AQ1658" s="470">
        <f>IF(Таблица5[[#This Row],[11]]=0,,MONTH(Таблица5[[#This Row],[11]]))</f>
        <v>0</v>
      </c>
    </row>
    <row r="1659" spans="1:43" x14ac:dyDescent="0.25">
      <c r="A1659" s="233">
        <f t="shared" si="27"/>
        <v>0</v>
      </c>
      <c r="B1659" s="233">
        <f>РПЗ!$D1887</f>
        <v>0</v>
      </c>
      <c r="C1659" s="233">
        <f>РПЗ!$AA1887</f>
        <v>0</v>
      </c>
      <c r="D1659" s="633">
        <f>РПЗ!$AB1887</f>
        <v>0</v>
      </c>
      <c r="E1659" s="510"/>
      <c r="F1659" s="233">
        <f>РПЗ!Q1887</f>
        <v>0</v>
      </c>
      <c r="G1659" s="237">
        <f>Таблица5[[#This Row],[6]]</f>
        <v>0</v>
      </c>
      <c r="H1659" s="237">
        <f>РПЗ!R1887</f>
        <v>0</v>
      </c>
      <c r="I1659" s="15">
        <f>РПЗ!W1887</f>
        <v>0</v>
      </c>
      <c r="J1659" s="233">
        <f>РПЗ!X1887</f>
        <v>0</v>
      </c>
      <c r="K1659" s="283">
        <f>РПЗ!Z1887</f>
        <v>0</v>
      </c>
      <c r="L1659" s="17"/>
      <c r="M1659" s="18">
        <f>РПЗ!O1659</f>
        <v>0</v>
      </c>
      <c r="N1659" s="238">
        <f>Таблица5[[#This Row],[10]]</f>
        <v>0</v>
      </c>
      <c r="O1659" s="17"/>
      <c r="P1659" s="17"/>
      <c r="Q1659" s="17"/>
      <c r="R1659" s="17"/>
      <c r="S1659" s="17"/>
      <c r="T1659" s="686"/>
      <c r="U1659" s="18">
        <f>РПЗ!P1887</f>
        <v>0</v>
      </c>
      <c r="V1659" s="686"/>
      <c r="W1659" s="236">
        <f>РПЗ!L1887</f>
        <v>0</v>
      </c>
      <c r="X1659" s="689"/>
      <c r="Y1659" s="689"/>
      <c r="Z1659" s="690"/>
      <c r="AA1659" s="691"/>
      <c r="AB1659" s="111"/>
      <c r="AC1659" s="17"/>
      <c r="AD1659" s="690"/>
      <c r="AE1659" s="686"/>
      <c r="AF1659" s="474"/>
      <c r="AG1659" s="692"/>
      <c r="AH1659" s="236" t="str">
        <f>IF(Таблица5[[#This Row],[30]]=0,"НД",Таблица5[[#This Row],[20]]-Таблица5[[#This Row],[30]])</f>
        <v>НД</v>
      </c>
      <c r="AI1659" s="511" t="e">
        <f>IF(((1-Таблица5[[#This Row],[30]]/Таблица5[[#This Row],[20]])=1),"НД",(1-Таблица5[[#This Row],[30]]/Таблица5[[#This Row],[20]]))</f>
        <v>#DIV/0!</v>
      </c>
      <c r="AJ1659" s="111"/>
      <c r="AK1659" s="111"/>
      <c r="AL1659" s="512"/>
      <c r="AM1659" s="513"/>
      <c r="AN1659" s="465"/>
      <c r="AO1659" s="468">
        <f>РПЗ!AD1887</f>
        <v>0</v>
      </c>
      <c r="AP1659" s="472">
        <f>РПЗ!V1887</f>
        <v>0</v>
      </c>
      <c r="AQ1659" s="470">
        <f>IF(Таблица5[[#This Row],[11]]=0,,MONTH(Таблица5[[#This Row],[11]]))</f>
        <v>0</v>
      </c>
    </row>
    <row r="1660" spans="1:43" x14ac:dyDescent="0.25">
      <c r="A1660" s="233">
        <f t="shared" si="27"/>
        <v>0</v>
      </c>
      <c r="B1660" s="233">
        <f>РПЗ!$D1888</f>
        <v>0</v>
      </c>
      <c r="C1660" s="233">
        <f>РПЗ!$AA1888</f>
        <v>0</v>
      </c>
      <c r="D1660" s="633">
        <f>РПЗ!$AB1888</f>
        <v>0</v>
      </c>
      <c r="E1660" s="510"/>
      <c r="F1660" s="233">
        <f>РПЗ!Q1888</f>
        <v>0</v>
      </c>
      <c r="G1660" s="237">
        <f>Таблица5[[#This Row],[6]]</f>
        <v>0</v>
      </c>
      <c r="H1660" s="237">
        <f>РПЗ!R1888</f>
        <v>0</v>
      </c>
      <c r="I1660" s="15">
        <f>РПЗ!W1888</f>
        <v>0</v>
      </c>
      <c r="J1660" s="233">
        <f>РПЗ!X1888</f>
        <v>0</v>
      </c>
      <c r="K1660" s="283">
        <f>РПЗ!Z1888</f>
        <v>0</v>
      </c>
      <c r="L1660" s="17"/>
      <c r="M1660" s="18">
        <f>РПЗ!O1660</f>
        <v>0</v>
      </c>
      <c r="N1660" s="238">
        <f>Таблица5[[#This Row],[10]]</f>
        <v>0</v>
      </c>
      <c r="O1660" s="17"/>
      <c r="P1660" s="17"/>
      <c r="Q1660" s="17"/>
      <c r="R1660" s="17"/>
      <c r="S1660" s="17"/>
      <c r="T1660" s="686"/>
      <c r="U1660" s="18">
        <f>РПЗ!P1888</f>
        <v>0</v>
      </c>
      <c r="V1660" s="686"/>
      <c r="W1660" s="236">
        <f>РПЗ!L1888</f>
        <v>0</v>
      </c>
      <c r="X1660" s="689"/>
      <c r="Y1660" s="689"/>
      <c r="Z1660" s="690"/>
      <c r="AA1660" s="691"/>
      <c r="AB1660" s="111"/>
      <c r="AC1660" s="17"/>
      <c r="AD1660" s="690"/>
      <c r="AE1660" s="686"/>
      <c r="AF1660" s="474"/>
      <c r="AG1660" s="692"/>
      <c r="AH1660" s="236" t="str">
        <f>IF(Таблица5[[#This Row],[30]]=0,"НД",Таблица5[[#This Row],[20]]-Таблица5[[#This Row],[30]])</f>
        <v>НД</v>
      </c>
      <c r="AI1660" s="511" t="e">
        <f>IF(((1-Таблица5[[#This Row],[30]]/Таблица5[[#This Row],[20]])=1),"НД",(1-Таблица5[[#This Row],[30]]/Таблица5[[#This Row],[20]]))</f>
        <v>#DIV/0!</v>
      </c>
      <c r="AJ1660" s="111"/>
      <c r="AK1660" s="111"/>
      <c r="AL1660" s="512"/>
      <c r="AM1660" s="513"/>
      <c r="AN1660" s="465"/>
      <c r="AO1660" s="468">
        <f>РПЗ!AD1888</f>
        <v>0</v>
      </c>
      <c r="AP1660" s="472">
        <f>РПЗ!V1888</f>
        <v>0</v>
      </c>
      <c r="AQ1660" s="470">
        <f>IF(Таблица5[[#This Row],[11]]=0,,MONTH(Таблица5[[#This Row],[11]]))</f>
        <v>0</v>
      </c>
    </row>
    <row r="1661" spans="1:43" x14ac:dyDescent="0.25">
      <c r="A1661" s="233">
        <f t="shared" si="27"/>
        <v>0</v>
      </c>
      <c r="B1661" s="233">
        <f>РПЗ!$D1889</f>
        <v>0</v>
      </c>
      <c r="C1661" s="233">
        <f>РПЗ!$AA1889</f>
        <v>0</v>
      </c>
      <c r="D1661" s="633">
        <f>РПЗ!$AB1889</f>
        <v>0</v>
      </c>
      <c r="E1661" s="510"/>
      <c r="F1661" s="233">
        <f>РПЗ!Q1889</f>
        <v>0</v>
      </c>
      <c r="G1661" s="237">
        <f>Таблица5[[#This Row],[6]]</f>
        <v>0</v>
      </c>
      <c r="H1661" s="237">
        <f>РПЗ!R1889</f>
        <v>0</v>
      </c>
      <c r="I1661" s="15">
        <f>РПЗ!W1889</f>
        <v>0</v>
      </c>
      <c r="J1661" s="233">
        <f>РПЗ!X1889</f>
        <v>0</v>
      </c>
      <c r="K1661" s="283">
        <f>РПЗ!Z1889</f>
        <v>0</v>
      </c>
      <c r="L1661" s="17"/>
      <c r="M1661" s="18">
        <f>РПЗ!O1661</f>
        <v>0</v>
      </c>
      <c r="N1661" s="238">
        <f>Таблица5[[#This Row],[10]]</f>
        <v>0</v>
      </c>
      <c r="O1661" s="17"/>
      <c r="P1661" s="17"/>
      <c r="Q1661" s="17"/>
      <c r="R1661" s="17"/>
      <c r="S1661" s="17"/>
      <c r="T1661" s="686"/>
      <c r="U1661" s="18">
        <f>РПЗ!P1889</f>
        <v>0</v>
      </c>
      <c r="V1661" s="686"/>
      <c r="W1661" s="236">
        <f>РПЗ!L1889</f>
        <v>0</v>
      </c>
      <c r="X1661" s="689"/>
      <c r="Y1661" s="689"/>
      <c r="Z1661" s="690"/>
      <c r="AA1661" s="691"/>
      <c r="AB1661" s="111"/>
      <c r="AC1661" s="17"/>
      <c r="AD1661" s="690"/>
      <c r="AE1661" s="686"/>
      <c r="AF1661" s="474"/>
      <c r="AG1661" s="692"/>
      <c r="AH1661" s="236" t="str">
        <f>IF(Таблица5[[#This Row],[30]]=0,"НД",Таблица5[[#This Row],[20]]-Таблица5[[#This Row],[30]])</f>
        <v>НД</v>
      </c>
      <c r="AI1661" s="511" t="e">
        <f>IF(((1-Таблица5[[#This Row],[30]]/Таблица5[[#This Row],[20]])=1),"НД",(1-Таблица5[[#This Row],[30]]/Таблица5[[#This Row],[20]]))</f>
        <v>#DIV/0!</v>
      </c>
      <c r="AJ1661" s="111"/>
      <c r="AK1661" s="111"/>
      <c r="AL1661" s="512"/>
      <c r="AM1661" s="513"/>
      <c r="AN1661" s="465"/>
      <c r="AO1661" s="468">
        <f>РПЗ!AD1889</f>
        <v>0</v>
      </c>
      <c r="AP1661" s="472">
        <f>РПЗ!V1889</f>
        <v>0</v>
      </c>
      <c r="AQ1661" s="470">
        <f>IF(Таблица5[[#This Row],[11]]=0,,MONTH(Таблица5[[#This Row],[11]]))</f>
        <v>0</v>
      </c>
    </row>
    <row r="1662" spans="1:43" x14ac:dyDescent="0.25">
      <c r="A1662" s="233">
        <f t="shared" si="27"/>
        <v>0</v>
      </c>
      <c r="B1662" s="233">
        <f>РПЗ!$D1890</f>
        <v>0</v>
      </c>
      <c r="C1662" s="233">
        <f>РПЗ!$AA1890</f>
        <v>0</v>
      </c>
      <c r="D1662" s="633">
        <f>РПЗ!$AB1890</f>
        <v>0</v>
      </c>
      <c r="E1662" s="510"/>
      <c r="F1662" s="233">
        <f>РПЗ!Q1890</f>
        <v>0</v>
      </c>
      <c r="G1662" s="237">
        <f>Таблица5[[#This Row],[6]]</f>
        <v>0</v>
      </c>
      <c r="H1662" s="237">
        <f>РПЗ!R1890</f>
        <v>0</v>
      </c>
      <c r="I1662" s="15">
        <f>РПЗ!W1890</f>
        <v>0</v>
      </c>
      <c r="J1662" s="233">
        <f>РПЗ!X1890</f>
        <v>0</v>
      </c>
      <c r="K1662" s="283">
        <f>РПЗ!Z1890</f>
        <v>0</v>
      </c>
      <c r="L1662" s="17"/>
      <c r="M1662" s="18">
        <f>РПЗ!O1662</f>
        <v>0</v>
      </c>
      <c r="N1662" s="238">
        <f>Таблица5[[#This Row],[10]]</f>
        <v>0</v>
      </c>
      <c r="O1662" s="17"/>
      <c r="P1662" s="17"/>
      <c r="Q1662" s="17"/>
      <c r="R1662" s="17"/>
      <c r="S1662" s="17"/>
      <c r="T1662" s="686"/>
      <c r="U1662" s="18">
        <f>РПЗ!P1890</f>
        <v>0</v>
      </c>
      <c r="V1662" s="686"/>
      <c r="W1662" s="236">
        <f>РПЗ!L1890</f>
        <v>0</v>
      </c>
      <c r="X1662" s="689"/>
      <c r="Y1662" s="689"/>
      <c r="Z1662" s="690"/>
      <c r="AA1662" s="691"/>
      <c r="AB1662" s="111"/>
      <c r="AC1662" s="17"/>
      <c r="AD1662" s="690"/>
      <c r="AE1662" s="686"/>
      <c r="AF1662" s="474"/>
      <c r="AG1662" s="692"/>
      <c r="AH1662" s="236" t="str">
        <f>IF(Таблица5[[#This Row],[30]]=0,"НД",Таблица5[[#This Row],[20]]-Таблица5[[#This Row],[30]])</f>
        <v>НД</v>
      </c>
      <c r="AI1662" s="511" t="e">
        <f>IF(((1-Таблица5[[#This Row],[30]]/Таблица5[[#This Row],[20]])=1),"НД",(1-Таблица5[[#This Row],[30]]/Таблица5[[#This Row],[20]]))</f>
        <v>#DIV/0!</v>
      </c>
      <c r="AJ1662" s="111"/>
      <c r="AK1662" s="111"/>
      <c r="AL1662" s="512"/>
      <c r="AM1662" s="513"/>
      <c r="AN1662" s="465"/>
      <c r="AO1662" s="468">
        <f>РПЗ!AD1890</f>
        <v>0</v>
      </c>
      <c r="AP1662" s="472">
        <f>РПЗ!V1890</f>
        <v>0</v>
      </c>
      <c r="AQ1662" s="470">
        <f>IF(Таблица5[[#This Row],[11]]=0,,MONTH(Таблица5[[#This Row],[11]]))</f>
        <v>0</v>
      </c>
    </row>
    <row r="1663" spans="1:43" x14ac:dyDescent="0.25">
      <c r="A1663" s="233">
        <f t="shared" si="27"/>
        <v>0</v>
      </c>
      <c r="B1663" s="233">
        <f>РПЗ!$D1891</f>
        <v>0</v>
      </c>
      <c r="C1663" s="233">
        <f>РПЗ!$AA1891</f>
        <v>0</v>
      </c>
      <c r="D1663" s="633">
        <f>РПЗ!$AB1891</f>
        <v>0</v>
      </c>
      <c r="E1663" s="510"/>
      <c r="F1663" s="233">
        <f>РПЗ!Q1891</f>
        <v>0</v>
      </c>
      <c r="G1663" s="237">
        <f>Таблица5[[#This Row],[6]]</f>
        <v>0</v>
      </c>
      <c r="H1663" s="237">
        <f>РПЗ!R1891</f>
        <v>0</v>
      </c>
      <c r="I1663" s="15">
        <f>РПЗ!W1891</f>
        <v>0</v>
      </c>
      <c r="J1663" s="233">
        <f>РПЗ!X1891</f>
        <v>0</v>
      </c>
      <c r="K1663" s="283">
        <f>РПЗ!Z1891</f>
        <v>0</v>
      </c>
      <c r="L1663" s="17"/>
      <c r="M1663" s="18">
        <f>РПЗ!O1663</f>
        <v>0</v>
      </c>
      <c r="N1663" s="238">
        <f>Таблица5[[#This Row],[10]]</f>
        <v>0</v>
      </c>
      <c r="O1663" s="17"/>
      <c r="P1663" s="17"/>
      <c r="Q1663" s="17"/>
      <c r="R1663" s="17"/>
      <c r="S1663" s="17"/>
      <c r="T1663" s="686"/>
      <c r="U1663" s="18">
        <f>РПЗ!P1891</f>
        <v>0</v>
      </c>
      <c r="V1663" s="686"/>
      <c r="W1663" s="236">
        <f>РПЗ!L1891</f>
        <v>0</v>
      </c>
      <c r="X1663" s="689"/>
      <c r="Y1663" s="689"/>
      <c r="Z1663" s="690"/>
      <c r="AA1663" s="691"/>
      <c r="AB1663" s="111"/>
      <c r="AC1663" s="17"/>
      <c r="AD1663" s="690"/>
      <c r="AE1663" s="686"/>
      <c r="AF1663" s="474"/>
      <c r="AG1663" s="692"/>
      <c r="AH1663" s="236" t="str">
        <f>IF(Таблица5[[#This Row],[30]]=0,"НД",Таблица5[[#This Row],[20]]-Таблица5[[#This Row],[30]])</f>
        <v>НД</v>
      </c>
      <c r="AI1663" s="511" t="e">
        <f>IF(((1-Таблица5[[#This Row],[30]]/Таблица5[[#This Row],[20]])=1),"НД",(1-Таблица5[[#This Row],[30]]/Таблица5[[#This Row],[20]]))</f>
        <v>#DIV/0!</v>
      </c>
      <c r="AJ1663" s="111"/>
      <c r="AK1663" s="111"/>
      <c r="AL1663" s="512"/>
      <c r="AM1663" s="513"/>
      <c r="AN1663" s="465"/>
      <c r="AO1663" s="468">
        <f>РПЗ!AD1891</f>
        <v>0</v>
      </c>
      <c r="AP1663" s="472">
        <f>РПЗ!V1891</f>
        <v>0</v>
      </c>
      <c r="AQ1663" s="470">
        <f>IF(Таблица5[[#This Row],[11]]=0,,MONTH(Таблица5[[#This Row],[11]]))</f>
        <v>0</v>
      </c>
    </row>
    <row r="1664" spans="1:43" x14ac:dyDescent="0.25">
      <c r="A1664" s="233">
        <f t="shared" si="27"/>
        <v>0</v>
      </c>
      <c r="B1664" s="233">
        <f>РПЗ!$D1892</f>
        <v>0</v>
      </c>
      <c r="C1664" s="233">
        <f>РПЗ!$AA1892</f>
        <v>0</v>
      </c>
      <c r="D1664" s="633">
        <f>РПЗ!$AB1892</f>
        <v>0</v>
      </c>
      <c r="E1664" s="510"/>
      <c r="F1664" s="233">
        <f>РПЗ!Q1892</f>
        <v>0</v>
      </c>
      <c r="G1664" s="237">
        <f>Таблица5[[#This Row],[6]]</f>
        <v>0</v>
      </c>
      <c r="H1664" s="237">
        <f>РПЗ!R1892</f>
        <v>0</v>
      </c>
      <c r="I1664" s="15">
        <f>РПЗ!W1892</f>
        <v>0</v>
      </c>
      <c r="J1664" s="233">
        <f>РПЗ!X1892</f>
        <v>0</v>
      </c>
      <c r="K1664" s="283">
        <f>РПЗ!Z1892</f>
        <v>0</v>
      </c>
      <c r="L1664" s="17"/>
      <c r="M1664" s="18">
        <f>РПЗ!O1664</f>
        <v>0</v>
      </c>
      <c r="N1664" s="238">
        <f>Таблица5[[#This Row],[10]]</f>
        <v>0</v>
      </c>
      <c r="O1664" s="17"/>
      <c r="P1664" s="17"/>
      <c r="Q1664" s="17"/>
      <c r="R1664" s="17"/>
      <c r="S1664" s="17"/>
      <c r="T1664" s="686"/>
      <c r="U1664" s="18">
        <f>РПЗ!P1892</f>
        <v>0</v>
      </c>
      <c r="V1664" s="686"/>
      <c r="W1664" s="236">
        <f>РПЗ!L1892</f>
        <v>0</v>
      </c>
      <c r="X1664" s="689"/>
      <c r="Y1664" s="689"/>
      <c r="Z1664" s="690"/>
      <c r="AA1664" s="691"/>
      <c r="AB1664" s="111"/>
      <c r="AC1664" s="17"/>
      <c r="AD1664" s="690"/>
      <c r="AE1664" s="686"/>
      <c r="AF1664" s="474"/>
      <c r="AG1664" s="692"/>
      <c r="AH1664" s="236" t="str">
        <f>IF(Таблица5[[#This Row],[30]]=0,"НД",Таблица5[[#This Row],[20]]-Таблица5[[#This Row],[30]])</f>
        <v>НД</v>
      </c>
      <c r="AI1664" s="511" t="e">
        <f>IF(((1-Таблица5[[#This Row],[30]]/Таблица5[[#This Row],[20]])=1),"НД",(1-Таблица5[[#This Row],[30]]/Таблица5[[#This Row],[20]]))</f>
        <v>#DIV/0!</v>
      </c>
      <c r="AJ1664" s="111"/>
      <c r="AK1664" s="111"/>
      <c r="AL1664" s="512"/>
      <c r="AM1664" s="513"/>
      <c r="AN1664" s="465"/>
      <c r="AO1664" s="468">
        <f>РПЗ!AD1892</f>
        <v>0</v>
      </c>
      <c r="AP1664" s="472">
        <f>РПЗ!V1892</f>
        <v>0</v>
      </c>
      <c r="AQ1664" s="470">
        <f>IF(Таблица5[[#This Row],[11]]=0,,MONTH(Таблица5[[#This Row],[11]]))</f>
        <v>0</v>
      </c>
    </row>
    <row r="1665" spans="1:43" x14ac:dyDescent="0.25">
      <c r="A1665" s="233">
        <f t="shared" si="27"/>
        <v>0</v>
      </c>
      <c r="B1665" s="233">
        <f>РПЗ!$D1893</f>
        <v>0</v>
      </c>
      <c r="C1665" s="233">
        <f>РПЗ!$AA1893</f>
        <v>0</v>
      </c>
      <c r="D1665" s="633">
        <f>РПЗ!$AB1893</f>
        <v>0</v>
      </c>
      <c r="E1665" s="510"/>
      <c r="F1665" s="233">
        <f>РПЗ!Q1893</f>
        <v>0</v>
      </c>
      <c r="G1665" s="237">
        <f>Таблица5[[#This Row],[6]]</f>
        <v>0</v>
      </c>
      <c r="H1665" s="237">
        <f>РПЗ!R1893</f>
        <v>0</v>
      </c>
      <c r="I1665" s="15">
        <f>РПЗ!W1893</f>
        <v>0</v>
      </c>
      <c r="J1665" s="233">
        <f>РПЗ!X1893</f>
        <v>0</v>
      </c>
      <c r="K1665" s="283">
        <f>РПЗ!Z1893</f>
        <v>0</v>
      </c>
      <c r="L1665" s="17"/>
      <c r="M1665" s="18">
        <f>РПЗ!O1665</f>
        <v>0</v>
      </c>
      <c r="N1665" s="238">
        <f>Таблица5[[#This Row],[10]]</f>
        <v>0</v>
      </c>
      <c r="O1665" s="17"/>
      <c r="P1665" s="17"/>
      <c r="Q1665" s="17"/>
      <c r="R1665" s="17"/>
      <c r="S1665" s="17"/>
      <c r="T1665" s="686"/>
      <c r="U1665" s="18">
        <f>РПЗ!P1893</f>
        <v>0</v>
      </c>
      <c r="V1665" s="686"/>
      <c r="W1665" s="236">
        <f>РПЗ!L1893</f>
        <v>0</v>
      </c>
      <c r="X1665" s="689"/>
      <c r="Y1665" s="689"/>
      <c r="Z1665" s="690"/>
      <c r="AA1665" s="691"/>
      <c r="AB1665" s="111"/>
      <c r="AC1665" s="17"/>
      <c r="AD1665" s="690"/>
      <c r="AE1665" s="686"/>
      <c r="AF1665" s="474"/>
      <c r="AG1665" s="692"/>
      <c r="AH1665" s="236" t="str">
        <f>IF(Таблица5[[#This Row],[30]]=0,"НД",Таблица5[[#This Row],[20]]-Таблица5[[#This Row],[30]])</f>
        <v>НД</v>
      </c>
      <c r="AI1665" s="511" t="e">
        <f>IF(((1-Таблица5[[#This Row],[30]]/Таблица5[[#This Row],[20]])=1),"НД",(1-Таблица5[[#This Row],[30]]/Таблица5[[#This Row],[20]]))</f>
        <v>#DIV/0!</v>
      </c>
      <c r="AJ1665" s="111"/>
      <c r="AK1665" s="111"/>
      <c r="AL1665" s="512"/>
      <c r="AM1665" s="513"/>
      <c r="AN1665" s="465"/>
      <c r="AO1665" s="468">
        <f>РПЗ!AD1893</f>
        <v>0</v>
      </c>
      <c r="AP1665" s="472">
        <f>РПЗ!V1893</f>
        <v>0</v>
      </c>
      <c r="AQ1665" s="470">
        <f>IF(Таблица5[[#This Row],[11]]=0,,MONTH(Таблица5[[#This Row],[11]]))</f>
        <v>0</v>
      </c>
    </row>
    <row r="1666" spans="1:43" x14ac:dyDescent="0.25">
      <c r="A1666" s="233">
        <f t="shared" si="27"/>
        <v>0</v>
      </c>
      <c r="B1666" s="233">
        <f>РПЗ!$D1894</f>
        <v>0</v>
      </c>
      <c r="C1666" s="233">
        <f>РПЗ!$AA1894</f>
        <v>0</v>
      </c>
      <c r="D1666" s="633">
        <f>РПЗ!$AB1894</f>
        <v>0</v>
      </c>
      <c r="E1666" s="510"/>
      <c r="F1666" s="233">
        <f>РПЗ!Q1894</f>
        <v>0</v>
      </c>
      <c r="G1666" s="237">
        <f>Таблица5[[#This Row],[6]]</f>
        <v>0</v>
      </c>
      <c r="H1666" s="237">
        <f>РПЗ!R1894</f>
        <v>0</v>
      </c>
      <c r="I1666" s="15">
        <f>РПЗ!W1894</f>
        <v>0</v>
      </c>
      <c r="J1666" s="233">
        <f>РПЗ!X1894</f>
        <v>0</v>
      </c>
      <c r="K1666" s="283">
        <f>РПЗ!Z1894</f>
        <v>0</v>
      </c>
      <c r="L1666" s="17"/>
      <c r="M1666" s="18">
        <f>РПЗ!O1666</f>
        <v>0</v>
      </c>
      <c r="N1666" s="238">
        <f>Таблица5[[#This Row],[10]]</f>
        <v>0</v>
      </c>
      <c r="O1666" s="17"/>
      <c r="P1666" s="17"/>
      <c r="Q1666" s="17"/>
      <c r="R1666" s="17"/>
      <c r="S1666" s="17"/>
      <c r="T1666" s="686"/>
      <c r="U1666" s="18">
        <f>РПЗ!P1894</f>
        <v>0</v>
      </c>
      <c r="V1666" s="686"/>
      <c r="W1666" s="236">
        <f>РПЗ!L1894</f>
        <v>0</v>
      </c>
      <c r="X1666" s="689"/>
      <c r="Y1666" s="689"/>
      <c r="Z1666" s="690"/>
      <c r="AA1666" s="691"/>
      <c r="AB1666" s="111"/>
      <c r="AC1666" s="17"/>
      <c r="AD1666" s="690"/>
      <c r="AE1666" s="686"/>
      <c r="AF1666" s="474"/>
      <c r="AG1666" s="692"/>
      <c r="AH1666" s="236" t="str">
        <f>IF(Таблица5[[#This Row],[30]]=0,"НД",Таблица5[[#This Row],[20]]-Таблица5[[#This Row],[30]])</f>
        <v>НД</v>
      </c>
      <c r="AI1666" s="511" t="e">
        <f>IF(((1-Таблица5[[#This Row],[30]]/Таблица5[[#This Row],[20]])=1),"НД",(1-Таблица5[[#This Row],[30]]/Таблица5[[#This Row],[20]]))</f>
        <v>#DIV/0!</v>
      </c>
      <c r="AJ1666" s="111"/>
      <c r="AK1666" s="111"/>
      <c r="AL1666" s="512"/>
      <c r="AM1666" s="513"/>
      <c r="AN1666" s="465"/>
      <c r="AO1666" s="468">
        <f>РПЗ!AD1894</f>
        <v>0</v>
      </c>
      <c r="AP1666" s="472">
        <f>РПЗ!V1894</f>
        <v>0</v>
      </c>
      <c r="AQ1666" s="470">
        <f>IF(Таблица5[[#This Row],[11]]=0,,MONTH(Таблица5[[#This Row],[11]]))</f>
        <v>0</v>
      </c>
    </row>
    <row r="1667" spans="1:43" x14ac:dyDescent="0.25">
      <c r="A1667" s="233">
        <f t="shared" si="27"/>
        <v>0</v>
      </c>
      <c r="B1667" s="233">
        <f>РПЗ!$D1895</f>
        <v>0</v>
      </c>
      <c r="C1667" s="233">
        <f>РПЗ!$AA1895</f>
        <v>0</v>
      </c>
      <c r="D1667" s="633">
        <f>РПЗ!$AB1895</f>
        <v>0</v>
      </c>
      <c r="E1667" s="510"/>
      <c r="F1667" s="233">
        <f>РПЗ!Q1895</f>
        <v>0</v>
      </c>
      <c r="G1667" s="237">
        <f>Таблица5[[#This Row],[6]]</f>
        <v>0</v>
      </c>
      <c r="H1667" s="237">
        <f>РПЗ!R1895</f>
        <v>0</v>
      </c>
      <c r="I1667" s="15">
        <f>РПЗ!W1895</f>
        <v>0</v>
      </c>
      <c r="J1667" s="233">
        <f>РПЗ!X1895</f>
        <v>0</v>
      </c>
      <c r="K1667" s="283">
        <f>РПЗ!Z1895</f>
        <v>0</v>
      </c>
      <c r="L1667" s="17"/>
      <c r="M1667" s="18">
        <f>РПЗ!O1667</f>
        <v>0</v>
      </c>
      <c r="N1667" s="238">
        <f>Таблица5[[#This Row],[10]]</f>
        <v>0</v>
      </c>
      <c r="O1667" s="17"/>
      <c r="P1667" s="17"/>
      <c r="Q1667" s="17"/>
      <c r="R1667" s="17"/>
      <c r="S1667" s="17"/>
      <c r="T1667" s="686"/>
      <c r="U1667" s="18">
        <f>РПЗ!P1895</f>
        <v>0</v>
      </c>
      <c r="V1667" s="686"/>
      <c r="W1667" s="236">
        <f>РПЗ!L1895</f>
        <v>0</v>
      </c>
      <c r="X1667" s="689"/>
      <c r="Y1667" s="689"/>
      <c r="Z1667" s="690"/>
      <c r="AA1667" s="691"/>
      <c r="AB1667" s="111"/>
      <c r="AC1667" s="17"/>
      <c r="AD1667" s="690"/>
      <c r="AE1667" s="686"/>
      <c r="AF1667" s="474"/>
      <c r="AG1667" s="692"/>
      <c r="AH1667" s="236" t="str">
        <f>IF(Таблица5[[#This Row],[30]]=0,"НД",Таблица5[[#This Row],[20]]-Таблица5[[#This Row],[30]])</f>
        <v>НД</v>
      </c>
      <c r="AI1667" s="511" t="e">
        <f>IF(((1-Таблица5[[#This Row],[30]]/Таблица5[[#This Row],[20]])=1),"НД",(1-Таблица5[[#This Row],[30]]/Таблица5[[#This Row],[20]]))</f>
        <v>#DIV/0!</v>
      </c>
      <c r="AJ1667" s="111"/>
      <c r="AK1667" s="111"/>
      <c r="AL1667" s="512"/>
      <c r="AM1667" s="513"/>
      <c r="AN1667" s="465"/>
      <c r="AO1667" s="468">
        <f>РПЗ!AD1895</f>
        <v>0</v>
      </c>
      <c r="AP1667" s="472">
        <f>РПЗ!V1895</f>
        <v>0</v>
      </c>
      <c r="AQ1667" s="470">
        <f>IF(Таблица5[[#This Row],[11]]=0,,MONTH(Таблица5[[#This Row],[11]]))</f>
        <v>0</v>
      </c>
    </row>
    <row r="1668" spans="1:43" x14ac:dyDescent="0.25">
      <c r="A1668" s="233">
        <f t="shared" si="27"/>
        <v>0</v>
      </c>
      <c r="B1668" s="233">
        <f>РПЗ!$D1896</f>
        <v>0</v>
      </c>
      <c r="C1668" s="233">
        <f>РПЗ!$AA1896</f>
        <v>0</v>
      </c>
      <c r="D1668" s="633">
        <f>РПЗ!$AB1896</f>
        <v>0</v>
      </c>
      <c r="E1668" s="510"/>
      <c r="F1668" s="233">
        <f>РПЗ!Q1896</f>
        <v>0</v>
      </c>
      <c r="G1668" s="237">
        <f>Таблица5[[#This Row],[6]]</f>
        <v>0</v>
      </c>
      <c r="H1668" s="237">
        <f>РПЗ!R1896</f>
        <v>0</v>
      </c>
      <c r="I1668" s="15">
        <f>РПЗ!W1896</f>
        <v>0</v>
      </c>
      <c r="J1668" s="233">
        <f>РПЗ!X1896</f>
        <v>0</v>
      </c>
      <c r="K1668" s="283">
        <f>РПЗ!Z1896</f>
        <v>0</v>
      </c>
      <c r="L1668" s="17"/>
      <c r="M1668" s="18">
        <f>РПЗ!O1668</f>
        <v>0</v>
      </c>
      <c r="N1668" s="238">
        <f>Таблица5[[#This Row],[10]]</f>
        <v>0</v>
      </c>
      <c r="O1668" s="17"/>
      <c r="P1668" s="17"/>
      <c r="Q1668" s="17"/>
      <c r="R1668" s="17"/>
      <c r="S1668" s="17"/>
      <c r="T1668" s="686"/>
      <c r="U1668" s="18">
        <f>РПЗ!P1896</f>
        <v>0</v>
      </c>
      <c r="V1668" s="686"/>
      <c r="W1668" s="236">
        <f>РПЗ!L1896</f>
        <v>0</v>
      </c>
      <c r="X1668" s="689"/>
      <c r="Y1668" s="689"/>
      <c r="Z1668" s="690"/>
      <c r="AA1668" s="691"/>
      <c r="AB1668" s="111"/>
      <c r="AC1668" s="17"/>
      <c r="AD1668" s="690"/>
      <c r="AE1668" s="686"/>
      <c r="AF1668" s="474"/>
      <c r="AG1668" s="692"/>
      <c r="AH1668" s="236" t="str">
        <f>IF(Таблица5[[#This Row],[30]]=0,"НД",Таблица5[[#This Row],[20]]-Таблица5[[#This Row],[30]])</f>
        <v>НД</v>
      </c>
      <c r="AI1668" s="511" t="e">
        <f>IF(((1-Таблица5[[#This Row],[30]]/Таблица5[[#This Row],[20]])=1),"НД",(1-Таблица5[[#This Row],[30]]/Таблица5[[#This Row],[20]]))</f>
        <v>#DIV/0!</v>
      </c>
      <c r="AJ1668" s="111"/>
      <c r="AK1668" s="111"/>
      <c r="AL1668" s="512"/>
      <c r="AM1668" s="513"/>
      <c r="AN1668" s="465"/>
      <c r="AO1668" s="468">
        <f>РПЗ!AD1896</f>
        <v>0</v>
      </c>
      <c r="AP1668" s="472">
        <f>РПЗ!V1896</f>
        <v>0</v>
      </c>
      <c r="AQ1668" s="470">
        <f>IF(Таблица5[[#This Row],[11]]=0,,MONTH(Таблица5[[#This Row],[11]]))</f>
        <v>0</v>
      </c>
    </row>
    <row r="1669" spans="1:43" x14ac:dyDescent="0.25">
      <c r="A1669" s="233">
        <f t="shared" si="27"/>
        <v>0</v>
      </c>
      <c r="B1669" s="233">
        <f>РПЗ!$D1897</f>
        <v>0</v>
      </c>
      <c r="C1669" s="233">
        <f>РПЗ!$AA1897</f>
        <v>0</v>
      </c>
      <c r="D1669" s="633">
        <f>РПЗ!$AB1897</f>
        <v>0</v>
      </c>
      <c r="E1669" s="510"/>
      <c r="F1669" s="233">
        <f>РПЗ!Q1897</f>
        <v>0</v>
      </c>
      <c r="G1669" s="237">
        <f>Таблица5[[#This Row],[6]]</f>
        <v>0</v>
      </c>
      <c r="H1669" s="237">
        <f>РПЗ!R1897</f>
        <v>0</v>
      </c>
      <c r="I1669" s="15">
        <f>РПЗ!W1897</f>
        <v>0</v>
      </c>
      <c r="J1669" s="233">
        <f>РПЗ!X1897</f>
        <v>0</v>
      </c>
      <c r="K1669" s="283">
        <f>РПЗ!Z1897</f>
        <v>0</v>
      </c>
      <c r="L1669" s="17"/>
      <c r="M1669" s="18">
        <f>РПЗ!O1669</f>
        <v>0</v>
      </c>
      <c r="N1669" s="238">
        <f>Таблица5[[#This Row],[10]]</f>
        <v>0</v>
      </c>
      <c r="O1669" s="17"/>
      <c r="P1669" s="17"/>
      <c r="Q1669" s="17"/>
      <c r="R1669" s="17"/>
      <c r="S1669" s="17"/>
      <c r="T1669" s="686"/>
      <c r="U1669" s="18">
        <f>РПЗ!P1897</f>
        <v>0</v>
      </c>
      <c r="V1669" s="686"/>
      <c r="W1669" s="236">
        <f>РПЗ!L1897</f>
        <v>0</v>
      </c>
      <c r="X1669" s="689"/>
      <c r="Y1669" s="689"/>
      <c r="Z1669" s="690"/>
      <c r="AA1669" s="691"/>
      <c r="AB1669" s="111"/>
      <c r="AC1669" s="17"/>
      <c r="AD1669" s="690"/>
      <c r="AE1669" s="686"/>
      <c r="AF1669" s="474"/>
      <c r="AG1669" s="692"/>
      <c r="AH1669" s="236" t="str">
        <f>IF(Таблица5[[#This Row],[30]]=0,"НД",Таблица5[[#This Row],[20]]-Таблица5[[#This Row],[30]])</f>
        <v>НД</v>
      </c>
      <c r="AI1669" s="511" t="e">
        <f>IF(((1-Таблица5[[#This Row],[30]]/Таблица5[[#This Row],[20]])=1),"НД",(1-Таблица5[[#This Row],[30]]/Таблица5[[#This Row],[20]]))</f>
        <v>#DIV/0!</v>
      </c>
      <c r="AJ1669" s="111"/>
      <c r="AK1669" s="111"/>
      <c r="AL1669" s="512"/>
      <c r="AM1669" s="513"/>
      <c r="AN1669" s="465"/>
      <c r="AO1669" s="468">
        <f>РПЗ!AD1897</f>
        <v>0</v>
      </c>
      <c r="AP1669" s="472">
        <f>РПЗ!V1897</f>
        <v>0</v>
      </c>
      <c r="AQ1669" s="470">
        <f>IF(Таблица5[[#This Row],[11]]=0,,MONTH(Таблица5[[#This Row],[11]]))</f>
        <v>0</v>
      </c>
    </row>
    <row r="1670" spans="1:43" x14ac:dyDescent="0.25">
      <c r="A1670" s="233">
        <f t="shared" si="27"/>
        <v>0</v>
      </c>
      <c r="B1670" s="233">
        <f>РПЗ!$D1898</f>
        <v>0</v>
      </c>
      <c r="C1670" s="233">
        <f>РПЗ!$AA1898</f>
        <v>0</v>
      </c>
      <c r="D1670" s="633">
        <f>РПЗ!$AB1898</f>
        <v>0</v>
      </c>
      <c r="E1670" s="510"/>
      <c r="F1670" s="233">
        <f>РПЗ!Q1898</f>
        <v>0</v>
      </c>
      <c r="G1670" s="237">
        <f>Таблица5[[#This Row],[6]]</f>
        <v>0</v>
      </c>
      <c r="H1670" s="237">
        <f>РПЗ!R1898</f>
        <v>0</v>
      </c>
      <c r="I1670" s="15">
        <f>РПЗ!W1898</f>
        <v>0</v>
      </c>
      <c r="J1670" s="233">
        <f>РПЗ!X1898</f>
        <v>0</v>
      </c>
      <c r="K1670" s="283">
        <f>РПЗ!Z1898</f>
        <v>0</v>
      </c>
      <c r="L1670" s="17"/>
      <c r="M1670" s="18">
        <f>РПЗ!O1670</f>
        <v>0</v>
      </c>
      <c r="N1670" s="238">
        <f>Таблица5[[#This Row],[10]]</f>
        <v>0</v>
      </c>
      <c r="O1670" s="17"/>
      <c r="P1670" s="17"/>
      <c r="Q1670" s="17"/>
      <c r="R1670" s="17"/>
      <c r="S1670" s="17"/>
      <c r="T1670" s="686"/>
      <c r="U1670" s="18">
        <f>РПЗ!P1898</f>
        <v>0</v>
      </c>
      <c r="V1670" s="686"/>
      <c r="W1670" s="236">
        <f>РПЗ!L1898</f>
        <v>0</v>
      </c>
      <c r="X1670" s="689"/>
      <c r="Y1670" s="689"/>
      <c r="Z1670" s="690"/>
      <c r="AA1670" s="691"/>
      <c r="AB1670" s="111"/>
      <c r="AC1670" s="17"/>
      <c r="AD1670" s="690"/>
      <c r="AE1670" s="686"/>
      <c r="AF1670" s="474"/>
      <c r="AG1670" s="692"/>
      <c r="AH1670" s="236" t="str">
        <f>IF(Таблица5[[#This Row],[30]]=0,"НД",Таблица5[[#This Row],[20]]-Таблица5[[#This Row],[30]])</f>
        <v>НД</v>
      </c>
      <c r="AI1670" s="511" t="e">
        <f>IF(((1-Таблица5[[#This Row],[30]]/Таблица5[[#This Row],[20]])=1),"НД",(1-Таблица5[[#This Row],[30]]/Таблица5[[#This Row],[20]]))</f>
        <v>#DIV/0!</v>
      </c>
      <c r="AJ1670" s="111"/>
      <c r="AK1670" s="111"/>
      <c r="AL1670" s="512"/>
      <c r="AM1670" s="513"/>
      <c r="AN1670" s="465"/>
      <c r="AO1670" s="468">
        <f>РПЗ!AD1898</f>
        <v>0</v>
      </c>
      <c r="AP1670" s="472">
        <f>РПЗ!V1898</f>
        <v>0</v>
      </c>
      <c r="AQ1670" s="470">
        <f>IF(Таблица5[[#This Row],[11]]=0,,MONTH(Таблица5[[#This Row],[11]]))</f>
        <v>0</v>
      </c>
    </row>
    <row r="1671" spans="1:43" x14ac:dyDescent="0.25">
      <c r="A1671" s="233">
        <f t="shared" si="27"/>
        <v>0</v>
      </c>
      <c r="B1671" s="233">
        <f>РПЗ!$D1899</f>
        <v>0</v>
      </c>
      <c r="C1671" s="233">
        <f>РПЗ!$AA1899</f>
        <v>0</v>
      </c>
      <c r="D1671" s="633">
        <f>РПЗ!$AB1899</f>
        <v>0</v>
      </c>
      <c r="E1671" s="510"/>
      <c r="F1671" s="233">
        <f>РПЗ!Q1899</f>
        <v>0</v>
      </c>
      <c r="G1671" s="237">
        <f>Таблица5[[#This Row],[6]]</f>
        <v>0</v>
      </c>
      <c r="H1671" s="237">
        <f>РПЗ!R1899</f>
        <v>0</v>
      </c>
      <c r="I1671" s="15">
        <f>РПЗ!W1899</f>
        <v>0</v>
      </c>
      <c r="J1671" s="233">
        <f>РПЗ!X1899</f>
        <v>0</v>
      </c>
      <c r="K1671" s="283">
        <f>РПЗ!Z1899</f>
        <v>0</v>
      </c>
      <c r="L1671" s="17"/>
      <c r="M1671" s="18">
        <f>РПЗ!O1671</f>
        <v>0</v>
      </c>
      <c r="N1671" s="238">
        <f>Таблица5[[#This Row],[10]]</f>
        <v>0</v>
      </c>
      <c r="O1671" s="17"/>
      <c r="P1671" s="17"/>
      <c r="Q1671" s="17"/>
      <c r="R1671" s="17"/>
      <c r="S1671" s="17"/>
      <c r="T1671" s="686"/>
      <c r="U1671" s="18">
        <f>РПЗ!P1899</f>
        <v>0</v>
      </c>
      <c r="V1671" s="686"/>
      <c r="W1671" s="236">
        <f>РПЗ!L1899</f>
        <v>0</v>
      </c>
      <c r="X1671" s="689"/>
      <c r="Y1671" s="689"/>
      <c r="Z1671" s="690"/>
      <c r="AA1671" s="691"/>
      <c r="AB1671" s="111"/>
      <c r="AC1671" s="17"/>
      <c r="AD1671" s="690"/>
      <c r="AE1671" s="686"/>
      <c r="AF1671" s="474"/>
      <c r="AG1671" s="692"/>
      <c r="AH1671" s="236" t="str">
        <f>IF(Таблица5[[#This Row],[30]]=0,"НД",Таблица5[[#This Row],[20]]-Таблица5[[#This Row],[30]])</f>
        <v>НД</v>
      </c>
      <c r="AI1671" s="511" t="e">
        <f>IF(((1-Таблица5[[#This Row],[30]]/Таблица5[[#This Row],[20]])=1),"НД",(1-Таблица5[[#This Row],[30]]/Таблица5[[#This Row],[20]]))</f>
        <v>#DIV/0!</v>
      </c>
      <c r="AJ1671" s="111"/>
      <c r="AK1671" s="111"/>
      <c r="AL1671" s="512"/>
      <c r="AM1671" s="513"/>
      <c r="AN1671" s="465"/>
      <c r="AO1671" s="468">
        <f>РПЗ!AD1899</f>
        <v>0</v>
      </c>
      <c r="AP1671" s="472">
        <f>РПЗ!V1899</f>
        <v>0</v>
      </c>
      <c r="AQ1671" s="470">
        <f>IF(Таблица5[[#This Row],[11]]=0,,MONTH(Таблица5[[#This Row],[11]]))</f>
        <v>0</v>
      </c>
    </row>
    <row r="1672" spans="1:43" x14ac:dyDescent="0.25">
      <c r="A1672" s="233">
        <f t="shared" si="27"/>
        <v>0</v>
      </c>
      <c r="B1672" s="233">
        <f>РПЗ!$D1900</f>
        <v>0</v>
      </c>
      <c r="C1672" s="233">
        <f>РПЗ!$AA1900</f>
        <v>0</v>
      </c>
      <c r="D1672" s="633">
        <f>РПЗ!$AB1900</f>
        <v>0</v>
      </c>
      <c r="E1672" s="510"/>
      <c r="F1672" s="233">
        <f>РПЗ!Q1900</f>
        <v>0</v>
      </c>
      <c r="G1672" s="237">
        <f>Таблица5[[#This Row],[6]]</f>
        <v>0</v>
      </c>
      <c r="H1672" s="237">
        <f>РПЗ!R1900</f>
        <v>0</v>
      </c>
      <c r="I1672" s="15">
        <f>РПЗ!W1900</f>
        <v>0</v>
      </c>
      <c r="J1672" s="233">
        <f>РПЗ!X1900</f>
        <v>0</v>
      </c>
      <c r="K1672" s="283">
        <f>РПЗ!Z1900</f>
        <v>0</v>
      </c>
      <c r="L1672" s="17"/>
      <c r="M1672" s="18">
        <f>РПЗ!O1672</f>
        <v>0</v>
      </c>
      <c r="N1672" s="238">
        <f>Таблица5[[#This Row],[10]]</f>
        <v>0</v>
      </c>
      <c r="O1672" s="17"/>
      <c r="P1672" s="17"/>
      <c r="Q1672" s="17"/>
      <c r="R1672" s="17"/>
      <c r="S1672" s="17"/>
      <c r="T1672" s="686"/>
      <c r="U1672" s="18">
        <f>РПЗ!P1900</f>
        <v>0</v>
      </c>
      <c r="V1672" s="686"/>
      <c r="W1672" s="236">
        <f>РПЗ!L1900</f>
        <v>0</v>
      </c>
      <c r="X1672" s="689"/>
      <c r="Y1672" s="689"/>
      <c r="Z1672" s="690"/>
      <c r="AA1672" s="691"/>
      <c r="AB1672" s="111"/>
      <c r="AC1672" s="17"/>
      <c r="AD1672" s="690"/>
      <c r="AE1672" s="686"/>
      <c r="AF1672" s="474"/>
      <c r="AG1672" s="692"/>
      <c r="AH1672" s="236" t="str">
        <f>IF(Таблица5[[#This Row],[30]]=0,"НД",Таблица5[[#This Row],[20]]-Таблица5[[#This Row],[30]])</f>
        <v>НД</v>
      </c>
      <c r="AI1672" s="511" t="e">
        <f>IF(((1-Таблица5[[#This Row],[30]]/Таблица5[[#This Row],[20]])=1),"НД",(1-Таблица5[[#This Row],[30]]/Таблица5[[#This Row],[20]]))</f>
        <v>#DIV/0!</v>
      </c>
      <c r="AJ1672" s="111"/>
      <c r="AK1672" s="111"/>
      <c r="AL1672" s="512"/>
      <c r="AM1672" s="513"/>
      <c r="AN1672" s="465"/>
      <c r="AO1672" s="468">
        <f>РПЗ!AD1900</f>
        <v>0</v>
      </c>
      <c r="AP1672" s="472">
        <f>РПЗ!V1900</f>
        <v>0</v>
      </c>
      <c r="AQ1672" s="470">
        <f>IF(Таблица5[[#This Row],[11]]=0,,MONTH(Таблица5[[#This Row],[11]]))</f>
        <v>0</v>
      </c>
    </row>
    <row r="1673" spans="1:43" x14ac:dyDescent="0.25">
      <c r="A1673" s="233">
        <f t="shared" si="27"/>
        <v>0</v>
      </c>
      <c r="B1673" s="233">
        <f>РПЗ!$D1901</f>
        <v>0</v>
      </c>
      <c r="C1673" s="233">
        <f>РПЗ!$AA1901</f>
        <v>0</v>
      </c>
      <c r="D1673" s="633">
        <f>РПЗ!$AB1901</f>
        <v>0</v>
      </c>
      <c r="E1673" s="510"/>
      <c r="F1673" s="233">
        <f>РПЗ!Q1901</f>
        <v>0</v>
      </c>
      <c r="G1673" s="237">
        <f>Таблица5[[#This Row],[6]]</f>
        <v>0</v>
      </c>
      <c r="H1673" s="237">
        <f>РПЗ!R1901</f>
        <v>0</v>
      </c>
      <c r="I1673" s="15">
        <f>РПЗ!W1901</f>
        <v>0</v>
      </c>
      <c r="J1673" s="233">
        <f>РПЗ!X1901</f>
        <v>0</v>
      </c>
      <c r="K1673" s="283">
        <f>РПЗ!Z1901</f>
        <v>0</v>
      </c>
      <c r="L1673" s="17"/>
      <c r="M1673" s="18">
        <f>РПЗ!O1673</f>
        <v>0</v>
      </c>
      <c r="N1673" s="238">
        <f>Таблица5[[#This Row],[10]]</f>
        <v>0</v>
      </c>
      <c r="O1673" s="17"/>
      <c r="P1673" s="17"/>
      <c r="Q1673" s="17"/>
      <c r="R1673" s="17"/>
      <c r="S1673" s="17"/>
      <c r="T1673" s="686"/>
      <c r="U1673" s="18">
        <f>РПЗ!P1901</f>
        <v>0</v>
      </c>
      <c r="V1673" s="686"/>
      <c r="W1673" s="236">
        <f>РПЗ!L1901</f>
        <v>0</v>
      </c>
      <c r="X1673" s="689"/>
      <c r="Y1673" s="689"/>
      <c r="Z1673" s="690"/>
      <c r="AA1673" s="691"/>
      <c r="AB1673" s="111"/>
      <c r="AC1673" s="17"/>
      <c r="AD1673" s="690"/>
      <c r="AE1673" s="686"/>
      <c r="AF1673" s="474"/>
      <c r="AG1673" s="692"/>
      <c r="AH1673" s="236" t="str">
        <f>IF(Таблица5[[#This Row],[30]]=0,"НД",Таблица5[[#This Row],[20]]-Таблица5[[#This Row],[30]])</f>
        <v>НД</v>
      </c>
      <c r="AI1673" s="511" t="e">
        <f>IF(((1-Таблица5[[#This Row],[30]]/Таблица5[[#This Row],[20]])=1),"НД",(1-Таблица5[[#This Row],[30]]/Таблица5[[#This Row],[20]]))</f>
        <v>#DIV/0!</v>
      </c>
      <c r="AJ1673" s="111"/>
      <c r="AK1673" s="111"/>
      <c r="AL1673" s="512"/>
      <c r="AM1673" s="513"/>
      <c r="AN1673" s="465"/>
      <c r="AO1673" s="468">
        <f>РПЗ!AD1901</f>
        <v>0</v>
      </c>
      <c r="AP1673" s="472">
        <f>РПЗ!V1901</f>
        <v>0</v>
      </c>
      <c r="AQ1673" s="470">
        <f>IF(Таблица5[[#This Row],[11]]=0,,MONTH(Таблица5[[#This Row],[11]]))</f>
        <v>0</v>
      </c>
    </row>
    <row r="1674" spans="1:43" ht="12" customHeight="1" x14ac:dyDescent="0.25">
      <c r="A1674" s="233">
        <f t="shared" si="27"/>
        <v>0</v>
      </c>
      <c r="B1674" s="233">
        <f>РПЗ!$D1902</f>
        <v>0</v>
      </c>
      <c r="C1674" s="233">
        <f>РПЗ!$AA1902</f>
        <v>0</v>
      </c>
      <c r="D1674" s="633">
        <f>РПЗ!$AB1902</f>
        <v>0</v>
      </c>
      <c r="E1674" s="510"/>
      <c r="F1674" s="233">
        <f>РПЗ!Q1902</f>
        <v>0</v>
      </c>
      <c r="G1674" s="237">
        <f>Таблица5[[#This Row],[6]]</f>
        <v>0</v>
      </c>
      <c r="H1674" s="237">
        <f>РПЗ!R1902</f>
        <v>0</v>
      </c>
      <c r="I1674" s="15">
        <f>РПЗ!W1902</f>
        <v>0</v>
      </c>
      <c r="J1674" s="233">
        <f>РПЗ!X1902</f>
        <v>0</v>
      </c>
      <c r="K1674" s="283">
        <f>РПЗ!Z1902</f>
        <v>0</v>
      </c>
      <c r="L1674" s="17"/>
      <c r="M1674" s="18">
        <f>РПЗ!O1674</f>
        <v>0</v>
      </c>
      <c r="N1674" s="238">
        <f>Таблица5[[#This Row],[10]]</f>
        <v>0</v>
      </c>
      <c r="O1674" s="17"/>
      <c r="P1674" s="17"/>
      <c r="Q1674" s="17"/>
      <c r="R1674" s="17"/>
      <c r="S1674" s="17"/>
      <c r="T1674" s="686"/>
      <c r="U1674" s="18">
        <f>РПЗ!P1902</f>
        <v>0</v>
      </c>
      <c r="V1674" s="686"/>
      <c r="W1674" s="236">
        <f>РПЗ!L1902</f>
        <v>0</v>
      </c>
      <c r="X1674" s="689"/>
      <c r="Y1674" s="689"/>
      <c r="Z1674" s="690"/>
      <c r="AA1674" s="691"/>
      <c r="AB1674" s="111"/>
      <c r="AC1674" s="17"/>
      <c r="AD1674" s="690"/>
      <c r="AE1674" s="686"/>
      <c r="AF1674" s="474"/>
      <c r="AG1674" s="692"/>
      <c r="AH1674" s="236" t="str">
        <f>IF(Таблица5[[#This Row],[30]]=0,"НД",Таблица5[[#This Row],[20]]-Таблица5[[#This Row],[30]])</f>
        <v>НД</v>
      </c>
      <c r="AI1674" s="511" t="e">
        <f>IF(((1-Таблица5[[#This Row],[30]]/Таблица5[[#This Row],[20]])=1),"НД",(1-Таблица5[[#This Row],[30]]/Таблица5[[#This Row],[20]]))</f>
        <v>#DIV/0!</v>
      </c>
      <c r="AJ1674" s="111"/>
      <c r="AK1674" s="111"/>
      <c r="AL1674" s="512"/>
      <c r="AM1674" s="513"/>
      <c r="AN1674" s="465"/>
      <c r="AO1674" s="468">
        <f>РПЗ!AD1902</f>
        <v>0</v>
      </c>
      <c r="AP1674" s="472">
        <f>РПЗ!V1902</f>
        <v>0</v>
      </c>
      <c r="AQ1674" s="470">
        <f>IF(Таблица5[[#This Row],[11]]=0,,MONTH(Таблица5[[#This Row],[11]]))</f>
        <v>0</v>
      </c>
    </row>
    <row r="1675" spans="1:43" ht="49.5" customHeight="1" x14ac:dyDescent="0.25">
      <c r="A1675" s="233">
        <f t="shared" si="27"/>
        <v>0</v>
      </c>
      <c r="B1675" s="233">
        <f>РПЗ!$D1903</f>
        <v>0</v>
      </c>
      <c r="C1675" s="233">
        <f>РПЗ!$AA1903</f>
        <v>0</v>
      </c>
      <c r="D1675" s="633">
        <f>РПЗ!$AB1903</f>
        <v>0</v>
      </c>
      <c r="E1675" s="510"/>
      <c r="F1675" s="233">
        <f>РПЗ!Q1903</f>
        <v>0</v>
      </c>
      <c r="G1675" s="237">
        <f>Таблица5[[#This Row],[6]]</f>
        <v>0</v>
      </c>
      <c r="H1675" s="237">
        <f>РПЗ!R1903</f>
        <v>0</v>
      </c>
      <c r="I1675" s="15">
        <f>РПЗ!W1903</f>
        <v>0</v>
      </c>
      <c r="J1675" s="233">
        <f>РПЗ!X1903</f>
        <v>0</v>
      </c>
      <c r="K1675" s="283">
        <f>РПЗ!Z1903</f>
        <v>0</v>
      </c>
      <c r="L1675" s="17"/>
      <c r="M1675" s="18">
        <f>РПЗ!O1675</f>
        <v>0</v>
      </c>
      <c r="N1675" s="238">
        <f>Таблица5[[#This Row],[10]]</f>
        <v>0</v>
      </c>
      <c r="O1675" s="17"/>
      <c r="P1675" s="17"/>
      <c r="Q1675" s="17"/>
      <c r="R1675" s="17"/>
      <c r="S1675" s="17"/>
      <c r="T1675" s="686"/>
      <c r="U1675" s="18">
        <f>РПЗ!P1903</f>
        <v>0</v>
      </c>
      <c r="V1675" s="686"/>
      <c r="W1675" s="236">
        <f>РПЗ!L1903</f>
        <v>0</v>
      </c>
      <c r="X1675" s="689"/>
      <c r="Y1675" s="689"/>
      <c r="Z1675" s="690"/>
      <c r="AA1675" s="691"/>
      <c r="AB1675" s="111"/>
      <c r="AC1675" s="17"/>
      <c r="AD1675" s="690"/>
      <c r="AE1675" s="686"/>
      <c r="AF1675" s="474"/>
      <c r="AG1675" s="692"/>
      <c r="AH1675" s="236" t="str">
        <f>IF(Таблица5[[#This Row],[30]]=0,"НД",Таблица5[[#This Row],[20]]-Таблица5[[#This Row],[30]])</f>
        <v>НД</v>
      </c>
      <c r="AI1675" s="511" t="e">
        <f>IF(((1-Таблица5[[#This Row],[30]]/Таблица5[[#This Row],[20]])=1),"НД",(1-Таблица5[[#This Row],[30]]/Таблица5[[#This Row],[20]]))</f>
        <v>#DIV/0!</v>
      </c>
      <c r="AJ1675" s="111"/>
      <c r="AK1675" s="111"/>
      <c r="AL1675" s="512"/>
      <c r="AM1675" s="513"/>
      <c r="AN1675" s="465"/>
      <c r="AO1675" s="468">
        <f>РПЗ!AD1903</f>
        <v>0</v>
      </c>
      <c r="AP1675" s="472">
        <f>РПЗ!V1903</f>
        <v>0</v>
      </c>
      <c r="AQ1675" s="470">
        <f>IF(Таблица5[[#This Row],[11]]=0,,MONTH(Таблица5[[#This Row],[11]]))</f>
        <v>0</v>
      </c>
    </row>
    <row r="1676" spans="1:43" ht="19.5" customHeight="1" x14ac:dyDescent="0.25">
      <c r="A1676" s="233">
        <f t="shared" si="27"/>
        <v>0</v>
      </c>
      <c r="B1676" s="233">
        <f>РПЗ!$D1904</f>
        <v>0</v>
      </c>
      <c r="C1676" s="233">
        <f>РПЗ!$AA1904</f>
        <v>0</v>
      </c>
      <c r="D1676" s="633">
        <f>РПЗ!$AB1904</f>
        <v>0</v>
      </c>
      <c r="E1676" s="510"/>
      <c r="F1676" s="233">
        <f>РПЗ!Q1904</f>
        <v>0</v>
      </c>
      <c r="G1676" s="237">
        <f>Таблица5[[#This Row],[6]]</f>
        <v>0</v>
      </c>
      <c r="H1676" s="237">
        <f>РПЗ!R1904</f>
        <v>0</v>
      </c>
      <c r="I1676" s="15">
        <f>РПЗ!W1904</f>
        <v>0</v>
      </c>
      <c r="J1676" s="233">
        <f>РПЗ!X1904</f>
        <v>0</v>
      </c>
      <c r="K1676" s="283">
        <f>РПЗ!Z1904</f>
        <v>0</v>
      </c>
      <c r="L1676" s="17"/>
      <c r="M1676" s="18">
        <f>РПЗ!O1676</f>
        <v>0</v>
      </c>
      <c r="N1676" s="238">
        <f>Таблица5[[#This Row],[10]]</f>
        <v>0</v>
      </c>
      <c r="O1676" s="17"/>
      <c r="P1676" s="17"/>
      <c r="Q1676" s="17"/>
      <c r="R1676" s="17"/>
      <c r="S1676" s="17"/>
      <c r="T1676" s="686"/>
      <c r="U1676" s="18">
        <f>РПЗ!P1904</f>
        <v>0</v>
      </c>
      <c r="V1676" s="686"/>
      <c r="W1676" s="236">
        <f>РПЗ!L1904</f>
        <v>0</v>
      </c>
      <c r="X1676" s="689"/>
      <c r="Y1676" s="689"/>
      <c r="Z1676" s="690"/>
      <c r="AA1676" s="691"/>
      <c r="AB1676" s="111"/>
      <c r="AC1676" s="17"/>
      <c r="AD1676" s="690"/>
      <c r="AE1676" s="686"/>
      <c r="AF1676" s="474"/>
      <c r="AG1676" s="692"/>
      <c r="AH1676" s="236" t="str">
        <f>IF(Таблица5[[#This Row],[30]]=0,"НД",Таблица5[[#This Row],[20]]-Таблица5[[#This Row],[30]])</f>
        <v>НД</v>
      </c>
      <c r="AI1676" s="511" t="e">
        <f>IF(((1-Таблица5[[#This Row],[30]]/Таблица5[[#This Row],[20]])=1),"НД",(1-Таблица5[[#This Row],[30]]/Таблица5[[#This Row],[20]]))</f>
        <v>#DIV/0!</v>
      </c>
      <c r="AJ1676" s="111"/>
      <c r="AK1676" s="111"/>
      <c r="AL1676" s="512"/>
      <c r="AM1676" s="513"/>
      <c r="AN1676" s="465"/>
      <c r="AO1676" s="468">
        <f>РПЗ!AD1904</f>
        <v>0</v>
      </c>
      <c r="AP1676" s="472">
        <f>РПЗ!V1904</f>
        <v>0</v>
      </c>
      <c r="AQ1676" s="470">
        <f>IF(Таблица5[[#This Row],[11]]=0,,MONTH(Таблица5[[#This Row],[11]]))</f>
        <v>0</v>
      </c>
    </row>
    <row r="1677" spans="1:43" ht="21" customHeight="1" x14ac:dyDescent="0.25">
      <c r="A1677" s="233">
        <f t="shared" si="27"/>
        <v>0</v>
      </c>
      <c r="B1677" s="233">
        <f>РПЗ!$D1905</f>
        <v>0</v>
      </c>
      <c r="C1677" s="233">
        <f>РПЗ!$AA1905</f>
        <v>0</v>
      </c>
      <c r="D1677" s="633">
        <f>РПЗ!$AB1905</f>
        <v>0</v>
      </c>
      <c r="E1677" s="510"/>
      <c r="F1677" s="233">
        <f>РПЗ!Q1905</f>
        <v>0</v>
      </c>
      <c r="G1677" s="237">
        <f>Таблица5[[#This Row],[6]]</f>
        <v>0</v>
      </c>
      <c r="H1677" s="237">
        <f>РПЗ!R1905</f>
        <v>0</v>
      </c>
      <c r="I1677" s="15">
        <f>РПЗ!W1905</f>
        <v>0</v>
      </c>
      <c r="J1677" s="233">
        <f>РПЗ!X1905</f>
        <v>0</v>
      </c>
      <c r="K1677" s="283">
        <f>РПЗ!Z1905</f>
        <v>0</v>
      </c>
      <c r="L1677" s="17"/>
      <c r="M1677" s="18">
        <f>РПЗ!O1677</f>
        <v>0</v>
      </c>
      <c r="N1677" s="238">
        <f>Таблица5[[#This Row],[10]]</f>
        <v>0</v>
      </c>
      <c r="O1677" s="17"/>
      <c r="P1677" s="17"/>
      <c r="Q1677" s="17"/>
      <c r="R1677" s="17"/>
      <c r="S1677" s="17"/>
      <c r="T1677" s="686"/>
      <c r="U1677" s="18">
        <f>РПЗ!P1905</f>
        <v>0</v>
      </c>
      <c r="V1677" s="686"/>
      <c r="W1677" s="236">
        <f>РПЗ!L1905</f>
        <v>0</v>
      </c>
      <c r="X1677" s="689"/>
      <c r="Y1677" s="689"/>
      <c r="Z1677" s="690"/>
      <c r="AA1677" s="691"/>
      <c r="AB1677" s="111"/>
      <c r="AC1677" s="17"/>
      <c r="AD1677" s="690"/>
      <c r="AE1677" s="686"/>
      <c r="AF1677" s="474"/>
      <c r="AG1677" s="692"/>
      <c r="AH1677" s="236" t="str">
        <f>IF(Таблица5[[#This Row],[30]]=0,"НД",Таблица5[[#This Row],[20]]-Таблица5[[#This Row],[30]])</f>
        <v>НД</v>
      </c>
      <c r="AI1677" s="511" t="e">
        <f>IF(((1-Таблица5[[#This Row],[30]]/Таблица5[[#This Row],[20]])=1),"НД",(1-Таблица5[[#This Row],[30]]/Таблица5[[#This Row],[20]]))</f>
        <v>#DIV/0!</v>
      </c>
      <c r="AJ1677" s="111"/>
      <c r="AK1677" s="111"/>
      <c r="AL1677" s="512"/>
      <c r="AM1677" s="513"/>
      <c r="AN1677" s="465"/>
      <c r="AO1677" s="468">
        <f>РПЗ!AD1905</f>
        <v>0</v>
      </c>
      <c r="AP1677" s="472">
        <f>РПЗ!V1905</f>
        <v>0</v>
      </c>
      <c r="AQ1677" s="470">
        <f>IF(Таблица5[[#This Row],[11]]=0,,MONTH(Таблица5[[#This Row],[11]]))</f>
        <v>0</v>
      </c>
    </row>
    <row r="1678" spans="1:43" ht="45" customHeight="1" x14ac:dyDescent="0.25">
      <c r="A1678" s="233">
        <f t="shared" si="27"/>
        <v>0</v>
      </c>
      <c r="B1678" s="233">
        <f>РПЗ!$D1906</f>
        <v>0</v>
      </c>
      <c r="C1678" s="233">
        <f>РПЗ!$AA1906</f>
        <v>0</v>
      </c>
      <c r="D1678" s="633">
        <f>РПЗ!$AB1906</f>
        <v>0</v>
      </c>
      <c r="E1678" s="510"/>
      <c r="F1678" s="233">
        <f>РПЗ!Q1906</f>
        <v>0</v>
      </c>
      <c r="G1678" s="237">
        <f>Таблица5[[#This Row],[6]]</f>
        <v>0</v>
      </c>
      <c r="H1678" s="237">
        <f>РПЗ!R1906</f>
        <v>0</v>
      </c>
      <c r="I1678" s="15">
        <f>РПЗ!W1906</f>
        <v>0</v>
      </c>
      <c r="J1678" s="233">
        <f>РПЗ!X1906</f>
        <v>0</v>
      </c>
      <c r="K1678" s="283">
        <f>РПЗ!Z1906</f>
        <v>0</v>
      </c>
      <c r="L1678" s="17"/>
      <c r="M1678" s="18">
        <f>РПЗ!O1678</f>
        <v>0</v>
      </c>
      <c r="N1678" s="238">
        <f>Таблица5[[#This Row],[10]]</f>
        <v>0</v>
      </c>
      <c r="O1678" s="17"/>
      <c r="P1678" s="17"/>
      <c r="Q1678" s="17"/>
      <c r="R1678" s="17"/>
      <c r="S1678" s="17"/>
      <c r="T1678" s="686"/>
      <c r="U1678" s="18">
        <f>РПЗ!P1906</f>
        <v>0</v>
      </c>
      <c r="V1678" s="686"/>
      <c r="W1678" s="236">
        <f>РПЗ!L1906</f>
        <v>0</v>
      </c>
      <c r="X1678" s="689"/>
      <c r="Y1678" s="689"/>
      <c r="Z1678" s="690"/>
      <c r="AA1678" s="691"/>
      <c r="AB1678" s="111"/>
      <c r="AC1678" s="17"/>
      <c r="AD1678" s="690"/>
      <c r="AE1678" s="686"/>
      <c r="AF1678" s="474"/>
      <c r="AG1678" s="692"/>
      <c r="AH1678" s="236" t="str">
        <f>IF(Таблица5[[#This Row],[30]]=0,"НД",Таблица5[[#This Row],[20]]-Таблица5[[#This Row],[30]])</f>
        <v>НД</v>
      </c>
      <c r="AI1678" s="511" t="e">
        <f>IF(((1-Таблица5[[#This Row],[30]]/Таблица5[[#This Row],[20]])=1),"НД",(1-Таблица5[[#This Row],[30]]/Таблица5[[#This Row],[20]]))</f>
        <v>#DIV/0!</v>
      </c>
      <c r="AJ1678" s="111"/>
      <c r="AK1678" s="111"/>
      <c r="AL1678" s="512"/>
      <c r="AM1678" s="513"/>
      <c r="AN1678" s="465"/>
      <c r="AO1678" s="468">
        <f>РПЗ!AD1906</f>
        <v>0</v>
      </c>
      <c r="AP1678" s="472">
        <f>РПЗ!V1906</f>
        <v>0</v>
      </c>
      <c r="AQ1678" s="470">
        <f>IF(Таблица5[[#This Row],[11]]=0,,MONTH(Таблица5[[#This Row],[11]]))</f>
        <v>0</v>
      </c>
    </row>
    <row r="1679" spans="1:43" ht="42" customHeight="1" x14ac:dyDescent="0.25">
      <c r="A1679" s="233">
        <f t="shared" si="27"/>
        <v>0</v>
      </c>
      <c r="B1679" s="233">
        <f>РПЗ!$D1907</f>
        <v>0</v>
      </c>
      <c r="C1679" s="233">
        <f>РПЗ!$AA1907</f>
        <v>0</v>
      </c>
      <c r="D1679" s="633">
        <f>РПЗ!$AB1907</f>
        <v>0</v>
      </c>
      <c r="E1679" s="510"/>
      <c r="F1679" s="233">
        <f>РПЗ!Q1907</f>
        <v>0</v>
      </c>
      <c r="G1679" s="237">
        <f>Таблица5[[#This Row],[6]]</f>
        <v>0</v>
      </c>
      <c r="H1679" s="237">
        <f>РПЗ!R1907</f>
        <v>0</v>
      </c>
      <c r="I1679" s="15">
        <f>РПЗ!W1907</f>
        <v>0</v>
      </c>
      <c r="J1679" s="233">
        <f>РПЗ!X1907</f>
        <v>0</v>
      </c>
      <c r="K1679" s="283">
        <f>РПЗ!Z1907</f>
        <v>0</v>
      </c>
      <c r="L1679" s="17"/>
      <c r="M1679" s="18">
        <f>РПЗ!O1679</f>
        <v>0</v>
      </c>
      <c r="N1679" s="238">
        <f>Таблица5[[#This Row],[10]]</f>
        <v>0</v>
      </c>
      <c r="O1679" s="17"/>
      <c r="P1679" s="17"/>
      <c r="Q1679" s="17"/>
      <c r="R1679" s="17"/>
      <c r="S1679" s="17"/>
      <c r="T1679" s="686"/>
      <c r="U1679" s="18">
        <f>РПЗ!P1907</f>
        <v>0</v>
      </c>
      <c r="V1679" s="686" t="s">
        <v>7221</v>
      </c>
      <c r="W1679" s="236">
        <f>РПЗ!L1907</f>
        <v>0</v>
      </c>
      <c r="X1679" s="689"/>
      <c r="Y1679" s="689"/>
      <c r="Z1679" s="690"/>
      <c r="AA1679" s="691"/>
      <c r="AB1679" s="111"/>
      <c r="AC1679" s="17"/>
      <c r="AD1679" s="690"/>
      <c r="AE1679" s="686"/>
      <c r="AF1679" s="474"/>
      <c r="AG1679" s="692"/>
      <c r="AH1679" s="236" t="str">
        <f>IF(Таблица5[[#This Row],[30]]=0,"НД",Таблица5[[#This Row],[20]]-Таблица5[[#This Row],[30]])</f>
        <v>НД</v>
      </c>
      <c r="AI1679" s="511" t="e">
        <f>IF(((1-Таблица5[[#This Row],[30]]/Таблица5[[#This Row],[20]])=1),"НД",(1-Таблица5[[#This Row],[30]]/Таблица5[[#This Row],[20]]))</f>
        <v>#DIV/0!</v>
      </c>
      <c r="AJ1679" s="111"/>
      <c r="AK1679" s="111"/>
      <c r="AL1679" s="512"/>
      <c r="AM1679" s="513"/>
      <c r="AN1679" s="465"/>
      <c r="AO1679" s="468">
        <f>РПЗ!AD1907</f>
        <v>0</v>
      </c>
      <c r="AP1679" s="472">
        <f>РПЗ!V1907</f>
        <v>0</v>
      </c>
      <c r="AQ1679" s="470">
        <f>IF(Таблица5[[#This Row],[11]]=0,,MONTH(Таблица5[[#This Row],[11]]))</f>
        <v>0</v>
      </c>
    </row>
    <row r="1680" spans="1:43" ht="39.75" customHeight="1" x14ac:dyDescent="0.25">
      <c r="A1680" s="1035">
        <f>INDEX(Диапазон1,ROW(), COLUMN())</f>
        <v>0</v>
      </c>
      <c r="B1680" s="1035">
        <f>РПЗ!$D1680</f>
        <v>0</v>
      </c>
      <c r="C1680" s="1035">
        <f>РПЗ!$AA1680</f>
        <v>0</v>
      </c>
      <c r="D1680" s="1036">
        <f>РПЗ!$AB1680</f>
        <v>0</v>
      </c>
      <c r="E1680" s="1037"/>
      <c r="F1680" s="1035">
        <f>РПЗ!Q1680</f>
        <v>0</v>
      </c>
      <c r="G1680" s="1038">
        <f>Таблица5[[#This Row],[6]]</f>
        <v>0</v>
      </c>
      <c r="H1680" s="1038">
        <f>РПЗ!R1680</f>
        <v>0</v>
      </c>
      <c r="I1680" s="1039">
        <f>РПЗ!W1680</f>
        <v>0</v>
      </c>
      <c r="J1680" s="1035">
        <f>РПЗ!X1680</f>
        <v>0</v>
      </c>
      <c r="K1680" s="1040">
        <f>РПЗ!Z1680</f>
        <v>0</v>
      </c>
      <c r="L1680" s="1041"/>
      <c r="M1680" s="1042">
        <f>РПЗ!O1680</f>
        <v>0</v>
      </c>
      <c r="N1680" s="1043">
        <f>Таблица5[[#This Row],[10]]</f>
        <v>0</v>
      </c>
      <c r="O1680" s="1041"/>
      <c r="P1680" s="1041"/>
      <c r="Q1680" s="1041"/>
      <c r="R1680" s="1041"/>
      <c r="S1680" s="1041"/>
      <c r="T1680" s="1041"/>
      <c r="U1680" s="1042">
        <f>РПЗ!P1680</f>
        <v>0</v>
      </c>
      <c r="V1680" s="1041"/>
      <c r="W1680" s="1044">
        <f>РПЗ!L1680</f>
        <v>0</v>
      </c>
      <c r="X1680" s="1045"/>
      <c r="Y1680" s="1045"/>
      <c r="Z1680" s="1046"/>
      <c r="AA1680" s="1038"/>
      <c r="AB1680" s="1047"/>
      <c r="AC1680" s="1041"/>
      <c r="AD1680" s="1046"/>
      <c r="AE1680" s="1041"/>
      <c r="AF1680" s="1046"/>
      <c r="AG1680" s="1047"/>
      <c r="AH1680" s="1044" t="str">
        <f>IF(Таблица5[[#This Row],[30]]=0,"НД",Таблица5[[#This Row],[20]]-Таблица5[[#This Row],[30]])</f>
        <v>НД</v>
      </c>
      <c r="AI1680" s="1048" t="e">
        <f>IF(((1-Таблица5[[#This Row],[30]]/Таблица5[[#This Row],[20]])=1),"НД",(1-Таблица5[[#This Row],[30]]/Таблица5[[#This Row],[20]]))</f>
        <v>#DIV/0!</v>
      </c>
      <c r="AJ1680" s="1047"/>
      <c r="AK1680" s="1047"/>
      <c r="AL1680" s="1049"/>
      <c r="AM1680" s="1050"/>
      <c r="AN1680" s="1051"/>
      <c r="AO1680" s="1052">
        <f>РПЗ!AD1680</f>
        <v>0</v>
      </c>
      <c r="AP1680" s="1053">
        <f>РПЗ!V1680</f>
        <v>0</v>
      </c>
      <c r="AQ1680" s="1054">
        <f>IF(Таблица5[[#This Row],[11]]=0,,MONTH(Таблица5[[#This Row],[11]]))</f>
        <v>0</v>
      </c>
    </row>
    <row r="1681" spans="12:12" x14ac:dyDescent="0.25">
      <c r="L1681" s="968"/>
    </row>
  </sheetData>
  <sheetProtection insertRows="0" autoFilter="0"/>
  <dataConsolidate/>
  <mergeCells count="39">
    <mergeCell ref="AO12:AO14"/>
    <mergeCell ref="AP12:AP14"/>
    <mergeCell ref="W1:AC1"/>
    <mergeCell ref="W2:AC2"/>
    <mergeCell ref="G1:N1"/>
    <mergeCell ref="G12:G14"/>
    <mergeCell ref="X12:X14"/>
    <mergeCell ref="Y12:Y14"/>
    <mergeCell ref="H12:H14"/>
    <mergeCell ref="M12:V12"/>
    <mergeCell ref="M13:N13"/>
    <mergeCell ref="AB12:AC12"/>
    <mergeCell ref="AB13:AB14"/>
    <mergeCell ref="AN12:AN14"/>
    <mergeCell ref="A12:A14"/>
    <mergeCell ref="AQ12:AQ14"/>
    <mergeCell ref="P13:Q13"/>
    <mergeCell ref="R13:S13"/>
    <mergeCell ref="U13:V13"/>
    <mergeCell ref="W12:W13"/>
    <mergeCell ref="Z12:Z14"/>
    <mergeCell ref="AJ12:AL12"/>
    <mergeCell ref="AM12:AM13"/>
    <mergeCell ref="AJ14:AL14"/>
    <mergeCell ref="AA12:AA14"/>
    <mergeCell ref="AH12:AI12"/>
    <mergeCell ref="AG12:AG14"/>
    <mergeCell ref="B12:B14"/>
    <mergeCell ref="AF12:AF13"/>
    <mergeCell ref="AD12:AE13"/>
    <mergeCell ref="C12:C14"/>
    <mergeCell ref="D12:D14"/>
    <mergeCell ref="E12:E14"/>
    <mergeCell ref="L12:L13"/>
    <mergeCell ref="F12:F14"/>
    <mergeCell ref="I13:I14"/>
    <mergeCell ref="J13:J14"/>
    <mergeCell ref="K13:K14"/>
    <mergeCell ref="I12:K12"/>
  </mergeCells>
  <conditionalFormatting sqref="M16:M1680">
    <cfRule type="cellIs" dxfId="58" priority="3" operator="equal">
      <formula>0</formula>
    </cfRule>
  </conditionalFormatting>
  <conditionalFormatting sqref="U16:U1680">
    <cfRule type="cellIs" dxfId="57" priority="2" operator="equal">
      <formula>0</formula>
    </cfRule>
  </conditionalFormatting>
  <conditionalFormatting sqref="B3:B9">
    <cfRule type="cellIs" dxfId="56" priority="1" operator="equal">
      <formula>0</formula>
    </cfRule>
  </conditionalFormatting>
  <dataValidations xWindow="804" yWindow="714" count="31">
    <dataValidation allowBlank="1" showInputMessage="1" showErrorMessage="1" promptTitle="Не требует заполнения." prompt="Заполнение происходит автоматически на основании сведений вкладки «РПЗ»." sqref="M14 W14 B12:D14 A12"/>
    <dataValidation allowBlank="1" showInputMessage="1" showErrorMessage="1" promptTitle="Пример:" prompt=" 01.01.2015" sqref="L14 O14:S14"/>
    <dataValidation allowBlank="1" showErrorMessage="1" promptTitle="Подсказка:" prompt="Способ закупки выбирается из всплывающего списка._x000a__x000a_В том числе, способ закупки «ЕП» в случае признания закупки несостоявшийся и принятия решения о заключении договора с единственным поставщиком." sqref="E12:E14 G12:G14 H12"/>
    <dataValidation allowBlank="1" showErrorMessage="1" promptTitle="Не требует заполнения." prompt="Заполнение происходит автоматически на основании сведений вкладки «РПЗ»._x000a__x000a_В случае проведения закупки у ЕП по результатам несостоявшейся конкурентной процедуры из выпадающего списка выбирается значение «6.6.1(32)»" sqref="F12:F14 I12 I13:K13"/>
    <dataValidation allowBlank="1" showInputMessage="1" showErrorMessage="1" promptTitle="Пример:" prompt=" 01.2015_x000a__x000a_01.2015-12.2016" sqref="T14"/>
    <dataValidation allowBlank="1" showInputMessage="1" showErrorMessage="1" promptTitle="Не требует заполнения." prompt="Заполнение происходит автоматически на основании сведений вкладки «РПЗ»._x000a__x000a_За исключением случаев, когда фактически объявленная НМЦ отличается от запланированной НМЦ не более чем на 10 %._x000a_В этом случае НМЦ меняется на фактическую." sqref="U14"/>
    <dataValidation allowBlank="1" showInputMessage="1" showErrorMessage="1" promptTitle="Подсказка:" prompt="Указывается количество участников, подавших предложения в соответствии с протоколом открытия доступа/вскрытия конвертов к поданным заявкам по соответствующему лоту._x000a__x000a_В случае если не подано ни одной заявки, поле заполняется с нулевым значением (пример: 0)" sqref="X12:X14"/>
    <dataValidation allowBlank="1" showInputMessage="1" showErrorMessage="1" promptTitle="Подсказка:" prompt="Указывается количество участников, предложения которых были отклонены в соответствии с протоколом рассмотрения заявок по соответствующему лоту._x000a__x000a_Если не отклонено ни одного предложения, поле заполняется с нулевым значением (пример: 0)" sqref="Y12:Y14"/>
    <dataValidation allowBlank="1" showInputMessage="1" showErrorMessage="1" promptTitle="Подсказка:" prompt="Указывается в строгом соответствии с выпиской из: ЕГРЮЛ – для юридических лиц; ЕГРИП – для индивидуальных предпринимателей; свидетельства для постановки на учет – для физических лиц._x000a__x000a_Пример:7654321098" sqref="Z12:Z14"/>
    <dataValidation allowBlank="1" showInputMessage="1" showErrorMessage="1" promptTitle="Пример:" prompt="ООО &quot;Наименование Плюс&quot;" sqref="AA12:AA14"/>
    <dataValidation allowBlank="1" showInputMessage="1" showErrorMessage="1" promptTitle="Подсказка:" prompt="Не допускается использование пробелов, знаков препинания (за исключением запятых для разделения целой и дробной частей числа) и текстовой части._x000a__x000a_Пример: 1000000_x000a_Это значение будет автоматически преобразовано в вид: _x000a_1 000 000,00" sqref="AG12:AG14"/>
    <dataValidation allowBlank="1" showInputMessage="1" showErrorMessage="1" promptTitle="Пример:" prompt="01.2015_x000a_или_x000a_01.2015-12.2016" sqref="AC14"/>
    <dataValidation allowBlank="1" showInputMessage="1" showErrorMessage="1" promptTitle="Пример:" prompt="01.2015_x000a_или_x000a_01.2015-12.2016_x000a__x000a_Поле желательно для заполнения" sqref="V14"/>
    <dataValidation allowBlank="1" showInputMessage="1" showErrorMessage="1" promptTitle="Подсказка:" prompt="Указывается дата договора по соответствующему лоту_x000a__x000a_Пример: 01.01.2015" sqref="AE14"/>
    <dataValidation allowBlank="1" showInputMessage="1" showErrorMessage="1" promptTitle="Не требует заполнения." prompt="Заполнение происходит автоматически на основании сведений Отчета." sqref="AH12:AI14"/>
    <dataValidation allowBlank="1" showInputMessage="1" showErrorMessage="1" promptTitle="Подсказка:" prompt="Обязательно для заполнения по каждому лоту, по результатам проведения которого заключен договор с субъектом МСП при условии, что проведенный лот был конкурентной процедурой и в нем принимали участие как субъекты МСП, так и субъекты, не относящиеся к МСП" sqref="AJ13"/>
    <dataValidation allowBlank="1" showInputMessage="1" showErrorMessage="1" promptTitle="Подсказка:" prompt="Обязательно для заполнения по каждому лоту, по результатам проведения которого заключен договор с субъектом МСП при условии, что в нем принимали участие только субъекты МСП или проведена закупка у единственного поставщика (субъекта МСП)." sqref="AK13"/>
    <dataValidation allowBlank="1" showInputMessage="1" showErrorMessage="1" promptTitle="Подсказка:" prompt="Для каждого лота, по результатам проведения которого заключен договор с субъектом, не относящимся к субъектам МСП, заключившим договор с субъектом/субъектами МСП при условии, что было установлено требование о привлечении на субподряд субъектов МСП" sqref="AL13"/>
    <dataValidation allowBlank="1" showInputMessage="1" showErrorMessage="1" promptTitle="Подсказка:" prompt="В случае наличия жалоб по соответствующему лоту указывается «Да». В случае отсутствия жалоб указывает «Нет»." sqref="AM12:AM13"/>
    <dataValidation allowBlank="1" showInputMessage="1" showErrorMessage="1" promptTitle="Подсказка:" prompt="Поле не обязательно для заполнения и служит для указания справочной информации, не вошедшей в прочие поля (например, указание официального курса ЦБ РФ для пересчета из валюты в рубли)" sqref="AN12:AN14"/>
    <dataValidation allowBlank="1" showInputMessage="1" showErrorMessage="1" promptTitle="Подсказка:" prompt="Заполняется в случае, если договор заключен в целях реализации обязательств по заключенному контракту (договору)" sqref="AF12:AF14"/>
    <dataValidation allowBlank="1" showInputMessage="1" showErrorMessage="1" promptTitle="Подсказка:" prompt="Указывается номер договора по соответствующему лоту, присвоенного в соответствии с правилами внутреннего документооборота, принятыми в Корпорации_x000a__x000a_Пример: 123" sqref="AD14"/>
    <dataValidation allowBlank="1" showInputMessage="1" showErrorMessage="1" promptTitle="Подсказка:" prompt="В случае наличия жалоб по соответствующему лоту указывается «Да». В случае отсутствия жалоб указывается «Нет»." sqref="AM14"/>
    <dataValidation type="date" allowBlank="1" showInputMessage="1" showErrorMessage="1" errorTitle="Ошибка ввода" error="Дата должна быть в формате: &quot;дд.мм.гггг&quot;_x000a__x000a_Пример: 01.01.2015" sqref="N16:N1680">
      <formula1>1</formula1>
      <formula2>2958465</formula2>
    </dataValidation>
    <dataValidation allowBlank="1" showInputMessage="1" showErrorMessage="1" errorTitle="Ошибка ввода" error="Дата должна быть в формате: &quot;дд.мм.гггг&quot;_x000a__x000a_Пример: 01.01.2015" sqref="T645:T648 L637:L641 T129:T203 V669 U16:U1680 L669:L670 L28:L371 T882:T1679 V749:V757 L644:L648 T825:T830 L708:L732 V695:V704 T729:T730 L673:L674 T673:T674 V673:V674 T650:T663 V650:V663 L650:L663 T736:T746 V482:V630 T340:T371 V340:V371 V732 L688 T688 V688 L679:L686 L695:L705 L676:L677 T676:T677 V676:V677 T373:T387 V373:V387 L16:L26 T16:T26 V16:V26 L665:L667 T665:T667 V665:V667 V848 T639:T641 L760:L817 L690 T732 L736:L747 T416:T480 V736:V746 V874:V1679 L749:L757 T749:T757 L734 T734 V734 V416:V480 V723:V725 V825:V831 L373:L635 V717:V718 T683 T779:T816 O16:S124 V645:V648 T717:T718 O637:S637 T714:T715 AC908 T720:T721 V720:V721 V681:V683 T833:T836 T723:T725 T679 V679 V833:V836 AE698 T822:T823 V822:V823 T681 V850:V871 T126:T127 T28:T124 V28:V124 T635 V126:V203 T321:T338 O205:T295 V205:V295 V714:V715 O297:S414 T389:T414 V389:V414 O639:S721 V639:V641 T708:T712 V708:V712 O416:S635 V632:V635 T482:T630 V779:V816 V729:V730 T760:T777 V760:V777 V297:V319 T848 V321:V338 T875:T880 V727 T297:T319 T838:T846 V838:V846 T695:T698 T700:T704 T850:T858 T860:T871 AC635 AC682 AC698 AC727 AC831 AC843 AC859 AC867:AC868 AC874 AC881 T632:T633 O126:S203 O1680:V1680 O723:O1035 O1037:O1679 L819:L1680 P723:S1679"/>
    <dataValidation allowBlank="1" showInputMessage="1" showErrorMessage="1" errorTitle="Ошибка ввода" error="Необходимо выбрать из выпадающего списка" sqref="AK16:AL1680 AJ321:AJ734 AJ736:AJ818 AJ16:AJ319 AJ822:AJ852 AJ854:AJ1679 AJ1680:AL1680"/>
    <dataValidation allowBlank="1" showErrorMessage="1" errorTitle="Ошибка ввода" error="Дата должна быть в формате: &quot;дд.мм.гггг&quot;_x000a__x000a_Пример: 01.01.2015" sqref="AQ16:AQ1680"/>
    <dataValidation allowBlank="1" showInputMessage="1" showErrorMessage="1" promptTitle="Пример:" prompt="Январь 2015" sqref="N14"/>
    <dataValidation allowBlank="1" showErrorMessage="1" promptTitle="Пример:" prompt="Январь 2015" sqref="AQ12:AQ14"/>
    <dataValidation allowBlank="1" showInputMessage="1" showErrorMessage="1" promptTitle="Подсказка:" prompt="Поле заполняется автоматически" sqref="AO12:AO14"/>
    <dataValidation allowBlank="1" showInputMessage="1" showErrorMessage="1" promptTitle="Подсказка:" prompt="Поле заполняется автоматически " sqref="AP12:AP14"/>
  </dataValidations>
  <pageMargins left="0.31496062992125984" right="0.31496062992125984" top="0.35433070866141736" bottom="0.35433070866141736" header="0" footer="0.31496062992125984"/>
  <pageSetup paperSize="9" scale="18" fitToHeight="0" orientation="landscape" r:id="rId1"/>
  <ignoredErrors>
    <ignoredError sqref="AH1565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804" yWindow="714" count="4">
        <x14:dataValidation type="list" allowBlank="1" showInputMessage="1" showErrorMessage="1">
          <x14:formula1>
            <xm:f>Справочно!$C$12:$C$34</xm:f>
          </x14:formula1>
          <xm:sqref>G16:G1680</xm:sqref>
        </x14:dataValidation>
        <x14:dataValidation type="list" allowBlank="1" showInputMessage="1" showErrorMessage="1" errorTitle="Ошибка ввода" error="Необходимо выбрать из выпадающего списка">
          <x14:formula1>
            <xm:f>Справочно!$E$16:$E$18</xm:f>
          </x14:formula1>
          <xm:sqref>AM16:AM1680</xm:sqref>
        </x14:dataValidation>
        <x14:dataValidation type="list" allowBlank="1" showInputMessage="1" showErrorMessage="1">
          <x14:formula1>
            <xm:f>Справочно!$G$3:$G$54</xm:f>
          </x14:formula1>
          <xm:sqref>I16:I1680</xm:sqref>
        </x14:dataValidation>
        <x14:dataValidation type="list" allowBlank="1" showInputMessage="1" showErrorMessage="1">
          <x14:formula1>
            <xm:f>Справочно!$E$3:$E$10</xm:f>
          </x14:formula1>
          <xm:sqref>E16:E1680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10"/>
  <sheetViews>
    <sheetView zoomScale="85" zoomScaleNormal="85" workbookViewId="0">
      <selection activeCell="C17" sqref="C17"/>
    </sheetView>
  </sheetViews>
  <sheetFormatPr defaultRowHeight="12.75" x14ac:dyDescent="0.2"/>
  <cols>
    <col min="1" max="1" width="3.28515625" style="56" customWidth="1"/>
    <col min="2" max="2" width="54.140625" style="56" customWidth="1"/>
    <col min="3" max="3" width="21.85546875" style="56" customWidth="1"/>
    <col min="4" max="4" width="22.7109375" style="56" customWidth="1"/>
    <col min="5" max="5" width="20" style="56" customWidth="1"/>
    <col min="6" max="6" width="20.28515625" style="56" customWidth="1"/>
    <col min="7" max="7" width="18.7109375" style="56" customWidth="1"/>
    <col min="8" max="9" width="20.85546875" style="56" customWidth="1"/>
    <col min="10" max="10" width="13" style="56" customWidth="1"/>
    <col min="11" max="11" width="6" style="56" customWidth="1"/>
    <col min="12" max="12" width="17.140625" style="56" customWidth="1"/>
    <col min="13" max="13" width="16" style="56" customWidth="1"/>
    <col min="14" max="14" width="23" style="56" customWidth="1"/>
    <col min="15" max="15" width="18.140625" style="56" customWidth="1"/>
    <col min="16" max="16" width="18.5703125" style="56" customWidth="1"/>
    <col min="17" max="17" width="16" style="56" customWidth="1"/>
    <col min="18" max="18" width="18.85546875" style="56" customWidth="1"/>
    <col min="19" max="19" width="19.28515625" style="56" customWidth="1"/>
    <col min="20" max="20" width="20.140625" style="56" customWidth="1"/>
    <col min="21" max="21" width="16" style="56" customWidth="1"/>
    <col min="22" max="22" width="19.42578125" style="56" customWidth="1"/>
    <col min="23" max="23" width="18.7109375" style="56" customWidth="1"/>
    <col min="24" max="24" width="18.140625" style="56" customWidth="1"/>
    <col min="25" max="25" width="16" style="56" customWidth="1"/>
    <col min="26" max="26" width="21.5703125" style="56" customWidth="1"/>
    <col min="27" max="27" width="18.28515625" style="56" customWidth="1"/>
    <col min="28" max="29" width="16" style="56" customWidth="1"/>
    <col min="30" max="30" width="26.7109375" style="56" customWidth="1"/>
    <col min="31" max="33" width="16" style="56" customWidth="1"/>
    <col min="34" max="34" width="17.5703125" style="56" customWidth="1"/>
    <col min="35" max="37" width="16" style="56" customWidth="1"/>
    <col min="38" max="38" width="18.5703125" style="56" customWidth="1"/>
    <col min="39" max="41" width="16" style="56" customWidth="1"/>
    <col min="42" max="42" width="21.7109375" style="56" customWidth="1"/>
    <col min="43" max="43" width="16" style="56" customWidth="1"/>
    <col min="44" max="44" width="16" style="56" customWidth="1" collapsed="1"/>
    <col min="45" max="57" width="16" style="56" customWidth="1"/>
    <col min="58" max="58" width="18.85546875" style="56" customWidth="1"/>
    <col min="59" max="59" width="16" style="56" customWidth="1"/>
    <col min="60" max="60" width="16" style="56" customWidth="1" collapsed="1"/>
    <col min="61" max="75" width="16" style="56" customWidth="1"/>
    <col min="76" max="16384" width="9.140625" style="56"/>
  </cols>
  <sheetData>
    <row r="1" spans="1:31" ht="2.25" customHeight="1" x14ac:dyDescent="0.2"/>
    <row r="2" spans="1:31" ht="25.5" customHeight="1" x14ac:dyDescent="0.2">
      <c r="B2" s="1086" t="s">
        <v>273</v>
      </c>
      <c r="C2" s="1086"/>
      <c r="D2" s="1086"/>
      <c r="E2" s="1086"/>
      <c r="F2" s="1086"/>
      <c r="G2" s="1086"/>
      <c r="H2" s="1086"/>
      <c r="I2" s="1086"/>
      <c r="J2" s="1086"/>
    </row>
    <row r="3" spans="1:31" ht="13.5" customHeight="1" thickBot="1" x14ac:dyDescent="0.25">
      <c r="A3" s="14"/>
      <c r="B3" s="14"/>
      <c r="C3" s="202"/>
      <c r="D3" s="204"/>
      <c r="E3" s="140" t="s">
        <v>318</v>
      </c>
      <c r="F3" s="204"/>
      <c r="G3" s="14" t="s">
        <v>319</v>
      </c>
      <c r="H3" s="14"/>
      <c r="I3" s="14"/>
      <c r="J3" s="14"/>
    </row>
    <row r="4" spans="1:31" ht="18" customHeight="1" thickBot="1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</row>
    <row r="5" spans="1:31" x14ac:dyDescent="0.2">
      <c r="B5" s="119" t="s">
        <v>1</v>
      </c>
      <c r="C5" s="1206" t="str">
        <f>РПЗ!$B4</f>
        <v>АО"НИИ" Полюс" им. М.Ф. Стельмаха"</v>
      </c>
      <c r="D5" s="1207"/>
      <c r="E5" s="124"/>
      <c r="F5" s="124"/>
      <c r="G5" s="124"/>
      <c r="H5" s="124"/>
      <c r="I5" s="124"/>
      <c r="J5" s="124"/>
    </row>
    <row r="6" spans="1:31" x14ac:dyDescent="0.2">
      <c r="B6" s="120" t="s">
        <v>2</v>
      </c>
      <c r="C6" s="1208" t="str">
        <f>РПЗ!$B5</f>
        <v>г. Москва, ул. Введенского, д.3, корп.1</v>
      </c>
      <c r="D6" s="1209"/>
      <c r="E6" s="124"/>
      <c r="F6" s="124"/>
      <c r="G6" s="124"/>
      <c r="H6" s="124"/>
      <c r="I6" s="124"/>
      <c r="J6" s="124"/>
    </row>
    <row r="7" spans="1:31" x14ac:dyDescent="0.2">
      <c r="B7" s="120" t="s">
        <v>3</v>
      </c>
      <c r="C7" s="1210" t="str">
        <f>РПЗ!$B6</f>
        <v>8-495-333-05-02</v>
      </c>
      <c r="D7" s="1209"/>
      <c r="E7" s="124"/>
      <c r="F7" s="124"/>
      <c r="G7" s="124"/>
      <c r="H7" s="124"/>
      <c r="I7" s="124"/>
      <c r="J7" s="124"/>
    </row>
    <row r="8" spans="1:31" x14ac:dyDescent="0.2">
      <c r="B8" s="120" t="s">
        <v>4</v>
      </c>
      <c r="C8" s="1208" t="str">
        <f>РПЗ!$B7</f>
        <v>zakupki223fz@mail.ru</v>
      </c>
      <c r="D8" s="1209"/>
      <c r="E8" s="124"/>
      <c r="F8" s="124"/>
      <c r="G8" s="124"/>
      <c r="H8" s="124"/>
      <c r="I8" s="124"/>
      <c r="J8" s="124"/>
    </row>
    <row r="9" spans="1:31" x14ac:dyDescent="0.2">
      <c r="B9" s="120" t="s">
        <v>5</v>
      </c>
      <c r="C9" s="1208">
        <f>РПЗ!$B8</f>
        <v>7728816598</v>
      </c>
      <c r="D9" s="1209"/>
      <c r="E9" s="124"/>
      <c r="F9" s="124"/>
      <c r="G9" s="124"/>
      <c r="H9" s="124"/>
      <c r="I9" s="124"/>
      <c r="J9" s="124"/>
    </row>
    <row r="10" spans="1:31" x14ac:dyDescent="0.2">
      <c r="B10" s="120" t="s">
        <v>6</v>
      </c>
      <c r="C10" s="1208">
        <f>РПЗ!$B9</f>
        <v>772801001</v>
      </c>
      <c r="D10" s="1209"/>
    </row>
    <row r="11" spans="1:31" ht="13.5" thickBot="1" x14ac:dyDescent="0.25">
      <c r="B11" s="121" t="s">
        <v>7</v>
      </c>
      <c r="C11" s="1211">
        <f>РПЗ!$B10</f>
        <v>4593599</v>
      </c>
      <c r="D11" s="1212"/>
    </row>
    <row r="12" spans="1:31" ht="31.5" customHeight="1" thickBot="1" x14ac:dyDescent="0.25">
      <c r="B12" s="122" t="s">
        <v>321</v>
      </c>
      <c r="C12" s="1213"/>
      <c r="D12" s="1214"/>
    </row>
    <row r="13" spans="1:31" ht="6" hidden="1" customHeight="1" x14ac:dyDescent="0.2">
      <c r="B13" s="20"/>
      <c r="C13" s="133"/>
      <c r="D13" s="133"/>
    </row>
    <row r="14" spans="1:31" ht="15.75" customHeight="1" thickBot="1" x14ac:dyDescent="0.25">
      <c r="B14" s="20"/>
      <c r="K14" s="1113" t="s">
        <v>320</v>
      </c>
      <c r="L14" s="1113"/>
      <c r="M14" s="1113"/>
      <c r="N14" s="1113"/>
      <c r="O14" s="1113"/>
      <c r="P14" s="1113"/>
      <c r="Q14" s="1113"/>
      <c r="R14" s="1113"/>
      <c r="S14" s="1113"/>
      <c r="T14" s="1113"/>
      <c r="U14" s="1113"/>
      <c r="V14" s="1113"/>
      <c r="W14" s="1113"/>
      <c r="X14" s="1113"/>
      <c r="Y14" s="1113"/>
      <c r="Z14" s="1113"/>
      <c r="AA14" s="1113"/>
    </row>
    <row r="15" spans="1:31" ht="51.75" thickBot="1" x14ac:dyDescent="0.25">
      <c r="B15" s="1194" t="s">
        <v>933</v>
      </c>
      <c r="C15" s="1194" t="s">
        <v>934</v>
      </c>
      <c r="D15" s="1194" t="s">
        <v>932</v>
      </c>
      <c r="E15" s="1217" t="s">
        <v>983</v>
      </c>
      <c r="F15" s="62" t="s">
        <v>988</v>
      </c>
      <c r="G15" s="62" t="s">
        <v>988</v>
      </c>
      <c r="H15" s="1215" t="s">
        <v>219</v>
      </c>
      <c r="I15" s="1216"/>
      <c r="K15" s="1191" t="s">
        <v>275</v>
      </c>
      <c r="L15" s="1181" t="s">
        <v>281</v>
      </c>
      <c r="M15" s="1181"/>
      <c r="N15" s="1181"/>
      <c r="O15" s="1181"/>
      <c r="P15" s="1181" t="s">
        <v>282</v>
      </c>
      <c r="Q15" s="1181"/>
      <c r="R15" s="1181"/>
      <c r="S15" s="1181"/>
      <c r="T15" s="1181" t="s">
        <v>283</v>
      </c>
      <c r="U15" s="1181"/>
      <c r="V15" s="1181"/>
      <c r="W15" s="1181"/>
      <c r="X15" s="1181" t="s">
        <v>284</v>
      </c>
      <c r="Y15" s="1181"/>
      <c r="Z15" s="1181"/>
      <c r="AA15" s="1182"/>
      <c r="AB15" s="205"/>
      <c r="AC15" s="1185">
        <f>ПП!$G$3</f>
        <v>2017</v>
      </c>
      <c r="AD15" s="1185"/>
      <c r="AE15" s="206"/>
    </row>
    <row r="16" spans="1:31" ht="15" customHeight="1" thickBot="1" x14ac:dyDescent="0.25">
      <c r="B16" s="1195"/>
      <c r="C16" s="1195"/>
      <c r="D16" s="1195"/>
      <c r="E16" s="1218"/>
      <c r="F16" s="263" t="s">
        <v>40</v>
      </c>
      <c r="G16" s="263" t="s">
        <v>247</v>
      </c>
      <c r="H16" s="91" t="s">
        <v>222</v>
      </c>
      <c r="I16" s="72" t="s">
        <v>116</v>
      </c>
      <c r="K16" s="1192"/>
      <c r="L16" s="1183" t="s">
        <v>291</v>
      </c>
      <c r="M16" s="1183"/>
      <c r="N16" s="1183" t="s">
        <v>292</v>
      </c>
      <c r="O16" s="1183"/>
      <c r="P16" s="1183" t="s">
        <v>291</v>
      </c>
      <c r="Q16" s="1183"/>
      <c r="R16" s="1183" t="s">
        <v>292</v>
      </c>
      <c r="S16" s="1183"/>
      <c r="T16" s="1183" t="s">
        <v>291</v>
      </c>
      <c r="U16" s="1183"/>
      <c r="V16" s="1183" t="s">
        <v>292</v>
      </c>
      <c r="W16" s="1183"/>
      <c r="X16" s="1183" t="s">
        <v>291</v>
      </c>
      <c r="Y16" s="1183"/>
      <c r="Z16" s="1183" t="s">
        <v>292</v>
      </c>
      <c r="AA16" s="1184"/>
      <c r="AB16" s="1179" t="s">
        <v>291</v>
      </c>
      <c r="AC16" s="1179"/>
      <c r="AD16" s="1179" t="s">
        <v>292</v>
      </c>
      <c r="AE16" s="1179"/>
    </row>
    <row r="17" spans="2:75" ht="12.75" customHeight="1" thickBot="1" x14ac:dyDescent="0.25">
      <c r="B17" s="269">
        <f>COUNTIF('Отчет РПЗ(ПЗ)_ПЗИП'!A16:A1001504,"*-*")</f>
        <v>1574</v>
      </c>
      <c r="C17" s="269">
        <f>COUNTA('Отчет РПЗ(ПЗ)_ПЗИП'!G16:G1001504)</f>
        <v>745</v>
      </c>
      <c r="D17" s="258">
        <f>COUNTIF('Отчет РПЗ(ПЗ)_ПЗИП'!AG:AG, "&gt;0")</f>
        <v>572</v>
      </c>
      <c r="E17" s="325" t="e">
        <f>$C$17/(IF($D$3=1,$X$52,0)+IF($D$3=2,$X$52+$AN$52,0)+IF($D$3=3,$X$52+$AN$52+$BD$52,0)+IF($D$3=4,$X$52+$AN$52+$BD$52+$BT$52,0))</f>
        <v>#DIV/0!</v>
      </c>
      <c r="F17" s="326" t="e">
        <f>SUMIF('Отчет РПЗ(ПЗ)_ПЗИП'!AG:AG,"&gt;0",'Отчет РПЗ(ПЗ)_ПЗИП'!W:W)</f>
        <v>#REF!</v>
      </c>
      <c r="G17" s="326">
        <f>SUM('Отчет РПЗ(ПЗ)_ПЗИП'!$AG:$AG)</f>
        <v>1492871885.4899988</v>
      </c>
      <c r="H17" s="327" t="e">
        <f>F17-G17</f>
        <v>#REF!</v>
      </c>
      <c r="I17" s="795" t="e">
        <f>H17/F17</f>
        <v>#REF!</v>
      </c>
      <c r="K17" s="1192"/>
      <c r="L17" s="1186" t="s">
        <v>279</v>
      </c>
      <c r="M17" s="1186" t="s">
        <v>280</v>
      </c>
      <c r="N17" s="1186" t="s">
        <v>279</v>
      </c>
      <c r="O17" s="1186" t="s">
        <v>280</v>
      </c>
      <c r="P17" s="1186" t="s">
        <v>279</v>
      </c>
      <c r="Q17" s="1186" t="s">
        <v>280</v>
      </c>
      <c r="R17" s="1186" t="s">
        <v>279</v>
      </c>
      <c r="S17" s="1186" t="s">
        <v>280</v>
      </c>
      <c r="T17" s="1186" t="s">
        <v>279</v>
      </c>
      <c r="U17" s="1186" t="s">
        <v>280</v>
      </c>
      <c r="V17" s="1186" t="s">
        <v>279</v>
      </c>
      <c r="W17" s="1186" t="s">
        <v>280</v>
      </c>
      <c r="X17" s="1186" t="s">
        <v>279</v>
      </c>
      <c r="Y17" s="1186" t="s">
        <v>280</v>
      </c>
      <c r="Z17" s="1186" t="s">
        <v>279</v>
      </c>
      <c r="AA17" s="1199" t="s">
        <v>280</v>
      </c>
      <c r="AB17" s="1180" t="s">
        <v>279</v>
      </c>
      <c r="AC17" s="1180" t="s">
        <v>280</v>
      </c>
      <c r="AD17" s="1180" t="s">
        <v>279</v>
      </c>
      <c r="AE17" s="1180" t="s">
        <v>280</v>
      </c>
    </row>
    <row r="18" spans="2:75" ht="31.5" customHeight="1" thickBot="1" x14ac:dyDescent="0.25">
      <c r="B18" s="20"/>
      <c r="C18" s="61"/>
      <c r="D18" s="61"/>
      <c r="E18" s="61"/>
      <c r="F18" s="61"/>
      <c r="G18" s="61"/>
      <c r="H18" s="61"/>
      <c r="K18" s="1192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  <c r="X18" s="1186"/>
      <c r="Y18" s="1186"/>
      <c r="Z18" s="1186"/>
      <c r="AA18" s="1199"/>
      <c r="AB18" s="1180"/>
      <c r="AC18" s="1180"/>
      <c r="AD18" s="1180"/>
      <c r="AE18" s="1180"/>
    </row>
    <row r="19" spans="2:75" ht="22.5" customHeight="1" thickBot="1" x14ac:dyDescent="0.25">
      <c r="B19" s="20"/>
      <c r="C19" s="1201" t="s">
        <v>984</v>
      </c>
      <c r="D19" s="1202"/>
      <c r="E19" s="1202"/>
      <c r="F19" s="408">
        <f>(COUNTA('Отчет РПЗ(ПЗ)_ПЗИП'!G16:G993052)/$B$17)*100</f>
        <v>47.331639135959342</v>
      </c>
      <c r="G19" s="61"/>
      <c r="H19" s="61"/>
      <c r="K19" s="1193"/>
      <c r="L19" s="1187"/>
      <c r="M19" s="1187"/>
      <c r="N19" s="1187"/>
      <c r="O19" s="1187"/>
      <c r="P19" s="1187"/>
      <c r="Q19" s="1187"/>
      <c r="R19" s="1187"/>
      <c r="S19" s="1187"/>
      <c r="T19" s="1187"/>
      <c r="U19" s="1187"/>
      <c r="V19" s="1187"/>
      <c r="W19" s="1187"/>
      <c r="X19" s="1187"/>
      <c r="Y19" s="1187"/>
      <c r="Z19" s="1187"/>
      <c r="AA19" s="1200"/>
      <c r="AB19" s="1180"/>
      <c r="AC19" s="1180"/>
      <c r="AD19" s="1180"/>
      <c r="AE19" s="1180"/>
    </row>
    <row r="20" spans="2:75" ht="13.5" thickBot="1" x14ac:dyDescent="0.25">
      <c r="B20" s="20"/>
      <c r="K20" s="160" t="s">
        <v>276</v>
      </c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40"/>
      <c r="AB20" s="167">
        <f>SUM(L20,P20,T20,X20)</f>
        <v>0</v>
      </c>
      <c r="AC20" s="167">
        <f t="shared" ref="AC20:AE22" si="0">SUM(M20,Q20,U20,Y20)</f>
        <v>0</v>
      </c>
      <c r="AD20" s="167">
        <f t="shared" si="0"/>
        <v>0</v>
      </c>
      <c r="AE20" s="167">
        <f t="shared" si="0"/>
        <v>0</v>
      </c>
    </row>
    <row r="21" spans="2:75" ht="13.5" thickBot="1" x14ac:dyDescent="0.25">
      <c r="B21" s="20"/>
      <c r="K21" s="129" t="s">
        <v>277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2"/>
      <c r="AB21" s="167">
        <f>SUM(L21,P21,T21,X21)</f>
        <v>0</v>
      </c>
      <c r="AC21" s="167">
        <f t="shared" si="0"/>
        <v>0</v>
      </c>
      <c r="AD21" s="167">
        <f t="shared" si="0"/>
        <v>0</v>
      </c>
      <c r="AE21" s="167">
        <f t="shared" si="0"/>
        <v>0</v>
      </c>
    </row>
    <row r="22" spans="2:75" ht="15.75" customHeight="1" thickBot="1" x14ac:dyDescent="0.25">
      <c r="B22" s="20"/>
      <c r="K22" s="130" t="s">
        <v>278</v>
      </c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4"/>
      <c r="AB22" s="167">
        <f>SUM(L22,P22,T22,X22)</f>
        <v>0</v>
      </c>
      <c r="AC22" s="167">
        <f t="shared" si="0"/>
        <v>0</v>
      </c>
      <c r="AD22" s="167">
        <f t="shared" si="0"/>
        <v>0</v>
      </c>
      <c r="AE22" s="167">
        <f t="shared" si="0"/>
        <v>0</v>
      </c>
    </row>
    <row r="23" spans="2:75" ht="13.5" thickBot="1" x14ac:dyDescent="0.25">
      <c r="B23" s="20"/>
      <c r="C23" s="157"/>
      <c r="D23" s="157"/>
      <c r="E23" s="158"/>
      <c r="F23" s="158"/>
      <c r="G23" s="158"/>
      <c r="H23" s="158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25"/>
    </row>
    <row r="24" spans="2:75" ht="15.75" customHeight="1" thickBot="1" x14ac:dyDescent="0.25">
      <c r="B24" s="1165" t="s">
        <v>9</v>
      </c>
      <c r="C24" s="1157" t="s">
        <v>290</v>
      </c>
      <c r="D24" s="1157" t="s">
        <v>241</v>
      </c>
      <c r="E24" s="1157" t="s">
        <v>290</v>
      </c>
      <c r="F24" s="1157" t="s">
        <v>241</v>
      </c>
      <c r="G24" s="1157" t="s">
        <v>289</v>
      </c>
      <c r="H24" s="1157" t="s">
        <v>243</v>
      </c>
      <c r="I24" s="1157" t="s">
        <v>26</v>
      </c>
      <c r="J24" s="1164" t="s">
        <v>931</v>
      </c>
      <c r="K24" s="61"/>
      <c r="L24" s="1196" t="s">
        <v>281</v>
      </c>
      <c r="M24" s="1197"/>
      <c r="N24" s="1197"/>
      <c r="O24" s="1197"/>
      <c r="P24" s="1197"/>
      <c r="Q24" s="1197"/>
      <c r="R24" s="1197"/>
      <c r="S24" s="1197"/>
      <c r="T24" s="1197"/>
      <c r="U24" s="1197"/>
      <c r="V24" s="1197"/>
      <c r="W24" s="1197"/>
      <c r="X24" s="1197"/>
      <c r="Y24" s="1197"/>
      <c r="Z24" s="1197"/>
      <c r="AA24" s="1198"/>
      <c r="AB24" s="1170" t="s">
        <v>282</v>
      </c>
      <c r="AC24" s="1171"/>
      <c r="AD24" s="1171"/>
      <c r="AE24" s="1171"/>
      <c r="AF24" s="1171"/>
      <c r="AG24" s="1171"/>
      <c r="AH24" s="1171"/>
      <c r="AI24" s="1171"/>
      <c r="AJ24" s="1171"/>
      <c r="AK24" s="1171"/>
      <c r="AL24" s="1171"/>
      <c r="AM24" s="1171"/>
      <c r="AN24" s="1171"/>
      <c r="AO24" s="1171"/>
      <c r="AP24" s="1171"/>
      <c r="AQ24" s="1172"/>
      <c r="AR24" s="1176" t="s">
        <v>283</v>
      </c>
      <c r="AS24" s="1177"/>
      <c r="AT24" s="1177"/>
      <c r="AU24" s="1177"/>
      <c r="AV24" s="1177"/>
      <c r="AW24" s="1177"/>
      <c r="AX24" s="1177"/>
      <c r="AY24" s="1177"/>
      <c r="AZ24" s="1177"/>
      <c r="BA24" s="1177"/>
      <c r="BB24" s="1177"/>
      <c r="BC24" s="1177"/>
      <c r="BD24" s="1177"/>
      <c r="BE24" s="1177"/>
      <c r="BF24" s="1177"/>
      <c r="BG24" s="1178"/>
      <c r="BH24" s="1173" t="s">
        <v>284</v>
      </c>
      <c r="BI24" s="1174"/>
      <c r="BJ24" s="1174"/>
      <c r="BK24" s="1174"/>
      <c r="BL24" s="1174"/>
      <c r="BM24" s="1174"/>
      <c r="BN24" s="1174"/>
      <c r="BO24" s="1174"/>
      <c r="BP24" s="1174"/>
      <c r="BQ24" s="1174"/>
      <c r="BR24" s="1174"/>
      <c r="BS24" s="1174"/>
      <c r="BT24" s="1174"/>
      <c r="BU24" s="1174"/>
      <c r="BV24" s="1174"/>
      <c r="BW24" s="1175"/>
    </row>
    <row r="25" spans="2:75" ht="15" customHeight="1" thickBot="1" x14ac:dyDescent="0.25">
      <c r="B25" s="1168"/>
      <c r="C25" s="1167"/>
      <c r="D25" s="1167"/>
      <c r="E25" s="1167"/>
      <c r="F25" s="1167"/>
      <c r="G25" s="1167"/>
      <c r="H25" s="1167"/>
      <c r="I25" s="1167"/>
      <c r="J25" s="1169"/>
      <c r="K25" s="61"/>
      <c r="L25" s="1095" t="str">
        <f>ПП!G14</f>
        <v>Январь 2017</v>
      </c>
      <c r="M25" s="1099"/>
      <c r="N25" s="1099"/>
      <c r="O25" s="1099"/>
      <c r="P25" s="1099" t="str">
        <f>ПП!I14</f>
        <v>Февраль 2017</v>
      </c>
      <c r="Q25" s="1099"/>
      <c r="R25" s="1099"/>
      <c r="S25" s="1099"/>
      <c r="T25" s="1099" t="str">
        <f>ПП!K14</f>
        <v>Март 2017</v>
      </c>
      <c r="U25" s="1099"/>
      <c r="V25" s="1099"/>
      <c r="W25" s="1097"/>
      <c r="X25" s="1100" t="s">
        <v>285</v>
      </c>
      <c r="Y25" s="1100"/>
      <c r="Z25" s="1100"/>
      <c r="AA25" s="1100"/>
      <c r="AB25" s="1095" t="str">
        <f>ПП!O14</f>
        <v>Апрель 2017</v>
      </c>
      <c r="AC25" s="1099"/>
      <c r="AD25" s="1099"/>
      <c r="AE25" s="1099"/>
      <c r="AF25" s="1099" t="str">
        <f>ПП!Q14</f>
        <v>Май 2017</v>
      </c>
      <c r="AG25" s="1099"/>
      <c r="AH25" s="1099"/>
      <c r="AI25" s="1099"/>
      <c r="AJ25" s="1099" t="str">
        <f>ПП!S14</f>
        <v>Июнь 2017</v>
      </c>
      <c r="AK25" s="1099"/>
      <c r="AL25" s="1099"/>
      <c r="AM25" s="1097"/>
      <c r="AN25" s="1100" t="s">
        <v>286</v>
      </c>
      <c r="AO25" s="1100"/>
      <c r="AP25" s="1100"/>
      <c r="AQ25" s="1100"/>
      <c r="AR25" s="1095" t="str">
        <f>ПП!W14</f>
        <v>Июль 2017</v>
      </c>
      <c r="AS25" s="1099"/>
      <c r="AT25" s="1099"/>
      <c r="AU25" s="1099"/>
      <c r="AV25" s="1099" t="str">
        <f>ПП!Y14</f>
        <v>Август 2017</v>
      </c>
      <c r="AW25" s="1099"/>
      <c r="AX25" s="1099"/>
      <c r="AY25" s="1099"/>
      <c r="AZ25" s="1099" t="str">
        <f>ПП!AA14</f>
        <v>Сентябрь 2017</v>
      </c>
      <c r="BA25" s="1099"/>
      <c r="BB25" s="1099"/>
      <c r="BC25" s="1097"/>
      <c r="BD25" s="1100" t="s">
        <v>287</v>
      </c>
      <c r="BE25" s="1100"/>
      <c r="BF25" s="1100"/>
      <c r="BG25" s="1100"/>
      <c r="BH25" s="1095" t="str">
        <f>ПП!AE14</f>
        <v>Октябрь 2017</v>
      </c>
      <c r="BI25" s="1099"/>
      <c r="BJ25" s="1099"/>
      <c r="BK25" s="1099"/>
      <c r="BL25" s="1099" t="str">
        <f>ПП!AG14</f>
        <v>Ноябрь 2017</v>
      </c>
      <c r="BM25" s="1099"/>
      <c r="BN25" s="1099"/>
      <c r="BO25" s="1099"/>
      <c r="BP25" s="1099" t="str">
        <f>ПП!AI14</f>
        <v>Декабрь 2017</v>
      </c>
      <c r="BQ25" s="1099"/>
      <c r="BR25" s="1099"/>
      <c r="BS25" s="1097"/>
      <c r="BT25" s="1100" t="s">
        <v>288</v>
      </c>
      <c r="BU25" s="1100"/>
      <c r="BV25" s="1100"/>
      <c r="BW25" s="1100"/>
    </row>
    <row r="26" spans="2:75" ht="12.75" customHeight="1" thickBot="1" x14ac:dyDescent="0.25">
      <c r="B26" s="1168"/>
      <c r="C26" s="1167"/>
      <c r="D26" s="1167"/>
      <c r="E26" s="1167"/>
      <c r="F26" s="1167"/>
      <c r="G26" s="1167"/>
      <c r="H26" s="1167"/>
      <c r="I26" s="1167"/>
      <c r="J26" s="1169"/>
      <c r="K26" s="61"/>
      <c r="L26" s="1168" t="s">
        <v>290</v>
      </c>
      <c r="M26" s="1167"/>
      <c r="N26" s="1167" t="s">
        <v>289</v>
      </c>
      <c r="O26" s="1167"/>
      <c r="P26" s="1167" t="s">
        <v>290</v>
      </c>
      <c r="Q26" s="1167"/>
      <c r="R26" s="1167" t="s">
        <v>289</v>
      </c>
      <c r="S26" s="1167"/>
      <c r="T26" s="1167" t="s">
        <v>290</v>
      </c>
      <c r="U26" s="1167"/>
      <c r="V26" s="1167" t="s">
        <v>289</v>
      </c>
      <c r="W26" s="1169"/>
      <c r="X26" s="1156" t="s">
        <v>290</v>
      </c>
      <c r="Y26" s="1156"/>
      <c r="Z26" s="1156" t="s">
        <v>289</v>
      </c>
      <c r="AA26" s="1156"/>
      <c r="AB26" s="1168" t="s">
        <v>290</v>
      </c>
      <c r="AC26" s="1167"/>
      <c r="AD26" s="1167" t="s">
        <v>289</v>
      </c>
      <c r="AE26" s="1167"/>
      <c r="AF26" s="1167" t="s">
        <v>290</v>
      </c>
      <c r="AG26" s="1167"/>
      <c r="AH26" s="1167" t="s">
        <v>289</v>
      </c>
      <c r="AI26" s="1167"/>
      <c r="AJ26" s="1167" t="s">
        <v>290</v>
      </c>
      <c r="AK26" s="1167"/>
      <c r="AL26" s="1167" t="s">
        <v>289</v>
      </c>
      <c r="AM26" s="1169"/>
      <c r="AN26" s="1156" t="s">
        <v>290</v>
      </c>
      <c r="AO26" s="1156"/>
      <c r="AP26" s="1156" t="s">
        <v>289</v>
      </c>
      <c r="AQ26" s="1156"/>
      <c r="AR26" s="1168" t="s">
        <v>290</v>
      </c>
      <c r="AS26" s="1167"/>
      <c r="AT26" s="1167" t="s">
        <v>289</v>
      </c>
      <c r="AU26" s="1167"/>
      <c r="AV26" s="1167" t="s">
        <v>290</v>
      </c>
      <c r="AW26" s="1167"/>
      <c r="AX26" s="1167" t="s">
        <v>289</v>
      </c>
      <c r="AY26" s="1167"/>
      <c r="AZ26" s="1167" t="s">
        <v>290</v>
      </c>
      <c r="BA26" s="1167"/>
      <c r="BB26" s="1167" t="s">
        <v>289</v>
      </c>
      <c r="BC26" s="1169"/>
      <c r="BD26" s="1156" t="s">
        <v>290</v>
      </c>
      <c r="BE26" s="1156"/>
      <c r="BF26" s="1156" t="s">
        <v>289</v>
      </c>
      <c r="BG26" s="1156"/>
      <c r="BH26" s="1168" t="s">
        <v>290</v>
      </c>
      <c r="BI26" s="1167"/>
      <c r="BJ26" s="1167" t="s">
        <v>289</v>
      </c>
      <c r="BK26" s="1167"/>
      <c r="BL26" s="1167" t="s">
        <v>290</v>
      </c>
      <c r="BM26" s="1167"/>
      <c r="BN26" s="1167" t="s">
        <v>289</v>
      </c>
      <c r="BO26" s="1167"/>
      <c r="BP26" s="1167" t="s">
        <v>290</v>
      </c>
      <c r="BQ26" s="1167"/>
      <c r="BR26" s="1167" t="s">
        <v>289</v>
      </c>
      <c r="BS26" s="1169"/>
      <c r="BT26" s="1156" t="s">
        <v>290</v>
      </c>
      <c r="BU26" s="1156"/>
      <c r="BV26" s="1156" t="s">
        <v>289</v>
      </c>
      <c r="BW26" s="1156"/>
    </row>
    <row r="27" spans="2:75" ht="15.75" customHeight="1" thickBot="1" x14ac:dyDescent="0.25">
      <c r="B27" s="1205"/>
      <c r="C27" s="1203" t="s">
        <v>40</v>
      </c>
      <c r="D27" s="1203"/>
      <c r="E27" s="1203" t="s">
        <v>247</v>
      </c>
      <c r="F27" s="1203"/>
      <c r="G27" s="1203" t="s">
        <v>40</v>
      </c>
      <c r="H27" s="1203"/>
      <c r="I27" s="1203" t="s">
        <v>247</v>
      </c>
      <c r="J27" s="1204"/>
      <c r="K27" s="61"/>
      <c r="L27" s="136" t="s">
        <v>40</v>
      </c>
      <c r="M27" s="137" t="s">
        <v>247</v>
      </c>
      <c r="N27" s="137" t="s">
        <v>40</v>
      </c>
      <c r="O27" s="137" t="s">
        <v>247</v>
      </c>
      <c r="P27" s="137" t="s">
        <v>40</v>
      </c>
      <c r="Q27" s="137" t="s">
        <v>247</v>
      </c>
      <c r="R27" s="137" t="s">
        <v>40</v>
      </c>
      <c r="S27" s="137" t="s">
        <v>247</v>
      </c>
      <c r="T27" s="137" t="s">
        <v>40</v>
      </c>
      <c r="U27" s="137" t="s">
        <v>247</v>
      </c>
      <c r="V27" s="137" t="s">
        <v>40</v>
      </c>
      <c r="W27" s="138" t="s">
        <v>247</v>
      </c>
      <c r="X27" s="97" t="s">
        <v>40</v>
      </c>
      <c r="Y27" s="97" t="s">
        <v>247</v>
      </c>
      <c r="Z27" s="97" t="s">
        <v>40</v>
      </c>
      <c r="AA27" s="97" t="s">
        <v>247</v>
      </c>
      <c r="AB27" s="136" t="s">
        <v>40</v>
      </c>
      <c r="AC27" s="137" t="s">
        <v>247</v>
      </c>
      <c r="AD27" s="137" t="s">
        <v>40</v>
      </c>
      <c r="AE27" s="137" t="s">
        <v>247</v>
      </c>
      <c r="AF27" s="137" t="s">
        <v>40</v>
      </c>
      <c r="AG27" s="137" t="s">
        <v>247</v>
      </c>
      <c r="AH27" s="137" t="s">
        <v>40</v>
      </c>
      <c r="AI27" s="137" t="s">
        <v>247</v>
      </c>
      <c r="AJ27" s="137" t="s">
        <v>40</v>
      </c>
      <c r="AK27" s="137" t="s">
        <v>247</v>
      </c>
      <c r="AL27" s="137" t="s">
        <v>40</v>
      </c>
      <c r="AM27" s="138" t="s">
        <v>247</v>
      </c>
      <c r="AN27" s="97" t="s">
        <v>40</v>
      </c>
      <c r="AO27" s="97" t="s">
        <v>247</v>
      </c>
      <c r="AP27" s="97" t="s">
        <v>40</v>
      </c>
      <c r="AQ27" s="97" t="s">
        <v>247</v>
      </c>
      <c r="AR27" s="136" t="s">
        <v>40</v>
      </c>
      <c r="AS27" s="137" t="s">
        <v>247</v>
      </c>
      <c r="AT27" s="137" t="s">
        <v>40</v>
      </c>
      <c r="AU27" s="137" t="s">
        <v>247</v>
      </c>
      <c r="AV27" s="137" t="s">
        <v>40</v>
      </c>
      <c r="AW27" s="137" t="s">
        <v>247</v>
      </c>
      <c r="AX27" s="137" t="s">
        <v>40</v>
      </c>
      <c r="AY27" s="137" t="s">
        <v>247</v>
      </c>
      <c r="AZ27" s="137" t="s">
        <v>40</v>
      </c>
      <c r="BA27" s="137" t="s">
        <v>247</v>
      </c>
      <c r="BB27" s="137" t="s">
        <v>40</v>
      </c>
      <c r="BC27" s="138" t="s">
        <v>247</v>
      </c>
      <c r="BD27" s="97" t="s">
        <v>40</v>
      </c>
      <c r="BE27" s="97" t="s">
        <v>247</v>
      </c>
      <c r="BF27" s="97" t="s">
        <v>40</v>
      </c>
      <c r="BG27" s="97" t="s">
        <v>247</v>
      </c>
      <c r="BH27" s="136" t="s">
        <v>40</v>
      </c>
      <c r="BI27" s="137" t="s">
        <v>247</v>
      </c>
      <c r="BJ27" s="137" t="s">
        <v>40</v>
      </c>
      <c r="BK27" s="137" t="s">
        <v>247</v>
      </c>
      <c r="BL27" s="137" t="s">
        <v>40</v>
      </c>
      <c r="BM27" s="137" t="s">
        <v>247</v>
      </c>
      <c r="BN27" s="137" t="s">
        <v>40</v>
      </c>
      <c r="BO27" s="137" t="s">
        <v>247</v>
      </c>
      <c r="BP27" s="137" t="s">
        <v>40</v>
      </c>
      <c r="BQ27" s="137" t="s">
        <v>247</v>
      </c>
      <c r="BR27" s="137" t="s">
        <v>40</v>
      </c>
      <c r="BS27" s="138" t="s">
        <v>247</v>
      </c>
      <c r="BT27" s="97" t="s">
        <v>40</v>
      </c>
      <c r="BU27" s="97" t="s">
        <v>247</v>
      </c>
      <c r="BV27" s="97" t="s">
        <v>40</v>
      </c>
      <c r="BW27" s="97" t="s">
        <v>247</v>
      </c>
    </row>
    <row r="28" spans="2:75" ht="13.5" thickBot="1" x14ac:dyDescent="0.25">
      <c r="B28" s="82" t="s">
        <v>99</v>
      </c>
      <c r="C28" s="92">
        <f>ПП!B16</f>
        <v>132</v>
      </c>
      <c r="D28" s="412">
        <f>ПП!C16</f>
        <v>8.3862770012706478E-2</v>
      </c>
      <c r="E28" s="63">
        <f>COUNTIFS('Отчет РПЗ(ПЗ)_ПЗИП'!$G:$G,Справочно!$C12,'Отчет РПЗ(ПЗ)_ПЗИП'!AG:AG, "&gt;0")</f>
        <v>20</v>
      </c>
      <c r="F28" s="413">
        <f>E28/$E$52</f>
        <v>3.4965034965034968E-2</v>
      </c>
      <c r="G28" s="414">
        <f>ПП!D16</f>
        <v>1627733583.51</v>
      </c>
      <c r="H28" s="415">
        <f>ПП!E16</f>
        <v>0.33278481472290944</v>
      </c>
      <c r="I28" s="416">
        <f>SUMIF('Отчет РПЗ(ПЗ)_ПЗИП'!$G:$G,Справочно!$C12,'Отчет РПЗ(ПЗ)_ПЗИП'!$AG:$AG)</f>
        <v>406338071.80999994</v>
      </c>
      <c r="J28" s="413">
        <f>I28/$I$52</f>
        <v>0.2721854941200324</v>
      </c>
      <c r="K28" s="61"/>
      <c r="L28" s="161">
        <f>ПП!G16</f>
        <v>42</v>
      </c>
      <c r="M28" s="147">
        <f>COUNTIFS('Отчет РПЗ(ПЗ)_ПЗИП'!$G:$G,Справочно!$C12,'Отчет РПЗ(ПЗ)_ПЗИП'!$AQ:$AQ,1,'Отчет РПЗ(ПЗ)_ПЗИП'!$AG:$AG,"&gt;0")</f>
        <v>1</v>
      </c>
      <c r="N28" s="423">
        <f>ПП!H16</f>
        <v>184407645.18999997</v>
      </c>
      <c r="O28" s="361">
        <f>SUMIFS('Отчет РПЗ(ПЗ)_ПЗИП'!$AG:$AG,'Отчет РПЗ(ПЗ)_ПЗИП'!$G:$G,Справочно!$C12,'Отчет РПЗ(ПЗ)_ПЗИП'!$AQ:$AQ,1,'Отчет РПЗ(ПЗ)_ПЗИП'!$AG:$AG,"&gt;0")</f>
        <v>1897945</v>
      </c>
      <c r="P28" s="163">
        <f>ПП!I16</f>
        <v>16</v>
      </c>
      <c r="Q28" s="162">
        <f>COUNTIFS('Отчет РПЗ(ПЗ)_ПЗИП'!$G:$G,Справочно!$C12,'Отчет РПЗ(ПЗ)_ПЗИП'!$AQ:$AQ,2,'Отчет РПЗ(ПЗ)_ПЗИП'!$AG:$AG,"&gt;0")</f>
        <v>1</v>
      </c>
      <c r="R28" s="423">
        <f>ПП!J16</f>
        <v>417672600</v>
      </c>
      <c r="S28" s="361">
        <f>SUMIFS('Отчет РПЗ(ПЗ)_ПЗИП'!$AG:$AG,'Отчет РПЗ(ПЗ)_ПЗИП'!$G:$G,Справочно!$C12,'Отчет РПЗ(ПЗ)_ПЗИП'!$AQ:$AQ,2,'Отчет РПЗ(ПЗ)_ПЗИП'!$AG:$AG,"&gt;0")</f>
        <v>343600</v>
      </c>
      <c r="T28" s="163">
        <f>ПП!K16</f>
        <v>13</v>
      </c>
      <c r="U28" s="162">
        <f>COUNTIFS('Отчет РПЗ(ПЗ)_ПЗИП'!$G:$G,Справочно!$C12,'Отчет РПЗ(ПЗ)_ПЗИП'!$AQ:$AQ,3,'Отчет РПЗ(ПЗ)_ПЗИП'!$AG:$AG,"&gt;0")</f>
        <v>0</v>
      </c>
      <c r="V28" s="423">
        <f>ПП!L16</f>
        <v>78033105.200000003</v>
      </c>
      <c r="W28" s="362">
        <f>SUMIFS('Отчет РПЗ(ПЗ)_ПЗИП'!$AG:$AG,'Отчет РПЗ(ПЗ)_ПЗИП'!$G:$G,Справочно!$C12,'Отчет РПЗ(ПЗ)_ПЗИП'!$AQ:$AQ,3,'Отчет РПЗ(ПЗ)_ПЗИП'!$AG:$AG,"&gt;0")</f>
        <v>0</v>
      </c>
      <c r="X28" s="171">
        <f>ПП!M16</f>
        <v>71</v>
      </c>
      <c r="Y28" s="172">
        <f>SUM(M28,Q28,U28)</f>
        <v>2</v>
      </c>
      <c r="Z28" s="424">
        <f>SUM(N28,R28,V28)</f>
        <v>680113350.38999999</v>
      </c>
      <c r="AA28" s="329">
        <f>SUM(O28,S28,W28)</f>
        <v>2241545</v>
      </c>
      <c r="AB28" s="161">
        <f>ПП!O16</f>
        <v>5</v>
      </c>
      <c r="AC28" s="150">
        <f>COUNTIFS('Отчет РПЗ(ПЗ)_ПЗИП'!$G:$G,Справочно!$C12,'Отчет РПЗ(ПЗ)_ПЗИП'!$AQ:$AQ,4,'Отчет РПЗ(ПЗ)_ПЗИП'!$AG:$AG,"&gt;0")</f>
        <v>0</v>
      </c>
      <c r="AD28" s="423">
        <f>ПП!P16</f>
        <v>6220000</v>
      </c>
      <c r="AE28" s="363">
        <f>SUMIFS('Отчет РПЗ(ПЗ)_ПЗИП'!$AG:$AG,'Отчет РПЗ(ПЗ)_ПЗИП'!$G:$G,Справочно!$C12,'Отчет РПЗ(ПЗ)_ПЗИП'!$AQ:$AQ,4,'Отчет РПЗ(ПЗ)_ПЗИП'!$AG:$AG,"&gt;0")</f>
        <v>0</v>
      </c>
      <c r="AF28" s="163">
        <f>ПП!Q16</f>
        <v>7</v>
      </c>
      <c r="AG28" s="150">
        <f>COUNTIFS('Отчет РПЗ(ПЗ)_ПЗИП'!$G:$G,Справочно!$C12,'Отчет РПЗ(ПЗ)_ПЗИП'!$AQ:$AQ,5,'Отчет РПЗ(ПЗ)_ПЗИП'!$AG:$AG,"&gt;0")</f>
        <v>2</v>
      </c>
      <c r="AH28" s="423">
        <f>ПП!R16</f>
        <v>73799221.980000004</v>
      </c>
      <c r="AI28" s="363">
        <f>SUMIFS('Отчет РПЗ(ПЗ)_ПЗИП'!$AG:$AG,'Отчет РПЗ(ПЗ)_ПЗИП'!$G:$G,Справочно!$C12,'Отчет РПЗ(ПЗ)_ПЗИП'!$AQ:$AQ,5,'Отчет РПЗ(ПЗ)_ПЗИП'!$AG:$AG,"&gt;0")</f>
        <v>43198589</v>
      </c>
      <c r="AJ28" s="163">
        <f>ПП!S16</f>
        <v>24</v>
      </c>
      <c r="AK28" s="150">
        <f>COUNTIFS('Отчет РПЗ(ПЗ)_ПЗИП'!$G:$G,Справочно!$C12,'Отчет РПЗ(ПЗ)_ПЗИП'!$AQ:$AQ,6,'Отчет РПЗ(ПЗ)_ПЗИП'!$AG:$AG,"&gt;0")</f>
        <v>7</v>
      </c>
      <c r="AL28" s="423">
        <f>ПП!T16</f>
        <v>663198989</v>
      </c>
      <c r="AM28" s="364">
        <f>SUMIFS('Отчет РПЗ(ПЗ)_ПЗИП'!$AG:$AG,'Отчет РПЗ(ПЗ)_ПЗИП'!$G:$G,Справочно!$C12,'Отчет РПЗ(ПЗ)_ПЗИП'!$AQ:$AQ,6,'Отчет РПЗ(ПЗ)_ПЗИП'!$AG:$AG,"&gt;0")</f>
        <v>235438553.40000001</v>
      </c>
      <c r="AN28" s="171">
        <f>ПП!U16</f>
        <v>36</v>
      </c>
      <c r="AO28" s="185">
        <f>SUM(AC28,AG28,AK28)</f>
        <v>9</v>
      </c>
      <c r="AP28" s="424">
        <f>SUM(AD28,AH28,AL28)</f>
        <v>743218210.98000002</v>
      </c>
      <c r="AQ28" s="331">
        <f>SUM(AE28,AI28,AM28)</f>
        <v>278637142.39999998</v>
      </c>
      <c r="AR28" s="161">
        <f>ПП!W16</f>
        <v>6</v>
      </c>
      <c r="AS28" s="181">
        <f>COUNTIFS('Отчет РПЗ(ПЗ)_ПЗИП'!$G:$G,Справочно!$C12,'Отчет РПЗ(ПЗ)_ПЗИП'!$AQ:$AQ,7,'Отчет РПЗ(ПЗ)_ПЗИП'!$AG:$AG,"&gt;0")</f>
        <v>0</v>
      </c>
      <c r="AT28" s="423">
        <f>ПП!X16</f>
        <v>19955166.670000002</v>
      </c>
      <c r="AU28" s="365">
        <f>SUMIFS('Отчет РПЗ(ПЗ)_ПЗИП'!$AG:$AG,'Отчет РПЗ(ПЗ)_ПЗИП'!$G:$G,Справочно!$C12,'Отчет РПЗ(ПЗ)_ПЗИП'!$AQ:$AQ,7,'Отчет РПЗ(ПЗ)_ПЗИП'!$AG:$AG,"&gt;0")</f>
        <v>0</v>
      </c>
      <c r="AV28" s="163">
        <f>ПП!Y16</f>
        <v>6</v>
      </c>
      <c r="AW28" s="181">
        <f>COUNTIFS('Отчет РПЗ(ПЗ)_ПЗИП'!$G:$G,Справочно!$C12,'Отчет РПЗ(ПЗ)_ПЗИП'!$AQ:$AQ,8,'Отчет РПЗ(ПЗ)_ПЗИП'!$AG:$AG,"&gt;0")</f>
        <v>2</v>
      </c>
      <c r="AX28" s="423">
        <f>ПП!Z16</f>
        <v>103913700.47</v>
      </c>
      <c r="AY28" s="365">
        <f>SUMIFS('Отчет РПЗ(ПЗ)_ПЗИП'!$AG:$AG,'Отчет РПЗ(ПЗ)_ПЗИП'!$G:$G,Справочно!$C12,'Отчет РПЗ(ПЗ)_ПЗИП'!$AQ:$AQ,8,'Отчет РПЗ(ПЗ)_ПЗИП'!$AG:$AG,"&gt;0")</f>
        <v>63574621.859999999</v>
      </c>
      <c r="AZ28" s="163">
        <f>ПП!AA16</f>
        <v>2</v>
      </c>
      <c r="BA28" s="181">
        <f>COUNTIFS('Отчет РПЗ(ПЗ)_ПЗИП'!$G:$G,Справочно!$C12,'Отчет РПЗ(ПЗ)_ПЗИП'!$AQ:$AQ,9,'Отчет РПЗ(ПЗ)_ПЗИП'!$AG:$AG,"&gt;0")</f>
        <v>1</v>
      </c>
      <c r="BB28" s="423">
        <f>ПП!AB16</f>
        <v>3650000</v>
      </c>
      <c r="BC28" s="366">
        <f>SUMIFS('Отчет РПЗ(ПЗ)_ПЗИП'!$AG:$AG,'Отчет РПЗ(ПЗ)_ПЗИП'!$G:$G,Справочно!$C12,'Отчет РПЗ(ПЗ)_ПЗИП'!$AQ:$AQ,9,'Отчет РПЗ(ПЗ)_ПЗИП'!$AG:$AG,"&gt;0")</f>
        <v>1583357.78</v>
      </c>
      <c r="BD28" s="171">
        <f>ПП!AC16</f>
        <v>14</v>
      </c>
      <c r="BE28" s="180">
        <f>SUM(AS28,AW28,BA28)</f>
        <v>3</v>
      </c>
      <c r="BF28" s="424">
        <f>SUM(AT28,AX28,BB28)</f>
        <v>127518867.14</v>
      </c>
      <c r="BG28" s="333">
        <f>SUM(AU28,AY28,BC28)</f>
        <v>65157979.640000001</v>
      </c>
      <c r="BH28" s="161">
        <f>ПП!AE16</f>
        <v>5</v>
      </c>
      <c r="BI28" s="176">
        <f>COUNTIFS('Отчет РПЗ(ПЗ)_ПЗИП'!$G:$G,Справочно!$C12,'Отчет РПЗ(ПЗ)_ПЗИП'!$AQ:$AQ,10,'Отчет РПЗ(ПЗ)_ПЗИП'!$AG:$AG,"&gt;0")</f>
        <v>3</v>
      </c>
      <c r="BJ28" s="423">
        <f>ПП!AF16</f>
        <v>29261785.530000001</v>
      </c>
      <c r="BK28" s="367">
        <f>SUMIFS('Отчет РПЗ(ПЗ)_ПЗИП'!$AG:$AG,'Отчет РПЗ(ПЗ)_ПЗИП'!$G:$G,Справочно!$C12,'Отчет РПЗ(ПЗ)_ПЗИП'!$AQ:$AQ,10,'Отчет РПЗ(ПЗ)_ПЗИП'!$AG:$AG,"&gt;0")</f>
        <v>24248125.57</v>
      </c>
      <c r="BL28" s="163">
        <f>ПП!AG16</f>
        <v>4</v>
      </c>
      <c r="BM28" s="176">
        <f>COUNTIFS('Отчет РПЗ(ПЗ)_ПЗИП'!$G:$G,Справочно!$C12,'Отчет РПЗ(ПЗ)_ПЗИП'!$AQ:$AQ,11,'Отчет РПЗ(ПЗ)_ПЗИП'!$AG:$AG,"&gt;0")</f>
        <v>3</v>
      </c>
      <c r="BN28" s="423">
        <f>ПП!AH16</f>
        <v>36658997.57</v>
      </c>
      <c r="BO28" s="367">
        <f>SUMIFS('Отчет РПЗ(ПЗ)_ПЗИП'!$AG:$AG,'Отчет РПЗ(ПЗ)_ПЗИП'!$G:$G,Справочно!$C12,'Отчет РПЗ(ПЗ)_ПЗИП'!$AQ:$AQ,11,'Отчет РПЗ(ПЗ)_ПЗИП'!$AG:$AG,"&gt;0")</f>
        <v>36053279.200000003</v>
      </c>
      <c r="BP28" s="163">
        <f>ПП!AI16</f>
        <v>2</v>
      </c>
      <c r="BQ28" s="176">
        <f>COUNTIFS('Отчет РПЗ(ПЗ)_ПЗИП'!$G:$G,Справочно!$C12,'Отчет РПЗ(ПЗ)_ПЗИП'!$AQ:$AQ,12,'Отчет РПЗ(ПЗ)_ПЗИП'!$AG:$AG,"&gt;0")</f>
        <v>0</v>
      </c>
      <c r="BR28" s="423">
        <f>ПП!AJ16</f>
        <v>10962371.9</v>
      </c>
      <c r="BS28" s="368">
        <f>SUMIFS('Отчет РПЗ(ПЗ)_ПЗИП'!$AG:$AG,'Отчет РПЗ(ПЗ)_ПЗИП'!$G:$G,Справочно!$C12,'Отчет РПЗ(ПЗ)_ПЗИП'!$AQ:$AQ,12,'Отчет РПЗ(ПЗ)_ПЗИП'!$AG:$AG,"&gt;0")</f>
        <v>0</v>
      </c>
      <c r="BT28" s="171">
        <f>ПП!AK16</f>
        <v>11</v>
      </c>
      <c r="BU28" s="179">
        <f>SUM(BI28,BM28,BQ28)</f>
        <v>6</v>
      </c>
      <c r="BV28" s="424">
        <f>SUM(BJ28,BN28,BR28)</f>
        <v>76883155</v>
      </c>
      <c r="BW28" s="335">
        <f>SUM(BK28,BO28,BS28)</f>
        <v>60301404.770000003</v>
      </c>
    </row>
    <row r="29" spans="2:75" ht="15" customHeight="1" thickBot="1" x14ac:dyDescent="0.25">
      <c r="B29" s="83" t="s">
        <v>248</v>
      </c>
      <c r="C29" s="92">
        <f>ПП!B17</f>
        <v>0</v>
      </c>
      <c r="D29" s="412">
        <f>ПП!C17</f>
        <v>0</v>
      </c>
      <c r="E29" s="63">
        <f>COUNTIFS('Отчет РПЗ(ПЗ)_ПЗИП'!$G:$G,Справочно!$C13,'Отчет РПЗ(ПЗ)_ПЗИП'!AG:AG, "&gt;0")</f>
        <v>0</v>
      </c>
      <c r="F29" s="413">
        <f t="shared" ref="F29:F47" si="1">E29/$E$52</f>
        <v>0</v>
      </c>
      <c r="G29" s="414">
        <f>ПП!D17</f>
        <v>0</v>
      </c>
      <c r="H29" s="415">
        <f>ПП!E17</f>
        <v>0</v>
      </c>
      <c r="I29" s="416">
        <f>SUMIF('Отчет РПЗ(ПЗ)_ПЗИП'!$G:$G,Справочно!$C13,'Отчет РПЗ(ПЗ)_ПЗИП'!$AG:$AG)</f>
        <v>0</v>
      </c>
      <c r="J29" s="413">
        <f t="shared" ref="J29:J47" si="2">I29/$I$52</f>
        <v>0</v>
      </c>
      <c r="K29" s="61"/>
      <c r="L29" s="159">
        <f>ПП!G17</f>
        <v>0</v>
      </c>
      <c r="M29" s="147">
        <f>COUNTIFS('Отчет РПЗ(ПЗ)_ПЗИП'!$G:$G,Справочно!$C13,'Отчет РПЗ(ПЗ)_ПЗИП'!$AQ:$AQ,1,'Отчет РПЗ(ПЗ)_ПЗИП'!$AG:$AG,"&gt;0")</f>
        <v>0</v>
      </c>
      <c r="N29" s="425">
        <f>ПП!H17</f>
        <v>0</v>
      </c>
      <c r="O29" s="336">
        <f>SUMIFS('Отчет РПЗ(ПЗ)_ПЗИП'!$AG:$AG,'Отчет РПЗ(ПЗ)_ПЗИП'!$G:$G,Справочно!$C13,'Отчет РПЗ(ПЗ)_ПЗИП'!$AQ:$AQ,1,'Отчет РПЗ(ПЗ)_ПЗИП'!$AG:$AG,"&gt;0")</f>
        <v>0</v>
      </c>
      <c r="P29" s="44">
        <f>ПП!I17</f>
        <v>0</v>
      </c>
      <c r="Q29" s="147">
        <f>COUNTIFS('Отчет РПЗ(ПЗ)_ПЗИП'!$G:$G,Справочно!$C13,'Отчет РПЗ(ПЗ)_ПЗИП'!$AQ:$AQ,2,'Отчет РПЗ(ПЗ)_ПЗИП'!$AG:$AG,"&gt;0")</f>
        <v>0</v>
      </c>
      <c r="R29" s="425">
        <f>ПП!J17</f>
        <v>0</v>
      </c>
      <c r="S29" s="336">
        <f>SUMIFS('Отчет РПЗ(ПЗ)_ПЗИП'!$AG:$AG,'Отчет РПЗ(ПЗ)_ПЗИП'!$G:$G,Справочно!$C13,'Отчет РПЗ(ПЗ)_ПЗИП'!$AQ:$AQ,2,'Отчет РПЗ(ПЗ)_ПЗИП'!$AG:$AG,"&gt;0")</f>
        <v>0</v>
      </c>
      <c r="T29" s="44">
        <f>ПП!K17</f>
        <v>0</v>
      </c>
      <c r="U29" s="147">
        <f>COUNTIFS('Отчет РПЗ(ПЗ)_ПЗИП'!$G:$G,Справочно!$C13,'Отчет РПЗ(ПЗ)_ПЗИП'!$AQ:$AQ,3,'Отчет РПЗ(ПЗ)_ПЗИП'!$AG:$AG,"&gt;0")</f>
        <v>0</v>
      </c>
      <c r="V29" s="425">
        <f>ПП!L17</f>
        <v>0</v>
      </c>
      <c r="W29" s="369">
        <f>SUMIFS('Отчет РПЗ(ПЗ)_ПЗИП'!$AG:$AG,'Отчет РПЗ(ПЗ)_ПЗИП'!$G:$G,Справочно!$C13,'Отчет РПЗ(ПЗ)_ПЗИП'!$AQ:$AQ,3,'Отчет РПЗ(ПЗ)_ПЗИП'!$AG:$AG,"&gt;0")</f>
        <v>0</v>
      </c>
      <c r="X29" s="171">
        <f>ПП!M17</f>
        <v>0</v>
      </c>
      <c r="Y29" s="172">
        <f t="shared" ref="Y29:Y47" si="3">SUM(M29,Q29,U29)</f>
        <v>0</v>
      </c>
      <c r="Z29" s="424">
        <f t="shared" ref="Z29:Z47" si="4">SUM(N29,R29,V29)</f>
        <v>0</v>
      </c>
      <c r="AA29" s="329">
        <f t="shared" ref="AA29:AA47" si="5">SUM(O29,S29,W29)</f>
        <v>0</v>
      </c>
      <c r="AB29" s="159">
        <f>ПП!O17</f>
        <v>0</v>
      </c>
      <c r="AC29" s="183">
        <f>COUNTIFS('Отчет РПЗ(ПЗ)_ПЗИП'!$G:$G,Справочно!$C13,'Отчет РПЗ(ПЗ)_ПЗИП'!$AQ:$AQ,4,'Отчет РПЗ(ПЗ)_ПЗИП'!$AG:$AG,"&gt;0")</f>
        <v>0</v>
      </c>
      <c r="AD29" s="425">
        <f>ПП!P17</f>
        <v>0</v>
      </c>
      <c r="AE29" s="370">
        <f>SUMIFS('Отчет РПЗ(ПЗ)_ПЗИП'!$AG:$AG,'Отчет РПЗ(ПЗ)_ПЗИП'!$G:$G,Справочно!$C13,'Отчет РПЗ(ПЗ)_ПЗИП'!$AQ:$AQ,4,'Отчет РПЗ(ПЗ)_ПЗИП'!$AG:$AG,"&gt;0")</f>
        <v>0</v>
      </c>
      <c r="AF29" s="44">
        <f>ПП!Q17</f>
        <v>0</v>
      </c>
      <c r="AG29" s="183">
        <f>COUNTIFS('Отчет РПЗ(ПЗ)_ПЗИП'!$G:$G,Справочно!$C13,'Отчет РПЗ(ПЗ)_ПЗИП'!$AQ:$AQ,5,'Отчет РПЗ(ПЗ)_ПЗИП'!$AG:$AG,"&gt;0")</f>
        <v>0</v>
      </c>
      <c r="AH29" s="425">
        <f>ПП!R17</f>
        <v>0</v>
      </c>
      <c r="AI29" s="370">
        <f>SUMIFS('Отчет РПЗ(ПЗ)_ПЗИП'!$AG:$AG,'Отчет РПЗ(ПЗ)_ПЗИП'!$G:$G,Справочно!$C13,'Отчет РПЗ(ПЗ)_ПЗИП'!$AQ:$AQ,5,'Отчет РПЗ(ПЗ)_ПЗИП'!$AG:$AG,"&gt;0")</f>
        <v>0</v>
      </c>
      <c r="AJ29" s="44">
        <f>ПП!S17</f>
        <v>0</v>
      </c>
      <c r="AK29" s="183">
        <f>COUNTIFS('Отчет РПЗ(ПЗ)_ПЗИП'!$G:$G,Справочно!$C13,'Отчет РПЗ(ПЗ)_ПЗИП'!$AQ:$AQ,6,'Отчет РПЗ(ПЗ)_ПЗИП'!$AG:$AG,"&gt;0")</f>
        <v>0</v>
      </c>
      <c r="AL29" s="425">
        <f>ПП!T17</f>
        <v>0</v>
      </c>
      <c r="AM29" s="371">
        <f>SUMIFS('Отчет РПЗ(ПЗ)_ПЗИП'!$AG:$AG,'Отчет РПЗ(ПЗ)_ПЗИП'!$G:$G,Справочно!$C13,'Отчет РПЗ(ПЗ)_ПЗИП'!$AQ:$AQ,6,'Отчет РПЗ(ПЗ)_ПЗИП'!$AG:$AG,"&gt;0")</f>
        <v>0</v>
      </c>
      <c r="AN29" s="171">
        <f>ПП!U17</f>
        <v>0</v>
      </c>
      <c r="AO29" s="185">
        <f t="shared" ref="AO29:AO47" si="6">SUM(AC29,AG29,AK29)</f>
        <v>0</v>
      </c>
      <c r="AP29" s="424">
        <f t="shared" ref="AP29:AP47" si="7">SUM(AD29,AH29,AL29)</f>
        <v>0</v>
      </c>
      <c r="AQ29" s="331">
        <f t="shared" ref="AQ29:AQ47" si="8">SUM(AE29,AI29,AM29)</f>
        <v>0</v>
      </c>
      <c r="AR29" s="159">
        <f>ПП!W17</f>
        <v>0</v>
      </c>
      <c r="AS29" s="144">
        <f>COUNTIFS('Отчет РПЗ(ПЗ)_ПЗИП'!$G:$G,Справочно!$C13,'Отчет РПЗ(ПЗ)_ПЗИП'!$AQ:$AQ,7,'Отчет РПЗ(ПЗ)_ПЗИП'!$AG:$AG,"&gt;0")</f>
        <v>0</v>
      </c>
      <c r="AT29" s="425">
        <f>ПП!X17</f>
        <v>0</v>
      </c>
      <c r="AU29" s="372">
        <f>SUMIFS('Отчет РПЗ(ПЗ)_ПЗИП'!$AG:$AG,'Отчет РПЗ(ПЗ)_ПЗИП'!$G:$G,Справочно!$C13,'Отчет РПЗ(ПЗ)_ПЗИП'!$AQ:$AQ,7,'Отчет РПЗ(ПЗ)_ПЗИП'!$AG:$AG,"&gt;0")</f>
        <v>0</v>
      </c>
      <c r="AV29" s="44">
        <f>ПП!Y17</f>
        <v>0</v>
      </c>
      <c r="AW29" s="144">
        <f>COUNTIFS('Отчет РПЗ(ПЗ)_ПЗИП'!$G:$G,Справочно!$C13,'Отчет РПЗ(ПЗ)_ПЗИП'!$AQ:$AQ,8,'Отчет РПЗ(ПЗ)_ПЗИП'!$AG:$AG,"&gt;0")</f>
        <v>0</v>
      </c>
      <c r="AX29" s="425">
        <f>ПП!Z17</f>
        <v>0</v>
      </c>
      <c r="AY29" s="372">
        <f>SUMIFS('Отчет РПЗ(ПЗ)_ПЗИП'!$AG:$AG,'Отчет РПЗ(ПЗ)_ПЗИП'!$G:$G,Справочно!$C13,'Отчет РПЗ(ПЗ)_ПЗИП'!$AQ:$AQ,8,'Отчет РПЗ(ПЗ)_ПЗИП'!$AG:$AG,"&gt;0")</f>
        <v>0</v>
      </c>
      <c r="AZ29" s="44">
        <f>ПП!AA17</f>
        <v>0</v>
      </c>
      <c r="BA29" s="144">
        <f>COUNTIFS('Отчет РПЗ(ПЗ)_ПЗИП'!$G:$G,Справочно!$C13,'Отчет РПЗ(ПЗ)_ПЗИП'!$AQ:$AQ,9,'Отчет РПЗ(ПЗ)_ПЗИП'!$AG:$AG,"&gt;0")</f>
        <v>0</v>
      </c>
      <c r="BB29" s="425">
        <f>ПП!AB17</f>
        <v>0</v>
      </c>
      <c r="BC29" s="373">
        <f>SUMIFS('Отчет РПЗ(ПЗ)_ПЗИП'!$AG:$AG,'Отчет РПЗ(ПЗ)_ПЗИП'!$G:$G,Справочно!$C13,'Отчет РПЗ(ПЗ)_ПЗИП'!$AQ:$AQ,9,'Отчет РПЗ(ПЗ)_ПЗИП'!$AG:$AG,"&gt;0")</f>
        <v>0</v>
      </c>
      <c r="BD29" s="171">
        <f>ПП!AC17</f>
        <v>0</v>
      </c>
      <c r="BE29" s="180">
        <f t="shared" ref="BE29:BE47" si="9">SUM(AS29,AW29,BA29)</f>
        <v>0</v>
      </c>
      <c r="BF29" s="424">
        <f t="shared" ref="BF29:BF47" si="10">SUM(AT29,AX29,BB29)</f>
        <v>0</v>
      </c>
      <c r="BG29" s="333">
        <f t="shared" ref="BG29:BG47" si="11">SUM(AU29,AY29,BC29)</f>
        <v>0</v>
      </c>
      <c r="BH29" s="159">
        <f>ПП!AE17</f>
        <v>0</v>
      </c>
      <c r="BI29" s="177">
        <f>COUNTIFS('Отчет РПЗ(ПЗ)_ПЗИП'!$G:$G,Справочно!$C13,'Отчет РПЗ(ПЗ)_ПЗИП'!$AQ:$AQ,10,'Отчет РПЗ(ПЗ)_ПЗИП'!$AG:$AG,"&gt;0")</f>
        <v>0</v>
      </c>
      <c r="BJ29" s="425">
        <f>ПП!AF17</f>
        <v>0</v>
      </c>
      <c r="BK29" s="374">
        <f>SUMIFS('Отчет РПЗ(ПЗ)_ПЗИП'!$AG:$AG,'Отчет РПЗ(ПЗ)_ПЗИП'!$G:$G,Справочно!$C13,'Отчет РПЗ(ПЗ)_ПЗИП'!$AQ:$AQ,10,'Отчет РПЗ(ПЗ)_ПЗИП'!$AG:$AG,"&gt;0")</f>
        <v>0</v>
      </c>
      <c r="BL29" s="44">
        <f>ПП!AG17</f>
        <v>0</v>
      </c>
      <c r="BM29" s="177">
        <f>COUNTIFS('Отчет РПЗ(ПЗ)_ПЗИП'!$G:$G,Справочно!$C13,'Отчет РПЗ(ПЗ)_ПЗИП'!$AQ:$AQ,11,'Отчет РПЗ(ПЗ)_ПЗИП'!$AG:$AG,"&gt;0")</f>
        <v>0</v>
      </c>
      <c r="BN29" s="425">
        <f>ПП!AH17</f>
        <v>0</v>
      </c>
      <c r="BO29" s="374">
        <f>SUMIFS('Отчет РПЗ(ПЗ)_ПЗИП'!$AG:$AG,'Отчет РПЗ(ПЗ)_ПЗИП'!$G:$G,Справочно!$C13,'Отчет РПЗ(ПЗ)_ПЗИП'!$AQ:$AQ,11,'Отчет РПЗ(ПЗ)_ПЗИП'!$AG:$AG,"&gt;0")</f>
        <v>0</v>
      </c>
      <c r="BP29" s="44">
        <f>ПП!AI17</f>
        <v>0</v>
      </c>
      <c r="BQ29" s="177">
        <f>COUNTIFS('Отчет РПЗ(ПЗ)_ПЗИП'!$G:$G,Справочно!$C13,'Отчет РПЗ(ПЗ)_ПЗИП'!$AQ:$AQ,12,'Отчет РПЗ(ПЗ)_ПЗИП'!$AG:$AG,"&gt;0")</f>
        <v>0</v>
      </c>
      <c r="BR29" s="425">
        <f>ПП!AJ17</f>
        <v>0</v>
      </c>
      <c r="BS29" s="375">
        <f>SUMIFS('Отчет РПЗ(ПЗ)_ПЗИП'!$AG:$AG,'Отчет РПЗ(ПЗ)_ПЗИП'!$G:$G,Справочно!$C13,'Отчет РПЗ(ПЗ)_ПЗИП'!$AQ:$AQ,12,'Отчет РПЗ(ПЗ)_ПЗИП'!$AG:$AG,"&gt;0")</f>
        <v>0</v>
      </c>
      <c r="BT29" s="171">
        <f>ПП!AK17</f>
        <v>0</v>
      </c>
      <c r="BU29" s="179">
        <f t="shared" ref="BU29:BU47" si="12">SUM(BI29,BM29,BQ29)</f>
        <v>0</v>
      </c>
      <c r="BV29" s="424">
        <f t="shared" ref="BV29:BV47" si="13">SUM(BJ29,BN29,BR29)</f>
        <v>0</v>
      </c>
      <c r="BW29" s="335">
        <f t="shared" ref="BW29:BW47" si="14">SUM(BK29,BO29,BS29)</f>
        <v>0</v>
      </c>
    </row>
    <row r="30" spans="2:75" ht="13.5" customHeight="1" thickBot="1" x14ac:dyDescent="0.25">
      <c r="B30" s="83" t="s">
        <v>101</v>
      </c>
      <c r="C30" s="92">
        <f>ПП!B18</f>
        <v>1</v>
      </c>
      <c r="D30" s="412">
        <f>ПП!C18</f>
        <v>6.3532401524777639E-4</v>
      </c>
      <c r="E30" s="63">
        <f>COUNTIFS('Отчет РПЗ(ПЗ)_ПЗИП'!$G:$G,Справочно!$C14,'Отчет РПЗ(ПЗ)_ПЗИП'!AG:AG, "&gt;0")</f>
        <v>0</v>
      </c>
      <c r="F30" s="413">
        <f t="shared" si="1"/>
        <v>0</v>
      </c>
      <c r="G30" s="414">
        <f>ПП!D18</f>
        <v>20570892</v>
      </c>
      <c r="H30" s="415">
        <f>ПП!E18</f>
        <v>4.205651681734761E-3</v>
      </c>
      <c r="I30" s="416">
        <f>SUMIF('Отчет РПЗ(ПЗ)_ПЗИП'!$G:$G,Справочно!$C14,'Отчет РПЗ(ПЗ)_ПЗИП'!$AG:$AG)</f>
        <v>0</v>
      </c>
      <c r="J30" s="413">
        <f t="shared" si="2"/>
        <v>0</v>
      </c>
      <c r="K30" s="61"/>
      <c r="L30" s="159">
        <f>ПП!G18</f>
        <v>0</v>
      </c>
      <c r="M30" s="147">
        <f>COUNTIFS('Отчет РПЗ(ПЗ)_ПЗИП'!$G:$G,Справочно!$C14,'Отчет РПЗ(ПЗ)_ПЗИП'!$AQ:$AQ,1,'Отчет РПЗ(ПЗ)_ПЗИП'!$AG:$AG,"&gt;0")</f>
        <v>0</v>
      </c>
      <c r="N30" s="425">
        <f>ПП!H18</f>
        <v>0</v>
      </c>
      <c r="O30" s="336">
        <f>SUMIFS('Отчет РПЗ(ПЗ)_ПЗИП'!$AG:$AG,'Отчет РПЗ(ПЗ)_ПЗИП'!$G:$G,Справочно!$C14,'Отчет РПЗ(ПЗ)_ПЗИП'!$AQ:$AQ,1,'Отчет РПЗ(ПЗ)_ПЗИП'!$AG:$AG,"&gt;0")</f>
        <v>0</v>
      </c>
      <c r="P30" s="44">
        <f>ПП!I18</f>
        <v>0</v>
      </c>
      <c r="Q30" s="147">
        <f>COUNTIFS('Отчет РПЗ(ПЗ)_ПЗИП'!$G:$G,Справочно!$C14,'Отчет РПЗ(ПЗ)_ПЗИП'!$AQ:$AQ,2,'Отчет РПЗ(ПЗ)_ПЗИП'!$AG:$AG,"&gt;0")</f>
        <v>0</v>
      </c>
      <c r="R30" s="425">
        <f>ПП!J18</f>
        <v>0</v>
      </c>
      <c r="S30" s="336">
        <f>SUMIFS('Отчет РПЗ(ПЗ)_ПЗИП'!$AG:$AG,'Отчет РПЗ(ПЗ)_ПЗИП'!$G:$G,Справочно!$C14,'Отчет РПЗ(ПЗ)_ПЗИП'!$AQ:$AQ,2,'Отчет РПЗ(ПЗ)_ПЗИП'!$AG:$AG,"&gt;0")</f>
        <v>0</v>
      </c>
      <c r="T30" s="44">
        <f>ПП!K18</f>
        <v>0</v>
      </c>
      <c r="U30" s="147">
        <f>COUNTIFS('Отчет РПЗ(ПЗ)_ПЗИП'!$G:$G,Справочно!$C14,'Отчет РПЗ(ПЗ)_ПЗИП'!$AQ:$AQ,3,'Отчет РПЗ(ПЗ)_ПЗИП'!$AG:$AG,"&gt;0")</f>
        <v>0</v>
      </c>
      <c r="V30" s="425">
        <f>ПП!L18</f>
        <v>0</v>
      </c>
      <c r="W30" s="369">
        <f>SUMIFS('Отчет РПЗ(ПЗ)_ПЗИП'!$AG:$AG,'Отчет РПЗ(ПЗ)_ПЗИП'!$G:$G,Справочно!$C14,'Отчет РПЗ(ПЗ)_ПЗИП'!$AQ:$AQ,3,'Отчет РПЗ(ПЗ)_ПЗИП'!$AG:$AG,"&gt;0")</f>
        <v>0</v>
      </c>
      <c r="X30" s="171">
        <f>ПП!M18</f>
        <v>0</v>
      </c>
      <c r="Y30" s="172">
        <f t="shared" si="3"/>
        <v>0</v>
      </c>
      <c r="Z30" s="424">
        <f t="shared" si="4"/>
        <v>0</v>
      </c>
      <c r="AA30" s="329">
        <f t="shared" si="5"/>
        <v>0</v>
      </c>
      <c r="AB30" s="159">
        <f>ПП!O18</f>
        <v>0</v>
      </c>
      <c r="AC30" s="183">
        <f>COUNTIFS('Отчет РПЗ(ПЗ)_ПЗИП'!$G:$G,Справочно!$C14,'Отчет РПЗ(ПЗ)_ПЗИП'!$AQ:$AQ,4,'Отчет РПЗ(ПЗ)_ПЗИП'!$AG:$AG,"&gt;0")</f>
        <v>0</v>
      </c>
      <c r="AD30" s="425">
        <f>ПП!P18</f>
        <v>0</v>
      </c>
      <c r="AE30" s="370">
        <f>SUMIFS('Отчет РПЗ(ПЗ)_ПЗИП'!$AG:$AG,'Отчет РПЗ(ПЗ)_ПЗИП'!$G:$G,Справочно!$C14,'Отчет РПЗ(ПЗ)_ПЗИП'!$AQ:$AQ,4,'Отчет РПЗ(ПЗ)_ПЗИП'!$AG:$AG,"&gt;0")</f>
        <v>0</v>
      </c>
      <c r="AF30" s="44">
        <f>ПП!Q18</f>
        <v>0</v>
      </c>
      <c r="AG30" s="183">
        <f>COUNTIFS('Отчет РПЗ(ПЗ)_ПЗИП'!$G:$G,Справочно!$C14,'Отчет РПЗ(ПЗ)_ПЗИП'!$AQ:$AQ,5,'Отчет РПЗ(ПЗ)_ПЗИП'!$AG:$AG,"&gt;0")</f>
        <v>0</v>
      </c>
      <c r="AH30" s="425">
        <f>ПП!R18</f>
        <v>0</v>
      </c>
      <c r="AI30" s="370">
        <f>SUMIFS('Отчет РПЗ(ПЗ)_ПЗИП'!$AG:$AG,'Отчет РПЗ(ПЗ)_ПЗИП'!$G:$G,Справочно!$C14,'Отчет РПЗ(ПЗ)_ПЗИП'!$AQ:$AQ,5,'Отчет РПЗ(ПЗ)_ПЗИП'!$AG:$AG,"&gt;0")</f>
        <v>0</v>
      </c>
      <c r="AJ30" s="44">
        <f>ПП!S18</f>
        <v>0</v>
      </c>
      <c r="AK30" s="183">
        <f>COUNTIFS('Отчет РПЗ(ПЗ)_ПЗИП'!$G:$G,Справочно!$C14,'Отчет РПЗ(ПЗ)_ПЗИП'!$AQ:$AQ,6,'Отчет РПЗ(ПЗ)_ПЗИП'!$AG:$AG,"&gt;0")</f>
        <v>0</v>
      </c>
      <c r="AL30" s="425">
        <f>ПП!T18</f>
        <v>0</v>
      </c>
      <c r="AM30" s="371">
        <f>SUMIFS('Отчет РПЗ(ПЗ)_ПЗИП'!$AG:$AG,'Отчет РПЗ(ПЗ)_ПЗИП'!$G:$G,Справочно!$C14,'Отчет РПЗ(ПЗ)_ПЗИП'!$AQ:$AQ,6,'Отчет РПЗ(ПЗ)_ПЗИП'!$AG:$AG,"&gt;0")</f>
        <v>0</v>
      </c>
      <c r="AN30" s="171">
        <f>ПП!U18</f>
        <v>0</v>
      </c>
      <c r="AO30" s="185">
        <f t="shared" si="6"/>
        <v>0</v>
      </c>
      <c r="AP30" s="424">
        <f t="shared" si="7"/>
        <v>0</v>
      </c>
      <c r="AQ30" s="331">
        <f t="shared" si="8"/>
        <v>0</v>
      </c>
      <c r="AR30" s="159">
        <f>ПП!W18</f>
        <v>0</v>
      </c>
      <c r="AS30" s="144">
        <f>COUNTIFS('Отчет РПЗ(ПЗ)_ПЗИП'!$G:$G,Справочно!$C14,'Отчет РПЗ(ПЗ)_ПЗИП'!$AQ:$AQ,7,'Отчет РПЗ(ПЗ)_ПЗИП'!$AG:$AG,"&gt;0")</f>
        <v>0</v>
      </c>
      <c r="AT30" s="425">
        <f>ПП!X18</f>
        <v>0</v>
      </c>
      <c r="AU30" s="372">
        <f>SUMIFS('Отчет РПЗ(ПЗ)_ПЗИП'!$AG:$AG,'Отчет РПЗ(ПЗ)_ПЗИП'!$G:$G,Справочно!$C14,'Отчет РПЗ(ПЗ)_ПЗИП'!$AQ:$AQ,7,'Отчет РПЗ(ПЗ)_ПЗИП'!$AG:$AG,"&gt;0")</f>
        <v>0</v>
      </c>
      <c r="AV30" s="44">
        <f>ПП!Y18</f>
        <v>0</v>
      </c>
      <c r="AW30" s="144">
        <f>COUNTIFS('Отчет РПЗ(ПЗ)_ПЗИП'!$G:$G,Справочно!$C14,'Отчет РПЗ(ПЗ)_ПЗИП'!$AQ:$AQ,8,'Отчет РПЗ(ПЗ)_ПЗИП'!$AG:$AG,"&gt;0")</f>
        <v>0</v>
      </c>
      <c r="AX30" s="425">
        <f>ПП!Z18</f>
        <v>0</v>
      </c>
      <c r="AY30" s="372">
        <f>SUMIFS('Отчет РПЗ(ПЗ)_ПЗИП'!$AG:$AG,'Отчет РПЗ(ПЗ)_ПЗИП'!$G:$G,Справочно!$C14,'Отчет РПЗ(ПЗ)_ПЗИП'!$AQ:$AQ,8,'Отчет РПЗ(ПЗ)_ПЗИП'!$AG:$AG,"&gt;0")</f>
        <v>0</v>
      </c>
      <c r="AZ30" s="44">
        <f>ПП!AA18</f>
        <v>0</v>
      </c>
      <c r="BA30" s="144">
        <f>COUNTIFS('Отчет РПЗ(ПЗ)_ПЗИП'!$G:$G,Справочно!$C14,'Отчет РПЗ(ПЗ)_ПЗИП'!$AQ:$AQ,9,'Отчет РПЗ(ПЗ)_ПЗИП'!$AG:$AG,"&gt;0")</f>
        <v>0</v>
      </c>
      <c r="BB30" s="425">
        <f>ПП!AB18</f>
        <v>0</v>
      </c>
      <c r="BC30" s="373">
        <f>SUMIFS('Отчет РПЗ(ПЗ)_ПЗИП'!$AG:$AG,'Отчет РПЗ(ПЗ)_ПЗИП'!$G:$G,Справочно!$C14,'Отчет РПЗ(ПЗ)_ПЗИП'!$AQ:$AQ,9,'Отчет РПЗ(ПЗ)_ПЗИП'!$AG:$AG,"&gt;0")</f>
        <v>0</v>
      </c>
      <c r="BD30" s="171">
        <f>ПП!AC18</f>
        <v>0</v>
      </c>
      <c r="BE30" s="180">
        <f t="shared" si="9"/>
        <v>0</v>
      </c>
      <c r="BF30" s="424">
        <f t="shared" si="10"/>
        <v>0</v>
      </c>
      <c r="BG30" s="333">
        <f t="shared" si="11"/>
        <v>0</v>
      </c>
      <c r="BH30" s="159">
        <f>ПП!AE18</f>
        <v>0</v>
      </c>
      <c r="BI30" s="177">
        <f>COUNTIFS('Отчет РПЗ(ПЗ)_ПЗИП'!$G:$G,Справочно!$C14,'Отчет РПЗ(ПЗ)_ПЗИП'!$AQ:$AQ,10,'Отчет РПЗ(ПЗ)_ПЗИП'!$AG:$AG,"&gt;0")</f>
        <v>0</v>
      </c>
      <c r="BJ30" s="425">
        <f>ПП!AF18</f>
        <v>0</v>
      </c>
      <c r="BK30" s="374">
        <f>SUMIFS('Отчет РПЗ(ПЗ)_ПЗИП'!$AG:$AG,'Отчет РПЗ(ПЗ)_ПЗИП'!$G:$G,Справочно!$C14,'Отчет РПЗ(ПЗ)_ПЗИП'!$AQ:$AQ,10,'Отчет РПЗ(ПЗ)_ПЗИП'!$AG:$AG,"&gt;0")</f>
        <v>0</v>
      </c>
      <c r="BL30" s="44">
        <f>ПП!AG18</f>
        <v>0</v>
      </c>
      <c r="BM30" s="177">
        <f>COUNTIFS('Отчет РПЗ(ПЗ)_ПЗИП'!$G:$G,Справочно!$C14,'Отчет РПЗ(ПЗ)_ПЗИП'!$AQ:$AQ,11,'Отчет РПЗ(ПЗ)_ПЗИП'!$AG:$AG,"&gt;0")</f>
        <v>0</v>
      </c>
      <c r="BN30" s="425">
        <f>ПП!AH18</f>
        <v>0</v>
      </c>
      <c r="BO30" s="374">
        <f>SUMIFS('Отчет РПЗ(ПЗ)_ПЗИП'!$AG:$AG,'Отчет РПЗ(ПЗ)_ПЗИП'!$G:$G,Справочно!$C14,'Отчет РПЗ(ПЗ)_ПЗИП'!$AQ:$AQ,11,'Отчет РПЗ(ПЗ)_ПЗИП'!$AG:$AG,"&gt;0")</f>
        <v>0</v>
      </c>
      <c r="BP30" s="44">
        <f>ПП!AI18</f>
        <v>1</v>
      </c>
      <c r="BQ30" s="177">
        <f>COUNTIFS('Отчет РПЗ(ПЗ)_ПЗИП'!$G:$G,Справочно!$C14,'Отчет РПЗ(ПЗ)_ПЗИП'!$AQ:$AQ,12,'Отчет РПЗ(ПЗ)_ПЗИП'!$AG:$AG,"&gt;0")</f>
        <v>0</v>
      </c>
      <c r="BR30" s="425">
        <f>ПП!AJ18</f>
        <v>20570892</v>
      </c>
      <c r="BS30" s="375">
        <f>SUMIFS('Отчет РПЗ(ПЗ)_ПЗИП'!$AG:$AG,'Отчет РПЗ(ПЗ)_ПЗИП'!$G:$G,Справочно!$C14,'Отчет РПЗ(ПЗ)_ПЗИП'!$AQ:$AQ,12,'Отчет РПЗ(ПЗ)_ПЗИП'!$AG:$AG,"&gt;0")</f>
        <v>0</v>
      </c>
      <c r="BT30" s="171">
        <f>ПП!AK18</f>
        <v>1</v>
      </c>
      <c r="BU30" s="179">
        <f t="shared" si="12"/>
        <v>0</v>
      </c>
      <c r="BV30" s="424">
        <f t="shared" si="13"/>
        <v>20570892</v>
      </c>
      <c r="BW30" s="335">
        <f t="shared" si="14"/>
        <v>0</v>
      </c>
    </row>
    <row r="31" spans="2:75" ht="15" customHeight="1" thickBot="1" x14ac:dyDescent="0.25">
      <c r="B31" s="83" t="s">
        <v>249</v>
      </c>
      <c r="C31" s="92">
        <f>ПП!B19</f>
        <v>0</v>
      </c>
      <c r="D31" s="412">
        <f>ПП!C19</f>
        <v>0</v>
      </c>
      <c r="E31" s="63">
        <f>COUNTIFS('Отчет РПЗ(ПЗ)_ПЗИП'!$G:$G,Справочно!$C15,'Отчет РПЗ(ПЗ)_ПЗИП'!AG:AG, "&gt;0")</f>
        <v>0</v>
      </c>
      <c r="F31" s="413">
        <f t="shared" si="1"/>
        <v>0</v>
      </c>
      <c r="G31" s="414">
        <f>ПП!D19</f>
        <v>0</v>
      </c>
      <c r="H31" s="415">
        <f>ПП!E19</f>
        <v>0</v>
      </c>
      <c r="I31" s="416">
        <f>SUMIF('Отчет РПЗ(ПЗ)_ПЗИП'!$G:$G,Справочно!$C15,'Отчет РПЗ(ПЗ)_ПЗИП'!$AG:$AG)</f>
        <v>0</v>
      </c>
      <c r="J31" s="413">
        <f t="shared" si="2"/>
        <v>0</v>
      </c>
      <c r="K31" s="61"/>
      <c r="L31" s="159">
        <f>ПП!G19</f>
        <v>0</v>
      </c>
      <c r="M31" s="147">
        <f>COUNTIFS('Отчет РПЗ(ПЗ)_ПЗИП'!$G:$G,Справочно!$C15,'Отчет РПЗ(ПЗ)_ПЗИП'!$AQ:$AQ,1,'Отчет РПЗ(ПЗ)_ПЗИП'!$AG:$AG,"&gt;0")</f>
        <v>0</v>
      </c>
      <c r="N31" s="425">
        <f>ПП!H19</f>
        <v>0</v>
      </c>
      <c r="O31" s="336">
        <f>SUMIFS('Отчет РПЗ(ПЗ)_ПЗИП'!$AG:$AG,'Отчет РПЗ(ПЗ)_ПЗИП'!$G:$G,Справочно!$C15,'Отчет РПЗ(ПЗ)_ПЗИП'!$AQ:$AQ,1,'Отчет РПЗ(ПЗ)_ПЗИП'!$AG:$AG,"&gt;0")</f>
        <v>0</v>
      </c>
      <c r="P31" s="44">
        <f>ПП!I19</f>
        <v>0</v>
      </c>
      <c r="Q31" s="147">
        <f>COUNTIFS('Отчет РПЗ(ПЗ)_ПЗИП'!$G:$G,Справочно!$C15,'Отчет РПЗ(ПЗ)_ПЗИП'!$AQ:$AQ,2,'Отчет РПЗ(ПЗ)_ПЗИП'!$AG:$AG,"&gt;0")</f>
        <v>0</v>
      </c>
      <c r="R31" s="425">
        <f>ПП!J19</f>
        <v>0</v>
      </c>
      <c r="S31" s="336">
        <f>SUMIFS('Отчет РПЗ(ПЗ)_ПЗИП'!$AG:$AG,'Отчет РПЗ(ПЗ)_ПЗИП'!$G:$G,Справочно!$C15,'Отчет РПЗ(ПЗ)_ПЗИП'!$AQ:$AQ,2,'Отчет РПЗ(ПЗ)_ПЗИП'!$AG:$AG,"&gt;0")</f>
        <v>0</v>
      </c>
      <c r="T31" s="44">
        <f>ПП!K19</f>
        <v>0</v>
      </c>
      <c r="U31" s="147">
        <f>COUNTIFS('Отчет РПЗ(ПЗ)_ПЗИП'!$G:$G,Справочно!$C15,'Отчет РПЗ(ПЗ)_ПЗИП'!$AQ:$AQ,3,'Отчет РПЗ(ПЗ)_ПЗИП'!$AG:$AG,"&gt;0")</f>
        <v>0</v>
      </c>
      <c r="V31" s="425">
        <f>ПП!L19</f>
        <v>0</v>
      </c>
      <c r="W31" s="369">
        <f>SUMIFS('Отчет РПЗ(ПЗ)_ПЗИП'!$AG:$AG,'Отчет РПЗ(ПЗ)_ПЗИП'!$G:$G,Справочно!$C15,'Отчет РПЗ(ПЗ)_ПЗИП'!$AQ:$AQ,3,'Отчет РПЗ(ПЗ)_ПЗИП'!$AG:$AG,"&gt;0")</f>
        <v>0</v>
      </c>
      <c r="X31" s="171">
        <f>ПП!M19</f>
        <v>0</v>
      </c>
      <c r="Y31" s="172">
        <f t="shared" si="3"/>
        <v>0</v>
      </c>
      <c r="Z31" s="424">
        <f t="shared" si="4"/>
        <v>0</v>
      </c>
      <c r="AA31" s="329">
        <f t="shared" si="5"/>
        <v>0</v>
      </c>
      <c r="AB31" s="159">
        <f>ПП!O19</f>
        <v>0</v>
      </c>
      <c r="AC31" s="183">
        <f>COUNTIFS('Отчет РПЗ(ПЗ)_ПЗИП'!$G:$G,Справочно!$C15,'Отчет РПЗ(ПЗ)_ПЗИП'!$AQ:$AQ,4,'Отчет РПЗ(ПЗ)_ПЗИП'!$AG:$AG,"&gt;0")</f>
        <v>0</v>
      </c>
      <c r="AD31" s="425">
        <f>ПП!P19</f>
        <v>0</v>
      </c>
      <c r="AE31" s="370">
        <f>SUMIFS('Отчет РПЗ(ПЗ)_ПЗИП'!$AG:$AG,'Отчет РПЗ(ПЗ)_ПЗИП'!$G:$G,Справочно!$C15,'Отчет РПЗ(ПЗ)_ПЗИП'!$AQ:$AQ,4,'Отчет РПЗ(ПЗ)_ПЗИП'!$AG:$AG,"&gt;0")</f>
        <v>0</v>
      </c>
      <c r="AF31" s="44">
        <f>ПП!Q19</f>
        <v>0</v>
      </c>
      <c r="AG31" s="183">
        <f>COUNTIFS('Отчет РПЗ(ПЗ)_ПЗИП'!$G:$G,Справочно!$C15,'Отчет РПЗ(ПЗ)_ПЗИП'!$AQ:$AQ,5,'Отчет РПЗ(ПЗ)_ПЗИП'!$AG:$AG,"&gt;0")</f>
        <v>0</v>
      </c>
      <c r="AH31" s="425">
        <f>ПП!R19</f>
        <v>0</v>
      </c>
      <c r="AI31" s="370">
        <f>SUMIFS('Отчет РПЗ(ПЗ)_ПЗИП'!$AG:$AG,'Отчет РПЗ(ПЗ)_ПЗИП'!$G:$G,Справочно!$C15,'Отчет РПЗ(ПЗ)_ПЗИП'!$AQ:$AQ,5,'Отчет РПЗ(ПЗ)_ПЗИП'!$AG:$AG,"&gt;0")</f>
        <v>0</v>
      </c>
      <c r="AJ31" s="44">
        <f>ПП!S19</f>
        <v>0</v>
      </c>
      <c r="AK31" s="183">
        <f>COUNTIFS('Отчет РПЗ(ПЗ)_ПЗИП'!$G:$G,Справочно!$C15,'Отчет РПЗ(ПЗ)_ПЗИП'!$AQ:$AQ,6,'Отчет РПЗ(ПЗ)_ПЗИП'!$AG:$AG,"&gt;0")</f>
        <v>0</v>
      </c>
      <c r="AL31" s="425">
        <f>ПП!T19</f>
        <v>0</v>
      </c>
      <c r="AM31" s="371">
        <f>SUMIFS('Отчет РПЗ(ПЗ)_ПЗИП'!$AG:$AG,'Отчет РПЗ(ПЗ)_ПЗИП'!$G:$G,Справочно!$C15,'Отчет РПЗ(ПЗ)_ПЗИП'!$AQ:$AQ,6,'Отчет РПЗ(ПЗ)_ПЗИП'!$AG:$AG,"&gt;0")</f>
        <v>0</v>
      </c>
      <c r="AN31" s="171">
        <f>ПП!U19</f>
        <v>0</v>
      </c>
      <c r="AO31" s="185">
        <f t="shared" si="6"/>
        <v>0</v>
      </c>
      <c r="AP31" s="424">
        <f t="shared" si="7"/>
        <v>0</v>
      </c>
      <c r="AQ31" s="331">
        <f t="shared" si="8"/>
        <v>0</v>
      </c>
      <c r="AR31" s="159">
        <f>ПП!W19</f>
        <v>0</v>
      </c>
      <c r="AS31" s="144">
        <f>COUNTIFS('Отчет РПЗ(ПЗ)_ПЗИП'!$G:$G,Справочно!$C15,'Отчет РПЗ(ПЗ)_ПЗИП'!$AQ:$AQ,7,'Отчет РПЗ(ПЗ)_ПЗИП'!$AG:$AG,"&gt;0")</f>
        <v>0</v>
      </c>
      <c r="AT31" s="425">
        <f>ПП!X19</f>
        <v>0</v>
      </c>
      <c r="AU31" s="372">
        <f>SUMIFS('Отчет РПЗ(ПЗ)_ПЗИП'!$AG:$AG,'Отчет РПЗ(ПЗ)_ПЗИП'!$G:$G,Справочно!$C15,'Отчет РПЗ(ПЗ)_ПЗИП'!$AQ:$AQ,7,'Отчет РПЗ(ПЗ)_ПЗИП'!$AG:$AG,"&gt;0")</f>
        <v>0</v>
      </c>
      <c r="AV31" s="44">
        <f>ПП!Y19</f>
        <v>0</v>
      </c>
      <c r="AW31" s="144">
        <f>COUNTIFS('Отчет РПЗ(ПЗ)_ПЗИП'!$G:$G,Справочно!$C15,'Отчет РПЗ(ПЗ)_ПЗИП'!$AQ:$AQ,8,'Отчет РПЗ(ПЗ)_ПЗИП'!$AG:$AG,"&gt;0")</f>
        <v>0</v>
      </c>
      <c r="AX31" s="425">
        <f>ПП!Z19</f>
        <v>0</v>
      </c>
      <c r="AY31" s="372">
        <f>SUMIFS('Отчет РПЗ(ПЗ)_ПЗИП'!$AG:$AG,'Отчет РПЗ(ПЗ)_ПЗИП'!$G:$G,Справочно!$C15,'Отчет РПЗ(ПЗ)_ПЗИП'!$AQ:$AQ,8,'Отчет РПЗ(ПЗ)_ПЗИП'!$AG:$AG,"&gt;0")</f>
        <v>0</v>
      </c>
      <c r="AZ31" s="44">
        <f>ПП!AA19</f>
        <v>0</v>
      </c>
      <c r="BA31" s="144">
        <f>COUNTIFS('Отчет РПЗ(ПЗ)_ПЗИП'!$G:$G,Справочно!$C15,'Отчет РПЗ(ПЗ)_ПЗИП'!$AQ:$AQ,9,'Отчет РПЗ(ПЗ)_ПЗИП'!$AG:$AG,"&gt;0")</f>
        <v>0</v>
      </c>
      <c r="BB31" s="425">
        <f>ПП!AB19</f>
        <v>0</v>
      </c>
      <c r="BC31" s="373">
        <f>SUMIFS('Отчет РПЗ(ПЗ)_ПЗИП'!$AG:$AG,'Отчет РПЗ(ПЗ)_ПЗИП'!$G:$G,Справочно!$C15,'Отчет РПЗ(ПЗ)_ПЗИП'!$AQ:$AQ,9,'Отчет РПЗ(ПЗ)_ПЗИП'!$AG:$AG,"&gt;0")</f>
        <v>0</v>
      </c>
      <c r="BD31" s="171">
        <f>ПП!AC19</f>
        <v>0</v>
      </c>
      <c r="BE31" s="180">
        <f t="shared" si="9"/>
        <v>0</v>
      </c>
      <c r="BF31" s="424">
        <f t="shared" si="10"/>
        <v>0</v>
      </c>
      <c r="BG31" s="333">
        <f t="shared" si="11"/>
        <v>0</v>
      </c>
      <c r="BH31" s="159">
        <f>ПП!AE19</f>
        <v>0</v>
      </c>
      <c r="BI31" s="177">
        <f>COUNTIFS('Отчет РПЗ(ПЗ)_ПЗИП'!$G:$G,Справочно!$C15,'Отчет РПЗ(ПЗ)_ПЗИП'!$AQ:$AQ,10,'Отчет РПЗ(ПЗ)_ПЗИП'!$AG:$AG,"&gt;0")</f>
        <v>0</v>
      </c>
      <c r="BJ31" s="425">
        <f>ПП!AF19</f>
        <v>0</v>
      </c>
      <c r="BK31" s="374">
        <f>SUMIFS('Отчет РПЗ(ПЗ)_ПЗИП'!$AG:$AG,'Отчет РПЗ(ПЗ)_ПЗИП'!$G:$G,Справочно!$C15,'Отчет РПЗ(ПЗ)_ПЗИП'!$AQ:$AQ,10,'Отчет РПЗ(ПЗ)_ПЗИП'!$AG:$AG,"&gt;0")</f>
        <v>0</v>
      </c>
      <c r="BL31" s="44">
        <f>ПП!AG19</f>
        <v>0</v>
      </c>
      <c r="BM31" s="177">
        <f>COUNTIFS('Отчет РПЗ(ПЗ)_ПЗИП'!$G:$G,Справочно!$C15,'Отчет РПЗ(ПЗ)_ПЗИП'!$AQ:$AQ,11,'Отчет РПЗ(ПЗ)_ПЗИП'!$AG:$AG,"&gt;0")</f>
        <v>0</v>
      </c>
      <c r="BN31" s="425">
        <f>ПП!AH19</f>
        <v>0</v>
      </c>
      <c r="BO31" s="374">
        <f>SUMIFS('Отчет РПЗ(ПЗ)_ПЗИП'!$AG:$AG,'Отчет РПЗ(ПЗ)_ПЗИП'!$G:$G,Справочно!$C15,'Отчет РПЗ(ПЗ)_ПЗИП'!$AQ:$AQ,11,'Отчет РПЗ(ПЗ)_ПЗИП'!$AG:$AG,"&gt;0")</f>
        <v>0</v>
      </c>
      <c r="BP31" s="44">
        <f>ПП!AI19</f>
        <v>0</v>
      </c>
      <c r="BQ31" s="177">
        <f>COUNTIFS('Отчет РПЗ(ПЗ)_ПЗИП'!$G:$G,Справочно!$C15,'Отчет РПЗ(ПЗ)_ПЗИП'!$AQ:$AQ,12,'Отчет РПЗ(ПЗ)_ПЗИП'!$AG:$AG,"&gt;0")</f>
        <v>0</v>
      </c>
      <c r="BR31" s="425">
        <f>ПП!AJ19</f>
        <v>0</v>
      </c>
      <c r="BS31" s="375">
        <f>SUMIFS('Отчет РПЗ(ПЗ)_ПЗИП'!$AG:$AG,'Отчет РПЗ(ПЗ)_ПЗИП'!$G:$G,Справочно!$C15,'Отчет РПЗ(ПЗ)_ПЗИП'!$AQ:$AQ,12,'Отчет РПЗ(ПЗ)_ПЗИП'!$AG:$AG,"&gt;0")</f>
        <v>0</v>
      </c>
      <c r="BT31" s="171">
        <f>ПП!AK19</f>
        <v>0</v>
      </c>
      <c r="BU31" s="179">
        <f t="shared" si="12"/>
        <v>0</v>
      </c>
      <c r="BV31" s="424">
        <f t="shared" si="13"/>
        <v>0</v>
      </c>
      <c r="BW31" s="335">
        <f t="shared" si="14"/>
        <v>0</v>
      </c>
    </row>
    <row r="32" spans="2:75" ht="13.5" customHeight="1" thickBot="1" x14ac:dyDescent="0.25">
      <c r="B32" s="83" t="s">
        <v>103</v>
      </c>
      <c r="C32" s="92">
        <f>ПП!B20</f>
        <v>0</v>
      </c>
      <c r="D32" s="412">
        <f>ПП!C20</f>
        <v>0</v>
      </c>
      <c r="E32" s="63">
        <f>COUNTIFS('Отчет РПЗ(ПЗ)_ПЗИП'!$G:$G,Справочно!$C16,'Отчет РПЗ(ПЗ)_ПЗИП'!AG:AG, "&gt;0")</f>
        <v>0</v>
      </c>
      <c r="F32" s="413">
        <f t="shared" si="1"/>
        <v>0</v>
      </c>
      <c r="G32" s="414">
        <f>ПП!D20</f>
        <v>0</v>
      </c>
      <c r="H32" s="415">
        <f>ПП!E20</f>
        <v>0</v>
      </c>
      <c r="I32" s="416">
        <f>SUMIF('Отчет РПЗ(ПЗ)_ПЗИП'!$G:$G,Справочно!$C16,'Отчет РПЗ(ПЗ)_ПЗИП'!$AG:$AG)</f>
        <v>0</v>
      </c>
      <c r="J32" s="413">
        <f t="shared" si="2"/>
        <v>0</v>
      </c>
      <c r="K32" s="61"/>
      <c r="L32" s="159">
        <f>ПП!G20</f>
        <v>0</v>
      </c>
      <c r="M32" s="147">
        <f>COUNTIFS('Отчет РПЗ(ПЗ)_ПЗИП'!$G:$G,Справочно!$C16,'Отчет РПЗ(ПЗ)_ПЗИП'!$AQ:$AQ,1,'Отчет РПЗ(ПЗ)_ПЗИП'!$AG:$AG,"&gt;0")</f>
        <v>0</v>
      </c>
      <c r="N32" s="425">
        <f>ПП!H20</f>
        <v>0</v>
      </c>
      <c r="O32" s="336">
        <f>SUMIFS('Отчет РПЗ(ПЗ)_ПЗИП'!$AG:$AG,'Отчет РПЗ(ПЗ)_ПЗИП'!$G:$G,Справочно!$C16,'Отчет РПЗ(ПЗ)_ПЗИП'!$AQ:$AQ,1,'Отчет РПЗ(ПЗ)_ПЗИП'!$AG:$AG,"&gt;0")</f>
        <v>0</v>
      </c>
      <c r="P32" s="44">
        <f>ПП!I20</f>
        <v>0</v>
      </c>
      <c r="Q32" s="147">
        <f>COUNTIFS('Отчет РПЗ(ПЗ)_ПЗИП'!$G:$G,Справочно!$C16,'Отчет РПЗ(ПЗ)_ПЗИП'!$AQ:$AQ,2,'Отчет РПЗ(ПЗ)_ПЗИП'!$AG:$AG,"&gt;0")</f>
        <v>0</v>
      </c>
      <c r="R32" s="425">
        <f>ПП!J20</f>
        <v>0</v>
      </c>
      <c r="S32" s="336">
        <f>SUMIFS('Отчет РПЗ(ПЗ)_ПЗИП'!$AG:$AG,'Отчет РПЗ(ПЗ)_ПЗИП'!$G:$G,Справочно!$C16,'Отчет РПЗ(ПЗ)_ПЗИП'!$AQ:$AQ,2,'Отчет РПЗ(ПЗ)_ПЗИП'!$AG:$AG,"&gt;0")</f>
        <v>0</v>
      </c>
      <c r="T32" s="44">
        <f>ПП!K20</f>
        <v>0</v>
      </c>
      <c r="U32" s="147">
        <f>COUNTIFS('Отчет РПЗ(ПЗ)_ПЗИП'!$G:$G,Справочно!$C16,'Отчет РПЗ(ПЗ)_ПЗИП'!$AQ:$AQ,3,'Отчет РПЗ(ПЗ)_ПЗИП'!$AG:$AG,"&gt;0")</f>
        <v>0</v>
      </c>
      <c r="V32" s="425">
        <f>ПП!L20</f>
        <v>0</v>
      </c>
      <c r="W32" s="369">
        <f>SUMIFS('Отчет РПЗ(ПЗ)_ПЗИП'!$AG:$AG,'Отчет РПЗ(ПЗ)_ПЗИП'!$G:$G,Справочно!$C16,'Отчет РПЗ(ПЗ)_ПЗИП'!$AQ:$AQ,3,'Отчет РПЗ(ПЗ)_ПЗИП'!$AG:$AG,"&gt;0")</f>
        <v>0</v>
      </c>
      <c r="X32" s="171">
        <f>ПП!M20</f>
        <v>0</v>
      </c>
      <c r="Y32" s="172">
        <f t="shared" si="3"/>
        <v>0</v>
      </c>
      <c r="Z32" s="424">
        <f t="shared" si="4"/>
        <v>0</v>
      </c>
      <c r="AA32" s="329">
        <f t="shared" si="5"/>
        <v>0</v>
      </c>
      <c r="AB32" s="159">
        <f>ПП!O20</f>
        <v>0</v>
      </c>
      <c r="AC32" s="183">
        <f>COUNTIFS('Отчет РПЗ(ПЗ)_ПЗИП'!$G:$G,Справочно!$C16,'Отчет РПЗ(ПЗ)_ПЗИП'!$AQ:$AQ,4,'Отчет РПЗ(ПЗ)_ПЗИП'!$AG:$AG,"&gt;0")</f>
        <v>0</v>
      </c>
      <c r="AD32" s="425">
        <f>ПП!P20</f>
        <v>0</v>
      </c>
      <c r="AE32" s="370">
        <f>SUMIFS('Отчет РПЗ(ПЗ)_ПЗИП'!$AG:$AG,'Отчет РПЗ(ПЗ)_ПЗИП'!$G:$G,Справочно!$C16,'Отчет РПЗ(ПЗ)_ПЗИП'!$AQ:$AQ,4,'Отчет РПЗ(ПЗ)_ПЗИП'!$AG:$AG,"&gt;0")</f>
        <v>0</v>
      </c>
      <c r="AF32" s="44">
        <f>ПП!Q20</f>
        <v>0</v>
      </c>
      <c r="AG32" s="183">
        <f>COUNTIFS('Отчет РПЗ(ПЗ)_ПЗИП'!$G:$G,Справочно!$C16,'Отчет РПЗ(ПЗ)_ПЗИП'!$AQ:$AQ,5,'Отчет РПЗ(ПЗ)_ПЗИП'!$AG:$AG,"&gt;0")</f>
        <v>0</v>
      </c>
      <c r="AH32" s="425">
        <f>ПП!R20</f>
        <v>0</v>
      </c>
      <c r="AI32" s="370">
        <f>SUMIFS('Отчет РПЗ(ПЗ)_ПЗИП'!$AG:$AG,'Отчет РПЗ(ПЗ)_ПЗИП'!$G:$G,Справочно!$C16,'Отчет РПЗ(ПЗ)_ПЗИП'!$AQ:$AQ,5,'Отчет РПЗ(ПЗ)_ПЗИП'!$AG:$AG,"&gt;0")</f>
        <v>0</v>
      </c>
      <c r="AJ32" s="44">
        <f>ПП!S20</f>
        <v>0</v>
      </c>
      <c r="AK32" s="183">
        <f>COUNTIFS('Отчет РПЗ(ПЗ)_ПЗИП'!$G:$G,Справочно!$C16,'Отчет РПЗ(ПЗ)_ПЗИП'!$AQ:$AQ,6,'Отчет РПЗ(ПЗ)_ПЗИП'!$AG:$AG,"&gt;0")</f>
        <v>0</v>
      </c>
      <c r="AL32" s="425">
        <f>ПП!T20</f>
        <v>0</v>
      </c>
      <c r="AM32" s="371">
        <f>SUMIFS('Отчет РПЗ(ПЗ)_ПЗИП'!$AG:$AG,'Отчет РПЗ(ПЗ)_ПЗИП'!$G:$G,Справочно!$C16,'Отчет РПЗ(ПЗ)_ПЗИП'!$AQ:$AQ,6,'Отчет РПЗ(ПЗ)_ПЗИП'!$AG:$AG,"&gt;0")</f>
        <v>0</v>
      </c>
      <c r="AN32" s="171">
        <f>ПП!U20</f>
        <v>0</v>
      </c>
      <c r="AO32" s="185">
        <f t="shared" si="6"/>
        <v>0</v>
      </c>
      <c r="AP32" s="424">
        <f t="shared" si="7"/>
        <v>0</v>
      </c>
      <c r="AQ32" s="331">
        <f t="shared" si="8"/>
        <v>0</v>
      </c>
      <c r="AR32" s="159">
        <f>ПП!W20</f>
        <v>0</v>
      </c>
      <c r="AS32" s="144">
        <f>COUNTIFS('Отчет РПЗ(ПЗ)_ПЗИП'!$G:$G,Справочно!$C16,'Отчет РПЗ(ПЗ)_ПЗИП'!$AQ:$AQ,7,'Отчет РПЗ(ПЗ)_ПЗИП'!$AG:$AG,"&gt;0")</f>
        <v>0</v>
      </c>
      <c r="AT32" s="425">
        <f>ПП!X20</f>
        <v>0</v>
      </c>
      <c r="AU32" s="372">
        <f>SUMIFS('Отчет РПЗ(ПЗ)_ПЗИП'!$AG:$AG,'Отчет РПЗ(ПЗ)_ПЗИП'!$G:$G,Справочно!$C16,'Отчет РПЗ(ПЗ)_ПЗИП'!$AQ:$AQ,7,'Отчет РПЗ(ПЗ)_ПЗИП'!$AG:$AG,"&gt;0")</f>
        <v>0</v>
      </c>
      <c r="AV32" s="44">
        <f>ПП!Y20</f>
        <v>0</v>
      </c>
      <c r="AW32" s="144">
        <f>COUNTIFS('Отчет РПЗ(ПЗ)_ПЗИП'!$G:$G,Справочно!$C16,'Отчет РПЗ(ПЗ)_ПЗИП'!$AQ:$AQ,8,'Отчет РПЗ(ПЗ)_ПЗИП'!$AG:$AG,"&gt;0")</f>
        <v>0</v>
      </c>
      <c r="AX32" s="425">
        <f>ПП!Z20</f>
        <v>0</v>
      </c>
      <c r="AY32" s="372">
        <f>SUMIFS('Отчет РПЗ(ПЗ)_ПЗИП'!$AG:$AG,'Отчет РПЗ(ПЗ)_ПЗИП'!$G:$G,Справочно!$C16,'Отчет РПЗ(ПЗ)_ПЗИП'!$AQ:$AQ,8,'Отчет РПЗ(ПЗ)_ПЗИП'!$AG:$AG,"&gt;0")</f>
        <v>0</v>
      </c>
      <c r="AZ32" s="44">
        <f>ПП!AA20</f>
        <v>0</v>
      </c>
      <c r="BA32" s="144">
        <f>COUNTIFS('Отчет РПЗ(ПЗ)_ПЗИП'!$G:$G,Справочно!$C16,'Отчет РПЗ(ПЗ)_ПЗИП'!$AQ:$AQ,9,'Отчет РПЗ(ПЗ)_ПЗИП'!$AG:$AG,"&gt;0")</f>
        <v>0</v>
      </c>
      <c r="BB32" s="425">
        <f>ПП!AB20</f>
        <v>0</v>
      </c>
      <c r="BC32" s="373">
        <f>SUMIFS('Отчет РПЗ(ПЗ)_ПЗИП'!$AG:$AG,'Отчет РПЗ(ПЗ)_ПЗИП'!$G:$G,Справочно!$C16,'Отчет РПЗ(ПЗ)_ПЗИП'!$AQ:$AQ,9,'Отчет РПЗ(ПЗ)_ПЗИП'!$AG:$AG,"&gt;0")</f>
        <v>0</v>
      </c>
      <c r="BD32" s="171">
        <f>ПП!AC20</f>
        <v>0</v>
      </c>
      <c r="BE32" s="180">
        <f t="shared" si="9"/>
        <v>0</v>
      </c>
      <c r="BF32" s="424">
        <f t="shared" si="10"/>
        <v>0</v>
      </c>
      <c r="BG32" s="333">
        <f t="shared" si="11"/>
        <v>0</v>
      </c>
      <c r="BH32" s="159">
        <f>ПП!AE20</f>
        <v>0</v>
      </c>
      <c r="BI32" s="177">
        <f>COUNTIFS('Отчет РПЗ(ПЗ)_ПЗИП'!$G:$G,Справочно!$C16,'Отчет РПЗ(ПЗ)_ПЗИП'!$AQ:$AQ,10,'Отчет РПЗ(ПЗ)_ПЗИП'!$AG:$AG,"&gt;0")</f>
        <v>0</v>
      </c>
      <c r="BJ32" s="425">
        <f>ПП!AF20</f>
        <v>0</v>
      </c>
      <c r="BK32" s="374">
        <f>SUMIFS('Отчет РПЗ(ПЗ)_ПЗИП'!$AG:$AG,'Отчет РПЗ(ПЗ)_ПЗИП'!$G:$G,Справочно!$C16,'Отчет РПЗ(ПЗ)_ПЗИП'!$AQ:$AQ,10,'Отчет РПЗ(ПЗ)_ПЗИП'!$AG:$AG,"&gt;0")</f>
        <v>0</v>
      </c>
      <c r="BL32" s="44">
        <f>ПП!AG20</f>
        <v>0</v>
      </c>
      <c r="BM32" s="177">
        <f>COUNTIFS('Отчет РПЗ(ПЗ)_ПЗИП'!$G:$G,Справочно!$C16,'Отчет РПЗ(ПЗ)_ПЗИП'!$AQ:$AQ,11,'Отчет РПЗ(ПЗ)_ПЗИП'!$AG:$AG,"&gt;0")</f>
        <v>0</v>
      </c>
      <c r="BN32" s="425">
        <f>ПП!AH20</f>
        <v>0</v>
      </c>
      <c r="BO32" s="374">
        <f>SUMIFS('Отчет РПЗ(ПЗ)_ПЗИП'!$AG:$AG,'Отчет РПЗ(ПЗ)_ПЗИП'!$G:$G,Справочно!$C16,'Отчет РПЗ(ПЗ)_ПЗИП'!$AQ:$AQ,11,'Отчет РПЗ(ПЗ)_ПЗИП'!$AG:$AG,"&gt;0")</f>
        <v>0</v>
      </c>
      <c r="BP32" s="44">
        <f>ПП!AI20</f>
        <v>0</v>
      </c>
      <c r="BQ32" s="177">
        <f>COUNTIFS('Отчет РПЗ(ПЗ)_ПЗИП'!$G:$G,Справочно!$C16,'Отчет РПЗ(ПЗ)_ПЗИП'!$AQ:$AQ,12,'Отчет РПЗ(ПЗ)_ПЗИП'!$AG:$AG,"&gt;0")</f>
        <v>0</v>
      </c>
      <c r="BR32" s="425">
        <f>ПП!AJ20</f>
        <v>0</v>
      </c>
      <c r="BS32" s="375">
        <f>SUMIFS('Отчет РПЗ(ПЗ)_ПЗИП'!$AG:$AG,'Отчет РПЗ(ПЗ)_ПЗИП'!$G:$G,Справочно!$C16,'Отчет РПЗ(ПЗ)_ПЗИП'!$AQ:$AQ,12,'Отчет РПЗ(ПЗ)_ПЗИП'!$AG:$AG,"&gt;0")</f>
        <v>0</v>
      </c>
      <c r="BT32" s="171">
        <f>ПП!AK20</f>
        <v>0</v>
      </c>
      <c r="BU32" s="179">
        <f t="shared" si="12"/>
        <v>0</v>
      </c>
      <c r="BV32" s="424">
        <f t="shared" si="13"/>
        <v>0</v>
      </c>
      <c r="BW32" s="335">
        <f t="shared" si="14"/>
        <v>0</v>
      </c>
    </row>
    <row r="33" spans="2:75" ht="12.75" customHeight="1" thickBot="1" x14ac:dyDescent="0.25">
      <c r="B33" s="83" t="s">
        <v>250</v>
      </c>
      <c r="C33" s="92">
        <f>ПП!B21</f>
        <v>0</v>
      </c>
      <c r="D33" s="412">
        <f>ПП!C21</f>
        <v>0</v>
      </c>
      <c r="E33" s="63">
        <f>COUNTIFS('Отчет РПЗ(ПЗ)_ПЗИП'!$G:$G,Справочно!$C17,'Отчет РПЗ(ПЗ)_ПЗИП'!AG:AG, "&gt;0")</f>
        <v>0</v>
      </c>
      <c r="F33" s="413">
        <f t="shared" si="1"/>
        <v>0</v>
      </c>
      <c r="G33" s="414">
        <f>ПП!D21</f>
        <v>0</v>
      </c>
      <c r="H33" s="415">
        <f>ПП!E21</f>
        <v>0</v>
      </c>
      <c r="I33" s="416">
        <f>SUMIF('Отчет РПЗ(ПЗ)_ПЗИП'!$G:$G,Справочно!$C17,'Отчет РПЗ(ПЗ)_ПЗИП'!$AG:$AG)</f>
        <v>0</v>
      </c>
      <c r="J33" s="413">
        <f t="shared" si="2"/>
        <v>0</v>
      </c>
      <c r="K33" s="61"/>
      <c r="L33" s="159">
        <f>ПП!G21</f>
        <v>0</v>
      </c>
      <c r="M33" s="147">
        <f>COUNTIFS('Отчет РПЗ(ПЗ)_ПЗИП'!$G:$G,Справочно!$C17,'Отчет РПЗ(ПЗ)_ПЗИП'!$AQ:$AQ,1,'Отчет РПЗ(ПЗ)_ПЗИП'!$AG:$AG,"&gt;0")</f>
        <v>0</v>
      </c>
      <c r="N33" s="425">
        <f>ПП!H21</f>
        <v>0</v>
      </c>
      <c r="O33" s="336">
        <f>SUMIFS('Отчет РПЗ(ПЗ)_ПЗИП'!$AG:$AG,'Отчет РПЗ(ПЗ)_ПЗИП'!$G:$G,Справочно!$C17,'Отчет РПЗ(ПЗ)_ПЗИП'!$AQ:$AQ,1,'Отчет РПЗ(ПЗ)_ПЗИП'!$AG:$AG,"&gt;0")</f>
        <v>0</v>
      </c>
      <c r="P33" s="44">
        <f>ПП!I21</f>
        <v>0</v>
      </c>
      <c r="Q33" s="147">
        <f>COUNTIFS('Отчет РПЗ(ПЗ)_ПЗИП'!$G:$G,Справочно!$C17,'Отчет РПЗ(ПЗ)_ПЗИП'!$AQ:$AQ,2,'Отчет РПЗ(ПЗ)_ПЗИП'!$AG:$AG,"&gt;0")</f>
        <v>0</v>
      </c>
      <c r="R33" s="425">
        <f>ПП!J21</f>
        <v>0</v>
      </c>
      <c r="S33" s="336">
        <f>SUMIFS('Отчет РПЗ(ПЗ)_ПЗИП'!$AG:$AG,'Отчет РПЗ(ПЗ)_ПЗИП'!$G:$G,Справочно!$C17,'Отчет РПЗ(ПЗ)_ПЗИП'!$AQ:$AQ,2,'Отчет РПЗ(ПЗ)_ПЗИП'!$AG:$AG,"&gt;0")</f>
        <v>0</v>
      </c>
      <c r="T33" s="44">
        <f>ПП!K21</f>
        <v>0</v>
      </c>
      <c r="U33" s="147">
        <f>COUNTIFS('Отчет РПЗ(ПЗ)_ПЗИП'!$G:$G,Справочно!$C17,'Отчет РПЗ(ПЗ)_ПЗИП'!$AQ:$AQ,3,'Отчет РПЗ(ПЗ)_ПЗИП'!$AG:$AG,"&gt;0")</f>
        <v>0</v>
      </c>
      <c r="V33" s="425">
        <f>ПП!L21</f>
        <v>0</v>
      </c>
      <c r="W33" s="369">
        <f>SUMIFS('Отчет РПЗ(ПЗ)_ПЗИП'!$AG:$AG,'Отчет РПЗ(ПЗ)_ПЗИП'!$G:$G,Справочно!$C17,'Отчет РПЗ(ПЗ)_ПЗИП'!$AQ:$AQ,3,'Отчет РПЗ(ПЗ)_ПЗИП'!$AG:$AG,"&gt;0")</f>
        <v>0</v>
      </c>
      <c r="X33" s="171">
        <f>ПП!M21</f>
        <v>0</v>
      </c>
      <c r="Y33" s="172">
        <f t="shared" si="3"/>
        <v>0</v>
      </c>
      <c r="Z33" s="424">
        <f t="shared" si="4"/>
        <v>0</v>
      </c>
      <c r="AA33" s="329">
        <f t="shared" si="5"/>
        <v>0</v>
      </c>
      <c r="AB33" s="159">
        <f>ПП!O21</f>
        <v>0</v>
      </c>
      <c r="AC33" s="183">
        <f>COUNTIFS('Отчет РПЗ(ПЗ)_ПЗИП'!$G:$G,Справочно!$C17,'Отчет РПЗ(ПЗ)_ПЗИП'!$AQ:$AQ,4,'Отчет РПЗ(ПЗ)_ПЗИП'!$AG:$AG,"&gt;0")</f>
        <v>0</v>
      </c>
      <c r="AD33" s="425">
        <f>ПП!P21</f>
        <v>0</v>
      </c>
      <c r="AE33" s="370">
        <f>SUMIFS('Отчет РПЗ(ПЗ)_ПЗИП'!$AG:$AG,'Отчет РПЗ(ПЗ)_ПЗИП'!$G:$G,Справочно!$C17,'Отчет РПЗ(ПЗ)_ПЗИП'!$AQ:$AQ,4,'Отчет РПЗ(ПЗ)_ПЗИП'!$AG:$AG,"&gt;0")</f>
        <v>0</v>
      </c>
      <c r="AF33" s="44">
        <f>ПП!Q21</f>
        <v>0</v>
      </c>
      <c r="AG33" s="183">
        <f>COUNTIFS('Отчет РПЗ(ПЗ)_ПЗИП'!$G:$G,Справочно!$C17,'Отчет РПЗ(ПЗ)_ПЗИП'!$AQ:$AQ,5,'Отчет РПЗ(ПЗ)_ПЗИП'!$AG:$AG,"&gt;0")</f>
        <v>0</v>
      </c>
      <c r="AH33" s="425">
        <f>ПП!R21</f>
        <v>0</v>
      </c>
      <c r="AI33" s="370">
        <f>SUMIFS('Отчет РПЗ(ПЗ)_ПЗИП'!$AG:$AG,'Отчет РПЗ(ПЗ)_ПЗИП'!$G:$G,Справочно!$C17,'Отчет РПЗ(ПЗ)_ПЗИП'!$AQ:$AQ,5,'Отчет РПЗ(ПЗ)_ПЗИП'!$AG:$AG,"&gt;0")</f>
        <v>0</v>
      </c>
      <c r="AJ33" s="44">
        <f>ПП!S21</f>
        <v>0</v>
      </c>
      <c r="AK33" s="183">
        <f>COUNTIFS('Отчет РПЗ(ПЗ)_ПЗИП'!$G:$G,Справочно!$C17,'Отчет РПЗ(ПЗ)_ПЗИП'!$AQ:$AQ,6,'Отчет РПЗ(ПЗ)_ПЗИП'!$AG:$AG,"&gt;0")</f>
        <v>0</v>
      </c>
      <c r="AL33" s="425">
        <f>ПП!T21</f>
        <v>0</v>
      </c>
      <c r="AM33" s="371">
        <f>SUMIFS('Отчет РПЗ(ПЗ)_ПЗИП'!$AG:$AG,'Отчет РПЗ(ПЗ)_ПЗИП'!$G:$G,Справочно!$C17,'Отчет РПЗ(ПЗ)_ПЗИП'!$AQ:$AQ,6,'Отчет РПЗ(ПЗ)_ПЗИП'!$AG:$AG,"&gt;0")</f>
        <v>0</v>
      </c>
      <c r="AN33" s="171">
        <f>ПП!U21</f>
        <v>0</v>
      </c>
      <c r="AO33" s="185">
        <f t="shared" si="6"/>
        <v>0</v>
      </c>
      <c r="AP33" s="424">
        <f t="shared" si="7"/>
        <v>0</v>
      </c>
      <c r="AQ33" s="331">
        <f t="shared" si="8"/>
        <v>0</v>
      </c>
      <c r="AR33" s="159">
        <f>ПП!W21</f>
        <v>0</v>
      </c>
      <c r="AS33" s="144">
        <f>COUNTIFS('Отчет РПЗ(ПЗ)_ПЗИП'!$G:$G,Справочно!$C17,'Отчет РПЗ(ПЗ)_ПЗИП'!$AQ:$AQ,7,'Отчет РПЗ(ПЗ)_ПЗИП'!$AG:$AG,"&gt;0")</f>
        <v>0</v>
      </c>
      <c r="AT33" s="425">
        <f>ПП!X21</f>
        <v>0</v>
      </c>
      <c r="AU33" s="372">
        <f>SUMIFS('Отчет РПЗ(ПЗ)_ПЗИП'!$AG:$AG,'Отчет РПЗ(ПЗ)_ПЗИП'!$G:$G,Справочно!$C17,'Отчет РПЗ(ПЗ)_ПЗИП'!$AQ:$AQ,7,'Отчет РПЗ(ПЗ)_ПЗИП'!$AG:$AG,"&gt;0")</f>
        <v>0</v>
      </c>
      <c r="AV33" s="44">
        <f>ПП!Y21</f>
        <v>0</v>
      </c>
      <c r="AW33" s="144">
        <f>COUNTIFS('Отчет РПЗ(ПЗ)_ПЗИП'!$G:$G,Справочно!$C17,'Отчет РПЗ(ПЗ)_ПЗИП'!$AQ:$AQ,8,'Отчет РПЗ(ПЗ)_ПЗИП'!$AG:$AG,"&gt;0")</f>
        <v>0</v>
      </c>
      <c r="AX33" s="425">
        <f>ПП!Z21</f>
        <v>0</v>
      </c>
      <c r="AY33" s="372">
        <f>SUMIFS('Отчет РПЗ(ПЗ)_ПЗИП'!$AG:$AG,'Отчет РПЗ(ПЗ)_ПЗИП'!$G:$G,Справочно!$C17,'Отчет РПЗ(ПЗ)_ПЗИП'!$AQ:$AQ,8,'Отчет РПЗ(ПЗ)_ПЗИП'!$AG:$AG,"&gt;0")</f>
        <v>0</v>
      </c>
      <c r="AZ33" s="44">
        <f>ПП!AA21</f>
        <v>0</v>
      </c>
      <c r="BA33" s="144">
        <f>COUNTIFS('Отчет РПЗ(ПЗ)_ПЗИП'!$G:$G,Справочно!$C17,'Отчет РПЗ(ПЗ)_ПЗИП'!$AQ:$AQ,9,'Отчет РПЗ(ПЗ)_ПЗИП'!$AG:$AG,"&gt;0")</f>
        <v>0</v>
      </c>
      <c r="BB33" s="425">
        <f>ПП!AB21</f>
        <v>0</v>
      </c>
      <c r="BC33" s="373">
        <f>SUMIFS('Отчет РПЗ(ПЗ)_ПЗИП'!$AG:$AG,'Отчет РПЗ(ПЗ)_ПЗИП'!$G:$G,Справочно!$C17,'Отчет РПЗ(ПЗ)_ПЗИП'!$AQ:$AQ,9,'Отчет РПЗ(ПЗ)_ПЗИП'!$AG:$AG,"&gt;0")</f>
        <v>0</v>
      </c>
      <c r="BD33" s="171">
        <f>ПП!AC21</f>
        <v>0</v>
      </c>
      <c r="BE33" s="180">
        <f t="shared" si="9"/>
        <v>0</v>
      </c>
      <c r="BF33" s="424">
        <f t="shared" si="10"/>
        <v>0</v>
      </c>
      <c r="BG33" s="333">
        <f t="shared" si="11"/>
        <v>0</v>
      </c>
      <c r="BH33" s="159">
        <f>ПП!AE21</f>
        <v>0</v>
      </c>
      <c r="BI33" s="177">
        <f>COUNTIFS('Отчет РПЗ(ПЗ)_ПЗИП'!$G:$G,Справочно!$C17,'Отчет РПЗ(ПЗ)_ПЗИП'!$AQ:$AQ,10,'Отчет РПЗ(ПЗ)_ПЗИП'!$AG:$AG,"&gt;0")</f>
        <v>0</v>
      </c>
      <c r="BJ33" s="425">
        <f>ПП!AF21</f>
        <v>0</v>
      </c>
      <c r="BK33" s="374">
        <f>SUMIFS('Отчет РПЗ(ПЗ)_ПЗИП'!$AG:$AG,'Отчет РПЗ(ПЗ)_ПЗИП'!$G:$G,Справочно!$C17,'Отчет РПЗ(ПЗ)_ПЗИП'!$AQ:$AQ,10,'Отчет РПЗ(ПЗ)_ПЗИП'!$AG:$AG,"&gt;0")</f>
        <v>0</v>
      </c>
      <c r="BL33" s="44">
        <f>ПП!AG21</f>
        <v>0</v>
      </c>
      <c r="BM33" s="177">
        <f>COUNTIFS('Отчет РПЗ(ПЗ)_ПЗИП'!$G:$G,Справочно!$C17,'Отчет РПЗ(ПЗ)_ПЗИП'!$AQ:$AQ,11,'Отчет РПЗ(ПЗ)_ПЗИП'!$AG:$AG,"&gt;0")</f>
        <v>0</v>
      </c>
      <c r="BN33" s="425">
        <f>ПП!AH21</f>
        <v>0</v>
      </c>
      <c r="BO33" s="374">
        <f>SUMIFS('Отчет РПЗ(ПЗ)_ПЗИП'!$AG:$AG,'Отчет РПЗ(ПЗ)_ПЗИП'!$G:$G,Справочно!$C17,'Отчет РПЗ(ПЗ)_ПЗИП'!$AQ:$AQ,11,'Отчет РПЗ(ПЗ)_ПЗИП'!$AG:$AG,"&gt;0")</f>
        <v>0</v>
      </c>
      <c r="BP33" s="44">
        <f>ПП!AI21</f>
        <v>0</v>
      </c>
      <c r="BQ33" s="177">
        <f>COUNTIFS('Отчет РПЗ(ПЗ)_ПЗИП'!$G:$G,Справочно!$C17,'Отчет РПЗ(ПЗ)_ПЗИП'!$AQ:$AQ,12,'Отчет РПЗ(ПЗ)_ПЗИП'!$AG:$AG,"&gt;0")</f>
        <v>0</v>
      </c>
      <c r="BR33" s="425">
        <f>ПП!AJ21</f>
        <v>0</v>
      </c>
      <c r="BS33" s="375">
        <f>SUMIFS('Отчет РПЗ(ПЗ)_ПЗИП'!$AG:$AG,'Отчет РПЗ(ПЗ)_ПЗИП'!$G:$G,Справочно!$C17,'Отчет РПЗ(ПЗ)_ПЗИП'!$AQ:$AQ,12,'Отчет РПЗ(ПЗ)_ПЗИП'!$AG:$AG,"&gt;0")</f>
        <v>0</v>
      </c>
      <c r="BT33" s="171">
        <f>ПП!AK21</f>
        <v>0</v>
      </c>
      <c r="BU33" s="179">
        <f t="shared" si="12"/>
        <v>0</v>
      </c>
      <c r="BV33" s="424">
        <f t="shared" si="13"/>
        <v>0</v>
      </c>
      <c r="BW33" s="335">
        <f t="shared" si="14"/>
        <v>0</v>
      </c>
    </row>
    <row r="34" spans="2:75" ht="13.5" thickBot="1" x14ac:dyDescent="0.25">
      <c r="B34" s="83" t="s">
        <v>105</v>
      </c>
      <c r="C34" s="92">
        <f>ПП!B22</f>
        <v>10</v>
      </c>
      <c r="D34" s="412">
        <f>ПП!C22</f>
        <v>6.3532401524777635E-3</v>
      </c>
      <c r="E34" s="63">
        <f>COUNTIFS('Отчет РПЗ(ПЗ)_ПЗИП'!$G:$G,Справочно!$C18,'Отчет РПЗ(ПЗ)_ПЗИП'!AG:AG, "&gt;0")</f>
        <v>8</v>
      </c>
      <c r="F34" s="413">
        <f t="shared" si="1"/>
        <v>1.3986013986013986E-2</v>
      </c>
      <c r="G34" s="414">
        <f>ПП!D22</f>
        <v>37414307.780000001</v>
      </c>
      <c r="H34" s="415">
        <f>ПП!E22</f>
        <v>7.6492330247953733E-3</v>
      </c>
      <c r="I34" s="416">
        <f>SUMIF('Отчет РПЗ(ПЗ)_ПЗИП'!$G:$G,Справочно!$C18,'Отчет РПЗ(ПЗ)_ПЗИП'!$AG:$AG)</f>
        <v>31389194.220000003</v>
      </c>
      <c r="J34" s="413">
        <f t="shared" si="2"/>
        <v>2.1026046859806226E-2</v>
      </c>
      <c r="K34" s="61"/>
      <c r="L34" s="159">
        <f>ПП!G22</f>
        <v>0</v>
      </c>
      <c r="M34" s="147">
        <f>COUNTIFS('Отчет РПЗ(ПЗ)_ПЗИП'!$G:$G,Справочно!$C18,'Отчет РПЗ(ПЗ)_ПЗИП'!$AQ:$AQ,1,'Отчет РПЗ(ПЗ)_ПЗИП'!$AG:$AG,"&gt;0")</f>
        <v>0</v>
      </c>
      <c r="N34" s="425">
        <f>ПП!H22</f>
        <v>0</v>
      </c>
      <c r="O34" s="336">
        <f>SUMIFS('Отчет РПЗ(ПЗ)_ПЗИП'!$AG:$AG,'Отчет РПЗ(ПЗ)_ПЗИП'!$G:$G,Справочно!$C18,'Отчет РПЗ(ПЗ)_ПЗИП'!$AQ:$AQ,1,'Отчет РПЗ(ПЗ)_ПЗИП'!$AG:$AG,"&gt;0")</f>
        <v>0</v>
      </c>
      <c r="P34" s="44">
        <f>ПП!I22</f>
        <v>0</v>
      </c>
      <c r="Q34" s="147">
        <f>COUNTIFS('Отчет РПЗ(ПЗ)_ПЗИП'!$G:$G,Справочно!$C18,'Отчет РПЗ(ПЗ)_ПЗИП'!$AQ:$AQ,2,'Отчет РПЗ(ПЗ)_ПЗИП'!$AG:$AG,"&gt;0")</f>
        <v>0</v>
      </c>
      <c r="R34" s="425">
        <f>ПП!J22</f>
        <v>0</v>
      </c>
      <c r="S34" s="336">
        <f>SUMIFS('Отчет РПЗ(ПЗ)_ПЗИП'!$AG:$AG,'Отчет РПЗ(ПЗ)_ПЗИП'!$G:$G,Справочно!$C18,'Отчет РПЗ(ПЗ)_ПЗИП'!$AQ:$AQ,2,'Отчет РПЗ(ПЗ)_ПЗИП'!$AG:$AG,"&gt;0")</f>
        <v>0</v>
      </c>
      <c r="T34" s="44">
        <f>ПП!K22</f>
        <v>0</v>
      </c>
      <c r="U34" s="147">
        <f>COUNTIFS('Отчет РПЗ(ПЗ)_ПЗИП'!$G:$G,Справочно!$C18,'Отчет РПЗ(ПЗ)_ПЗИП'!$AQ:$AQ,3,'Отчет РПЗ(ПЗ)_ПЗИП'!$AG:$AG,"&gt;0")</f>
        <v>0</v>
      </c>
      <c r="V34" s="425">
        <f>ПП!L22</f>
        <v>0</v>
      </c>
      <c r="W34" s="369">
        <f>SUMIFS('Отчет РПЗ(ПЗ)_ПЗИП'!$AG:$AG,'Отчет РПЗ(ПЗ)_ПЗИП'!$G:$G,Справочно!$C18,'Отчет РПЗ(ПЗ)_ПЗИП'!$AQ:$AQ,3,'Отчет РПЗ(ПЗ)_ПЗИП'!$AG:$AG,"&gt;0")</f>
        <v>0</v>
      </c>
      <c r="X34" s="171">
        <f>ПП!M22</f>
        <v>0</v>
      </c>
      <c r="Y34" s="172">
        <f t="shared" si="3"/>
        <v>0</v>
      </c>
      <c r="Z34" s="424">
        <f t="shared" si="4"/>
        <v>0</v>
      </c>
      <c r="AA34" s="329">
        <f t="shared" si="5"/>
        <v>0</v>
      </c>
      <c r="AB34" s="159">
        <f>ПП!O22</f>
        <v>1</v>
      </c>
      <c r="AC34" s="183">
        <f>COUNTIFS('Отчет РПЗ(ПЗ)_ПЗИП'!$G:$G,Справочно!$C18,'Отчет РПЗ(ПЗ)_ПЗИП'!$AQ:$AQ,4,'Отчет РПЗ(ПЗ)_ПЗИП'!$AG:$AG,"&gt;0")</f>
        <v>1</v>
      </c>
      <c r="AD34" s="425">
        <f>ПП!P22</f>
        <v>2700000</v>
      </c>
      <c r="AE34" s="370">
        <f>SUMIFS('Отчет РПЗ(ПЗ)_ПЗИП'!$AG:$AG,'Отчет РПЗ(ПЗ)_ПЗИП'!$G:$G,Справочно!$C18,'Отчет РПЗ(ПЗ)_ПЗИП'!$AQ:$AQ,4,'Отчет РПЗ(ПЗ)_ПЗИП'!$AG:$AG,"&gt;0")</f>
        <v>2660000</v>
      </c>
      <c r="AF34" s="44">
        <f>ПП!Q22</f>
        <v>1</v>
      </c>
      <c r="AG34" s="183">
        <f>COUNTIFS('Отчет РПЗ(ПЗ)_ПЗИП'!$G:$G,Справочно!$C18,'Отчет РПЗ(ПЗ)_ПЗИП'!$AQ:$AQ,5,'Отчет РПЗ(ПЗ)_ПЗИП'!$AG:$AG,"&gt;0")</f>
        <v>0</v>
      </c>
      <c r="AH34" s="425">
        <f>ПП!R22</f>
        <v>3100000</v>
      </c>
      <c r="AI34" s="370">
        <f>SUMIFS('Отчет РПЗ(ПЗ)_ПЗИП'!$AG:$AG,'Отчет РПЗ(ПЗ)_ПЗИП'!$G:$G,Справочно!$C18,'Отчет РПЗ(ПЗ)_ПЗИП'!$AQ:$AQ,5,'Отчет РПЗ(ПЗ)_ПЗИП'!$AG:$AG,"&gt;0")</f>
        <v>0</v>
      </c>
      <c r="AJ34" s="44">
        <f>ПП!S22</f>
        <v>0</v>
      </c>
      <c r="AK34" s="183">
        <f>COUNTIFS('Отчет РПЗ(ПЗ)_ПЗИП'!$G:$G,Справочно!$C18,'Отчет РПЗ(ПЗ)_ПЗИП'!$AQ:$AQ,6,'Отчет РПЗ(ПЗ)_ПЗИП'!$AG:$AG,"&gt;0")</f>
        <v>0</v>
      </c>
      <c r="AL34" s="425">
        <f>ПП!T22</f>
        <v>0</v>
      </c>
      <c r="AM34" s="371">
        <f>SUMIFS('Отчет РПЗ(ПЗ)_ПЗИП'!$AG:$AG,'Отчет РПЗ(ПЗ)_ПЗИП'!$G:$G,Справочно!$C18,'Отчет РПЗ(ПЗ)_ПЗИП'!$AQ:$AQ,6,'Отчет РПЗ(ПЗ)_ПЗИП'!$AG:$AG,"&gt;0")</f>
        <v>0</v>
      </c>
      <c r="AN34" s="171">
        <f>ПП!U22</f>
        <v>2</v>
      </c>
      <c r="AO34" s="185">
        <f t="shared" si="6"/>
        <v>1</v>
      </c>
      <c r="AP34" s="424">
        <f t="shared" si="7"/>
        <v>5800000</v>
      </c>
      <c r="AQ34" s="331">
        <f t="shared" si="8"/>
        <v>2660000</v>
      </c>
      <c r="AR34" s="159">
        <f>ПП!W22</f>
        <v>0</v>
      </c>
      <c r="AS34" s="144">
        <f>COUNTIFS('Отчет РПЗ(ПЗ)_ПЗИП'!$G:$G,Справочно!$C18,'Отчет РПЗ(ПЗ)_ПЗИП'!$AQ:$AQ,7,'Отчет РПЗ(ПЗ)_ПЗИП'!$AG:$AG,"&gt;0")</f>
        <v>0</v>
      </c>
      <c r="AT34" s="425">
        <f>ПП!X22</f>
        <v>0</v>
      </c>
      <c r="AU34" s="372">
        <f>SUMIFS('Отчет РПЗ(ПЗ)_ПЗИП'!$AG:$AG,'Отчет РПЗ(ПЗ)_ПЗИП'!$G:$G,Справочно!$C18,'Отчет РПЗ(ПЗ)_ПЗИП'!$AQ:$AQ,7,'Отчет РПЗ(ПЗ)_ПЗИП'!$AG:$AG,"&gt;0")</f>
        <v>0</v>
      </c>
      <c r="AV34" s="44">
        <f>ПП!Y22</f>
        <v>2</v>
      </c>
      <c r="AW34" s="144">
        <f>COUNTIFS('Отчет РПЗ(ПЗ)_ПЗИП'!$G:$G,Справочно!$C18,'Отчет РПЗ(ПЗ)_ПЗИП'!$AQ:$AQ,8,'Отчет РПЗ(ПЗ)_ПЗИП'!$AG:$AG,"&gt;0")</f>
        <v>1</v>
      </c>
      <c r="AX34" s="425">
        <f>ПП!Z22</f>
        <v>2783515.7800000003</v>
      </c>
      <c r="AY34" s="372">
        <f>SUMIFS('Отчет РПЗ(ПЗ)_ПЗИП'!$AG:$AG,'Отчет РПЗ(ПЗ)_ПЗИП'!$G:$G,Справочно!$C18,'Отчет РПЗ(ПЗ)_ПЗИП'!$AQ:$AQ,8,'Отчет РПЗ(ПЗ)_ПЗИП'!$AG:$AG,"&gt;0")</f>
        <v>541478.31999999995</v>
      </c>
      <c r="AZ34" s="44">
        <f>ПП!AA22</f>
        <v>0</v>
      </c>
      <c r="BA34" s="144">
        <f>COUNTIFS('Отчет РПЗ(ПЗ)_ПЗИП'!$G:$G,Справочно!$C18,'Отчет РПЗ(ПЗ)_ПЗИП'!$AQ:$AQ,9,'Отчет РПЗ(ПЗ)_ПЗИП'!$AG:$AG,"&gt;0")</f>
        <v>0</v>
      </c>
      <c r="BB34" s="425">
        <f>ПП!AB22</f>
        <v>0</v>
      </c>
      <c r="BC34" s="373">
        <f>SUMIFS('Отчет РПЗ(ПЗ)_ПЗИП'!$AG:$AG,'Отчет РПЗ(ПЗ)_ПЗИП'!$G:$G,Справочно!$C18,'Отчет РПЗ(ПЗ)_ПЗИП'!$AQ:$AQ,9,'Отчет РПЗ(ПЗ)_ПЗИП'!$AG:$AG,"&gt;0")</f>
        <v>0</v>
      </c>
      <c r="BD34" s="171">
        <f>ПП!AC22</f>
        <v>2</v>
      </c>
      <c r="BE34" s="180">
        <f t="shared" si="9"/>
        <v>1</v>
      </c>
      <c r="BF34" s="424">
        <f t="shared" si="10"/>
        <v>2783515.7800000003</v>
      </c>
      <c r="BG34" s="333">
        <f t="shared" si="11"/>
        <v>541478.31999999995</v>
      </c>
      <c r="BH34" s="159">
        <f>ПП!AE22</f>
        <v>2</v>
      </c>
      <c r="BI34" s="177">
        <f>COUNTIFS('Отчет РПЗ(ПЗ)_ПЗИП'!$G:$G,Справочно!$C18,'Отчет РПЗ(ПЗ)_ПЗИП'!$AQ:$AQ,10,'Отчет РПЗ(ПЗ)_ПЗИП'!$AG:$AG,"&gt;0")</f>
        <v>2</v>
      </c>
      <c r="BJ34" s="425">
        <f>ПП!AF22</f>
        <v>19200000</v>
      </c>
      <c r="BK34" s="374">
        <f>SUMIFS('Отчет РПЗ(ПЗ)_ПЗИП'!$AG:$AG,'Отчет РПЗ(ПЗ)_ПЗИП'!$G:$G,Справочно!$C18,'Отчет РПЗ(ПЗ)_ПЗИП'!$AQ:$AQ,10,'Отчет РПЗ(ПЗ)_ПЗИП'!$AG:$AG,"&gt;0")</f>
        <v>19178000</v>
      </c>
      <c r="BL34" s="44">
        <f>ПП!AG22</f>
        <v>0</v>
      </c>
      <c r="BM34" s="177">
        <f>COUNTIFS('Отчет РПЗ(ПЗ)_ПЗИП'!$G:$G,Справочно!$C18,'Отчет РПЗ(ПЗ)_ПЗИП'!$AQ:$AQ,11,'Отчет РПЗ(ПЗ)_ПЗИП'!$AG:$AG,"&gt;0")</f>
        <v>0</v>
      </c>
      <c r="BN34" s="425">
        <f>ПП!AH22</f>
        <v>0</v>
      </c>
      <c r="BO34" s="374">
        <f>SUMIFS('Отчет РПЗ(ПЗ)_ПЗИП'!$AG:$AG,'Отчет РПЗ(ПЗ)_ПЗИП'!$G:$G,Справочно!$C18,'Отчет РПЗ(ПЗ)_ПЗИП'!$AQ:$AQ,11,'Отчет РПЗ(ПЗ)_ПЗИП'!$AG:$AG,"&gt;0")</f>
        <v>0</v>
      </c>
      <c r="BP34" s="44">
        <f>ПП!AI22</f>
        <v>4</v>
      </c>
      <c r="BQ34" s="177">
        <f>COUNTIFS('Отчет РПЗ(ПЗ)_ПЗИП'!$G:$G,Справочно!$C18,'Отчет РПЗ(ПЗ)_ПЗИП'!$AQ:$AQ,12,'Отчет РПЗ(ПЗ)_ПЗИП'!$AG:$AG,"&gt;0")</f>
        <v>3</v>
      </c>
      <c r="BR34" s="425">
        <f>ПП!AJ22</f>
        <v>9630792</v>
      </c>
      <c r="BS34" s="375">
        <f>SUMIFS('Отчет РПЗ(ПЗ)_ПЗИП'!$AG:$AG,'Отчет РПЗ(ПЗ)_ПЗИП'!$G:$G,Справочно!$C18,'Отчет РПЗ(ПЗ)_ПЗИП'!$AQ:$AQ,12,'Отчет РПЗ(ПЗ)_ПЗИП'!$AG:$AG,"&gt;0")</f>
        <v>6781000.0999999996</v>
      </c>
      <c r="BT34" s="171">
        <f>ПП!AK22</f>
        <v>6</v>
      </c>
      <c r="BU34" s="179">
        <f t="shared" si="12"/>
        <v>5</v>
      </c>
      <c r="BV34" s="424">
        <f t="shared" si="13"/>
        <v>28830792</v>
      </c>
      <c r="BW34" s="335">
        <f t="shared" si="14"/>
        <v>25959000.100000001</v>
      </c>
    </row>
    <row r="35" spans="2:75" ht="13.5" thickBot="1" x14ac:dyDescent="0.25">
      <c r="B35" s="83" t="s">
        <v>251</v>
      </c>
      <c r="C35" s="92">
        <f>ПП!B23</f>
        <v>0</v>
      </c>
      <c r="D35" s="412">
        <f>ПП!C23</f>
        <v>0</v>
      </c>
      <c r="E35" s="63">
        <f>COUNTIFS('Отчет РПЗ(ПЗ)_ПЗИП'!$G:$G,Справочно!$C19,'Отчет РПЗ(ПЗ)_ПЗИП'!AG:AG, "&gt;0")</f>
        <v>0</v>
      </c>
      <c r="F35" s="413">
        <f t="shared" si="1"/>
        <v>0</v>
      </c>
      <c r="G35" s="414">
        <f>ПП!D23</f>
        <v>0</v>
      </c>
      <c r="H35" s="415">
        <f>ПП!E23</f>
        <v>0</v>
      </c>
      <c r="I35" s="416">
        <f>SUMIF('Отчет РПЗ(ПЗ)_ПЗИП'!$G:$G,Справочно!$C19,'Отчет РПЗ(ПЗ)_ПЗИП'!$AG:$AG)</f>
        <v>0</v>
      </c>
      <c r="J35" s="413">
        <f t="shared" si="2"/>
        <v>0</v>
      </c>
      <c r="K35" s="61"/>
      <c r="L35" s="159">
        <f>ПП!G23</f>
        <v>0</v>
      </c>
      <c r="M35" s="147">
        <f>COUNTIFS('Отчет РПЗ(ПЗ)_ПЗИП'!$G:$G,Справочно!$C19,'Отчет РПЗ(ПЗ)_ПЗИП'!$AQ:$AQ,1,'Отчет РПЗ(ПЗ)_ПЗИП'!$AG:$AG,"&gt;0")</f>
        <v>0</v>
      </c>
      <c r="N35" s="425">
        <f>ПП!H23</f>
        <v>0</v>
      </c>
      <c r="O35" s="336">
        <f>SUMIFS('Отчет РПЗ(ПЗ)_ПЗИП'!$AG:$AG,'Отчет РПЗ(ПЗ)_ПЗИП'!$G:$G,Справочно!$C19,'Отчет РПЗ(ПЗ)_ПЗИП'!$AQ:$AQ,1,'Отчет РПЗ(ПЗ)_ПЗИП'!$AG:$AG,"&gt;0")</f>
        <v>0</v>
      </c>
      <c r="P35" s="44">
        <f>ПП!I23</f>
        <v>0</v>
      </c>
      <c r="Q35" s="147">
        <f>COUNTIFS('Отчет РПЗ(ПЗ)_ПЗИП'!$G:$G,Справочно!$C19,'Отчет РПЗ(ПЗ)_ПЗИП'!$AQ:$AQ,2,'Отчет РПЗ(ПЗ)_ПЗИП'!$AG:$AG,"&gt;0")</f>
        <v>0</v>
      </c>
      <c r="R35" s="425">
        <f>ПП!J23</f>
        <v>0</v>
      </c>
      <c r="S35" s="336">
        <f>SUMIFS('Отчет РПЗ(ПЗ)_ПЗИП'!$AG:$AG,'Отчет РПЗ(ПЗ)_ПЗИП'!$G:$G,Справочно!$C19,'Отчет РПЗ(ПЗ)_ПЗИП'!$AQ:$AQ,2,'Отчет РПЗ(ПЗ)_ПЗИП'!$AG:$AG,"&gt;0")</f>
        <v>0</v>
      </c>
      <c r="T35" s="44">
        <f>ПП!K23</f>
        <v>0</v>
      </c>
      <c r="U35" s="147">
        <f>COUNTIFS('Отчет РПЗ(ПЗ)_ПЗИП'!$G:$G,Справочно!$C19,'Отчет РПЗ(ПЗ)_ПЗИП'!$AQ:$AQ,3,'Отчет РПЗ(ПЗ)_ПЗИП'!$AG:$AG,"&gt;0")</f>
        <v>0</v>
      </c>
      <c r="V35" s="425">
        <f>ПП!L23</f>
        <v>0</v>
      </c>
      <c r="W35" s="369">
        <f>SUMIFS('Отчет РПЗ(ПЗ)_ПЗИП'!$AG:$AG,'Отчет РПЗ(ПЗ)_ПЗИП'!$G:$G,Справочно!$C19,'Отчет РПЗ(ПЗ)_ПЗИП'!$AQ:$AQ,3,'Отчет РПЗ(ПЗ)_ПЗИП'!$AG:$AG,"&gt;0")</f>
        <v>0</v>
      </c>
      <c r="X35" s="171">
        <f>ПП!M23</f>
        <v>0</v>
      </c>
      <c r="Y35" s="172">
        <f t="shared" si="3"/>
        <v>0</v>
      </c>
      <c r="Z35" s="424">
        <f t="shared" si="4"/>
        <v>0</v>
      </c>
      <c r="AA35" s="329">
        <f t="shared" si="5"/>
        <v>0</v>
      </c>
      <c r="AB35" s="159">
        <f>ПП!O23</f>
        <v>0</v>
      </c>
      <c r="AC35" s="183">
        <f>COUNTIFS('Отчет РПЗ(ПЗ)_ПЗИП'!$G:$G,Справочно!$C19,'Отчет РПЗ(ПЗ)_ПЗИП'!$AQ:$AQ,4,'Отчет РПЗ(ПЗ)_ПЗИП'!$AG:$AG,"&gt;0")</f>
        <v>0</v>
      </c>
      <c r="AD35" s="425">
        <f>ПП!P23</f>
        <v>0</v>
      </c>
      <c r="AE35" s="370">
        <f>SUMIFS('Отчет РПЗ(ПЗ)_ПЗИП'!$AG:$AG,'Отчет РПЗ(ПЗ)_ПЗИП'!$G:$G,Справочно!$C19,'Отчет РПЗ(ПЗ)_ПЗИП'!$AQ:$AQ,4,'Отчет РПЗ(ПЗ)_ПЗИП'!$AG:$AG,"&gt;0")</f>
        <v>0</v>
      </c>
      <c r="AF35" s="44">
        <f>ПП!Q23</f>
        <v>0</v>
      </c>
      <c r="AG35" s="183">
        <f>COUNTIFS('Отчет РПЗ(ПЗ)_ПЗИП'!$G:$G,Справочно!$C19,'Отчет РПЗ(ПЗ)_ПЗИП'!$AQ:$AQ,5,'Отчет РПЗ(ПЗ)_ПЗИП'!$AG:$AG,"&gt;0")</f>
        <v>0</v>
      </c>
      <c r="AH35" s="425">
        <f>ПП!R23</f>
        <v>0</v>
      </c>
      <c r="AI35" s="370">
        <f>SUMIFS('Отчет РПЗ(ПЗ)_ПЗИП'!$AG:$AG,'Отчет РПЗ(ПЗ)_ПЗИП'!$G:$G,Справочно!$C19,'Отчет РПЗ(ПЗ)_ПЗИП'!$AQ:$AQ,5,'Отчет РПЗ(ПЗ)_ПЗИП'!$AG:$AG,"&gt;0")</f>
        <v>0</v>
      </c>
      <c r="AJ35" s="44">
        <f>ПП!S23</f>
        <v>0</v>
      </c>
      <c r="AK35" s="183">
        <f>COUNTIFS('Отчет РПЗ(ПЗ)_ПЗИП'!$G:$G,Справочно!$C19,'Отчет РПЗ(ПЗ)_ПЗИП'!$AQ:$AQ,6,'Отчет РПЗ(ПЗ)_ПЗИП'!$AG:$AG,"&gt;0")</f>
        <v>0</v>
      </c>
      <c r="AL35" s="425">
        <f>ПП!T23</f>
        <v>0</v>
      </c>
      <c r="AM35" s="371">
        <f>SUMIFS('Отчет РПЗ(ПЗ)_ПЗИП'!$AG:$AG,'Отчет РПЗ(ПЗ)_ПЗИП'!$G:$G,Справочно!$C19,'Отчет РПЗ(ПЗ)_ПЗИП'!$AQ:$AQ,6,'Отчет РПЗ(ПЗ)_ПЗИП'!$AG:$AG,"&gt;0")</f>
        <v>0</v>
      </c>
      <c r="AN35" s="171">
        <f>ПП!U23</f>
        <v>0</v>
      </c>
      <c r="AO35" s="185">
        <f t="shared" si="6"/>
        <v>0</v>
      </c>
      <c r="AP35" s="424">
        <f t="shared" si="7"/>
        <v>0</v>
      </c>
      <c r="AQ35" s="331">
        <f t="shared" si="8"/>
        <v>0</v>
      </c>
      <c r="AR35" s="159">
        <f>ПП!W23</f>
        <v>0</v>
      </c>
      <c r="AS35" s="144">
        <f>COUNTIFS('Отчет РПЗ(ПЗ)_ПЗИП'!$G:$G,Справочно!$C19,'Отчет РПЗ(ПЗ)_ПЗИП'!$AQ:$AQ,7,'Отчет РПЗ(ПЗ)_ПЗИП'!$AG:$AG,"&gt;0")</f>
        <v>0</v>
      </c>
      <c r="AT35" s="425">
        <f>ПП!X23</f>
        <v>0</v>
      </c>
      <c r="AU35" s="372">
        <f>SUMIFS('Отчет РПЗ(ПЗ)_ПЗИП'!$AG:$AG,'Отчет РПЗ(ПЗ)_ПЗИП'!$G:$G,Справочно!$C19,'Отчет РПЗ(ПЗ)_ПЗИП'!$AQ:$AQ,7,'Отчет РПЗ(ПЗ)_ПЗИП'!$AG:$AG,"&gt;0")</f>
        <v>0</v>
      </c>
      <c r="AV35" s="44">
        <f>ПП!Y23</f>
        <v>0</v>
      </c>
      <c r="AW35" s="144">
        <f>COUNTIFS('Отчет РПЗ(ПЗ)_ПЗИП'!$G:$G,Справочно!$C19,'Отчет РПЗ(ПЗ)_ПЗИП'!$AQ:$AQ,8,'Отчет РПЗ(ПЗ)_ПЗИП'!$AG:$AG,"&gt;0")</f>
        <v>0</v>
      </c>
      <c r="AX35" s="425">
        <f>ПП!Z23</f>
        <v>0</v>
      </c>
      <c r="AY35" s="372">
        <f>SUMIFS('Отчет РПЗ(ПЗ)_ПЗИП'!$AG:$AG,'Отчет РПЗ(ПЗ)_ПЗИП'!$G:$G,Справочно!$C19,'Отчет РПЗ(ПЗ)_ПЗИП'!$AQ:$AQ,8,'Отчет РПЗ(ПЗ)_ПЗИП'!$AG:$AG,"&gt;0")</f>
        <v>0</v>
      </c>
      <c r="AZ35" s="44">
        <f>ПП!AA23</f>
        <v>0</v>
      </c>
      <c r="BA35" s="144">
        <f>COUNTIFS('Отчет РПЗ(ПЗ)_ПЗИП'!$G:$G,Справочно!$C19,'Отчет РПЗ(ПЗ)_ПЗИП'!$AQ:$AQ,9,'Отчет РПЗ(ПЗ)_ПЗИП'!$AG:$AG,"&gt;0")</f>
        <v>0</v>
      </c>
      <c r="BB35" s="425">
        <f>ПП!AB23</f>
        <v>0</v>
      </c>
      <c r="BC35" s="373">
        <f>SUMIFS('Отчет РПЗ(ПЗ)_ПЗИП'!$AG:$AG,'Отчет РПЗ(ПЗ)_ПЗИП'!$G:$G,Справочно!$C19,'Отчет РПЗ(ПЗ)_ПЗИП'!$AQ:$AQ,9,'Отчет РПЗ(ПЗ)_ПЗИП'!$AG:$AG,"&gt;0")</f>
        <v>0</v>
      </c>
      <c r="BD35" s="171">
        <f>ПП!AC23</f>
        <v>0</v>
      </c>
      <c r="BE35" s="180">
        <f t="shared" si="9"/>
        <v>0</v>
      </c>
      <c r="BF35" s="424">
        <f t="shared" si="10"/>
        <v>0</v>
      </c>
      <c r="BG35" s="333">
        <f t="shared" si="11"/>
        <v>0</v>
      </c>
      <c r="BH35" s="159">
        <f>ПП!AE23</f>
        <v>0</v>
      </c>
      <c r="BI35" s="177">
        <f>COUNTIFS('Отчет РПЗ(ПЗ)_ПЗИП'!$G:$G,Справочно!$C19,'Отчет РПЗ(ПЗ)_ПЗИП'!$AQ:$AQ,10,'Отчет РПЗ(ПЗ)_ПЗИП'!$AG:$AG,"&gt;0")</f>
        <v>0</v>
      </c>
      <c r="BJ35" s="425">
        <f>ПП!AF23</f>
        <v>0</v>
      </c>
      <c r="BK35" s="374">
        <f>SUMIFS('Отчет РПЗ(ПЗ)_ПЗИП'!$AG:$AG,'Отчет РПЗ(ПЗ)_ПЗИП'!$G:$G,Справочно!$C19,'Отчет РПЗ(ПЗ)_ПЗИП'!$AQ:$AQ,10,'Отчет РПЗ(ПЗ)_ПЗИП'!$AG:$AG,"&gt;0")</f>
        <v>0</v>
      </c>
      <c r="BL35" s="44">
        <f>ПП!AG23</f>
        <v>0</v>
      </c>
      <c r="BM35" s="177">
        <f>COUNTIFS('Отчет РПЗ(ПЗ)_ПЗИП'!$G:$G,Справочно!$C19,'Отчет РПЗ(ПЗ)_ПЗИП'!$AQ:$AQ,11,'Отчет РПЗ(ПЗ)_ПЗИП'!$AG:$AG,"&gt;0")</f>
        <v>0</v>
      </c>
      <c r="BN35" s="425">
        <f>ПП!AH23</f>
        <v>0</v>
      </c>
      <c r="BO35" s="374">
        <f>SUMIFS('Отчет РПЗ(ПЗ)_ПЗИП'!$AG:$AG,'Отчет РПЗ(ПЗ)_ПЗИП'!$G:$G,Справочно!$C19,'Отчет РПЗ(ПЗ)_ПЗИП'!$AQ:$AQ,11,'Отчет РПЗ(ПЗ)_ПЗИП'!$AG:$AG,"&gt;0")</f>
        <v>0</v>
      </c>
      <c r="BP35" s="44">
        <f>ПП!AI23</f>
        <v>0</v>
      </c>
      <c r="BQ35" s="177">
        <f>COUNTIFS('Отчет РПЗ(ПЗ)_ПЗИП'!$G:$G,Справочно!$C19,'Отчет РПЗ(ПЗ)_ПЗИП'!$AQ:$AQ,12,'Отчет РПЗ(ПЗ)_ПЗИП'!$AG:$AG,"&gt;0")</f>
        <v>0</v>
      </c>
      <c r="BR35" s="425">
        <f>ПП!AJ23</f>
        <v>0</v>
      </c>
      <c r="BS35" s="375">
        <f>SUMIFS('Отчет РПЗ(ПЗ)_ПЗИП'!$AG:$AG,'Отчет РПЗ(ПЗ)_ПЗИП'!$G:$G,Справочно!$C19,'Отчет РПЗ(ПЗ)_ПЗИП'!$AQ:$AQ,12,'Отчет РПЗ(ПЗ)_ПЗИП'!$AG:$AG,"&gt;0")</f>
        <v>0</v>
      </c>
      <c r="BT35" s="171">
        <f>ПП!AK23</f>
        <v>0</v>
      </c>
      <c r="BU35" s="179">
        <f t="shared" si="12"/>
        <v>0</v>
      </c>
      <c r="BV35" s="424">
        <f t="shared" si="13"/>
        <v>0</v>
      </c>
      <c r="BW35" s="335">
        <f t="shared" si="14"/>
        <v>0</v>
      </c>
    </row>
    <row r="36" spans="2:75" ht="13.5" thickBot="1" x14ac:dyDescent="0.25">
      <c r="B36" s="83" t="s">
        <v>107</v>
      </c>
      <c r="C36" s="92">
        <f>ПП!B24</f>
        <v>822</v>
      </c>
      <c r="D36" s="412">
        <f>ПП!C24</f>
        <v>0.52223634053367218</v>
      </c>
      <c r="E36" s="63">
        <f>COUNTIFS('Отчет РПЗ(ПЗ)_ПЗИП'!$G:$G,Справочно!$C20,'Отчет РПЗ(ПЗ)_ПЗИП'!AG:AG, "&gt;0")</f>
        <v>210</v>
      </c>
      <c r="F36" s="413">
        <f t="shared" si="1"/>
        <v>0.36713286713286714</v>
      </c>
      <c r="G36" s="414">
        <f>ПП!D24</f>
        <v>1785428205.8600006</v>
      </c>
      <c r="H36" s="415">
        <f>ПП!E24</f>
        <v>0.3650249652077211</v>
      </c>
      <c r="I36" s="416">
        <f>SUMIF('Отчет РПЗ(ПЗ)_ПЗИП'!$G:$G,Справочно!$C20,'Отчет РПЗ(ПЗ)_ПЗИП'!$AG:$AG)</f>
        <v>155038453.64999995</v>
      </c>
      <c r="J36" s="413">
        <f t="shared" si="2"/>
        <v>0.10385248403221974</v>
      </c>
      <c r="K36" s="61"/>
      <c r="L36" s="159">
        <f>ПП!G24</f>
        <v>166</v>
      </c>
      <c r="M36" s="147">
        <f>COUNTIFS('Отчет РПЗ(ПЗ)_ПЗИП'!$G:$G,Справочно!$C20,'Отчет РПЗ(ПЗ)_ПЗИП'!$AQ:$AQ,1,'Отчет РПЗ(ПЗ)_ПЗИП'!$AG:$AG,"&gt;0")</f>
        <v>5</v>
      </c>
      <c r="N36" s="425">
        <f>ПП!H24</f>
        <v>915547548.24000037</v>
      </c>
      <c r="O36" s="336">
        <f>SUMIFS('Отчет РПЗ(ПЗ)_ПЗИП'!$AG:$AG,'Отчет РПЗ(ПЗ)_ПЗИП'!$G:$G,Справочно!$C20,'Отчет РПЗ(ПЗ)_ПЗИП'!$AQ:$AQ,1,'Отчет РПЗ(ПЗ)_ПЗИП'!$AG:$AG,"&gt;0")</f>
        <v>3286418</v>
      </c>
      <c r="P36" s="44">
        <f>ПП!I24</f>
        <v>97</v>
      </c>
      <c r="Q36" s="147">
        <f>COUNTIFS('Отчет РПЗ(ПЗ)_ПЗИП'!$G:$G,Справочно!$C20,'Отчет РПЗ(ПЗ)_ПЗИП'!$AQ:$AQ,2,'Отчет РПЗ(ПЗ)_ПЗИП'!$AG:$AG,"&gt;0")</f>
        <v>13</v>
      </c>
      <c r="R36" s="425">
        <f>ПП!J24</f>
        <v>99211512.439999968</v>
      </c>
      <c r="S36" s="336">
        <f>SUMIFS('Отчет РПЗ(ПЗ)_ПЗИП'!$AG:$AG,'Отчет РПЗ(ПЗ)_ПЗИП'!$G:$G,Справочно!$C20,'Отчет РПЗ(ПЗ)_ПЗИП'!$AQ:$AQ,2,'Отчет РПЗ(ПЗ)_ПЗИП'!$AG:$AG,"&gt;0")</f>
        <v>9807358.6199999992</v>
      </c>
      <c r="T36" s="44">
        <f>ПП!K24</f>
        <v>71</v>
      </c>
      <c r="U36" s="147">
        <f>COUNTIFS('Отчет РПЗ(ПЗ)_ПЗИП'!$G:$G,Справочно!$C20,'Отчет РПЗ(ПЗ)_ПЗИП'!$AQ:$AQ,3,'Отчет РПЗ(ПЗ)_ПЗИП'!$AG:$AG,"&gt;0")</f>
        <v>20</v>
      </c>
      <c r="V36" s="425">
        <f>ПП!L24</f>
        <v>73620322.450000033</v>
      </c>
      <c r="W36" s="369">
        <f>SUMIFS('Отчет РПЗ(ПЗ)_ПЗИП'!$AG:$AG,'Отчет РПЗ(ПЗ)_ПЗИП'!$G:$G,Справочно!$C20,'Отчет РПЗ(ПЗ)_ПЗИП'!$AQ:$AQ,3,'Отчет РПЗ(ПЗ)_ПЗИП'!$AG:$AG,"&gt;0")</f>
        <v>22546549.830000002</v>
      </c>
      <c r="X36" s="171">
        <f>ПП!M24</f>
        <v>334</v>
      </c>
      <c r="Y36" s="172">
        <f t="shared" si="3"/>
        <v>38</v>
      </c>
      <c r="Z36" s="424">
        <f t="shared" si="4"/>
        <v>1088379383.1300004</v>
      </c>
      <c r="AA36" s="329">
        <f t="shared" si="5"/>
        <v>35640326.450000003</v>
      </c>
      <c r="AB36" s="159">
        <f>ПП!O24</f>
        <v>44</v>
      </c>
      <c r="AC36" s="183">
        <f>COUNTIFS('Отчет РПЗ(ПЗ)_ПЗИП'!$G:$G,Справочно!$C20,'Отчет РПЗ(ПЗ)_ПЗИП'!$AQ:$AQ,4,'Отчет РПЗ(ПЗ)_ПЗИП'!$AG:$AG,"&gt;0")</f>
        <v>13</v>
      </c>
      <c r="AD36" s="425">
        <f>ПП!P24</f>
        <v>51302067.910000004</v>
      </c>
      <c r="AE36" s="370">
        <f>SUMIFS('Отчет РПЗ(ПЗ)_ПЗИП'!$AG:$AG,'Отчет РПЗ(ПЗ)_ПЗИП'!$G:$G,Справочно!$C20,'Отчет РПЗ(ПЗ)_ПЗИП'!$AQ:$AQ,4,'Отчет РПЗ(ПЗ)_ПЗИП'!$AG:$AG,"&gt;0")</f>
        <v>13516049.209999999</v>
      </c>
      <c r="AF36" s="44">
        <f>ПП!Q24</f>
        <v>53</v>
      </c>
      <c r="AG36" s="183">
        <f>COUNTIFS('Отчет РПЗ(ПЗ)_ПЗИП'!$G:$G,Справочно!$C20,'Отчет РПЗ(ПЗ)_ПЗИП'!$AQ:$AQ,5,'Отчет РПЗ(ПЗ)_ПЗИП'!$AG:$AG,"&gt;0")</f>
        <v>17</v>
      </c>
      <c r="AH36" s="425">
        <f>ПП!R24</f>
        <v>70139030.820000008</v>
      </c>
      <c r="AI36" s="370">
        <f>SUMIFS('Отчет РПЗ(ПЗ)_ПЗИП'!$AG:$AG,'Отчет РПЗ(ПЗ)_ПЗИП'!$G:$G,Справочно!$C20,'Отчет РПЗ(ПЗ)_ПЗИП'!$AQ:$AQ,5,'Отчет РПЗ(ПЗ)_ПЗИП'!$AG:$AG,"&gt;0")</f>
        <v>13095436.819999998</v>
      </c>
      <c r="AJ36" s="44">
        <f>ПП!S24</f>
        <v>84</v>
      </c>
      <c r="AK36" s="183">
        <f>COUNTIFS('Отчет РПЗ(ПЗ)_ПЗИП'!$G:$G,Справочно!$C20,'Отчет РПЗ(ПЗ)_ПЗИП'!$AQ:$AQ,6,'Отчет РПЗ(ПЗ)_ПЗИП'!$AG:$AG,"&gt;0")</f>
        <v>24</v>
      </c>
      <c r="AL36" s="425">
        <f>ПП!T24</f>
        <v>344870078.6400001</v>
      </c>
      <c r="AM36" s="371">
        <f>SUMIFS('Отчет РПЗ(ПЗ)_ПЗИП'!$AG:$AG,'Отчет РПЗ(ПЗ)_ПЗИП'!$G:$G,Справочно!$C20,'Отчет РПЗ(ПЗ)_ПЗИП'!$AQ:$AQ,6,'Отчет РПЗ(ПЗ)_ПЗИП'!$AG:$AG,"&gt;0")</f>
        <v>20677232.759999998</v>
      </c>
      <c r="AN36" s="171">
        <f>ПП!U24</f>
        <v>181</v>
      </c>
      <c r="AO36" s="185">
        <f t="shared" si="6"/>
        <v>54</v>
      </c>
      <c r="AP36" s="424">
        <f t="shared" si="7"/>
        <v>466311177.37000012</v>
      </c>
      <c r="AQ36" s="331">
        <f t="shared" si="8"/>
        <v>47288718.789999992</v>
      </c>
      <c r="AR36" s="159">
        <f>ПП!W24</f>
        <v>64</v>
      </c>
      <c r="AS36" s="144">
        <f>COUNTIFS('Отчет РПЗ(ПЗ)_ПЗИП'!$G:$G,Справочно!$C20,'Отчет РПЗ(ПЗ)_ПЗИП'!$AQ:$AQ,7,'Отчет РПЗ(ПЗ)_ПЗИП'!$AG:$AG,"&gt;0")</f>
        <v>22</v>
      </c>
      <c r="AT36" s="425">
        <f>ПП!X24</f>
        <v>61084502.680000015</v>
      </c>
      <c r="AU36" s="372">
        <f>SUMIFS('Отчет РПЗ(ПЗ)_ПЗИП'!$AG:$AG,'Отчет РПЗ(ПЗ)_ПЗИП'!$G:$G,Справочно!$C20,'Отчет РПЗ(ПЗ)_ПЗИП'!$AQ:$AQ,7,'Отчет РПЗ(ПЗ)_ПЗИП'!$AG:$AG,"&gt;0")</f>
        <v>13185807.649999999</v>
      </c>
      <c r="AV36" s="44">
        <f>ПП!Y24</f>
        <v>43</v>
      </c>
      <c r="AW36" s="144">
        <f>COUNTIFS('Отчет РПЗ(ПЗ)_ПЗИП'!$G:$G,Справочно!$C20,'Отчет РПЗ(ПЗ)_ПЗИП'!$AQ:$AQ,8,'Отчет РПЗ(ПЗ)_ПЗИП'!$AG:$AG,"&gt;0")</f>
        <v>10</v>
      </c>
      <c r="AX36" s="425">
        <f>ПП!Z24</f>
        <v>43653673.829999991</v>
      </c>
      <c r="AY36" s="372">
        <f>SUMIFS('Отчет РПЗ(ПЗ)_ПЗИП'!$AG:$AG,'Отчет РПЗ(ПЗ)_ПЗИП'!$G:$G,Справочно!$C20,'Отчет РПЗ(ПЗ)_ПЗИП'!$AQ:$AQ,8,'Отчет РПЗ(ПЗ)_ПЗИП'!$AG:$AG,"&gt;0")</f>
        <v>13917049.4</v>
      </c>
      <c r="AZ36" s="44">
        <f>ПП!AA24</f>
        <v>47</v>
      </c>
      <c r="BA36" s="144">
        <f>COUNTIFS('Отчет РПЗ(ПЗ)_ПЗИП'!$G:$G,Справочно!$C20,'Отчет РПЗ(ПЗ)_ПЗИП'!$AQ:$AQ,9,'Отчет РПЗ(ПЗ)_ПЗИП'!$AG:$AG,"&gt;0")</f>
        <v>14</v>
      </c>
      <c r="BB36" s="425">
        <f>ПП!AB24</f>
        <v>36909450.359999999</v>
      </c>
      <c r="BC36" s="373">
        <f>SUMIFS('Отчет РПЗ(ПЗ)_ПЗИП'!$AG:$AG,'Отчет РПЗ(ПЗ)_ПЗИП'!$G:$G,Справочно!$C20,'Отчет РПЗ(ПЗ)_ПЗИП'!$AQ:$AQ,9,'Отчет РПЗ(ПЗ)_ПЗИП'!$AG:$AG,"&gt;0")</f>
        <v>5685242.4500000002</v>
      </c>
      <c r="BD36" s="171">
        <f>ПП!AC24</f>
        <v>154</v>
      </c>
      <c r="BE36" s="180">
        <f t="shared" si="9"/>
        <v>46</v>
      </c>
      <c r="BF36" s="424">
        <f t="shared" si="10"/>
        <v>141647626.87</v>
      </c>
      <c r="BG36" s="333">
        <f t="shared" si="11"/>
        <v>32788099.499999996</v>
      </c>
      <c r="BH36" s="159">
        <f>ПП!AE24</f>
        <v>46</v>
      </c>
      <c r="BI36" s="177">
        <f>COUNTIFS('Отчет РПЗ(ПЗ)_ПЗИП'!$G:$G,Справочно!$C20,'Отчет РПЗ(ПЗ)_ПЗИП'!$AQ:$AQ,10,'Отчет РПЗ(ПЗ)_ПЗИП'!$AG:$AG,"&gt;0")</f>
        <v>16</v>
      </c>
      <c r="BJ36" s="425">
        <f>ПП!AF24</f>
        <v>27264106.180000003</v>
      </c>
      <c r="BK36" s="374">
        <f>SUMIFS('Отчет РПЗ(ПЗ)_ПЗИП'!$AG:$AG,'Отчет РПЗ(ПЗ)_ПЗИП'!$G:$G,Справочно!$C20,'Отчет РПЗ(ПЗ)_ПЗИП'!$AQ:$AQ,10,'Отчет РПЗ(ПЗ)_ПЗИП'!$AG:$AG,"&gt;0")</f>
        <v>7801665.1200000001</v>
      </c>
      <c r="BL36" s="44">
        <f>ПП!AG24</f>
        <v>65</v>
      </c>
      <c r="BM36" s="177">
        <f>COUNTIFS('Отчет РПЗ(ПЗ)_ПЗИП'!$G:$G,Справочно!$C20,'Отчет РПЗ(ПЗ)_ПЗИП'!$AQ:$AQ,11,'Отчет РПЗ(ПЗ)_ПЗИП'!$AG:$AG,"&gt;0")</f>
        <v>36</v>
      </c>
      <c r="BN36" s="425">
        <f>ПП!AH24</f>
        <v>42539070.460000001</v>
      </c>
      <c r="BO36" s="374">
        <f>SUMIFS('Отчет РПЗ(ПЗ)_ПЗИП'!$AG:$AG,'Отчет РПЗ(ПЗ)_ПЗИП'!$G:$G,Справочно!$C20,'Отчет РПЗ(ПЗ)_ПЗИП'!$AQ:$AQ,11,'Отчет РПЗ(ПЗ)_ПЗИП'!$AG:$AG,"&gt;0")</f>
        <v>19545749.77</v>
      </c>
      <c r="BP36" s="44">
        <f>ПП!AI24</f>
        <v>42</v>
      </c>
      <c r="BQ36" s="177">
        <f>COUNTIFS('Отчет РПЗ(ПЗ)_ПЗИП'!$G:$G,Справочно!$C20,'Отчет РПЗ(ПЗ)_ПЗИП'!$AQ:$AQ,12,'Отчет РПЗ(ПЗ)_ПЗИП'!$AG:$AG,"&gt;0")</f>
        <v>19</v>
      </c>
      <c r="BR36" s="425">
        <f>ПП!AJ24</f>
        <v>19286841.849999998</v>
      </c>
      <c r="BS36" s="375">
        <f>SUMIFS('Отчет РПЗ(ПЗ)_ПЗИП'!$AG:$AG,'Отчет РПЗ(ПЗ)_ПЗИП'!$G:$G,Справочно!$C20,'Отчет РПЗ(ПЗ)_ПЗИП'!$AQ:$AQ,12,'Отчет РПЗ(ПЗ)_ПЗИП'!$AG:$AG,"&gt;0")</f>
        <v>11500364.020000001</v>
      </c>
      <c r="BT36" s="171">
        <f>ПП!AK24</f>
        <v>153</v>
      </c>
      <c r="BU36" s="179">
        <f t="shared" si="12"/>
        <v>71</v>
      </c>
      <c r="BV36" s="424">
        <f t="shared" si="13"/>
        <v>89090018.489999995</v>
      </c>
      <c r="BW36" s="335">
        <f t="shared" si="14"/>
        <v>38847778.910000004</v>
      </c>
    </row>
    <row r="37" spans="2:75" ht="13.5" thickBot="1" x14ac:dyDescent="0.25">
      <c r="B37" s="83" t="s">
        <v>252</v>
      </c>
      <c r="C37" s="92">
        <f>ПП!B25</f>
        <v>0</v>
      </c>
      <c r="D37" s="412">
        <f>ПП!C25</f>
        <v>0</v>
      </c>
      <c r="E37" s="63">
        <f>COUNTIFS('Отчет РПЗ(ПЗ)_ПЗИП'!$G:$G,Справочно!$C21,'Отчет РПЗ(ПЗ)_ПЗИП'!AG:AG, "&gt;0")</f>
        <v>0</v>
      </c>
      <c r="F37" s="413">
        <f t="shared" si="1"/>
        <v>0</v>
      </c>
      <c r="G37" s="414">
        <f>ПП!D25</f>
        <v>0</v>
      </c>
      <c r="H37" s="415">
        <f>ПП!E25</f>
        <v>0</v>
      </c>
      <c r="I37" s="416">
        <f>SUMIF('Отчет РПЗ(ПЗ)_ПЗИП'!$G:$G,Справочно!$C21,'Отчет РПЗ(ПЗ)_ПЗИП'!$AG:$AG)</f>
        <v>0</v>
      </c>
      <c r="J37" s="413">
        <f t="shared" si="2"/>
        <v>0</v>
      </c>
      <c r="K37" s="61"/>
      <c r="L37" s="159">
        <f>ПП!G25</f>
        <v>0</v>
      </c>
      <c r="M37" s="147">
        <f>COUNTIFS('Отчет РПЗ(ПЗ)_ПЗИП'!$G:$G,Справочно!$C21,'Отчет РПЗ(ПЗ)_ПЗИП'!$AQ:$AQ,1,'Отчет РПЗ(ПЗ)_ПЗИП'!$AG:$AG,"&gt;0")</f>
        <v>0</v>
      </c>
      <c r="N37" s="425">
        <f>ПП!H25</f>
        <v>0</v>
      </c>
      <c r="O37" s="336">
        <f>SUMIFS('Отчет РПЗ(ПЗ)_ПЗИП'!$AG:$AG,'Отчет РПЗ(ПЗ)_ПЗИП'!$G:$G,Справочно!$C21,'Отчет РПЗ(ПЗ)_ПЗИП'!$AQ:$AQ,1,'Отчет РПЗ(ПЗ)_ПЗИП'!$AG:$AG,"&gt;0")</f>
        <v>0</v>
      </c>
      <c r="P37" s="44">
        <f>ПП!I25</f>
        <v>0</v>
      </c>
      <c r="Q37" s="147">
        <f>COUNTIFS('Отчет РПЗ(ПЗ)_ПЗИП'!$G:$G,Справочно!$C21,'Отчет РПЗ(ПЗ)_ПЗИП'!$AQ:$AQ,2,'Отчет РПЗ(ПЗ)_ПЗИП'!$AG:$AG,"&gt;0")</f>
        <v>0</v>
      </c>
      <c r="R37" s="425">
        <f>ПП!J25</f>
        <v>0</v>
      </c>
      <c r="S37" s="336">
        <f>SUMIFS('Отчет РПЗ(ПЗ)_ПЗИП'!$AG:$AG,'Отчет РПЗ(ПЗ)_ПЗИП'!$G:$G,Справочно!$C21,'Отчет РПЗ(ПЗ)_ПЗИП'!$AQ:$AQ,2,'Отчет РПЗ(ПЗ)_ПЗИП'!$AG:$AG,"&gt;0")</f>
        <v>0</v>
      </c>
      <c r="T37" s="44">
        <f>ПП!K25</f>
        <v>0</v>
      </c>
      <c r="U37" s="147">
        <f>COUNTIFS('Отчет РПЗ(ПЗ)_ПЗИП'!$G:$G,Справочно!$C21,'Отчет РПЗ(ПЗ)_ПЗИП'!$AQ:$AQ,3,'Отчет РПЗ(ПЗ)_ПЗИП'!$AG:$AG,"&gt;0")</f>
        <v>0</v>
      </c>
      <c r="V37" s="425">
        <f>ПП!L25</f>
        <v>0</v>
      </c>
      <c r="W37" s="369">
        <f>SUMIFS('Отчет РПЗ(ПЗ)_ПЗИП'!$AG:$AG,'Отчет РПЗ(ПЗ)_ПЗИП'!$G:$G,Справочно!$C21,'Отчет РПЗ(ПЗ)_ПЗИП'!$AQ:$AQ,3,'Отчет РПЗ(ПЗ)_ПЗИП'!$AG:$AG,"&gt;0")</f>
        <v>0</v>
      </c>
      <c r="X37" s="171">
        <f>ПП!M25</f>
        <v>0</v>
      </c>
      <c r="Y37" s="172">
        <f t="shared" si="3"/>
        <v>0</v>
      </c>
      <c r="Z37" s="424">
        <f t="shared" si="4"/>
        <v>0</v>
      </c>
      <c r="AA37" s="329">
        <f t="shared" si="5"/>
        <v>0</v>
      </c>
      <c r="AB37" s="159">
        <f>ПП!O25</f>
        <v>0</v>
      </c>
      <c r="AC37" s="183">
        <f>COUNTIFS('Отчет РПЗ(ПЗ)_ПЗИП'!$G:$G,Справочно!$C21,'Отчет РПЗ(ПЗ)_ПЗИП'!$AQ:$AQ,4,'Отчет РПЗ(ПЗ)_ПЗИП'!$AG:$AG,"&gt;0")</f>
        <v>0</v>
      </c>
      <c r="AD37" s="425">
        <f>ПП!P25</f>
        <v>0</v>
      </c>
      <c r="AE37" s="370">
        <f>SUMIFS('Отчет РПЗ(ПЗ)_ПЗИП'!$AG:$AG,'Отчет РПЗ(ПЗ)_ПЗИП'!$G:$G,Справочно!$C21,'Отчет РПЗ(ПЗ)_ПЗИП'!$AQ:$AQ,4,'Отчет РПЗ(ПЗ)_ПЗИП'!$AG:$AG,"&gt;0")</f>
        <v>0</v>
      </c>
      <c r="AF37" s="44">
        <f>ПП!Q25</f>
        <v>0</v>
      </c>
      <c r="AG37" s="183">
        <f>COUNTIFS('Отчет РПЗ(ПЗ)_ПЗИП'!$G:$G,Справочно!$C21,'Отчет РПЗ(ПЗ)_ПЗИП'!$AQ:$AQ,5,'Отчет РПЗ(ПЗ)_ПЗИП'!$AG:$AG,"&gt;0")</f>
        <v>0</v>
      </c>
      <c r="AH37" s="425">
        <f>ПП!R25</f>
        <v>0</v>
      </c>
      <c r="AI37" s="370">
        <f>SUMIFS('Отчет РПЗ(ПЗ)_ПЗИП'!$AG:$AG,'Отчет РПЗ(ПЗ)_ПЗИП'!$G:$G,Справочно!$C21,'Отчет РПЗ(ПЗ)_ПЗИП'!$AQ:$AQ,5,'Отчет РПЗ(ПЗ)_ПЗИП'!$AG:$AG,"&gt;0")</f>
        <v>0</v>
      </c>
      <c r="AJ37" s="44">
        <f>ПП!S25</f>
        <v>0</v>
      </c>
      <c r="AK37" s="183">
        <f>COUNTIFS('Отчет РПЗ(ПЗ)_ПЗИП'!$G:$G,Справочно!$C21,'Отчет РПЗ(ПЗ)_ПЗИП'!$AQ:$AQ,6,'Отчет РПЗ(ПЗ)_ПЗИП'!$AG:$AG,"&gt;0")</f>
        <v>0</v>
      </c>
      <c r="AL37" s="425">
        <f>ПП!T25</f>
        <v>0</v>
      </c>
      <c r="AM37" s="371">
        <f>SUMIFS('Отчет РПЗ(ПЗ)_ПЗИП'!$AG:$AG,'Отчет РПЗ(ПЗ)_ПЗИП'!$G:$G,Справочно!$C21,'Отчет РПЗ(ПЗ)_ПЗИП'!$AQ:$AQ,6,'Отчет РПЗ(ПЗ)_ПЗИП'!$AG:$AG,"&gt;0")</f>
        <v>0</v>
      </c>
      <c r="AN37" s="171">
        <f>ПП!U25</f>
        <v>0</v>
      </c>
      <c r="AO37" s="185">
        <f t="shared" si="6"/>
        <v>0</v>
      </c>
      <c r="AP37" s="424">
        <f t="shared" si="7"/>
        <v>0</v>
      </c>
      <c r="AQ37" s="331">
        <f t="shared" si="8"/>
        <v>0</v>
      </c>
      <c r="AR37" s="159">
        <f>ПП!W25</f>
        <v>0</v>
      </c>
      <c r="AS37" s="144">
        <f>COUNTIFS('Отчет РПЗ(ПЗ)_ПЗИП'!$G:$G,Справочно!$C21,'Отчет РПЗ(ПЗ)_ПЗИП'!$AQ:$AQ,7,'Отчет РПЗ(ПЗ)_ПЗИП'!$AG:$AG,"&gt;0")</f>
        <v>0</v>
      </c>
      <c r="AT37" s="425">
        <f>ПП!X25</f>
        <v>0</v>
      </c>
      <c r="AU37" s="372">
        <f>SUMIFS('Отчет РПЗ(ПЗ)_ПЗИП'!$AG:$AG,'Отчет РПЗ(ПЗ)_ПЗИП'!$G:$G,Справочно!$C21,'Отчет РПЗ(ПЗ)_ПЗИП'!$AQ:$AQ,7,'Отчет РПЗ(ПЗ)_ПЗИП'!$AG:$AG,"&gt;0")</f>
        <v>0</v>
      </c>
      <c r="AV37" s="44">
        <f>ПП!Y25</f>
        <v>0</v>
      </c>
      <c r="AW37" s="144">
        <f>COUNTIFS('Отчет РПЗ(ПЗ)_ПЗИП'!$G:$G,Справочно!$C21,'Отчет РПЗ(ПЗ)_ПЗИП'!$AQ:$AQ,8,'Отчет РПЗ(ПЗ)_ПЗИП'!$AG:$AG,"&gt;0")</f>
        <v>0</v>
      </c>
      <c r="AX37" s="425">
        <f>ПП!Z25</f>
        <v>0</v>
      </c>
      <c r="AY37" s="372">
        <f>SUMIFS('Отчет РПЗ(ПЗ)_ПЗИП'!$AG:$AG,'Отчет РПЗ(ПЗ)_ПЗИП'!$G:$G,Справочно!$C21,'Отчет РПЗ(ПЗ)_ПЗИП'!$AQ:$AQ,8,'Отчет РПЗ(ПЗ)_ПЗИП'!$AG:$AG,"&gt;0")</f>
        <v>0</v>
      </c>
      <c r="AZ37" s="44">
        <f>ПП!AA25</f>
        <v>0</v>
      </c>
      <c r="BA37" s="144">
        <f>COUNTIFS('Отчет РПЗ(ПЗ)_ПЗИП'!$G:$G,Справочно!$C21,'Отчет РПЗ(ПЗ)_ПЗИП'!$AQ:$AQ,9,'Отчет РПЗ(ПЗ)_ПЗИП'!$AG:$AG,"&gt;0")</f>
        <v>0</v>
      </c>
      <c r="BB37" s="425">
        <f>ПП!AB25</f>
        <v>0</v>
      </c>
      <c r="BC37" s="373">
        <f>SUMIFS('Отчет РПЗ(ПЗ)_ПЗИП'!$AG:$AG,'Отчет РПЗ(ПЗ)_ПЗИП'!$G:$G,Справочно!$C21,'Отчет РПЗ(ПЗ)_ПЗИП'!$AQ:$AQ,9,'Отчет РПЗ(ПЗ)_ПЗИП'!$AG:$AG,"&gt;0")</f>
        <v>0</v>
      </c>
      <c r="BD37" s="171">
        <f>ПП!AC25</f>
        <v>0</v>
      </c>
      <c r="BE37" s="180">
        <f t="shared" si="9"/>
        <v>0</v>
      </c>
      <c r="BF37" s="424">
        <f t="shared" si="10"/>
        <v>0</v>
      </c>
      <c r="BG37" s="333">
        <f t="shared" si="11"/>
        <v>0</v>
      </c>
      <c r="BH37" s="159">
        <f>ПП!AE25</f>
        <v>0</v>
      </c>
      <c r="BI37" s="177">
        <f>COUNTIFS('Отчет РПЗ(ПЗ)_ПЗИП'!$G:$G,Справочно!$C21,'Отчет РПЗ(ПЗ)_ПЗИП'!$AQ:$AQ,10,'Отчет РПЗ(ПЗ)_ПЗИП'!$AG:$AG,"&gt;0")</f>
        <v>0</v>
      </c>
      <c r="BJ37" s="425">
        <f>ПП!AF25</f>
        <v>0</v>
      </c>
      <c r="BK37" s="374">
        <f>SUMIFS('Отчет РПЗ(ПЗ)_ПЗИП'!$AG:$AG,'Отчет РПЗ(ПЗ)_ПЗИП'!$G:$G,Справочно!$C21,'Отчет РПЗ(ПЗ)_ПЗИП'!$AQ:$AQ,10,'Отчет РПЗ(ПЗ)_ПЗИП'!$AG:$AG,"&gt;0")</f>
        <v>0</v>
      </c>
      <c r="BL37" s="44">
        <f>ПП!AG25</f>
        <v>0</v>
      </c>
      <c r="BM37" s="177">
        <f>COUNTIFS('Отчет РПЗ(ПЗ)_ПЗИП'!$G:$G,Справочно!$C21,'Отчет РПЗ(ПЗ)_ПЗИП'!$AQ:$AQ,11,'Отчет РПЗ(ПЗ)_ПЗИП'!$AG:$AG,"&gt;0")</f>
        <v>0</v>
      </c>
      <c r="BN37" s="425">
        <f>ПП!AH25</f>
        <v>0</v>
      </c>
      <c r="BO37" s="374">
        <f>SUMIFS('Отчет РПЗ(ПЗ)_ПЗИП'!$AG:$AG,'Отчет РПЗ(ПЗ)_ПЗИП'!$G:$G,Справочно!$C21,'Отчет РПЗ(ПЗ)_ПЗИП'!$AQ:$AQ,11,'Отчет РПЗ(ПЗ)_ПЗИП'!$AG:$AG,"&gt;0")</f>
        <v>0</v>
      </c>
      <c r="BP37" s="44">
        <f>ПП!AI25</f>
        <v>0</v>
      </c>
      <c r="BQ37" s="177">
        <f>COUNTIFS('Отчет РПЗ(ПЗ)_ПЗИП'!$G:$G,Справочно!$C21,'Отчет РПЗ(ПЗ)_ПЗИП'!$AQ:$AQ,12,'Отчет РПЗ(ПЗ)_ПЗИП'!$AG:$AG,"&gt;0")</f>
        <v>0</v>
      </c>
      <c r="BR37" s="425">
        <f>ПП!AJ25</f>
        <v>0</v>
      </c>
      <c r="BS37" s="375">
        <f>SUMIFS('Отчет РПЗ(ПЗ)_ПЗИП'!$AG:$AG,'Отчет РПЗ(ПЗ)_ПЗИП'!$G:$G,Справочно!$C21,'Отчет РПЗ(ПЗ)_ПЗИП'!$AQ:$AQ,12,'Отчет РПЗ(ПЗ)_ПЗИП'!$AG:$AG,"&gt;0")</f>
        <v>0</v>
      </c>
      <c r="BT37" s="171">
        <f>ПП!AK25</f>
        <v>0</v>
      </c>
      <c r="BU37" s="179">
        <f t="shared" si="12"/>
        <v>0</v>
      </c>
      <c r="BV37" s="424">
        <f t="shared" si="13"/>
        <v>0</v>
      </c>
      <c r="BW37" s="335">
        <f t="shared" si="14"/>
        <v>0</v>
      </c>
    </row>
    <row r="38" spans="2:75" ht="13.5" thickBot="1" x14ac:dyDescent="0.25">
      <c r="B38" s="83" t="s">
        <v>166</v>
      </c>
      <c r="C38" s="92">
        <f>ПП!B26</f>
        <v>0</v>
      </c>
      <c r="D38" s="412">
        <f>ПП!C26</f>
        <v>0</v>
      </c>
      <c r="E38" s="63">
        <f>COUNTIFS('Отчет РПЗ(ПЗ)_ПЗИП'!$G:$G,Справочно!$C22,'Отчет РПЗ(ПЗ)_ПЗИП'!AG:AG, "&gt;0")</f>
        <v>0</v>
      </c>
      <c r="F38" s="413">
        <f t="shared" si="1"/>
        <v>0</v>
      </c>
      <c r="G38" s="414">
        <f>ПП!D26</f>
        <v>0</v>
      </c>
      <c r="H38" s="415">
        <f>ПП!E26</f>
        <v>0</v>
      </c>
      <c r="I38" s="416">
        <f>SUMIF('Отчет РПЗ(ПЗ)_ПЗИП'!$G:$G,Справочно!$C22,'Отчет РПЗ(ПЗ)_ПЗИП'!$AG:$AG)</f>
        <v>0</v>
      </c>
      <c r="J38" s="413">
        <f t="shared" si="2"/>
        <v>0</v>
      </c>
      <c r="K38" s="61"/>
      <c r="L38" s="159">
        <f>ПП!G26</f>
        <v>0</v>
      </c>
      <c r="M38" s="147">
        <f>COUNTIFS('Отчет РПЗ(ПЗ)_ПЗИП'!$G:$G,Справочно!$C22,'Отчет РПЗ(ПЗ)_ПЗИП'!$AQ:$AQ,1,'Отчет РПЗ(ПЗ)_ПЗИП'!$AG:$AG,"&gt;0")</f>
        <v>0</v>
      </c>
      <c r="N38" s="425">
        <f>ПП!H26</f>
        <v>0</v>
      </c>
      <c r="O38" s="336">
        <f>SUMIFS('Отчет РПЗ(ПЗ)_ПЗИП'!$AG:$AG,'Отчет РПЗ(ПЗ)_ПЗИП'!$G:$G,Справочно!$C22,'Отчет РПЗ(ПЗ)_ПЗИП'!$AQ:$AQ,1,'Отчет РПЗ(ПЗ)_ПЗИП'!$AG:$AG,"&gt;0")</f>
        <v>0</v>
      </c>
      <c r="P38" s="44">
        <f>ПП!I26</f>
        <v>0</v>
      </c>
      <c r="Q38" s="147">
        <f>COUNTIFS('Отчет РПЗ(ПЗ)_ПЗИП'!$G:$G,Справочно!$C22,'Отчет РПЗ(ПЗ)_ПЗИП'!$AQ:$AQ,2,'Отчет РПЗ(ПЗ)_ПЗИП'!$AG:$AG,"&gt;0")</f>
        <v>0</v>
      </c>
      <c r="R38" s="425">
        <f>ПП!J26</f>
        <v>0</v>
      </c>
      <c r="S38" s="336">
        <f>SUMIFS('Отчет РПЗ(ПЗ)_ПЗИП'!$AG:$AG,'Отчет РПЗ(ПЗ)_ПЗИП'!$G:$G,Справочно!$C22,'Отчет РПЗ(ПЗ)_ПЗИП'!$AQ:$AQ,2,'Отчет РПЗ(ПЗ)_ПЗИП'!$AG:$AG,"&gt;0")</f>
        <v>0</v>
      </c>
      <c r="T38" s="44">
        <f>ПП!K26</f>
        <v>0</v>
      </c>
      <c r="U38" s="147">
        <f>COUNTIFS('Отчет РПЗ(ПЗ)_ПЗИП'!$G:$G,Справочно!$C22,'Отчет РПЗ(ПЗ)_ПЗИП'!$AQ:$AQ,3,'Отчет РПЗ(ПЗ)_ПЗИП'!$AG:$AG,"&gt;0")</f>
        <v>0</v>
      </c>
      <c r="V38" s="425">
        <f>ПП!L26</f>
        <v>0</v>
      </c>
      <c r="W38" s="369">
        <f>SUMIFS('Отчет РПЗ(ПЗ)_ПЗИП'!$AG:$AG,'Отчет РПЗ(ПЗ)_ПЗИП'!$G:$G,Справочно!$C22,'Отчет РПЗ(ПЗ)_ПЗИП'!$AQ:$AQ,3,'Отчет РПЗ(ПЗ)_ПЗИП'!$AG:$AG,"&gt;0")</f>
        <v>0</v>
      </c>
      <c r="X38" s="171">
        <f>ПП!M26</f>
        <v>0</v>
      </c>
      <c r="Y38" s="172">
        <f t="shared" si="3"/>
        <v>0</v>
      </c>
      <c r="Z38" s="424">
        <f t="shared" si="4"/>
        <v>0</v>
      </c>
      <c r="AA38" s="329">
        <f t="shared" si="5"/>
        <v>0</v>
      </c>
      <c r="AB38" s="159">
        <f>ПП!O26</f>
        <v>0</v>
      </c>
      <c r="AC38" s="183">
        <f>COUNTIFS('Отчет РПЗ(ПЗ)_ПЗИП'!$G:$G,Справочно!$C22,'Отчет РПЗ(ПЗ)_ПЗИП'!$AQ:$AQ,4,'Отчет РПЗ(ПЗ)_ПЗИП'!$AG:$AG,"&gt;0")</f>
        <v>0</v>
      </c>
      <c r="AD38" s="425">
        <f>ПП!P26</f>
        <v>0</v>
      </c>
      <c r="AE38" s="370">
        <f>SUMIFS('Отчет РПЗ(ПЗ)_ПЗИП'!$AG:$AG,'Отчет РПЗ(ПЗ)_ПЗИП'!$G:$G,Справочно!$C22,'Отчет РПЗ(ПЗ)_ПЗИП'!$AQ:$AQ,4,'Отчет РПЗ(ПЗ)_ПЗИП'!$AG:$AG,"&gt;0")</f>
        <v>0</v>
      </c>
      <c r="AF38" s="44">
        <f>ПП!Q26</f>
        <v>0</v>
      </c>
      <c r="AG38" s="183">
        <f>COUNTIFS('Отчет РПЗ(ПЗ)_ПЗИП'!$G:$G,Справочно!$C22,'Отчет РПЗ(ПЗ)_ПЗИП'!$AQ:$AQ,5,'Отчет РПЗ(ПЗ)_ПЗИП'!$AG:$AG,"&gt;0")</f>
        <v>0</v>
      </c>
      <c r="AH38" s="425">
        <f>ПП!R26</f>
        <v>0</v>
      </c>
      <c r="AI38" s="370">
        <f>SUMIFS('Отчет РПЗ(ПЗ)_ПЗИП'!$AG:$AG,'Отчет РПЗ(ПЗ)_ПЗИП'!$G:$G,Справочно!$C22,'Отчет РПЗ(ПЗ)_ПЗИП'!$AQ:$AQ,5,'Отчет РПЗ(ПЗ)_ПЗИП'!$AG:$AG,"&gt;0")</f>
        <v>0</v>
      </c>
      <c r="AJ38" s="44">
        <f>ПП!S26</f>
        <v>0</v>
      </c>
      <c r="AK38" s="183">
        <f>COUNTIFS('Отчет РПЗ(ПЗ)_ПЗИП'!$G:$G,Справочно!$C22,'Отчет РПЗ(ПЗ)_ПЗИП'!$AQ:$AQ,6,'Отчет РПЗ(ПЗ)_ПЗИП'!$AG:$AG,"&gt;0")</f>
        <v>0</v>
      </c>
      <c r="AL38" s="425">
        <f>ПП!T26</f>
        <v>0</v>
      </c>
      <c r="AM38" s="371">
        <f>SUMIFS('Отчет РПЗ(ПЗ)_ПЗИП'!$AG:$AG,'Отчет РПЗ(ПЗ)_ПЗИП'!$G:$G,Справочно!$C22,'Отчет РПЗ(ПЗ)_ПЗИП'!$AQ:$AQ,6,'Отчет РПЗ(ПЗ)_ПЗИП'!$AG:$AG,"&gt;0")</f>
        <v>0</v>
      </c>
      <c r="AN38" s="171">
        <f>ПП!U26</f>
        <v>0</v>
      </c>
      <c r="AO38" s="185">
        <f t="shared" si="6"/>
        <v>0</v>
      </c>
      <c r="AP38" s="424">
        <f t="shared" si="7"/>
        <v>0</v>
      </c>
      <c r="AQ38" s="331">
        <f t="shared" si="8"/>
        <v>0</v>
      </c>
      <c r="AR38" s="159">
        <f>ПП!W26</f>
        <v>0</v>
      </c>
      <c r="AS38" s="144">
        <f>COUNTIFS('Отчет РПЗ(ПЗ)_ПЗИП'!$G:$G,Справочно!$C22,'Отчет РПЗ(ПЗ)_ПЗИП'!$AQ:$AQ,7,'Отчет РПЗ(ПЗ)_ПЗИП'!$AG:$AG,"&gt;0")</f>
        <v>0</v>
      </c>
      <c r="AT38" s="425">
        <f>ПП!X26</f>
        <v>0</v>
      </c>
      <c r="AU38" s="372">
        <f>SUMIFS('Отчет РПЗ(ПЗ)_ПЗИП'!$AG:$AG,'Отчет РПЗ(ПЗ)_ПЗИП'!$G:$G,Справочно!$C22,'Отчет РПЗ(ПЗ)_ПЗИП'!$AQ:$AQ,7,'Отчет РПЗ(ПЗ)_ПЗИП'!$AG:$AG,"&gt;0")</f>
        <v>0</v>
      </c>
      <c r="AV38" s="44">
        <f>ПП!Y26</f>
        <v>0</v>
      </c>
      <c r="AW38" s="144">
        <f>COUNTIFS('Отчет РПЗ(ПЗ)_ПЗИП'!$G:$G,Справочно!$C22,'Отчет РПЗ(ПЗ)_ПЗИП'!$AQ:$AQ,8,'Отчет РПЗ(ПЗ)_ПЗИП'!$AG:$AG,"&gt;0")</f>
        <v>0</v>
      </c>
      <c r="AX38" s="425">
        <f>ПП!Z26</f>
        <v>0</v>
      </c>
      <c r="AY38" s="372">
        <f>SUMIFS('Отчет РПЗ(ПЗ)_ПЗИП'!$AG:$AG,'Отчет РПЗ(ПЗ)_ПЗИП'!$G:$G,Справочно!$C22,'Отчет РПЗ(ПЗ)_ПЗИП'!$AQ:$AQ,8,'Отчет РПЗ(ПЗ)_ПЗИП'!$AG:$AG,"&gt;0")</f>
        <v>0</v>
      </c>
      <c r="AZ38" s="44">
        <f>ПП!AA26</f>
        <v>0</v>
      </c>
      <c r="BA38" s="144">
        <f>COUNTIFS('Отчет РПЗ(ПЗ)_ПЗИП'!$G:$G,Справочно!$C22,'Отчет РПЗ(ПЗ)_ПЗИП'!$AQ:$AQ,9,'Отчет РПЗ(ПЗ)_ПЗИП'!$AG:$AG,"&gt;0")</f>
        <v>0</v>
      </c>
      <c r="BB38" s="425">
        <f>ПП!AB26</f>
        <v>0</v>
      </c>
      <c r="BC38" s="373">
        <f>SUMIFS('Отчет РПЗ(ПЗ)_ПЗИП'!$AG:$AG,'Отчет РПЗ(ПЗ)_ПЗИП'!$G:$G,Справочно!$C22,'Отчет РПЗ(ПЗ)_ПЗИП'!$AQ:$AQ,9,'Отчет РПЗ(ПЗ)_ПЗИП'!$AG:$AG,"&gt;0")</f>
        <v>0</v>
      </c>
      <c r="BD38" s="171">
        <f>ПП!AC26</f>
        <v>0</v>
      </c>
      <c r="BE38" s="180">
        <f t="shared" si="9"/>
        <v>0</v>
      </c>
      <c r="BF38" s="424">
        <f t="shared" si="10"/>
        <v>0</v>
      </c>
      <c r="BG38" s="333">
        <f t="shared" si="11"/>
        <v>0</v>
      </c>
      <c r="BH38" s="159">
        <f>ПП!AE26</f>
        <v>0</v>
      </c>
      <c r="BI38" s="177">
        <f>COUNTIFS('Отчет РПЗ(ПЗ)_ПЗИП'!$G:$G,Справочно!$C22,'Отчет РПЗ(ПЗ)_ПЗИП'!$AQ:$AQ,10,'Отчет РПЗ(ПЗ)_ПЗИП'!$AG:$AG,"&gt;0")</f>
        <v>0</v>
      </c>
      <c r="BJ38" s="425">
        <f>ПП!AF26</f>
        <v>0</v>
      </c>
      <c r="BK38" s="374">
        <f>SUMIFS('Отчет РПЗ(ПЗ)_ПЗИП'!$AG:$AG,'Отчет РПЗ(ПЗ)_ПЗИП'!$G:$G,Справочно!$C22,'Отчет РПЗ(ПЗ)_ПЗИП'!$AQ:$AQ,10,'Отчет РПЗ(ПЗ)_ПЗИП'!$AG:$AG,"&gt;0")</f>
        <v>0</v>
      </c>
      <c r="BL38" s="44">
        <f>ПП!AG26</f>
        <v>0</v>
      </c>
      <c r="BM38" s="177">
        <f>COUNTIFS('Отчет РПЗ(ПЗ)_ПЗИП'!$G:$G,Справочно!$C22,'Отчет РПЗ(ПЗ)_ПЗИП'!$AQ:$AQ,11,'Отчет РПЗ(ПЗ)_ПЗИП'!$AG:$AG,"&gt;0")</f>
        <v>0</v>
      </c>
      <c r="BN38" s="425">
        <f>ПП!AH26</f>
        <v>0</v>
      </c>
      <c r="BO38" s="374">
        <f>SUMIFS('Отчет РПЗ(ПЗ)_ПЗИП'!$AG:$AG,'Отчет РПЗ(ПЗ)_ПЗИП'!$G:$G,Справочно!$C22,'Отчет РПЗ(ПЗ)_ПЗИП'!$AQ:$AQ,11,'Отчет РПЗ(ПЗ)_ПЗИП'!$AG:$AG,"&gt;0")</f>
        <v>0</v>
      </c>
      <c r="BP38" s="44">
        <f>ПП!AI26</f>
        <v>0</v>
      </c>
      <c r="BQ38" s="177">
        <f>COUNTIFS('Отчет РПЗ(ПЗ)_ПЗИП'!$G:$G,Справочно!$C22,'Отчет РПЗ(ПЗ)_ПЗИП'!$AQ:$AQ,12,'Отчет РПЗ(ПЗ)_ПЗИП'!$AG:$AG,"&gt;0")</f>
        <v>0</v>
      </c>
      <c r="BR38" s="425">
        <f>ПП!AJ26</f>
        <v>0</v>
      </c>
      <c r="BS38" s="375">
        <f>SUMIFS('Отчет РПЗ(ПЗ)_ПЗИП'!$AG:$AG,'Отчет РПЗ(ПЗ)_ПЗИП'!$G:$G,Справочно!$C22,'Отчет РПЗ(ПЗ)_ПЗИП'!$AQ:$AQ,12,'Отчет РПЗ(ПЗ)_ПЗИП'!$AG:$AG,"&gt;0")</f>
        <v>0</v>
      </c>
      <c r="BT38" s="171">
        <f>ПП!AK26</f>
        <v>0</v>
      </c>
      <c r="BU38" s="179">
        <f t="shared" si="12"/>
        <v>0</v>
      </c>
      <c r="BV38" s="424">
        <f t="shared" si="13"/>
        <v>0</v>
      </c>
      <c r="BW38" s="335">
        <f t="shared" si="14"/>
        <v>0</v>
      </c>
    </row>
    <row r="39" spans="2:75" ht="13.5" thickBot="1" x14ac:dyDescent="0.25">
      <c r="B39" s="83" t="s">
        <v>253</v>
      </c>
      <c r="C39" s="92">
        <f>ПП!B27</f>
        <v>0</v>
      </c>
      <c r="D39" s="412">
        <f>ПП!C27</f>
        <v>0</v>
      </c>
      <c r="E39" s="63">
        <f>COUNTIFS('Отчет РПЗ(ПЗ)_ПЗИП'!$G:$G,Справочно!$C23,'Отчет РПЗ(ПЗ)_ПЗИП'!AG:AG, "&gt;0")</f>
        <v>0</v>
      </c>
      <c r="F39" s="413">
        <f t="shared" si="1"/>
        <v>0</v>
      </c>
      <c r="G39" s="414">
        <f>ПП!D27</f>
        <v>0</v>
      </c>
      <c r="H39" s="415">
        <f>ПП!E27</f>
        <v>0</v>
      </c>
      <c r="I39" s="416">
        <f>SUMIF('Отчет РПЗ(ПЗ)_ПЗИП'!$G:$G,Справочно!$C23,'Отчет РПЗ(ПЗ)_ПЗИП'!$AG:$AG)</f>
        <v>0</v>
      </c>
      <c r="J39" s="413">
        <f t="shared" si="2"/>
        <v>0</v>
      </c>
      <c r="K39" s="61"/>
      <c r="L39" s="159">
        <f>ПП!G27</f>
        <v>0</v>
      </c>
      <c r="M39" s="147">
        <f>COUNTIFS('Отчет РПЗ(ПЗ)_ПЗИП'!$G:$G,Справочно!$C23,'Отчет РПЗ(ПЗ)_ПЗИП'!$AQ:$AQ,1,'Отчет РПЗ(ПЗ)_ПЗИП'!$AG:$AG,"&gt;0")</f>
        <v>0</v>
      </c>
      <c r="N39" s="425">
        <f>ПП!H27</f>
        <v>0</v>
      </c>
      <c r="O39" s="336">
        <f>SUMIFS('Отчет РПЗ(ПЗ)_ПЗИП'!$AG:$AG,'Отчет РПЗ(ПЗ)_ПЗИП'!$G:$G,Справочно!$C23,'Отчет РПЗ(ПЗ)_ПЗИП'!$AQ:$AQ,1,'Отчет РПЗ(ПЗ)_ПЗИП'!$AG:$AG,"&gt;0")</f>
        <v>0</v>
      </c>
      <c r="P39" s="44">
        <f>ПП!I27</f>
        <v>0</v>
      </c>
      <c r="Q39" s="147">
        <f>COUNTIFS('Отчет РПЗ(ПЗ)_ПЗИП'!$G:$G,Справочно!$C23,'Отчет РПЗ(ПЗ)_ПЗИП'!$AQ:$AQ,2,'Отчет РПЗ(ПЗ)_ПЗИП'!$AG:$AG,"&gt;0")</f>
        <v>0</v>
      </c>
      <c r="R39" s="425">
        <f>ПП!J27</f>
        <v>0</v>
      </c>
      <c r="S39" s="336">
        <f>SUMIFS('Отчет РПЗ(ПЗ)_ПЗИП'!$AG:$AG,'Отчет РПЗ(ПЗ)_ПЗИП'!$G:$G,Справочно!$C23,'Отчет РПЗ(ПЗ)_ПЗИП'!$AQ:$AQ,2,'Отчет РПЗ(ПЗ)_ПЗИП'!$AG:$AG,"&gt;0")</f>
        <v>0</v>
      </c>
      <c r="T39" s="44">
        <f>ПП!K27</f>
        <v>0</v>
      </c>
      <c r="U39" s="147">
        <f>COUNTIFS('Отчет РПЗ(ПЗ)_ПЗИП'!$G:$G,Справочно!$C23,'Отчет РПЗ(ПЗ)_ПЗИП'!$AQ:$AQ,3,'Отчет РПЗ(ПЗ)_ПЗИП'!$AG:$AG,"&gt;0")</f>
        <v>0</v>
      </c>
      <c r="V39" s="425">
        <f>ПП!L27</f>
        <v>0</v>
      </c>
      <c r="W39" s="369">
        <f>SUMIFS('Отчет РПЗ(ПЗ)_ПЗИП'!$AG:$AG,'Отчет РПЗ(ПЗ)_ПЗИП'!$G:$G,Справочно!$C23,'Отчет РПЗ(ПЗ)_ПЗИП'!$AQ:$AQ,3,'Отчет РПЗ(ПЗ)_ПЗИП'!$AG:$AG,"&gt;0")</f>
        <v>0</v>
      </c>
      <c r="X39" s="171">
        <f>ПП!M27</f>
        <v>0</v>
      </c>
      <c r="Y39" s="172">
        <f t="shared" si="3"/>
        <v>0</v>
      </c>
      <c r="Z39" s="424">
        <f t="shared" si="4"/>
        <v>0</v>
      </c>
      <c r="AA39" s="329">
        <f t="shared" si="5"/>
        <v>0</v>
      </c>
      <c r="AB39" s="159">
        <f>ПП!O27</f>
        <v>0</v>
      </c>
      <c r="AC39" s="183">
        <f>COUNTIFS('Отчет РПЗ(ПЗ)_ПЗИП'!$G:$G,Справочно!$C23,'Отчет РПЗ(ПЗ)_ПЗИП'!$AQ:$AQ,4,'Отчет РПЗ(ПЗ)_ПЗИП'!$AG:$AG,"&gt;0")</f>
        <v>0</v>
      </c>
      <c r="AD39" s="425">
        <f>ПП!P27</f>
        <v>0</v>
      </c>
      <c r="AE39" s="370">
        <f>SUMIFS('Отчет РПЗ(ПЗ)_ПЗИП'!$AG:$AG,'Отчет РПЗ(ПЗ)_ПЗИП'!$G:$G,Справочно!$C23,'Отчет РПЗ(ПЗ)_ПЗИП'!$AQ:$AQ,4,'Отчет РПЗ(ПЗ)_ПЗИП'!$AG:$AG,"&gt;0")</f>
        <v>0</v>
      </c>
      <c r="AF39" s="44">
        <f>ПП!Q27</f>
        <v>0</v>
      </c>
      <c r="AG39" s="183">
        <f>COUNTIFS('Отчет РПЗ(ПЗ)_ПЗИП'!$G:$G,Справочно!$C23,'Отчет РПЗ(ПЗ)_ПЗИП'!$AQ:$AQ,5,'Отчет РПЗ(ПЗ)_ПЗИП'!$AG:$AG,"&gt;0")</f>
        <v>0</v>
      </c>
      <c r="AH39" s="425">
        <f>ПП!R27</f>
        <v>0</v>
      </c>
      <c r="AI39" s="370">
        <f>SUMIFS('Отчет РПЗ(ПЗ)_ПЗИП'!$AG:$AG,'Отчет РПЗ(ПЗ)_ПЗИП'!$G:$G,Справочно!$C23,'Отчет РПЗ(ПЗ)_ПЗИП'!$AQ:$AQ,5,'Отчет РПЗ(ПЗ)_ПЗИП'!$AG:$AG,"&gt;0")</f>
        <v>0</v>
      </c>
      <c r="AJ39" s="44">
        <f>ПП!S27</f>
        <v>0</v>
      </c>
      <c r="AK39" s="183">
        <f>COUNTIFS('Отчет РПЗ(ПЗ)_ПЗИП'!$G:$G,Справочно!$C23,'Отчет РПЗ(ПЗ)_ПЗИП'!$AQ:$AQ,6,'Отчет РПЗ(ПЗ)_ПЗИП'!$AG:$AG,"&gt;0")</f>
        <v>0</v>
      </c>
      <c r="AL39" s="425">
        <f>ПП!T27</f>
        <v>0</v>
      </c>
      <c r="AM39" s="371">
        <f>SUMIFS('Отчет РПЗ(ПЗ)_ПЗИП'!$AG:$AG,'Отчет РПЗ(ПЗ)_ПЗИП'!$G:$G,Справочно!$C23,'Отчет РПЗ(ПЗ)_ПЗИП'!$AQ:$AQ,6,'Отчет РПЗ(ПЗ)_ПЗИП'!$AG:$AG,"&gt;0")</f>
        <v>0</v>
      </c>
      <c r="AN39" s="171">
        <f>ПП!U27</f>
        <v>0</v>
      </c>
      <c r="AO39" s="185">
        <f t="shared" si="6"/>
        <v>0</v>
      </c>
      <c r="AP39" s="424">
        <f t="shared" si="7"/>
        <v>0</v>
      </c>
      <c r="AQ39" s="331">
        <f t="shared" si="8"/>
        <v>0</v>
      </c>
      <c r="AR39" s="159">
        <f>ПП!W27</f>
        <v>0</v>
      </c>
      <c r="AS39" s="144">
        <f>COUNTIFS('Отчет РПЗ(ПЗ)_ПЗИП'!$G:$G,Справочно!$C23,'Отчет РПЗ(ПЗ)_ПЗИП'!$AQ:$AQ,7,'Отчет РПЗ(ПЗ)_ПЗИП'!$AG:$AG,"&gt;0")</f>
        <v>0</v>
      </c>
      <c r="AT39" s="425">
        <f>ПП!X27</f>
        <v>0</v>
      </c>
      <c r="AU39" s="372">
        <f>SUMIFS('Отчет РПЗ(ПЗ)_ПЗИП'!$AG:$AG,'Отчет РПЗ(ПЗ)_ПЗИП'!$G:$G,Справочно!$C23,'Отчет РПЗ(ПЗ)_ПЗИП'!$AQ:$AQ,7,'Отчет РПЗ(ПЗ)_ПЗИП'!$AG:$AG,"&gt;0")</f>
        <v>0</v>
      </c>
      <c r="AV39" s="44">
        <f>ПП!Y27</f>
        <v>0</v>
      </c>
      <c r="AW39" s="144">
        <f>COUNTIFS('Отчет РПЗ(ПЗ)_ПЗИП'!$G:$G,Справочно!$C23,'Отчет РПЗ(ПЗ)_ПЗИП'!$AQ:$AQ,8,'Отчет РПЗ(ПЗ)_ПЗИП'!$AG:$AG,"&gt;0")</f>
        <v>0</v>
      </c>
      <c r="AX39" s="425">
        <f>ПП!Z27</f>
        <v>0</v>
      </c>
      <c r="AY39" s="372">
        <f>SUMIFS('Отчет РПЗ(ПЗ)_ПЗИП'!$AG:$AG,'Отчет РПЗ(ПЗ)_ПЗИП'!$G:$G,Справочно!$C23,'Отчет РПЗ(ПЗ)_ПЗИП'!$AQ:$AQ,8,'Отчет РПЗ(ПЗ)_ПЗИП'!$AG:$AG,"&gt;0")</f>
        <v>0</v>
      </c>
      <c r="AZ39" s="44">
        <f>ПП!AA27</f>
        <v>0</v>
      </c>
      <c r="BA39" s="144">
        <f>COUNTIFS('Отчет РПЗ(ПЗ)_ПЗИП'!$G:$G,Справочно!$C23,'Отчет РПЗ(ПЗ)_ПЗИП'!$AQ:$AQ,9,'Отчет РПЗ(ПЗ)_ПЗИП'!$AG:$AG,"&gt;0")</f>
        <v>0</v>
      </c>
      <c r="BB39" s="425">
        <f>ПП!AB27</f>
        <v>0</v>
      </c>
      <c r="BC39" s="373">
        <f>SUMIFS('Отчет РПЗ(ПЗ)_ПЗИП'!$AG:$AG,'Отчет РПЗ(ПЗ)_ПЗИП'!$G:$G,Справочно!$C23,'Отчет РПЗ(ПЗ)_ПЗИП'!$AQ:$AQ,9,'Отчет РПЗ(ПЗ)_ПЗИП'!$AG:$AG,"&gt;0")</f>
        <v>0</v>
      </c>
      <c r="BD39" s="171">
        <f>ПП!AC27</f>
        <v>0</v>
      </c>
      <c r="BE39" s="180">
        <f t="shared" si="9"/>
        <v>0</v>
      </c>
      <c r="BF39" s="424">
        <f t="shared" si="10"/>
        <v>0</v>
      </c>
      <c r="BG39" s="333">
        <f t="shared" si="11"/>
        <v>0</v>
      </c>
      <c r="BH39" s="159">
        <f>ПП!AE27</f>
        <v>0</v>
      </c>
      <c r="BI39" s="177">
        <f>COUNTIFS('Отчет РПЗ(ПЗ)_ПЗИП'!$G:$G,Справочно!$C23,'Отчет РПЗ(ПЗ)_ПЗИП'!$AQ:$AQ,10,'Отчет РПЗ(ПЗ)_ПЗИП'!$AG:$AG,"&gt;0")</f>
        <v>0</v>
      </c>
      <c r="BJ39" s="425">
        <f>ПП!AF27</f>
        <v>0</v>
      </c>
      <c r="BK39" s="374">
        <f>SUMIFS('Отчет РПЗ(ПЗ)_ПЗИП'!$AG:$AG,'Отчет РПЗ(ПЗ)_ПЗИП'!$G:$G,Справочно!$C23,'Отчет РПЗ(ПЗ)_ПЗИП'!$AQ:$AQ,10,'Отчет РПЗ(ПЗ)_ПЗИП'!$AG:$AG,"&gt;0")</f>
        <v>0</v>
      </c>
      <c r="BL39" s="44">
        <f>ПП!AG27</f>
        <v>0</v>
      </c>
      <c r="BM39" s="177">
        <f>COUNTIFS('Отчет РПЗ(ПЗ)_ПЗИП'!$G:$G,Справочно!$C23,'Отчет РПЗ(ПЗ)_ПЗИП'!$AQ:$AQ,11,'Отчет РПЗ(ПЗ)_ПЗИП'!$AG:$AG,"&gt;0")</f>
        <v>0</v>
      </c>
      <c r="BN39" s="425">
        <f>ПП!AH27</f>
        <v>0</v>
      </c>
      <c r="BO39" s="374">
        <f>SUMIFS('Отчет РПЗ(ПЗ)_ПЗИП'!$AG:$AG,'Отчет РПЗ(ПЗ)_ПЗИП'!$G:$G,Справочно!$C23,'Отчет РПЗ(ПЗ)_ПЗИП'!$AQ:$AQ,11,'Отчет РПЗ(ПЗ)_ПЗИП'!$AG:$AG,"&gt;0")</f>
        <v>0</v>
      </c>
      <c r="BP39" s="44">
        <f>ПП!AI27</f>
        <v>0</v>
      </c>
      <c r="BQ39" s="177">
        <f>COUNTIFS('Отчет РПЗ(ПЗ)_ПЗИП'!$G:$G,Справочно!$C23,'Отчет РПЗ(ПЗ)_ПЗИП'!$AQ:$AQ,12,'Отчет РПЗ(ПЗ)_ПЗИП'!$AG:$AG,"&gt;0")</f>
        <v>0</v>
      </c>
      <c r="BR39" s="425">
        <f>ПП!AJ27</f>
        <v>0</v>
      </c>
      <c r="BS39" s="375">
        <f>SUMIFS('Отчет РПЗ(ПЗ)_ПЗИП'!$AG:$AG,'Отчет РПЗ(ПЗ)_ПЗИП'!$G:$G,Справочно!$C23,'Отчет РПЗ(ПЗ)_ПЗИП'!$AQ:$AQ,12,'Отчет РПЗ(ПЗ)_ПЗИП'!$AG:$AG,"&gt;0")</f>
        <v>0</v>
      </c>
      <c r="BT39" s="171">
        <f>ПП!AK27</f>
        <v>0</v>
      </c>
      <c r="BU39" s="179">
        <f t="shared" si="12"/>
        <v>0</v>
      </c>
      <c r="BV39" s="424">
        <f t="shared" si="13"/>
        <v>0</v>
      </c>
      <c r="BW39" s="335">
        <f t="shared" si="14"/>
        <v>0</v>
      </c>
    </row>
    <row r="40" spans="2:75" ht="13.5" thickBot="1" x14ac:dyDescent="0.25">
      <c r="B40" s="83" t="s">
        <v>167</v>
      </c>
      <c r="C40" s="92">
        <f>ПП!B28</f>
        <v>0</v>
      </c>
      <c r="D40" s="412">
        <f>ПП!C28</f>
        <v>0</v>
      </c>
      <c r="E40" s="63">
        <f>COUNTIFS('Отчет РПЗ(ПЗ)_ПЗИП'!$G:$G,Справочно!$C24,'Отчет РПЗ(ПЗ)_ПЗИП'!AG:AG, "&gt;0")</f>
        <v>0</v>
      </c>
      <c r="F40" s="413">
        <f t="shared" si="1"/>
        <v>0</v>
      </c>
      <c r="G40" s="414">
        <f>ПП!D28</f>
        <v>0</v>
      </c>
      <c r="H40" s="415">
        <f>ПП!E28</f>
        <v>0</v>
      </c>
      <c r="I40" s="416">
        <f>SUMIF('Отчет РПЗ(ПЗ)_ПЗИП'!$G:$G,Справочно!$C24,'Отчет РПЗ(ПЗ)_ПЗИП'!$AG:$AG)</f>
        <v>0</v>
      </c>
      <c r="J40" s="413">
        <f t="shared" si="2"/>
        <v>0</v>
      </c>
      <c r="K40" s="61"/>
      <c r="L40" s="159">
        <f>ПП!G28</f>
        <v>0</v>
      </c>
      <c r="M40" s="147">
        <f>COUNTIFS('Отчет РПЗ(ПЗ)_ПЗИП'!$G:$G,Справочно!$C24,'Отчет РПЗ(ПЗ)_ПЗИП'!$AQ:$AQ,1,'Отчет РПЗ(ПЗ)_ПЗИП'!$AG:$AG,"&gt;0")</f>
        <v>0</v>
      </c>
      <c r="N40" s="425">
        <f>ПП!H28</f>
        <v>0</v>
      </c>
      <c r="O40" s="336">
        <f>SUMIFS('Отчет РПЗ(ПЗ)_ПЗИП'!$AG:$AG,'Отчет РПЗ(ПЗ)_ПЗИП'!$G:$G,Справочно!$C24,'Отчет РПЗ(ПЗ)_ПЗИП'!$AQ:$AQ,1,'Отчет РПЗ(ПЗ)_ПЗИП'!$AG:$AG,"&gt;0")</f>
        <v>0</v>
      </c>
      <c r="P40" s="44">
        <f>ПП!I28</f>
        <v>0</v>
      </c>
      <c r="Q40" s="147">
        <f>COUNTIFS('Отчет РПЗ(ПЗ)_ПЗИП'!$G:$G,Справочно!$C24,'Отчет РПЗ(ПЗ)_ПЗИП'!$AQ:$AQ,2,'Отчет РПЗ(ПЗ)_ПЗИП'!$AG:$AG,"&gt;0")</f>
        <v>0</v>
      </c>
      <c r="R40" s="425">
        <f>ПП!J28</f>
        <v>0</v>
      </c>
      <c r="S40" s="336">
        <f>SUMIFS('Отчет РПЗ(ПЗ)_ПЗИП'!$AG:$AG,'Отчет РПЗ(ПЗ)_ПЗИП'!$G:$G,Справочно!$C24,'Отчет РПЗ(ПЗ)_ПЗИП'!$AQ:$AQ,2,'Отчет РПЗ(ПЗ)_ПЗИП'!$AG:$AG,"&gt;0")</f>
        <v>0</v>
      </c>
      <c r="T40" s="44">
        <f>ПП!K28</f>
        <v>0</v>
      </c>
      <c r="U40" s="147">
        <f>COUNTIFS('Отчет РПЗ(ПЗ)_ПЗИП'!$G:$G,Справочно!$C24,'Отчет РПЗ(ПЗ)_ПЗИП'!$AQ:$AQ,3,'Отчет РПЗ(ПЗ)_ПЗИП'!$AG:$AG,"&gt;0")</f>
        <v>0</v>
      </c>
      <c r="V40" s="425">
        <f>ПП!L28</f>
        <v>0</v>
      </c>
      <c r="W40" s="369">
        <f>SUMIFS('Отчет РПЗ(ПЗ)_ПЗИП'!$AG:$AG,'Отчет РПЗ(ПЗ)_ПЗИП'!$G:$G,Справочно!$C24,'Отчет РПЗ(ПЗ)_ПЗИП'!$AQ:$AQ,3,'Отчет РПЗ(ПЗ)_ПЗИП'!$AG:$AG,"&gt;0")</f>
        <v>0</v>
      </c>
      <c r="X40" s="171">
        <f>ПП!M28</f>
        <v>0</v>
      </c>
      <c r="Y40" s="172">
        <f t="shared" si="3"/>
        <v>0</v>
      </c>
      <c r="Z40" s="424">
        <f t="shared" si="4"/>
        <v>0</v>
      </c>
      <c r="AA40" s="329">
        <f t="shared" si="5"/>
        <v>0</v>
      </c>
      <c r="AB40" s="159">
        <f>ПП!O28</f>
        <v>0</v>
      </c>
      <c r="AC40" s="183">
        <f>COUNTIFS('Отчет РПЗ(ПЗ)_ПЗИП'!$G:$G,Справочно!$C24,'Отчет РПЗ(ПЗ)_ПЗИП'!$AQ:$AQ,4,'Отчет РПЗ(ПЗ)_ПЗИП'!$AG:$AG,"&gt;0")</f>
        <v>0</v>
      </c>
      <c r="AD40" s="425">
        <f>ПП!P28</f>
        <v>0</v>
      </c>
      <c r="AE40" s="370">
        <f>SUMIFS('Отчет РПЗ(ПЗ)_ПЗИП'!$AG:$AG,'Отчет РПЗ(ПЗ)_ПЗИП'!$G:$G,Справочно!$C24,'Отчет РПЗ(ПЗ)_ПЗИП'!$AQ:$AQ,4,'Отчет РПЗ(ПЗ)_ПЗИП'!$AG:$AG,"&gt;0")</f>
        <v>0</v>
      </c>
      <c r="AF40" s="44">
        <f>ПП!Q28</f>
        <v>0</v>
      </c>
      <c r="AG40" s="183">
        <f>COUNTIFS('Отчет РПЗ(ПЗ)_ПЗИП'!$G:$G,Справочно!$C24,'Отчет РПЗ(ПЗ)_ПЗИП'!$AQ:$AQ,5,'Отчет РПЗ(ПЗ)_ПЗИП'!$AG:$AG,"&gt;0")</f>
        <v>0</v>
      </c>
      <c r="AH40" s="425">
        <f>ПП!R28</f>
        <v>0</v>
      </c>
      <c r="AI40" s="370">
        <f>SUMIFS('Отчет РПЗ(ПЗ)_ПЗИП'!$AG:$AG,'Отчет РПЗ(ПЗ)_ПЗИП'!$G:$G,Справочно!$C24,'Отчет РПЗ(ПЗ)_ПЗИП'!$AQ:$AQ,5,'Отчет РПЗ(ПЗ)_ПЗИП'!$AG:$AG,"&gt;0")</f>
        <v>0</v>
      </c>
      <c r="AJ40" s="44">
        <f>ПП!S28</f>
        <v>0</v>
      </c>
      <c r="AK40" s="183">
        <f>COUNTIFS('Отчет РПЗ(ПЗ)_ПЗИП'!$G:$G,Справочно!$C24,'Отчет РПЗ(ПЗ)_ПЗИП'!$AQ:$AQ,6,'Отчет РПЗ(ПЗ)_ПЗИП'!$AG:$AG,"&gt;0")</f>
        <v>0</v>
      </c>
      <c r="AL40" s="425">
        <f>ПП!T28</f>
        <v>0</v>
      </c>
      <c r="AM40" s="371">
        <f>SUMIFS('Отчет РПЗ(ПЗ)_ПЗИП'!$AG:$AG,'Отчет РПЗ(ПЗ)_ПЗИП'!$G:$G,Справочно!$C24,'Отчет РПЗ(ПЗ)_ПЗИП'!$AQ:$AQ,6,'Отчет РПЗ(ПЗ)_ПЗИП'!$AG:$AG,"&gt;0")</f>
        <v>0</v>
      </c>
      <c r="AN40" s="171">
        <f>ПП!U28</f>
        <v>0</v>
      </c>
      <c r="AO40" s="185">
        <f t="shared" si="6"/>
        <v>0</v>
      </c>
      <c r="AP40" s="424">
        <f t="shared" si="7"/>
        <v>0</v>
      </c>
      <c r="AQ40" s="331">
        <f t="shared" si="8"/>
        <v>0</v>
      </c>
      <c r="AR40" s="159">
        <f>ПП!W28</f>
        <v>0</v>
      </c>
      <c r="AS40" s="144">
        <f>COUNTIFS('Отчет РПЗ(ПЗ)_ПЗИП'!$G:$G,Справочно!$C24,'Отчет РПЗ(ПЗ)_ПЗИП'!$AQ:$AQ,7,'Отчет РПЗ(ПЗ)_ПЗИП'!$AG:$AG,"&gt;0")</f>
        <v>0</v>
      </c>
      <c r="AT40" s="425">
        <f>ПП!X28</f>
        <v>0</v>
      </c>
      <c r="AU40" s="372">
        <f>SUMIFS('Отчет РПЗ(ПЗ)_ПЗИП'!$AG:$AG,'Отчет РПЗ(ПЗ)_ПЗИП'!$G:$G,Справочно!$C24,'Отчет РПЗ(ПЗ)_ПЗИП'!$AQ:$AQ,7,'Отчет РПЗ(ПЗ)_ПЗИП'!$AG:$AG,"&gt;0")</f>
        <v>0</v>
      </c>
      <c r="AV40" s="44">
        <f>ПП!Y28</f>
        <v>0</v>
      </c>
      <c r="AW40" s="144">
        <f>COUNTIFS('Отчет РПЗ(ПЗ)_ПЗИП'!$G:$G,Справочно!$C24,'Отчет РПЗ(ПЗ)_ПЗИП'!$AQ:$AQ,8,'Отчет РПЗ(ПЗ)_ПЗИП'!$AG:$AG,"&gt;0")</f>
        <v>0</v>
      </c>
      <c r="AX40" s="425">
        <f>ПП!Z28</f>
        <v>0</v>
      </c>
      <c r="AY40" s="372">
        <f>SUMIFS('Отчет РПЗ(ПЗ)_ПЗИП'!$AG:$AG,'Отчет РПЗ(ПЗ)_ПЗИП'!$G:$G,Справочно!$C24,'Отчет РПЗ(ПЗ)_ПЗИП'!$AQ:$AQ,8,'Отчет РПЗ(ПЗ)_ПЗИП'!$AG:$AG,"&gt;0")</f>
        <v>0</v>
      </c>
      <c r="AZ40" s="44">
        <f>ПП!AA28</f>
        <v>0</v>
      </c>
      <c r="BA40" s="144">
        <f>COUNTIFS('Отчет РПЗ(ПЗ)_ПЗИП'!$G:$G,Справочно!$C24,'Отчет РПЗ(ПЗ)_ПЗИП'!$AQ:$AQ,9,'Отчет РПЗ(ПЗ)_ПЗИП'!$AG:$AG,"&gt;0")</f>
        <v>0</v>
      </c>
      <c r="BB40" s="425">
        <f>ПП!AB28</f>
        <v>0</v>
      </c>
      <c r="BC40" s="373">
        <f>SUMIFS('Отчет РПЗ(ПЗ)_ПЗИП'!$AG:$AG,'Отчет РПЗ(ПЗ)_ПЗИП'!$G:$G,Справочно!$C24,'Отчет РПЗ(ПЗ)_ПЗИП'!$AQ:$AQ,9,'Отчет РПЗ(ПЗ)_ПЗИП'!$AG:$AG,"&gt;0")</f>
        <v>0</v>
      </c>
      <c r="BD40" s="171">
        <f>ПП!AC28</f>
        <v>0</v>
      </c>
      <c r="BE40" s="180">
        <f t="shared" si="9"/>
        <v>0</v>
      </c>
      <c r="BF40" s="424">
        <f t="shared" si="10"/>
        <v>0</v>
      </c>
      <c r="BG40" s="333">
        <f t="shared" si="11"/>
        <v>0</v>
      </c>
      <c r="BH40" s="159">
        <f>ПП!AE28</f>
        <v>0</v>
      </c>
      <c r="BI40" s="177">
        <f>COUNTIFS('Отчет РПЗ(ПЗ)_ПЗИП'!$G:$G,Справочно!$C24,'Отчет РПЗ(ПЗ)_ПЗИП'!$AQ:$AQ,10,'Отчет РПЗ(ПЗ)_ПЗИП'!$AG:$AG,"&gt;0")</f>
        <v>0</v>
      </c>
      <c r="BJ40" s="425">
        <f>ПП!AF28</f>
        <v>0</v>
      </c>
      <c r="BK40" s="374">
        <f>SUMIFS('Отчет РПЗ(ПЗ)_ПЗИП'!$AG:$AG,'Отчет РПЗ(ПЗ)_ПЗИП'!$G:$G,Справочно!$C24,'Отчет РПЗ(ПЗ)_ПЗИП'!$AQ:$AQ,10,'Отчет РПЗ(ПЗ)_ПЗИП'!$AG:$AG,"&gt;0")</f>
        <v>0</v>
      </c>
      <c r="BL40" s="44">
        <f>ПП!AG28</f>
        <v>0</v>
      </c>
      <c r="BM40" s="177">
        <f>COUNTIFS('Отчет РПЗ(ПЗ)_ПЗИП'!$G:$G,Справочно!$C24,'Отчет РПЗ(ПЗ)_ПЗИП'!$AQ:$AQ,11,'Отчет РПЗ(ПЗ)_ПЗИП'!$AG:$AG,"&gt;0")</f>
        <v>0</v>
      </c>
      <c r="BN40" s="425">
        <f>ПП!AH28</f>
        <v>0</v>
      </c>
      <c r="BO40" s="374">
        <f>SUMIFS('Отчет РПЗ(ПЗ)_ПЗИП'!$AG:$AG,'Отчет РПЗ(ПЗ)_ПЗИП'!$G:$G,Справочно!$C24,'Отчет РПЗ(ПЗ)_ПЗИП'!$AQ:$AQ,11,'Отчет РПЗ(ПЗ)_ПЗИП'!$AG:$AG,"&gt;0")</f>
        <v>0</v>
      </c>
      <c r="BP40" s="44">
        <f>ПП!AI28</f>
        <v>0</v>
      </c>
      <c r="BQ40" s="177">
        <f>COUNTIFS('Отчет РПЗ(ПЗ)_ПЗИП'!$G:$G,Справочно!$C24,'Отчет РПЗ(ПЗ)_ПЗИП'!$AQ:$AQ,12,'Отчет РПЗ(ПЗ)_ПЗИП'!$AG:$AG,"&gt;0")</f>
        <v>0</v>
      </c>
      <c r="BR40" s="425">
        <f>ПП!AJ28</f>
        <v>0</v>
      </c>
      <c r="BS40" s="375">
        <f>SUMIFS('Отчет РПЗ(ПЗ)_ПЗИП'!$AG:$AG,'Отчет РПЗ(ПЗ)_ПЗИП'!$G:$G,Справочно!$C24,'Отчет РПЗ(ПЗ)_ПЗИП'!$AQ:$AQ,12,'Отчет РПЗ(ПЗ)_ПЗИП'!$AG:$AG,"&gt;0")</f>
        <v>0</v>
      </c>
      <c r="BT40" s="171">
        <f>ПП!AK28</f>
        <v>0</v>
      </c>
      <c r="BU40" s="179">
        <f t="shared" si="12"/>
        <v>0</v>
      </c>
      <c r="BV40" s="424">
        <f t="shared" si="13"/>
        <v>0</v>
      </c>
      <c r="BW40" s="335">
        <f t="shared" si="14"/>
        <v>0</v>
      </c>
    </row>
    <row r="41" spans="2:75" ht="13.5" thickBot="1" x14ac:dyDescent="0.25">
      <c r="B41" s="83" t="s">
        <v>254</v>
      </c>
      <c r="C41" s="92">
        <f>ПП!B29</f>
        <v>0</v>
      </c>
      <c r="D41" s="412">
        <f>ПП!C29</f>
        <v>0</v>
      </c>
      <c r="E41" s="63">
        <f>COUNTIFS('Отчет РПЗ(ПЗ)_ПЗИП'!$G:$G,Справочно!$C25,'Отчет РПЗ(ПЗ)_ПЗИП'!AG:AG, "&gt;0")</f>
        <v>0</v>
      </c>
      <c r="F41" s="413">
        <f t="shared" si="1"/>
        <v>0</v>
      </c>
      <c r="G41" s="414">
        <f>ПП!D29</f>
        <v>0</v>
      </c>
      <c r="H41" s="415">
        <f>ПП!E29</f>
        <v>0</v>
      </c>
      <c r="I41" s="416">
        <f>SUMIF('Отчет РПЗ(ПЗ)_ПЗИП'!$G:$G,Справочно!$C25,'Отчет РПЗ(ПЗ)_ПЗИП'!$AG:$AG)</f>
        <v>0</v>
      </c>
      <c r="J41" s="413">
        <f t="shared" si="2"/>
        <v>0</v>
      </c>
      <c r="K41" s="61"/>
      <c r="L41" s="159">
        <f>ПП!G29</f>
        <v>0</v>
      </c>
      <c r="M41" s="147">
        <f>COUNTIFS('Отчет РПЗ(ПЗ)_ПЗИП'!$G:$G,Справочно!$C25,'Отчет РПЗ(ПЗ)_ПЗИП'!$AQ:$AQ,1,'Отчет РПЗ(ПЗ)_ПЗИП'!$AG:$AG,"&gt;0")</f>
        <v>0</v>
      </c>
      <c r="N41" s="425">
        <f>ПП!H29</f>
        <v>0</v>
      </c>
      <c r="O41" s="336">
        <f>SUMIFS('Отчет РПЗ(ПЗ)_ПЗИП'!$AG:$AG,'Отчет РПЗ(ПЗ)_ПЗИП'!$G:$G,Справочно!$C25,'Отчет РПЗ(ПЗ)_ПЗИП'!$AQ:$AQ,1,'Отчет РПЗ(ПЗ)_ПЗИП'!$AG:$AG,"&gt;0")</f>
        <v>0</v>
      </c>
      <c r="P41" s="44">
        <f>ПП!I29</f>
        <v>0</v>
      </c>
      <c r="Q41" s="147">
        <f>COUNTIFS('Отчет РПЗ(ПЗ)_ПЗИП'!$G:$G,Справочно!$C25,'Отчет РПЗ(ПЗ)_ПЗИП'!$AQ:$AQ,2,'Отчет РПЗ(ПЗ)_ПЗИП'!$AG:$AG,"&gt;0")</f>
        <v>0</v>
      </c>
      <c r="R41" s="425">
        <f>ПП!J29</f>
        <v>0</v>
      </c>
      <c r="S41" s="336">
        <f>SUMIFS('Отчет РПЗ(ПЗ)_ПЗИП'!$AG:$AG,'Отчет РПЗ(ПЗ)_ПЗИП'!$G:$G,Справочно!$C25,'Отчет РПЗ(ПЗ)_ПЗИП'!$AQ:$AQ,2,'Отчет РПЗ(ПЗ)_ПЗИП'!$AG:$AG,"&gt;0")</f>
        <v>0</v>
      </c>
      <c r="T41" s="44">
        <f>ПП!K29</f>
        <v>0</v>
      </c>
      <c r="U41" s="147">
        <f>COUNTIFS('Отчет РПЗ(ПЗ)_ПЗИП'!$G:$G,Справочно!$C25,'Отчет РПЗ(ПЗ)_ПЗИП'!$AQ:$AQ,3,'Отчет РПЗ(ПЗ)_ПЗИП'!$AG:$AG,"&gt;0")</f>
        <v>0</v>
      </c>
      <c r="V41" s="425">
        <f>ПП!L29</f>
        <v>0</v>
      </c>
      <c r="W41" s="369">
        <f>SUMIFS('Отчет РПЗ(ПЗ)_ПЗИП'!$AG:$AG,'Отчет РПЗ(ПЗ)_ПЗИП'!$G:$G,Справочно!$C25,'Отчет РПЗ(ПЗ)_ПЗИП'!$AQ:$AQ,3,'Отчет РПЗ(ПЗ)_ПЗИП'!$AG:$AG,"&gt;0")</f>
        <v>0</v>
      </c>
      <c r="X41" s="171">
        <f>ПП!M29</f>
        <v>0</v>
      </c>
      <c r="Y41" s="172">
        <f t="shared" si="3"/>
        <v>0</v>
      </c>
      <c r="Z41" s="424">
        <f t="shared" si="4"/>
        <v>0</v>
      </c>
      <c r="AA41" s="329">
        <f t="shared" si="5"/>
        <v>0</v>
      </c>
      <c r="AB41" s="159">
        <f>ПП!O29</f>
        <v>0</v>
      </c>
      <c r="AC41" s="183">
        <f>COUNTIFS('Отчет РПЗ(ПЗ)_ПЗИП'!$G:$G,Справочно!$C25,'Отчет РПЗ(ПЗ)_ПЗИП'!$AQ:$AQ,4,'Отчет РПЗ(ПЗ)_ПЗИП'!$AG:$AG,"&gt;0")</f>
        <v>0</v>
      </c>
      <c r="AD41" s="425">
        <f>ПП!P29</f>
        <v>0</v>
      </c>
      <c r="AE41" s="370">
        <f>SUMIFS('Отчет РПЗ(ПЗ)_ПЗИП'!$AG:$AG,'Отчет РПЗ(ПЗ)_ПЗИП'!$G:$G,Справочно!$C25,'Отчет РПЗ(ПЗ)_ПЗИП'!$AQ:$AQ,4,'Отчет РПЗ(ПЗ)_ПЗИП'!$AG:$AG,"&gt;0")</f>
        <v>0</v>
      </c>
      <c r="AF41" s="44">
        <f>ПП!Q29</f>
        <v>0</v>
      </c>
      <c r="AG41" s="183">
        <f>COUNTIFS('Отчет РПЗ(ПЗ)_ПЗИП'!$G:$G,Справочно!$C25,'Отчет РПЗ(ПЗ)_ПЗИП'!$AQ:$AQ,5,'Отчет РПЗ(ПЗ)_ПЗИП'!$AG:$AG,"&gt;0")</f>
        <v>0</v>
      </c>
      <c r="AH41" s="425">
        <f>ПП!R29</f>
        <v>0</v>
      </c>
      <c r="AI41" s="370">
        <f>SUMIFS('Отчет РПЗ(ПЗ)_ПЗИП'!$AG:$AG,'Отчет РПЗ(ПЗ)_ПЗИП'!$G:$G,Справочно!$C25,'Отчет РПЗ(ПЗ)_ПЗИП'!$AQ:$AQ,5,'Отчет РПЗ(ПЗ)_ПЗИП'!$AG:$AG,"&gt;0")</f>
        <v>0</v>
      </c>
      <c r="AJ41" s="44">
        <f>ПП!S29</f>
        <v>0</v>
      </c>
      <c r="AK41" s="183">
        <f>COUNTIFS('Отчет РПЗ(ПЗ)_ПЗИП'!$G:$G,Справочно!$C25,'Отчет РПЗ(ПЗ)_ПЗИП'!$AQ:$AQ,6,'Отчет РПЗ(ПЗ)_ПЗИП'!$AG:$AG,"&gt;0")</f>
        <v>0</v>
      </c>
      <c r="AL41" s="425">
        <f>ПП!T29</f>
        <v>0</v>
      </c>
      <c r="AM41" s="371">
        <f>SUMIFS('Отчет РПЗ(ПЗ)_ПЗИП'!$AG:$AG,'Отчет РПЗ(ПЗ)_ПЗИП'!$G:$G,Справочно!$C25,'Отчет РПЗ(ПЗ)_ПЗИП'!$AQ:$AQ,6,'Отчет РПЗ(ПЗ)_ПЗИП'!$AG:$AG,"&gt;0")</f>
        <v>0</v>
      </c>
      <c r="AN41" s="171">
        <f>ПП!U29</f>
        <v>0</v>
      </c>
      <c r="AO41" s="185">
        <f t="shared" si="6"/>
        <v>0</v>
      </c>
      <c r="AP41" s="424">
        <f t="shared" si="7"/>
        <v>0</v>
      </c>
      <c r="AQ41" s="331">
        <f t="shared" si="8"/>
        <v>0</v>
      </c>
      <c r="AR41" s="159">
        <f>ПП!W29</f>
        <v>0</v>
      </c>
      <c r="AS41" s="144">
        <f>COUNTIFS('Отчет РПЗ(ПЗ)_ПЗИП'!$G:$G,Справочно!$C25,'Отчет РПЗ(ПЗ)_ПЗИП'!$AQ:$AQ,7,'Отчет РПЗ(ПЗ)_ПЗИП'!$AG:$AG,"&gt;0")</f>
        <v>0</v>
      </c>
      <c r="AT41" s="425">
        <f>ПП!X29</f>
        <v>0</v>
      </c>
      <c r="AU41" s="372">
        <f>SUMIFS('Отчет РПЗ(ПЗ)_ПЗИП'!$AG:$AG,'Отчет РПЗ(ПЗ)_ПЗИП'!$G:$G,Справочно!$C25,'Отчет РПЗ(ПЗ)_ПЗИП'!$AQ:$AQ,7,'Отчет РПЗ(ПЗ)_ПЗИП'!$AG:$AG,"&gt;0")</f>
        <v>0</v>
      </c>
      <c r="AV41" s="44">
        <f>ПП!Y29</f>
        <v>0</v>
      </c>
      <c r="AW41" s="144">
        <f>COUNTIFS('Отчет РПЗ(ПЗ)_ПЗИП'!$G:$G,Справочно!$C25,'Отчет РПЗ(ПЗ)_ПЗИП'!$AQ:$AQ,8,'Отчет РПЗ(ПЗ)_ПЗИП'!$AG:$AG,"&gt;0")</f>
        <v>0</v>
      </c>
      <c r="AX41" s="425">
        <f>ПП!Z29</f>
        <v>0</v>
      </c>
      <c r="AY41" s="372">
        <f>SUMIFS('Отчет РПЗ(ПЗ)_ПЗИП'!$AG:$AG,'Отчет РПЗ(ПЗ)_ПЗИП'!$G:$G,Справочно!$C25,'Отчет РПЗ(ПЗ)_ПЗИП'!$AQ:$AQ,8,'Отчет РПЗ(ПЗ)_ПЗИП'!$AG:$AG,"&gt;0")</f>
        <v>0</v>
      </c>
      <c r="AZ41" s="44">
        <f>ПП!AA29</f>
        <v>0</v>
      </c>
      <c r="BA41" s="144">
        <f>COUNTIFS('Отчет РПЗ(ПЗ)_ПЗИП'!$G:$G,Справочно!$C25,'Отчет РПЗ(ПЗ)_ПЗИП'!$AQ:$AQ,9,'Отчет РПЗ(ПЗ)_ПЗИП'!$AG:$AG,"&gt;0")</f>
        <v>0</v>
      </c>
      <c r="BB41" s="425">
        <f>ПП!AB29</f>
        <v>0</v>
      </c>
      <c r="BC41" s="373">
        <f>SUMIFS('Отчет РПЗ(ПЗ)_ПЗИП'!$AG:$AG,'Отчет РПЗ(ПЗ)_ПЗИП'!$G:$G,Справочно!$C25,'Отчет РПЗ(ПЗ)_ПЗИП'!$AQ:$AQ,9,'Отчет РПЗ(ПЗ)_ПЗИП'!$AG:$AG,"&gt;0")</f>
        <v>0</v>
      </c>
      <c r="BD41" s="171">
        <f>ПП!AC29</f>
        <v>0</v>
      </c>
      <c r="BE41" s="180">
        <f t="shared" si="9"/>
        <v>0</v>
      </c>
      <c r="BF41" s="424">
        <f t="shared" si="10"/>
        <v>0</v>
      </c>
      <c r="BG41" s="333">
        <f t="shared" si="11"/>
        <v>0</v>
      </c>
      <c r="BH41" s="159">
        <f>ПП!AE29</f>
        <v>0</v>
      </c>
      <c r="BI41" s="177">
        <f>COUNTIFS('Отчет РПЗ(ПЗ)_ПЗИП'!$G:$G,Справочно!$C25,'Отчет РПЗ(ПЗ)_ПЗИП'!$AQ:$AQ,10,'Отчет РПЗ(ПЗ)_ПЗИП'!$AG:$AG,"&gt;0")</f>
        <v>0</v>
      </c>
      <c r="BJ41" s="425">
        <f>ПП!AF29</f>
        <v>0</v>
      </c>
      <c r="BK41" s="374">
        <f>SUMIFS('Отчет РПЗ(ПЗ)_ПЗИП'!$AG:$AG,'Отчет РПЗ(ПЗ)_ПЗИП'!$G:$G,Справочно!$C25,'Отчет РПЗ(ПЗ)_ПЗИП'!$AQ:$AQ,10,'Отчет РПЗ(ПЗ)_ПЗИП'!$AG:$AG,"&gt;0")</f>
        <v>0</v>
      </c>
      <c r="BL41" s="44">
        <f>ПП!AG29</f>
        <v>0</v>
      </c>
      <c r="BM41" s="177">
        <f>COUNTIFS('Отчет РПЗ(ПЗ)_ПЗИП'!$G:$G,Справочно!$C25,'Отчет РПЗ(ПЗ)_ПЗИП'!$AQ:$AQ,11,'Отчет РПЗ(ПЗ)_ПЗИП'!$AG:$AG,"&gt;0")</f>
        <v>0</v>
      </c>
      <c r="BN41" s="425">
        <f>ПП!AH29</f>
        <v>0</v>
      </c>
      <c r="BO41" s="374">
        <f>SUMIFS('Отчет РПЗ(ПЗ)_ПЗИП'!$AG:$AG,'Отчет РПЗ(ПЗ)_ПЗИП'!$G:$G,Справочно!$C25,'Отчет РПЗ(ПЗ)_ПЗИП'!$AQ:$AQ,11,'Отчет РПЗ(ПЗ)_ПЗИП'!$AG:$AG,"&gt;0")</f>
        <v>0</v>
      </c>
      <c r="BP41" s="44">
        <f>ПП!AI29</f>
        <v>0</v>
      </c>
      <c r="BQ41" s="177">
        <f>COUNTIFS('Отчет РПЗ(ПЗ)_ПЗИП'!$G:$G,Справочно!$C25,'Отчет РПЗ(ПЗ)_ПЗИП'!$AQ:$AQ,12,'Отчет РПЗ(ПЗ)_ПЗИП'!$AG:$AG,"&gt;0")</f>
        <v>0</v>
      </c>
      <c r="BR41" s="425">
        <f>ПП!AJ29</f>
        <v>0</v>
      </c>
      <c r="BS41" s="375">
        <f>SUMIFS('Отчет РПЗ(ПЗ)_ПЗИП'!$AG:$AG,'Отчет РПЗ(ПЗ)_ПЗИП'!$G:$G,Справочно!$C25,'Отчет РПЗ(ПЗ)_ПЗИП'!$AQ:$AQ,12,'Отчет РПЗ(ПЗ)_ПЗИП'!$AG:$AG,"&gt;0")</f>
        <v>0</v>
      </c>
      <c r="BT41" s="171">
        <f>ПП!AK29</f>
        <v>0</v>
      </c>
      <c r="BU41" s="179">
        <f t="shared" si="12"/>
        <v>0</v>
      </c>
      <c r="BV41" s="424">
        <f t="shared" si="13"/>
        <v>0</v>
      </c>
      <c r="BW41" s="335">
        <f t="shared" si="14"/>
        <v>0</v>
      </c>
    </row>
    <row r="42" spans="2:75" ht="13.5" thickBot="1" x14ac:dyDescent="0.25">
      <c r="B42" s="83" t="s">
        <v>168</v>
      </c>
      <c r="C42" s="92">
        <f>ПП!B30</f>
        <v>0</v>
      </c>
      <c r="D42" s="412">
        <f>ПП!C30</f>
        <v>0</v>
      </c>
      <c r="E42" s="63">
        <f>COUNTIFS('Отчет РПЗ(ПЗ)_ПЗИП'!$G:$G,Справочно!$C26,'Отчет РПЗ(ПЗ)_ПЗИП'!AG:AG, "&gt;0")</f>
        <v>0</v>
      </c>
      <c r="F42" s="413">
        <f t="shared" si="1"/>
        <v>0</v>
      </c>
      <c r="G42" s="414">
        <f>ПП!D30</f>
        <v>0</v>
      </c>
      <c r="H42" s="415">
        <f>ПП!E30</f>
        <v>0</v>
      </c>
      <c r="I42" s="416">
        <f>SUMIF('Отчет РПЗ(ПЗ)_ПЗИП'!$G:$G,Справочно!$C26,'Отчет РПЗ(ПЗ)_ПЗИП'!$AG:$AG)</f>
        <v>0</v>
      </c>
      <c r="J42" s="413">
        <f t="shared" si="2"/>
        <v>0</v>
      </c>
      <c r="K42" s="61"/>
      <c r="L42" s="159">
        <f>ПП!G30</f>
        <v>0</v>
      </c>
      <c r="M42" s="147">
        <f>COUNTIFS('Отчет РПЗ(ПЗ)_ПЗИП'!$G:$G,Справочно!$C26,'Отчет РПЗ(ПЗ)_ПЗИП'!$AQ:$AQ,1,'Отчет РПЗ(ПЗ)_ПЗИП'!$AG:$AG,"&gt;0")</f>
        <v>0</v>
      </c>
      <c r="N42" s="425">
        <f>ПП!H30</f>
        <v>0</v>
      </c>
      <c r="O42" s="336">
        <f>SUMIFS('Отчет РПЗ(ПЗ)_ПЗИП'!$AG:$AG,'Отчет РПЗ(ПЗ)_ПЗИП'!$G:$G,Справочно!$C26,'Отчет РПЗ(ПЗ)_ПЗИП'!$AQ:$AQ,1,'Отчет РПЗ(ПЗ)_ПЗИП'!$AG:$AG,"&gt;0")</f>
        <v>0</v>
      </c>
      <c r="P42" s="44">
        <f>ПП!I30</f>
        <v>0</v>
      </c>
      <c r="Q42" s="147">
        <f>COUNTIFS('Отчет РПЗ(ПЗ)_ПЗИП'!$G:$G,Справочно!$C26,'Отчет РПЗ(ПЗ)_ПЗИП'!$AQ:$AQ,2,'Отчет РПЗ(ПЗ)_ПЗИП'!$AG:$AG,"&gt;0")</f>
        <v>0</v>
      </c>
      <c r="R42" s="425">
        <f>ПП!J30</f>
        <v>0</v>
      </c>
      <c r="S42" s="336">
        <f>SUMIFS('Отчет РПЗ(ПЗ)_ПЗИП'!$AG:$AG,'Отчет РПЗ(ПЗ)_ПЗИП'!$G:$G,Справочно!$C26,'Отчет РПЗ(ПЗ)_ПЗИП'!$AQ:$AQ,2,'Отчет РПЗ(ПЗ)_ПЗИП'!$AG:$AG,"&gt;0")</f>
        <v>0</v>
      </c>
      <c r="T42" s="44">
        <f>ПП!K30</f>
        <v>0</v>
      </c>
      <c r="U42" s="147">
        <f>COUNTIFS('Отчет РПЗ(ПЗ)_ПЗИП'!$G:$G,Справочно!$C26,'Отчет РПЗ(ПЗ)_ПЗИП'!$AQ:$AQ,3,'Отчет РПЗ(ПЗ)_ПЗИП'!$AG:$AG,"&gt;0")</f>
        <v>0</v>
      </c>
      <c r="V42" s="425">
        <f>ПП!L30</f>
        <v>0</v>
      </c>
      <c r="W42" s="369">
        <f>SUMIFS('Отчет РПЗ(ПЗ)_ПЗИП'!$AG:$AG,'Отчет РПЗ(ПЗ)_ПЗИП'!$G:$G,Справочно!$C26,'Отчет РПЗ(ПЗ)_ПЗИП'!$AQ:$AQ,3,'Отчет РПЗ(ПЗ)_ПЗИП'!$AG:$AG,"&gt;0")</f>
        <v>0</v>
      </c>
      <c r="X42" s="171">
        <f>ПП!M30</f>
        <v>0</v>
      </c>
      <c r="Y42" s="172">
        <f t="shared" si="3"/>
        <v>0</v>
      </c>
      <c r="Z42" s="424">
        <f t="shared" si="4"/>
        <v>0</v>
      </c>
      <c r="AA42" s="329">
        <f t="shared" si="5"/>
        <v>0</v>
      </c>
      <c r="AB42" s="159">
        <f>ПП!O30</f>
        <v>0</v>
      </c>
      <c r="AC42" s="183">
        <f>COUNTIFS('Отчет РПЗ(ПЗ)_ПЗИП'!$G:$G,Справочно!$C26,'Отчет РПЗ(ПЗ)_ПЗИП'!$AQ:$AQ,4,'Отчет РПЗ(ПЗ)_ПЗИП'!$AG:$AG,"&gt;0")</f>
        <v>0</v>
      </c>
      <c r="AD42" s="425">
        <f>ПП!P30</f>
        <v>0</v>
      </c>
      <c r="AE42" s="370">
        <f>SUMIFS('Отчет РПЗ(ПЗ)_ПЗИП'!$AG:$AG,'Отчет РПЗ(ПЗ)_ПЗИП'!$G:$G,Справочно!$C26,'Отчет РПЗ(ПЗ)_ПЗИП'!$AQ:$AQ,4,'Отчет РПЗ(ПЗ)_ПЗИП'!$AG:$AG,"&gt;0")</f>
        <v>0</v>
      </c>
      <c r="AF42" s="44">
        <f>ПП!Q30</f>
        <v>0</v>
      </c>
      <c r="AG42" s="183">
        <f>COUNTIFS('Отчет РПЗ(ПЗ)_ПЗИП'!$G:$G,Справочно!$C26,'Отчет РПЗ(ПЗ)_ПЗИП'!$AQ:$AQ,5,'Отчет РПЗ(ПЗ)_ПЗИП'!$AG:$AG,"&gt;0")</f>
        <v>0</v>
      </c>
      <c r="AH42" s="425">
        <f>ПП!R30</f>
        <v>0</v>
      </c>
      <c r="AI42" s="370">
        <f>SUMIFS('Отчет РПЗ(ПЗ)_ПЗИП'!$AG:$AG,'Отчет РПЗ(ПЗ)_ПЗИП'!$G:$G,Справочно!$C26,'Отчет РПЗ(ПЗ)_ПЗИП'!$AQ:$AQ,5,'Отчет РПЗ(ПЗ)_ПЗИП'!$AG:$AG,"&gt;0")</f>
        <v>0</v>
      </c>
      <c r="AJ42" s="44">
        <f>ПП!S30</f>
        <v>0</v>
      </c>
      <c r="AK42" s="183">
        <f>COUNTIFS('Отчет РПЗ(ПЗ)_ПЗИП'!$G:$G,Справочно!$C26,'Отчет РПЗ(ПЗ)_ПЗИП'!$AQ:$AQ,6,'Отчет РПЗ(ПЗ)_ПЗИП'!$AG:$AG,"&gt;0")</f>
        <v>0</v>
      </c>
      <c r="AL42" s="425">
        <f>ПП!T30</f>
        <v>0</v>
      </c>
      <c r="AM42" s="371">
        <f>SUMIFS('Отчет РПЗ(ПЗ)_ПЗИП'!$AG:$AG,'Отчет РПЗ(ПЗ)_ПЗИП'!$G:$G,Справочно!$C26,'Отчет РПЗ(ПЗ)_ПЗИП'!$AQ:$AQ,6,'Отчет РПЗ(ПЗ)_ПЗИП'!$AG:$AG,"&gt;0")</f>
        <v>0</v>
      </c>
      <c r="AN42" s="171">
        <f>ПП!U30</f>
        <v>0</v>
      </c>
      <c r="AO42" s="185">
        <f t="shared" si="6"/>
        <v>0</v>
      </c>
      <c r="AP42" s="424">
        <f t="shared" si="7"/>
        <v>0</v>
      </c>
      <c r="AQ42" s="331">
        <f t="shared" si="8"/>
        <v>0</v>
      </c>
      <c r="AR42" s="159">
        <f>ПП!W30</f>
        <v>0</v>
      </c>
      <c r="AS42" s="144">
        <f>COUNTIFS('Отчет РПЗ(ПЗ)_ПЗИП'!$G:$G,Справочно!$C26,'Отчет РПЗ(ПЗ)_ПЗИП'!$AQ:$AQ,7,'Отчет РПЗ(ПЗ)_ПЗИП'!$AG:$AG,"&gt;0")</f>
        <v>0</v>
      </c>
      <c r="AT42" s="425">
        <f>ПП!X30</f>
        <v>0</v>
      </c>
      <c r="AU42" s="372">
        <f>SUMIFS('Отчет РПЗ(ПЗ)_ПЗИП'!$AG:$AG,'Отчет РПЗ(ПЗ)_ПЗИП'!$G:$G,Справочно!$C26,'Отчет РПЗ(ПЗ)_ПЗИП'!$AQ:$AQ,7,'Отчет РПЗ(ПЗ)_ПЗИП'!$AG:$AG,"&gt;0")</f>
        <v>0</v>
      </c>
      <c r="AV42" s="44">
        <f>ПП!Y30</f>
        <v>0</v>
      </c>
      <c r="AW42" s="144">
        <f>COUNTIFS('Отчет РПЗ(ПЗ)_ПЗИП'!$G:$G,Справочно!$C26,'Отчет РПЗ(ПЗ)_ПЗИП'!$AQ:$AQ,8,'Отчет РПЗ(ПЗ)_ПЗИП'!$AG:$AG,"&gt;0")</f>
        <v>0</v>
      </c>
      <c r="AX42" s="425">
        <f>ПП!Z30</f>
        <v>0</v>
      </c>
      <c r="AY42" s="372">
        <f>SUMIFS('Отчет РПЗ(ПЗ)_ПЗИП'!$AG:$AG,'Отчет РПЗ(ПЗ)_ПЗИП'!$G:$G,Справочно!$C26,'Отчет РПЗ(ПЗ)_ПЗИП'!$AQ:$AQ,8,'Отчет РПЗ(ПЗ)_ПЗИП'!$AG:$AG,"&gt;0")</f>
        <v>0</v>
      </c>
      <c r="AZ42" s="44">
        <f>ПП!AA30</f>
        <v>0</v>
      </c>
      <c r="BA42" s="144">
        <f>COUNTIFS('Отчет РПЗ(ПЗ)_ПЗИП'!$G:$G,Справочно!$C26,'Отчет РПЗ(ПЗ)_ПЗИП'!$AQ:$AQ,9,'Отчет РПЗ(ПЗ)_ПЗИП'!$AG:$AG,"&gt;0")</f>
        <v>0</v>
      </c>
      <c r="BB42" s="425">
        <f>ПП!AB30</f>
        <v>0</v>
      </c>
      <c r="BC42" s="373">
        <f>SUMIFS('Отчет РПЗ(ПЗ)_ПЗИП'!$AG:$AG,'Отчет РПЗ(ПЗ)_ПЗИП'!$G:$G,Справочно!$C26,'Отчет РПЗ(ПЗ)_ПЗИП'!$AQ:$AQ,9,'Отчет РПЗ(ПЗ)_ПЗИП'!$AG:$AG,"&gt;0")</f>
        <v>0</v>
      </c>
      <c r="BD42" s="171">
        <f>ПП!AC30</f>
        <v>0</v>
      </c>
      <c r="BE42" s="180">
        <f t="shared" si="9"/>
        <v>0</v>
      </c>
      <c r="BF42" s="424">
        <f t="shared" si="10"/>
        <v>0</v>
      </c>
      <c r="BG42" s="333">
        <f t="shared" si="11"/>
        <v>0</v>
      </c>
      <c r="BH42" s="159">
        <f>ПП!AE30</f>
        <v>0</v>
      </c>
      <c r="BI42" s="177">
        <f>COUNTIFS('Отчет РПЗ(ПЗ)_ПЗИП'!$G:$G,Справочно!$C26,'Отчет РПЗ(ПЗ)_ПЗИП'!$AQ:$AQ,10,'Отчет РПЗ(ПЗ)_ПЗИП'!$AG:$AG,"&gt;0")</f>
        <v>0</v>
      </c>
      <c r="BJ42" s="425">
        <f>ПП!AF30</f>
        <v>0</v>
      </c>
      <c r="BK42" s="374">
        <f>SUMIFS('Отчет РПЗ(ПЗ)_ПЗИП'!$AG:$AG,'Отчет РПЗ(ПЗ)_ПЗИП'!$G:$G,Справочно!$C26,'Отчет РПЗ(ПЗ)_ПЗИП'!$AQ:$AQ,10,'Отчет РПЗ(ПЗ)_ПЗИП'!$AG:$AG,"&gt;0")</f>
        <v>0</v>
      </c>
      <c r="BL42" s="44">
        <f>ПП!AG30</f>
        <v>0</v>
      </c>
      <c r="BM42" s="177">
        <f>COUNTIFS('Отчет РПЗ(ПЗ)_ПЗИП'!$G:$G,Справочно!$C26,'Отчет РПЗ(ПЗ)_ПЗИП'!$AQ:$AQ,11,'Отчет РПЗ(ПЗ)_ПЗИП'!$AG:$AG,"&gt;0")</f>
        <v>0</v>
      </c>
      <c r="BN42" s="425">
        <f>ПП!AH30</f>
        <v>0</v>
      </c>
      <c r="BO42" s="374">
        <f>SUMIFS('Отчет РПЗ(ПЗ)_ПЗИП'!$AG:$AG,'Отчет РПЗ(ПЗ)_ПЗИП'!$G:$G,Справочно!$C26,'Отчет РПЗ(ПЗ)_ПЗИП'!$AQ:$AQ,11,'Отчет РПЗ(ПЗ)_ПЗИП'!$AG:$AG,"&gt;0")</f>
        <v>0</v>
      </c>
      <c r="BP42" s="44">
        <f>ПП!AI30</f>
        <v>0</v>
      </c>
      <c r="BQ42" s="177">
        <f>COUNTIFS('Отчет РПЗ(ПЗ)_ПЗИП'!$G:$G,Справочно!$C26,'Отчет РПЗ(ПЗ)_ПЗИП'!$AQ:$AQ,12,'Отчет РПЗ(ПЗ)_ПЗИП'!$AG:$AG,"&gt;0")</f>
        <v>0</v>
      </c>
      <c r="BR42" s="425">
        <f>ПП!AJ30</f>
        <v>0</v>
      </c>
      <c r="BS42" s="375">
        <f>SUMIFS('Отчет РПЗ(ПЗ)_ПЗИП'!$AG:$AG,'Отчет РПЗ(ПЗ)_ПЗИП'!$G:$G,Справочно!$C26,'Отчет РПЗ(ПЗ)_ПЗИП'!$AQ:$AQ,12,'Отчет РПЗ(ПЗ)_ПЗИП'!$AG:$AG,"&gt;0")</f>
        <v>0</v>
      </c>
      <c r="BT42" s="171">
        <f>ПП!AK30</f>
        <v>0</v>
      </c>
      <c r="BU42" s="179">
        <f t="shared" si="12"/>
        <v>0</v>
      </c>
      <c r="BV42" s="424">
        <f t="shared" si="13"/>
        <v>0</v>
      </c>
      <c r="BW42" s="335">
        <f t="shared" si="14"/>
        <v>0</v>
      </c>
    </row>
    <row r="43" spans="2:75" ht="13.5" thickBot="1" x14ac:dyDescent="0.25">
      <c r="B43" s="83" t="s">
        <v>255</v>
      </c>
      <c r="C43" s="92">
        <f>ПП!B31</f>
        <v>0</v>
      </c>
      <c r="D43" s="412">
        <f>ПП!C31</f>
        <v>0</v>
      </c>
      <c r="E43" s="63">
        <f>COUNTIFS('Отчет РПЗ(ПЗ)_ПЗИП'!$G:$G,Справочно!$C27,'Отчет РПЗ(ПЗ)_ПЗИП'!AG:AG, "&gt;0")</f>
        <v>0</v>
      </c>
      <c r="F43" s="413">
        <f t="shared" si="1"/>
        <v>0</v>
      </c>
      <c r="G43" s="414">
        <f>ПП!D31</f>
        <v>0</v>
      </c>
      <c r="H43" s="415">
        <f>ПП!E31</f>
        <v>0</v>
      </c>
      <c r="I43" s="416">
        <f>SUMIF('Отчет РПЗ(ПЗ)_ПЗИП'!$G:$G,Справочно!$C27,'Отчет РПЗ(ПЗ)_ПЗИП'!$AG:$AG)</f>
        <v>0</v>
      </c>
      <c r="J43" s="413">
        <f t="shared" si="2"/>
        <v>0</v>
      </c>
      <c r="K43" s="61"/>
      <c r="L43" s="159">
        <f>ПП!G31</f>
        <v>0</v>
      </c>
      <c r="M43" s="147">
        <f>COUNTIFS('Отчет РПЗ(ПЗ)_ПЗИП'!$G:$G,Справочно!$C27,'Отчет РПЗ(ПЗ)_ПЗИП'!$AQ:$AQ,1,'Отчет РПЗ(ПЗ)_ПЗИП'!$AG:$AG,"&gt;0")</f>
        <v>0</v>
      </c>
      <c r="N43" s="425">
        <f>ПП!H31</f>
        <v>0</v>
      </c>
      <c r="O43" s="336">
        <f>SUMIFS('Отчет РПЗ(ПЗ)_ПЗИП'!$AG:$AG,'Отчет РПЗ(ПЗ)_ПЗИП'!$G:$G,Справочно!$C27,'Отчет РПЗ(ПЗ)_ПЗИП'!$AQ:$AQ,1,'Отчет РПЗ(ПЗ)_ПЗИП'!$AG:$AG,"&gt;0")</f>
        <v>0</v>
      </c>
      <c r="P43" s="44">
        <f>ПП!I31</f>
        <v>0</v>
      </c>
      <c r="Q43" s="147">
        <f>COUNTIFS('Отчет РПЗ(ПЗ)_ПЗИП'!$G:$G,Справочно!$C27,'Отчет РПЗ(ПЗ)_ПЗИП'!$AQ:$AQ,2,'Отчет РПЗ(ПЗ)_ПЗИП'!$AG:$AG,"&gt;0")</f>
        <v>0</v>
      </c>
      <c r="R43" s="425">
        <f>ПП!J31</f>
        <v>0</v>
      </c>
      <c r="S43" s="336">
        <f>SUMIFS('Отчет РПЗ(ПЗ)_ПЗИП'!$AG:$AG,'Отчет РПЗ(ПЗ)_ПЗИП'!$G:$G,Справочно!$C27,'Отчет РПЗ(ПЗ)_ПЗИП'!$AQ:$AQ,2,'Отчет РПЗ(ПЗ)_ПЗИП'!$AG:$AG,"&gt;0")</f>
        <v>0</v>
      </c>
      <c r="T43" s="44">
        <f>ПП!K31</f>
        <v>0</v>
      </c>
      <c r="U43" s="147">
        <f>COUNTIFS('Отчет РПЗ(ПЗ)_ПЗИП'!$G:$G,Справочно!$C27,'Отчет РПЗ(ПЗ)_ПЗИП'!$AQ:$AQ,3,'Отчет РПЗ(ПЗ)_ПЗИП'!$AG:$AG,"&gt;0")</f>
        <v>0</v>
      </c>
      <c r="V43" s="425">
        <f>ПП!L31</f>
        <v>0</v>
      </c>
      <c r="W43" s="369">
        <f>SUMIFS('Отчет РПЗ(ПЗ)_ПЗИП'!$AG:$AG,'Отчет РПЗ(ПЗ)_ПЗИП'!$G:$G,Справочно!$C27,'Отчет РПЗ(ПЗ)_ПЗИП'!$AQ:$AQ,3,'Отчет РПЗ(ПЗ)_ПЗИП'!$AG:$AG,"&gt;0")</f>
        <v>0</v>
      </c>
      <c r="X43" s="171">
        <f>ПП!M31</f>
        <v>0</v>
      </c>
      <c r="Y43" s="172">
        <f t="shared" si="3"/>
        <v>0</v>
      </c>
      <c r="Z43" s="424">
        <f t="shared" si="4"/>
        <v>0</v>
      </c>
      <c r="AA43" s="329">
        <f t="shared" si="5"/>
        <v>0</v>
      </c>
      <c r="AB43" s="159">
        <f>ПП!O31</f>
        <v>0</v>
      </c>
      <c r="AC43" s="183">
        <f>COUNTIFS('Отчет РПЗ(ПЗ)_ПЗИП'!$G:$G,Справочно!$C27,'Отчет РПЗ(ПЗ)_ПЗИП'!$AQ:$AQ,4,'Отчет РПЗ(ПЗ)_ПЗИП'!$AG:$AG,"&gt;0")</f>
        <v>0</v>
      </c>
      <c r="AD43" s="425">
        <f>ПП!P31</f>
        <v>0</v>
      </c>
      <c r="AE43" s="370">
        <f>SUMIFS('Отчет РПЗ(ПЗ)_ПЗИП'!$AG:$AG,'Отчет РПЗ(ПЗ)_ПЗИП'!$G:$G,Справочно!$C27,'Отчет РПЗ(ПЗ)_ПЗИП'!$AQ:$AQ,4,'Отчет РПЗ(ПЗ)_ПЗИП'!$AG:$AG,"&gt;0")</f>
        <v>0</v>
      </c>
      <c r="AF43" s="44">
        <f>ПП!Q31</f>
        <v>0</v>
      </c>
      <c r="AG43" s="183">
        <f>COUNTIFS('Отчет РПЗ(ПЗ)_ПЗИП'!$G:$G,Справочно!$C27,'Отчет РПЗ(ПЗ)_ПЗИП'!$AQ:$AQ,5,'Отчет РПЗ(ПЗ)_ПЗИП'!$AG:$AG,"&gt;0")</f>
        <v>0</v>
      </c>
      <c r="AH43" s="425">
        <f>ПП!R31</f>
        <v>0</v>
      </c>
      <c r="AI43" s="370">
        <f>SUMIFS('Отчет РПЗ(ПЗ)_ПЗИП'!$AG:$AG,'Отчет РПЗ(ПЗ)_ПЗИП'!$G:$G,Справочно!$C27,'Отчет РПЗ(ПЗ)_ПЗИП'!$AQ:$AQ,5,'Отчет РПЗ(ПЗ)_ПЗИП'!$AG:$AG,"&gt;0")</f>
        <v>0</v>
      </c>
      <c r="AJ43" s="44">
        <f>ПП!S31</f>
        <v>0</v>
      </c>
      <c r="AK43" s="183">
        <f>COUNTIFS('Отчет РПЗ(ПЗ)_ПЗИП'!$G:$G,Справочно!$C27,'Отчет РПЗ(ПЗ)_ПЗИП'!$AQ:$AQ,6,'Отчет РПЗ(ПЗ)_ПЗИП'!$AG:$AG,"&gt;0")</f>
        <v>0</v>
      </c>
      <c r="AL43" s="425">
        <f>ПП!T31</f>
        <v>0</v>
      </c>
      <c r="AM43" s="371">
        <f>SUMIFS('Отчет РПЗ(ПЗ)_ПЗИП'!$AG:$AG,'Отчет РПЗ(ПЗ)_ПЗИП'!$G:$G,Справочно!$C27,'Отчет РПЗ(ПЗ)_ПЗИП'!$AQ:$AQ,6,'Отчет РПЗ(ПЗ)_ПЗИП'!$AG:$AG,"&gt;0")</f>
        <v>0</v>
      </c>
      <c r="AN43" s="171">
        <f>ПП!U31</f>
        <v>0</v>
      </c>
      <c r="AO43" s="185">
        <f t="shared" si="6"/>
        <v>0</v>
      </c>
      <c r="AP43" s="424">
        <f t="shared" si="7"/>
        <v>0</v>
      </c>
      <c r="AQ43" s="331">
        <f t="shared" si="8"/>
        <v>0</v>
      </c>
      <c r="AR43" s="159">
        <f>ПП!W31</f>
        <v>0</v>
      </c>
      <c r="AS43" s="144">
        <f>COUNTIFS('Отчет РПЗ(ПЗ)_ПЗИП'!$G:$G,Справочно!$C27,'Отчет РПЗ(ПЗ)_ПЗИП'!$AQ:$AQ,7,'Отчет РПЗ(ПЗ)_ПЗИП'!$AG:$AG,"&gt;0")</f>
        <v>0</v>
      </c>
      <c r="AT43" s="425">
        <f>ПП!X31</f>
        <v>0</v>
      </c>
      <c r="AU43" s="372">
        <f>SUMIFS('Отчет РПЗ(ПЗ)_ПЗИП'!$AG:$AG,'Отчет РПЗ(ПЗ)_ПЗИП'!$G:$G,Справочно!$C27,'Отчет РПЗ(ПЗ)_ПЗИП'!$AQ:$AQ,7,'Отчет РПЗ(ПЗ)_ПЗИП'!$AG:$AG,"&gt;0")</f>
        <v>0</v>
      </c>
      <c r="AV43" s="44">
        <f>ПП!Y31</f>
        <v>0</v>
      </c>
      <c r="AW43" s="144">
        <f>COUNTIFS('Отчет РПЗ(ПЗ)_ПЗИП'!$G:$G,Справочно!$C27,'Отчет РПЗ(ПЗ)_ПЗИП'!$AQ:$AQ,8,'Отчет РПЗ(ПЗ)_ПЗИП'!$AG:$AG,"&gt;0")</f>
        <v>0</v>
      </c>
      <c r="AX43" s="425">
        <f>ПП!Z31</f>
        <v>0</v>
      </c>
      <c r="AY43" s="372">
        <f>SUMIFS('Отчет РПЗ(ПЗ)_ПЗИП'!$AG:$AG,'Отчет РПЗ(ПЗ)_ПЗИП'!$G:$G,Справочно!$C27,'Отчет РПЗ(ПЗ)_ПЗИП'!$AQ:$AQ,8,'Отчет РПЗ(ПЗ)_ПЗИП'!$AG:$AG,"&gt;0")</f>
        <v>0</v>
      </c>
      <c r="AZ43" s="44">
        <f>ПП!AA31</f>
        <v>0</v>
      </c>
      <c r="BA43" s="144">
        <f>COUNTIFS('Отчет РПЗ(ПЗ)_ПЗИП'!$G:$G,Справочно!$C27,'Отчет РПЗ(ПЗ)_ПЗИП'!$AQ:$AQ,9,'Отчет РПЗ(ПЗ)_ПЗИП'!$AG:$AG,"&gt;0")</f>
        <v>0</v>
      </c>
      <c r="BB43" s="425">
        <f>ПП!AB31</f>
        <v>0</v>
      </c>
      <c r="BC43" s="373">
        <f>SUMIFS('Отчет РПЗ(ПЗ)_ПЗИП'!$AG:$AG,'Отчет РПЗ(ПЗ)_ПЗИП'!$G:$G,Справочно!$C27,'Отчет РПЗ(ПЗ)_ПЗИП'!$AQ:$AQ,9,'Отчет РПЗ(ПЗ)_ПЗИП'!$AG:$AG,"&gt;0")</f>
        <v>0</v>
      </c>
      <c r="BD43" s="171">
        <f>ПП!AC31</f>
        <v>0</v>
      </c>
      <c r="BE43" s="180">
        <f t="shared" si="9"/>
        <v>0</v>
      </c>
      <c r="BF43" s="424">
        <f t="shared" si="10"/>
        <v>0</v>
      </c>
      <c r="BG43" s="333">
        <f t="shared" si="11"/>
        <v>0</v>
      </c>
      <c r="BH43" s="159">
        <f>ПП!AE31</f>
        <v>0</v>
      </c>
      <c r="BI43" s="177">
        <f>COUNTIFS('Отчет РПЗ(ПЗ)_ПЗИП'!$G:$G,Справочно!$C27,'Отчет РПЗ(ПЗ)_ПЗИП'!$AQ:$AQ,10,'Отчет РПЗ(ПЗ)_ПЗИП'!$AG:$AG,"&gt;0")</f>
        <v>0</v>
      </c>
      <c r="BJ43" s="425">
        <f>ПП!AF31</f>
        <v>0</v>
      </c>
      <c r="BK43" s="374">
        <f>SUMIFS('Отчет РПЗ(ПЗ)_ПЗИП'!$AG:$AG,'Отчет РПЗ(ПЗ)_ПЗИП'!$G:$G,Справочно!$C27,'Отчет РПЗ(ПЗ)_ПЗИП'!$AQ:$AQ,10,'Отчет РПЗ(ПЗ)_ПЗИП'!$AG:$AG,"&gt;0")</f>
        <v>0</v>
      </c>
      <c r="BL43" s="44">
        <f>ПП!AG31</f>
        <v>0</v>
      </c>
      <c r="BM43" s="177">
        <f>COUNTIFS('Отчет РПЗ(ПЗ)_ПЗИП'!$G:$G,Справочно!$C27,'Отчет РПЗ(ПЗ)_ПЗИП'!$AQ:$AQ,11,'Отчет РПЗ(ПЗ)_ПЗИП'!$AG:$AG,"&gt;0")</f>
        <v>0</v>
      </c>
      <c r="BN43" s="425">
        <f>ПП!AH31</f>
        <v>0</v>
      </c>
      <c r="BO43" s="374">
        <f>SUMIFS('Отчет РПЗ(ПЗ)_ПЗИП'!$AG:$AG,'Отчет РПЗ(ПЗ)_ПЗИП'!$G:$G,Справочно!$C27,'Отчет РПЗ(ПЗ)_ПЗИП'!$AQ:$AQ,11,'Отчет РПЗ(ПЗ)_ПЗИП'!$AG:$AG,"&gt;0")</f>
        <v>0</v>
      </c>
      <c r="BP43" s="44">
        <f>ПП!AI31</f>
        <v>0</v>
      </c>
      <c r="BQ43" s="177">
        <f>COUNTIFS('Отчет РПЗ(ПЗ)_ПЗИП'!$G:$G,Справочно!$C27,'Отчет РПЗ(ПЗ)_ПЗИП'!$AQ:$AQ,12,'Отчет РПЗ(ПЗ)_ПЗИП'!$AG:$AG,"&gt;0")</f>
        <v>0</v>
      </c>
      <c r="BR43" s="425">
        <f>ПП!AJ31</f>
        <v>0</v>
      </c>
      <c r="BS43" s="375">
        <f>SUMIFS('Отчет РПЗ(ПЗ)_ПЗИП'!$AG:$AG,'Отчет РПЗ(ПЗ)_ПЗИП'!$G:$G,Справочно!$C27,'Отчет РПЗ(ПЗ)_ПЗИП'!$AQ:$AQ,12,'Отчет РПЗ(ПЗ)_ПЗИП'!$AG:$AG,"&gt;0")</f>
        <v>0</v>
      </c>
      <c r="BT43" s="171">
        <f>ПП!AK31</f>
        <v>0</v>
      </c>
      <c r="BU43" s="179">
        <f t="shared" si="12"/>
        <v>0</v>
      </c>
      <c r="BV43" s="424">
        <f t="shared" si="13"/>
        <v>0</v>
      </c>
      <c r="BW43" s="335">
        <f t="shared" si="14"/>
        <v>0</v>
      </c>
    </row>
    <row r="44" spans="2:75" ht="13.5" thickBot="1" x14ac:dyDescent="0.25">
      <c r="B44" s="83" t="s">
        <v>169</v>
      </c>
      <c r="C44" s="92">
        <f>ПП!B32</f>
        <v>0</v>
      </c>
      <c r="D44" s="412">
        <f>ПП!C32</f>
        <v>0</v>
      </c>
      <c r="E44" s="63">
        <f>COUNTIFS('Отчет РПЗ(ПЗ)_ПЗИП'!$G:$G,Справочно!$C28,'Отчет РПЗ(ПЗ)_ПЗИП'!AG:AG, "&gt;0")</f>
        <v>0</v>
      </c>
      <c r="F44" s="413">
        <f t="shared" si="1"/>
        <v>0</v>
      </c>
      <c r="G44" s="414">
        <f>ПП!D32</f>
        <v>0</v>
      </c>
      <c r="H44" s="415">
        <f>ПП!E32</f>
        <v>0</v>
      </c>
      <c r="I44" s="416">
        <f>SUMIF('Отчет РПЗ(ПЗ)_ПЗИП'!$G:$G,Справочно!$C28,'Отчет РПЗ(ПЗ)_ПЗИП'!$AG:$AG)</f>
        <v>0</v>
      </c>
      <c r="J44" s="413">
        <f t="shared" si="2"/>
        <v>0</v>
      </c>
      <c r="K44" s="61"/>
      <c r="L44" s="159">
        <f>ПП!G32</f>
        <v>0</v>
      </c>
      <c r="M44" s="147">
        <f>COUNTIFS('Отчет РПЗ(ПЗ)_ПЗИП'!$G:$G,Справочно!$C28,'Отчет РПЗ(ПЗ)_ПЗИП'!$AQ:$AQ,1,'Отчет РПЗ(ПЗ)_ПЗИП'!$AG:$AG,"&gt;0")</f>
        <v>0</v>
      </c>
      <c r="N44" s="425">
        <f>ПП!H32</f>
        <v>0</v>
      </c>
      <c r="O44" s="336">
        <f>SUMIFS('Отчет РПЗ(ПЗ)_ПЗИП'!$AG:$AG,'Отчет РПЗ(ПЗ)_ПЗИП'!$G:$G,Справочно!$C28,'Отчет РПЗ(ПЗ)_ПЗИП'!$AQ:$AQ,1,'Отчет РПЗ(ПЗ)_ПЗИП'!$AG:$AG,"&gt;0")</f>
        <v>0</v>
      </c>
      <c r="P44" s="44">
        <f>ПП!I32</f>
        <v>0</v>
      </c>
      <c r="Q44" s="147">
        <f>COUNTIFS('Отчет РПЗ(ПЗ)_ПЗИП'!$G:$G,Справочно!$C28,'Отчет РПЗ(ПЗ)_ПЗИП'!$AQ:$AQ,2,'Отчет РПЗ(ПЗ)_ПЗИП'!$AG:$AG,"&gt;0")</f>
        <v>0</v>
      </c>
      <c r="R44" s="425">
        <f>ПП!J32</f>
        <v>0</v>
      </c>
      <c r="S44" s="336">
        <f>SUMIFS('Отчет РПЗ(ПЗ)_ПЗИП'!$AG:$AG,'Отчет РПЗ(ПЗ)_ПЗИП'!$G:$G,Справочно!$C28,'Отчет РПЗ(ПЗ)_ПЗИП'!$AQ:$AQ,2,'Отчет РПЗ(ПЗ)_ПЗИП'!$AG:$AG,"&gt;0")</f>
        <v>0</v>
      </c>
      <c r="T44" s="44">
        <f>ПП!K32</f>
        <v>0</v>
      </c>
      <c r="U44" s="147">
        <f>COUNTIFS('Отчет РПЗ(ПЗ)_ПЗИП'!$G:$G,Справочно!$C28,'Отчет РПЗ(ПЗ)_ПЗИП'!$AQ:$AQ,3,'Отчет РПЗ(ПЗ)_ПЗИП'!$AG:$AG,"&gt;0")</f>
        <v>0</v>
      </c>
      <c r="V44" s="425">
        <f>ПП!L32</f>
        <v>0</v>
      </c>
      <c r="W44" s="369">
        <f>SUMIFS('Отчет РПЗ(ПЗ)_ПЗИП'!$AG:$AG,'Отчет РПЗ(ПЗ)_ПЗИП'!$G:$G,Справочно!$C28,'Отчет РПЗ(ПЗ)_ПЗИП'!$AQ:$AQ,3,'Отчет РПЗ(ПЗ)_ПЗИП'!$AG:$AG,"&gt;0")</f>
        <v>0</v>
      </c>
      <c r="X44" s="171">
        <f>ПП!M32</f>
        <v>0</v>
      </c>
      <c r="Y44" s="172">
        <f t="shared" si="3"/>
        <v>0</v>
      </c>
      <c r="Z44" s="424">
        <f t="shared" si="4"/>
        <v>0</v>
      </c>
      <c r="AA44" s="329">
        <f t="shared" si="5"/>
        <v>0</v>
      </c>
      <c r="AB44" s="159">
        <f>ПП!O32</f>
        <v>0</v>
      </c>
      <c r="AC44" s="183">
        <f>COUNTIFS('Отчет РПЗ(ПЗ)_ПЗИП'!$G:$G,Справочно!$C28,'Отчет РПЗ(ПЗ)_ПЗИП'!$AQ:$AQ,4,'Отчет РПЗ(ПЗ)_ПЗИП'!$AG:$AG,"&gt;0")</f>
        <v>0</v>
      </c>
      <c r="AD44" s="425">
        <f>ПП!P32</f>
        <v>0</v>
      </c>
      <c r="AE44" s="370">
        <f>SUMIFS('Отчет РПЗ(ПЗ)_ПЗИП'!$AG:$AG,'Отчет РПЗ(ПЗ)_ПЗИП'!$G:$G,Справочно!$C28,'Отчет РПЗ(ПЗ)_ПЗИП'!$AQ:$AQ,4,'Отчет РПЗ(ПЗ)_ПЗИП'!$AG:$AG,"&gt;0")</f>
        <v>0</v>
      </c>
      <c r="AF44" s="44">
        <f>ПП!Q32</f>
        <v>0</v>
      </c>
      <c r="AG44" s="183">
        <f>COUNTIFS('Отчет РПЗ(ПЗ)_ПЗИП'!$G:$G,Справочно!$C28,'Отчет РПЗ(ПЗ)_ПЗИП'!$AQ:$AQ,5,'Отчет РПЗ(ПЗ)_ПЗИП'!$AG:$AG,"&gt;0")</f>
        <v>0</v>
      </c>
      <c r="AH44" s="425">
        <f>ПП!R32</f>
        <v>0</v>
      </c>
      <c r="AI44" s="370">
        <f>SUMIFS('Отчет РПЗ(ПЗ)_ПЗИП'!$AG:$AG,'Отчет РПЗ(ПЗ)_ПЗИП'!$G:$G,Справочно!$C28,'Отчет РПЗ(ПЗ)_ПЗИП'!$AQ:$AQ,5,'Отчет РПЗ(ПЗ)_ПЗИП'!$AG:$AG,"&gt;0")</f>
        <v>0</v>
      </c>
      <c r="AJ44" s="44">
        <f>ПП!S32</f>
        <v>0</v>
      </c>
      <c r="AK44" s="183">
        <f>COUNTIFS('Отчет РПЗ(ПЗ)_ПЗИП'!$G:$G,Справочно!$C28,'Отчет РПЗ(ПЗ)_ПЗИП'!$AQ:$AQ,6,'Отчет РПЗ(ПЗ)_ПЗИП'!$AG:$AG,"&gt;0")</f>
        <v>0</v>
      </c>
      <c r="AL44" s="425">
        <f>ПП!T32</f>
        <v>0</v>
      </c>
      <c r="AM44" s="371">
        <f>SUMIFS('Отчет РПЗ(ПЗ)_ПЗИП'!$AG:$AG,'Отчет РПЗ(ПЗ)_ПЗИП'!$G:$G,Справочно!$C28,'Отчет РПЗ(ПЗ)_ПЗИП'!$AQ:$AQ,6,'Отчет РПЗ(ПЗ)_ПЗИП'!$AG:$AG,"&gt;0")</f>
        <v>0</v>
      </c>
      <c r="AN44" s="171">
        <f>ПП!U32</f>
        <v>0</v>
      </c>
      <c r="AO44" s="185">
        <f t="shared" si="6"/>
        <v>0</v>
      </c>
      <c r="AP44" s="424">
        <f t="shared" si="7"/>
        <v>0</v>
      </c>
      <c r="AQ44" s="331">
        <f t="shared" si="8"/>
        <v>0</v>
      </c>
      <c r="AR44" s="159">
        <f>ПП!W32</f>
        <v>0</v>
      </c>
      <c r="AS44" s="144">
        <f>COUNTIFS('Отчет РПЗ(ПЗ)_ПЗИП'!$G:$G,Справочно!$C28,'Отчет РПЗ(ПЗ)_ПЗИП'!$AQ:$AQ,7,'Отчет РПЗ(ПЗ)_ПЗИП'!$AG:$AG,"&gt;0")</f>
        <v>0</v>
      </c>
      <c r="AT44" s="425">
        <f>ПП!X32</f>
        <v>0</v>
      </c>
      <c r="AU44" s="372">
        <f>SUMIFS('Отчет РПЗ(ПЗ)_ПЗИП'!$AG:$AG,'Отчет РПЗ(ПЗ)_ПЗИП'!$G:$G,Справочно!$C28,'Отчет РПЗ(ПЗ)_ПЗИП'!$AQ:$AQ,7,'Отчет РПЗ(ПЗ)_ПЗИП'!$AG:$AG,"&gt;0")</f>
        <v>0</v>
      </c>
      <c r="AV44" s="44">
        <f>ПП!Y32</f>
        <v>0</v>
      </c>
      <c r="AW44" s="144">
        <f>COUNTIFS('Отчет РПЗ(ПЗ)_ПЗИП'!$G:$G,Справочно!$C28,'Отчет РПЗ(ПЗ)_ПЗИП'!$AQ:$AQ,8,'Отчет РПЗ(ПЗ)_ПЗИП'!$AG:$AG,"&gt;0")</f>
        <v>0</v>
      </c>
      <c r="AX44" s="425">
        <f>ПП!Z32</f>
        <v>0</v>
      </c>
      <c r="AY44" s="372">
        <f>SUMIFS('Отчет РПЗ(ПЗ)_ПЗИП'!$AG:$AG,'Отчет РПЗ(ПЗ)_ПЗИП'!$G:$G,Справочно!$C28,'Отчет РПЗ(ПЗ)_ПЗИП'!$AQ:$AQ,8,'Отчет РПЗ(ПЗ)_ПЗИП'!$AG:$AG,"&gt;0")</f>
        <v>0</v>
      </c>
      <c r="AZ44" s="44">
        <f>ПП!AA32</f>
        <v>0</v>
      </c>
      <c r="BA44" s="144">
        <f>COUNTIFS('Отчет РПЗ(ПЗ)_ПЗИП'!$G:$G,Справочно!$C28,'Отчет РПЗ(ПЗ)_ПЗИП'!$AQ:$AQ,9,'Отчет РПЗ(ПЗ)_ПЗИП'!$AG:$AG,"&gt;0")</f>
        <v>0</v>
      </c>
      <c r="BB44" s="425">
        <f>ПП!AB32</f>
        <v>0</v>
      </c>
      <c r="BC44" s="373">
        <f>SUMIFS('Отчет РПЗ(ПЗ)_ПЗИП'!$AG:$AG,'Отчет РПЗ(ПЗ)_ПЗИП'!$G:$G,Справочно!$C28,'Отчет РПЗ(ПЗ)_ПЗИП'!$AQ:$AQ,9,'Отчет РПЗ(ПЗ)_ПЗИП'!$AG:$AG,"&gt;0")</f>
        <v>0</v>
      </c>
      <c r="BD44" s="171">
        <f>ПП!AC32</f>
        <v>0</v>
      </c>
      <c r="BE44" s="180">
        <f t="shared" si="9"/>
        <v>0</v>
      </c>
      <c r="BF44" s="424">
        <f t="shared" si="10"/>
        <v>0</v>
      </c>
      <c r="BG44" s="333">
        <f t="shared" si="11"/>
        <v>0</v>
      </c>
      <c r="BH44" s="159">
        <f>ПП!AE32</f>
        <v>0</v>
      </c>
      <c r="BI44" s="177">
        <f>COUNTIFS('Отчет РПЗ(ПЗ)_ПЗИП'!$G:$G,Справочно!$C28,'Отчет РПЗ(ПЗ)_ПЗИП'!$AQ:$AQ,10,'Отчет РПЗ(ПЗ)_ПЗИП'!$AG:$AG,"&gt;0")</f>
        <v>0</v>
      </c>
      <c r="BJ44" s="425">
        <f>ПП!AF32</f>
        <v>0</v>
      </c>
      <c r="BK44" s="374">
        <f>SUMIFS('Отчет РПЗ(ПЗ)_ПЗИП'!$AG:$AG,'Отчет РПЗ(ПЗ)_ПЗИП'!$G:$G,Справочно!$C28,'Отчет РПЗ(ПЗ)_ПЗИП'!$AQ:$AQ,10,'Отчет РПЗ(ПЗ)_ПЗИП'!$AG:$AG,"&gt;0")</f>
        <v>0</v>
      </c>
      <c r="BL44" s="44">
        <f>ПП!AG32</f>
        <v>0</v>
      </c>
      <c r="BM44" s="177">
        <f>COUNTIFS('Отчет РПЗ(ПЗ)_ПЗИП'!$G:$G,Справочно!$C28,'Отчет РПЗ(ПЗ)_ПЗИП'!$AQ:$AQ,11,'Отчет РПЗ(ПЗ)_ПЗИП'!$AG:$AG,"&gt;0")</f>
        <v>0</v>
      </c>
      <c r="BN44" s="425">
        <f>ПП!AH32</f>
        <v>0</v>
      </c>
      <c r="BO44" s="374">
        <f>SUMIFS('Отчет РПЗ(ПЗ)_ПЗИП'!$AG:$AG,'Отчет РПЗ(ПЗ)_ПЗИП'!$G:$G,Справочно!$C28,'Отчет РПЗ(ПЗ)_ПЗИП'!$AQ:$AQ,11,'Отчет РПЗ(ПЗ)_ПЗИП'!$AG:$AG,"&gt;0")</f>
        <v>0</v>
      </c>
      <c r="BP44" s="44">
        <f>ПП!AI32</f>
        <v>0</v>
      </c>
      <c r="BQ44" s="177">
        <f>COUNTIFS('Отчет РПЗ(ПЗ)_ПЗИП'!$G:$G,Справочно!$C28,'Отчет РПЗ(ПЗ)_ПЗИП'!$AQ:$AQ,12,'Отчет РПЗ(ПЗ)_ПЗИП'!$AG:$AG,"&gt;0")</f>
        <v>0</v>
      </c>
      <c r="BR44" s="425">
        <f>ПП!AJ32</f>
        <v>0</v>
      </c>
      <c r="BS44" s="375">
        <f>SUMIFS('Отчет РПЗ(ПЗ)_ПЗИП'!$AG:$AG,'Отчет РПЗ(ПЗ)_ПЗИП'!$G:$G,Справочно!$C28,'Отчет РПЗ(ПЗ)_ПЗИП'!$AQ:$AQ,12,'Отчет РПЗ(ПЗ)_ПЗИП'!$AG:$AG,"&gt;0")</f>
        <v>0</v>
      </c>
      <c r="BT44" s="171">
        <f>ПП!AK32</f>
        <v>0</v>
      </c>
      <c r="BU44" s="179">
        <f t="shared" si="12"/>
        <v>0</v>
      </c>
      <c r="BV44" s="424">
        <f t="shared" si="13"/>
        <v>0</v>
      </c>
      <c r="BW44" s="335">
        <f t="shared" si="14"/>
        <v>0</v>
      </c>
    </row>
    <row r="45" spans="2:75" ht="13.5" thickBot="1" x14ac:dyDescent="0.25">
      <c r="B45" s="83" t="s">
        <v>256</v>
      </c>
      <c r="C45" s="92">
        <f>ПП!B33</f>
        <v>0</v>
      </c>
      <c r="D45" s="412">
        <f>ПП!C33</f>
        <v>0</v>
      </c>
      <c r="E45" s="63">
        <f>COUNTIFS('Отчет РПЗ(ПЗ)_ПЗИП'!$G:$G,Справочно!$C29,'Отчет РПЗ(ПЗ)_ПЗИП'!AG:AG, "&gt;0")</f>
        <v>0</v>
      </c>
      <c r="F45" s="413">
        <f t="shared" si="1"/>
        <v>0</v>
      </c>
      <c r="G45" s="414">
        <f>ПП!D33</f>
        <v>0</v>
      </c>
      <c r="H45" s="415">
        <f>ПП!E33</f>
        <v>0</v>
      </c>
      <c r="I45" s="416">
        <f>SUMIF('Отчет РПЗ(ПЗ)_ПЗИП'!$G:$G,Справочно!$C29,'Отчет РПЗ(ПЗ)_ПЗИП'!$AG:$AG)</f>
        <v>0</v>
      </c>
      <c r="J45" s="413">
        <f t="shared" si="2"/>
        <v>0</v>
      </c>
      <c r="K45" s="61"/>
      <c r="L45" s="159">
        <f>ПП!G33</f>
        <v>0</v>
      </c>
      <c r="M45" s="147">
        <f>COUNTIFS('Отчет РПЗ(ПЗ)_ПЗИП'!$G:$G,Справочно!$C29,'Отчет РПЗ(ПЗ)_ПЗИП'!$AQ:$AQ,1,'Отчет РПЗ(ПЗ)_ПЗИП'!$AG:$AG,"&gt;0")</f>
        <v>0</v>
      </c>
      <c r="N45" s="425">
        <f>ПП!H33</f>
        <v>0</v>
      </c>
      <c r="O45" s="336">
        <f>SUMIFS('Отчет РПЗ(ПЗ)_ПЗИП'!$AG:$AG,'Отчет РПЗ(ПЗ)_ПЗИП'!$G:$G,Справочно!$C29,'Отчет РПЗ(ПЗ)_ПЗИП'!$AQ:$AQ,1,'Отчет РПЗ(ПЗ)_ПЗИП'!$AG:$AG,"&gt;0")</f>
        <v>0</v>
      </c>
      <c r="P45" s="44">
        <f>ПП!I33</f>
        <v>0</v>
      </c>
      <c r="Q45" s="147">
        <f>COUNTIFS('Отчет РПЗ(ПЗ)_ПЗИП'!$G:$G,Справочно!$C29,'Отчет РПЗ(ПЗ)_ПЗИП'!$AQ:$AQ,2,'Отчет РПЗ(ПЗ)_ПЗИП'!$AG:$AG,"&gt;0")</f>
        <v>0</v>
      </c>
      <c r="R45" s="425">
        <f>ПП!J33</f>
        <v>0</v>
      </c>
      <c r="S45" s="336">
        <f>SUMIFS('Отчет РПЗ(ПЗ)_ПЗИП'!$AG:$AG,'Отчет РПЗ(ПЗ)_ПЗИП'!$G:$G,Справочно!$C29,'Отчет РПЗ(ПЗ)_ПЗИП'!$AQ:$AQ,2,'Отчет РПЗ(ПЗ)_ПЗИП'!$AG:$AG,"&gt;0")</f>
        <v>0</v>
      </c>
      <c r="T45" s="44">
        <f>ПП!K33</f>
        <v>0</v>
      </c>
      <c r="U45" s="147">
        <f>COUNTIFS('Отчет РПЗ(ПЗ)_ПЗИП'!$G:$G,Справочно!$C29,'Отчет РПЗ(ПЗ)_ПЗИП'!$AQ:$AQ,3,'Отчет РПЗ(ПЗ)_ПЗИП'!$AG:$AG,"&gt;0")</f>
        <v>0</v>
      </c>
      <c r="V45" s="425">
        <f>ПП!L33</f>
        <v>0</v>
      </c>
      <c r="W45" s="369">
        <f>SUMIFS('Отчет РПЗ(ПЗ)_ПЗИП'!$AG:$AG,'Отчет РПЗ(ПЗ)_ПЗИП'!$G:$G,Справочно!$C29,'Отчет РПЗ(ПЗ)_ПЗИП'!$AQ:$AQ,3,'Отчет РПЗ(ПЗ)_ПЗИП'!$AG:$AG,"&gt;0")</f>
        <v>0</v>
      </c>
      <c r="X45" s="171">
        <f>ПП!M33</f>
        <v>0</v>
      </c>
      <c r="Y45" s="172">
        <f t="shared" si="3"/>
        <v>0</v>
      </c>
      <c r="Z45" s="424">
        <f t="shared" si="4"/>
        <v>0</v>
      </c>
      <c r="AA45" s="329">
        <f t="shared" si="5"/>
        <v>0</v>
      </c>
      <c r="AB45" s="159">
        <f>ПП!O33</f>
        <v>0</v>
      </c>
      <c r="AC45" s="183">
        <f>COUNTIFS('Отчет РПЗ(ПЗ)_ПЗИП'!$G:$G,Справочно!$C29,'Отчет РПЗ(ПЗ)_ПЗИП'!$AQ:$AQ,4,'Отчет РПЗ(ПЗ)_ПЗИП'!$AG:$AG,"&gt;0")</f>
        <v>0</v>
      </c>
      <c r="AD45" s="425">
        <f>ПП!P33</f>
        <v>0</v>
      </c>
      <c r="AE45" s="370">
        <f>SUMIFS('Отчет РПЗ(ПЗ)_ПЗИП'!$AG:$AG,'Отчет РПЗ(ПЗ)_ПЗИП'!$G:$G,Справочно!$C29,'Отчет РПЗ(ПЗ)_ПЗИП'!$AQ:$AQ,4,'Отчет РПЗ(ПЗ)_ПЗИП'!$AG:$AG,"&gt;0")</f>
        <v>0</v>
      </c>
      <c r="AF45" s="44">
        <f>ПП!Q33</f>
        <v>0</v>
      </c>
      <c r="AG45" s="183">
        <f>COUNTIFS('Отчет РПЗ(ПЗ)_ПЗИП'!$G:$G,Справочно!$C29,'Отчет РПЗ(ПЗ)_ПЗИП'!$AQ:$AQ,5,'Отчет РПЗ(ПЗ)_ПЗИП'!$AG:$AG,"&gt;0")</f>
        <v>0</v>
      </c>
      <c r="AH45" s="425">
        <f>ПП!R33</f>
        <v>0</v>
      </c>
      <c r="AI45" s="370">
        <f>SUMIFS('Отчет РПЗ(ПЗ)_ПЗИП'!$AG:$AG,'Отчет РПЗ(ПЗ)_ПЗИП'!$G:$G,Справочно!$C29,'Отчет РПЗ(ПЗ)_ПЗИП'!$AQ:$AQ,5,'Отчет РПЗ(ПЗ)_ПЗИП'!$AG:$AG,"&gt;0")</f>
        <v>0</v>
      </c>
      <c r="AJ45" s="44">
        <f>ПП!S33</f>
        <v>0</v>
      </c>
      <c r="AK45" s="183">
        <f>COUNTIFS('Отчет РПЗ(ПЗ)_ПЗИП'!$G:$G,Справочно!$C29,'Отчет РПЗ(ПЗ)_ПЗИП'!$AQ:$AQ,6,'Отчет РПЗ(ПЗ)_ПЗИП'!$AG:$AG,"&gt;0")</f>
        <v>0</v>
      </c>
      <c r="AL45" s="425">
        <f>ПП!T33</f>
        <v>0</v>
      </c>
      <c r="AM45" s="371">
        <f>SUMIFS('Отчет РПЗ(ПЗ)_ПЗИП'!$AG:$AG,'Отчет РПЗ(ПЗ)_ПЗИП'!$G:$G,Справочно!$C29,'Отчет РПЗ(ПЗ)_ПЗИП'!$AQ:$AQ,6,'Отчет РПЗ(ПЗ)_ПЗИП'!$AG:$AG,"&gt;0")</f>
        <v>0</v>
      </c>
      <c r="AN45" s="171">
        <f>ПП!U33</f>
        <v>0</v>
      </c>
      <c r="AO45" s="185">
        <f t="shared" si="6"/>
        <v>0</v>
      </c>
      <c r="AP45" s="424">
        <f t="shared" si="7"/>
        <v>0</v>
      </c>
      <c r="AQ45" s="331">
        <f t="shared" si="8"/>
        <v>0</v>
      </c>
      <c r="AR45" s="159">
        <f>ПП!W33</f>
        <v>0</v>
      </c>
      <c r="AS45" s="144">
        <f>COUNTIFS('Отчет РПЗ(ПЗ)_ПЗИП'!$G:$G,Справочно!$C29,'Отчет РПЗ(ПЗ)_ПЗИП'!$AQ:$AQ,7,'Отчет РПЗ(ПЗ)_ПЗИП'!$AG:$AG,"&gt;0")</f>
        <v>0</v>
      </c>
      <c r="AT45" s="425">
        <f>ПП!X33</f>
        <v>0</v>
      </c>
      <c r="AU45" s="372">
        <f>SUMIFS('Отчет РПЗ(ПЗ)_ПЗИП'!$AG:$AG,'Отчет РПЗ(ПЗ)_ПЗИП'!$G:$G,Справочно!$C29,'Отчет РПЗ(ПЗ)_ПЗИП'!$AQ:$AQ,7,'Отчет РПЗ(ПЗ)_ПЗИП'!$AG:$AG,"&gt;0")</f>
        <v>0</v>
      </c>
      <c r="AV45" s="44">
        <f>ПП!Y33</f>
        <v>0</v>
      </c>
      <c r="AW45" s="144">
        <f>COUNTIFS('Отчет РПЗ(ПЗ)_ПЗИП'!$G:$G,Справочно!$C29,'Отчет РПЗ(ПЗ)_ПЗИП'!$AQ:$AQ,8,'Отчет РПЗ(ПЗ)_ПЗИП'!$AG:$AG,"&gt;0")</f>
        <v>0</v>
      </c>
      <c r="AX45" s="425">
        <f>ПП!Z33</f>
        <v>0</v>
      </c>
      <c r="AY45" s="372">
        <f>SUMIFS('Отчет РПЗ(ПЗ)_ПЗИП'!$AG:$AG,'Отчет РПЗ(ПЗ)_ПЗИП'!$G:$G,Справочно!$C29,'Отчет РПЗ(ПЗ)_ПЗИП'!$AQ:$AQ,8,'Отчет РПЗ(ПЗ)_ПЗИП'!$AG:$AG,"&gt;0")</f>
        <v>0</v>
      </c>
      <c r="AZ45" s="44">
        <f>ПП!AA33</f>
        <v>0</v>
      </c>
      <c r="BA45" s="144">
        <f>COUNTIFS('Отчет РПЗ(ПЗ)_ПЗИП'!$G:$G,Справочно!$C29,'Отчет РПЗ(ПЗ)_ПЗИП'!$AQ:$AQ,9,'Отчет РПЗ(ПЗ)_ПЗИП'!$AG:$AG,"&gt;0")</f>
        <v>0</v>
      </c>
      <c r="BB45" s="425">
        <f>ПП!AB33</f>
        <v>0</v>
      </c>
      <c r="BC45" s="373">
        <f>SUMIFS('Отчет РПЗ(ПЗ)_ПЗИП'!$AG:$AG,'Отчет РПЗ(ПЗ)_ПЗИП'!$G:$G,Справочно!$C29,'Отчет РПЗ(ПЗ)_ПЗИП'!$AQ:$AQ,9,'Отчет РПЗ(ПЗ)_ПЗИП'!$AG:$AG,"&gt;0")</f>
        <v>0</v>
      </c>
      <c r="BD45" s="171">
        <f>ПП!AC33</f>
        <v>0</v>
      </c>
      <c r="BE45" s="180">
        <f t="shared" si="9"/>
        <v>0</v>
      </c>
      <c r="BF45" s="424">
        <f t="shared" si="10"/>
        <v>0</v>
      </c>
      <c r="BG45" s="333">
        <f t="shared" si="11"/>
        <v>0</v>
      </c>
      <c r="BH45" s="159">
        <f>ПП!AE33</f>
        <v>0</v>
      </c>
      <c r="BI45" s="177">
        <f>COUNTIFS('Отчет РПЗ(ПЗ)_ПЗИП'!$G:$G,Справочно!$C29,'Отчет РПЗ(ПЗ)_ПЗИП'!$AQ:$AQ,10,'Отчет РПЗ(ПЗ)_ПЗИП'!$AG:$AG,"&gt;0")</f>
        <v>0</v>
      </c>
      <c r="BJ45" s="425">
        <f>ПП!AF33</f>
        <v>0</v>
      </c>
      <c r="BK45" s="374">
        <f>SUMIFS('Отчет РПЗ(ПЗ)_ПЗИП'!$AG:$AG,'Отчет РПЗ(ПЗ)_ПЗИП'!$G:$G,Справочно!$C29,'Отчет РПЗ(ПЗ)_ПЗИП'!$AQ:$AQ,10,'Отчет РПЗ(ПЗ)_ПЗИП'!$AG:$AG,"&gt;0")</f>
        <v>0</v>
      </c>
      <c r="BL45" s="44">
        <f>ПП!AG33</f>
        <v>0</v>
      </c>
      <c r="BM45" s="177">
        <f>COUNTIFS('Отчет РПЗ(ПЗ)_ПЗИП'!$G:$G,Справочно!$C29,'Отчет РПЗ(ПЗ)_ПЗИП'!$AQ:$AQ,11,'Отчет РПЗ(ПЗ)_ПЗИП'!$AG:$AG,"&gt;0")</f>
        <v>0</v>
      </c>
      <c r="BN45" s="425">
        <f>ПП!AH33</f>
        <v>0</v>
      </c>
      <c r="BO45" s="374">
        <f>SUMIFS('Отчет РПЗ(ПЗ)_ПЗИП'!$AG:$AG,'Отчет РПЗ(ПЗ)_ПЗИП'!$G:$G,Справочно!$C29,'Отчет РПЗ(ПЗ)_ПЗИП'!$AQ:$AQ,11,'Отчет РПЗ(ПЗ)_ПЗИП'!$AG:$AG,"&gt;0")</f>
        <v>0</v>
      </c>
      <c r="BP45" s="44">
        <f>ПП!AI33</f>
        <v>0</v>
      </c>
      <c r="BQ45" s="177">
        <f>COUNTIFS('Отчет РПЗ(ПЗ)_ПЗИП'!$G:$G,Справочно!$C29,'Отчет РПЗ(ПЗ)_ПЗИП'!$AQ:$AQ,12,'Отчет РПЗ(ПЗ)_ПЗИП'!$AG:$AG,"&gt;0")</f>
        <v>0</v>
      </c>
      <c r="BR45" s="425">
        <f>ПП!AJ33</f>
        <v>0</v>
      </c>
      <c r="BS45" s="375">
        <f>SUMIFS('Отчет РПЗ(ПЗ)_ПЗИП'!$AG:$AG,'Отчет РПЗ(ПЗ)_ПЗИП'!$G:$G,Справочно!$C29,'Отчет РПЗ(ПЗ)_ПЗИП'!$AQ:$AQ,12,'Отчет РПЗ(ПЗ)_ПЗИП'!$AG:$AG,"&gt;0")</f>
        <v>0</v>
      </c>
      <c r="BT45" s="171">
        <f>ПП!AK33</f>
        <v>0</v>
      </c>
      <c r="BU45" s="179">
        <f t="shared" si="12"/>
        <v>0</v>
      </c>
      <c r="BV45" s="424">
        <f t="shared" si="13"/>
        <v>0</v>
      </c>
      <c r="BW45" s="335">
        <f t="shared" si="14"/>
        <v>0</v>
      </c>
    </row>
    <row r="46" spans="2:75" ht="13.5" thickBot="1" x14ac:dyDescent="0.25">
      <c r="B46" s="83" t="s">
        <v>170</v>
      </c>
      <c r="C46" s="92">
        <f>ПП!B34</f>
        <v>0</v>
      </c>
      <c r="D46" s="412">
        <f>ПП!C34</f>
        <v>0</v>
      </c>
      <c r="E46" s="63">
        <f>COUNTIFS('Отчет РПЗ(ПЗ)_ПЗИП'!$G:$G,Справочно!$C30,'Отчет РПЗ(ПЗ)_ПЗИП'!AG:AG, "&gt;0")</f>
        <v>0</v>
      </c>
      <c r="F46" s="413">
        <f t="shared" si="1"/>
        <v>0</v>
      </c>
      <c r="G46" s="414">
        <f>ПП!D34</f>
        <v>0</v>
      </c>
      <c r="H46" s="415">
        <f>ПП!E34</f>
        <v>0</v>
      </c>
      <c r="I46" s="416">
        <f>SUMIF('Отчет РПЗ(ПЗ)_ПЗИП'!$G:$G,Справочно!$C30,'Отчет РПЗ(ПЗ)_ПЗИП'!$AG:$AG)</f>
        <v>0</v>
      </c>
      <c r="J46" s="413">
        <f t="shared" si="2"/>
        <v>0</v>
      </c>
      <c r="K46" s="61"/>
      <c r="L46" s="159">
        <f>ПП!G34</f>
        <v>0</v>
      </c>
      <c r="M46" s="147">
        <f>COUNTIFS('Отчет РПЗ(ПЗ)_ПЗИП'!$G:$G,Справочно!$C30,'Отчет РПЗ(ПЗ)_ПЗИП'!$AQ:$AQ,1,'Отчет РПЗ(ПЗ)_ПЗИП'!$AG:$AG,"&gt;0")</f>
        <v>0</v>
      </c>
      <c r="N46" s="425">
        <f>ПП!H34</f>
        <v>0</v>
      </c>
      <c r="O46" s="336">
        <f>SUMIFS('Отчет РПЗ(ПЗ)_ПЗИП'!$AG:$AG,'Отчет РПЗ(ПЗ)_ПЗИП'!$G:$G,Справочно!$C30,'Отчет РПЗ(ПЗ)_ПЗИП'!$AQ:$AQ,1,'Отчет РПЗ(ПЗ)_ПЗИП'!$AG:$AG,"&gt;0")</f>
        <v>0</v>
      </c>
      <c r="P46" s="44">
        <f>ПП!I34</f>
        <v>0</v>
      </c>
      <c r="Q46" s="147">
        <f>COUNTIFS('Отчет РПЗ(ПЗ)_ПЗИП'!$G:$G,Справочно!$C30,'Отчет РПЗ(ПЗ)_ПЗИП'!$AQ:$AQ,2,'Отчет РПЗ(ПЗ)_ПЗИП'!$AG:$AG,"&gt;0")</f>
        <v>0</v>
      </c>
      <c r="R46" s="425">
        <f>ПП!J34</f>
        <v>0</v>
      </c>
      <c r="S46" s="336">
        <f>SUMIFS('Отчет РПЗ(ПЗ)_ПЗИП'!$AG:$AG,'Отчет РПЗ(ПЗ)_ПЗИП'!$G:$G,Справочно!$C30,'Отчет РПЗ(ПЗ)_ПЗИП'!$AQ:$AQ,2,'Отчет РПЗ(ПЗ)_ПЗИП'!$AG:$AG,"&gt;0")</f>
        <v>0</v>
      </c>
      <c r="T46" s="44">
        <f>ПП!K34</f>
        <v>0</v>
      </c>
      <c r="U46" s="147">
        <f>COUNTIFS('Отчет РПЗ(ПЗ)_ПЗИП'!$G:$G,Справочно!$C30,'Отчет РПЗ(ПЗ)_ПЗИП'!$AQ:$AQ,3,'Отчет РПЗ(ПЗ)_ПЗИП'!$AG:$AG,"&gt;0")</f>
        <v>0</v>
      </c>
      <c r="V46" s="425">
        <f>ПП!L34</f>
        <v>0</v>
      </c>
      <c r="W46" s="369">
        <f>SUMIFS('Отчет РПЗ(ПЗ)_ПЗИП'!$AG:$AG,'Отчет РПЗ(ПЗ)_ПЗИП'!$G:$G,Справочно!$C30,'Отчет РПЗ(ПЗ)_ПЗИП'!$AQ:$AQ,3,'Отчет РПЗ(ПЗ)_ПЗИП'!$AG:$AG,"&gt;0")</f>
        <v>0</v>
      </c>
      <c r="X46" s="171">
        <f>ПП!M34</f>
        <v>0</v>
      </c>
      <c r="Y46" s="172">
        <f t="shared" si="3"/>
        <v>0</v>
      </c>
      <c r="Z46" s="424">
        <f t="shared" si="4"/>
        <v>0</v>
      </c>
      <c r="AA46" s="329">
        <f t="shared" si="5"/>
        <v>0</v>
      </c>
      <c r="AB46" s="159">
        <f>ПП!O34</f>
        <v>0</v>
      </c>
      <c r="AC46" s="183">
        <f>COUNTIFS('Отчет РПЗ(ПЗ)_ПЗИП'!$G:$G,Справочно!$C30,'Отчет РПЗ(ПЗ)_ПЗИП'!$AQ:$AQ,4,'Отчет РПЗ(ПЗ)_ПЗИП'!$AG:$AG,"&gt;0")</f>
        <v>0</v>
      </c>
      <c r="AD46" s="425">
        <f>ПП!P34</f>
        <v>0</v>
      </c>
      <c r="AE46" s="370">
        <f>SUMIFS('Отчет РПЗ(ПЗ)_ПЗИП'!$AG:$AG,'Отчет РПЗ(ПЗ)_ПЗИП'!$G:$G,Справочно!$C30,'Отчет РПЗ(ПЗ)_ПЗИП'!$AQ:$AQ,4,'Отчет РПЗ(ПЗ)_ПЗИП'!$AG:$AG,"&gt;0")</f>
        <v>0</v>
      </c>
      <c r="AF46" s="44">
        <f>ПП!Q34</f>
        <v>0</v>
      </c>
      <c r="AG46" s="183">
        <f>COUNTIFS('Отчет РПЗ(ПЗ)_ПЗИП'!$G:$G,Справочно!$C30,'Отчет РПЗ(ПЗ)_ПЗИП'!$AQ:$AQ,5,'Отчет РПЗ(ПЗ)_ПЗИП'!$AG:$AG,"&gt;0")</f>
        <v>0</v>
      </c>
      <c r="AH46" s="425">
        <f>ПП!R34</f>
        <v>0</v>
      </c>
      <c r="AI46" s="370">
        <f>SUMIFS('Отчет РПЗ(ПЗ)_ПЗИП'!$AG:$AG,'Отчет РПЗ(ПЗ)_ПЗИП'!$G:$G,Справочно!$C30,'Отчет РПЗ(ПЗ)_ПЗИП'!$AQ:$AQ,5,'Отчет РПЗ(ПЗ)_ПЗИП'!$AG:$AG,"&gt;0")</f>
        <v>0</v>
      </c>
      <c r="AJ46" s="44">
        <f>ПП!S34</f>
        <v>0</v>
      </c>
      <c r="AK46" s="183">
        <f>COUNTIFS('Отчет РПЗ(ПЗ)_ПЗИП'!$G:$G,Справочно!$C30,'Отчет РПЗ(ПЗ)_ПЗИП'!$AQ:$AQ,6,'Отчет РПЗ(ПЗ)_ПЗИП'!$AG:$AG,"&gt;0")</f>
        <v>0</v>
      </c>
      <c r="AL46" s="425">
        <f>ПП!T34</f>
        <v>0</v>
      </c>
      <c r="AM46" s="371">
        <f>SUMIFS('Отчет РПЗ(ПЗ)_ПЗИП'!$AG:$AG,'Отчет РПЗ(ПЗ)_ПЗИП'!$G:$G,Справочно!$C30,'Отчет РПЗ(ПЗ)_ПЗИП'!$AQ:$AQ,6,'Отчет РПЗ(ПЗ)_ПЗИП'!$AG:$AG,"&gt;0")</f>
        <v>0</v>
      </c>
      <c r="AN46" s="171">
        <f>ПП!U34</f>
        <v>0</v>
      </c>
      <c r="AO46" s="185">
        <f t="shared" si="6"/>
        <v>0</v>
      </c>
      <c r="AP46" s="424">
        <f t="shared" si="7"/>
        <v>0</v>
      </c>
      <c r="AQ46" s="331">
        <f t="shared" si="8"/>
        <v>0</v>
      </c>
      <c r="AR46" s="159">
        <f>ПП!W34</f>
        <v>0</v>
      </c>
      <c r="AS46" s="144">
        <f>COUNTIFS('Отчет РПЗ(ПЗ)_ПЗИП'!$G:$G,Справочно!$C30,'Отчет РПЗ(ПЗ)_ПЗИП'!$AQ:$AQ,7,'Отчет РПЗ(ПЗ)_ПЗИП'!$AG:$AG,"&gt;0")</f>
        <v>0</v>
      </c>
      <c r="AT46" s="425">
        <f>ПП!X34</f>
        <v>0</v>
      </c>
      <c r="AU46" s="372">
        <f>SUMIFS('Отчет РПЗ(ПЗ)_ПЗИП'!$AG:$AG,'Отчет РПЗ(ПЗ)_ПЗИП'!$G:$G,Справочно!$C30,'Отчет РПЗ(ПЗ)_ПЗИП'!$AQ:$AQ,7,'Отчет РПЗ(ПЗ)_ПЗИП'!$AG:$AG,"&gt;0")</f>
        <v>0</v>
      </c>
      <c r="AV46" s="44">
        <f>ПП!Y34</f>
        <v>0</v>
      </c>
      <c r="AW46" s="144">
        <f>COUNTIFS('Отчет РПЗ(ПЗ)_ПЗИП'!$G:$G,Справочно!$C30,'Отчет РПЗ(ПЗ)_ПЗИП'!$AQ:$AQ,8,'Отчет РПЗ(ПЗ)_ПЗИП'!$AG:$AG,"&gt;0")</f>
        <v>0</v>
      </c>
      <c r="AX46" s="425">
        <f>ПП!Z34</f>
        <v>0</v>
      </c>
      <c r="AY46" s="372">
        <f>SUMIFS('Отчет РПЗ(ПЗ)_ПЗИП'!$AG:$AG,'Отчет РПЗ(ПЗ)_ПЗИП'!$G:$G,Справочно!$C30,'Отчет РПЗ(ПЗ)_ПЗИП'!$AQ:$AQ,8,'Отчет РПЗ(ПЗ)_ПЗИП'!$AG:$AG,"&gt;0")</f>
        <v>0</v>
      </c>
      <c r="AZ46" s="44">
        <f>ПП!AA34</f>
        <v>0</v>
      </c>
      <c r="BA46" s="144">
        <f>COUNTIFS('Отчет РПЗ(ПЗ)_ПЗИП'!$G:$G,Справочно!$C30,'Отчет РПЗ(ПЗ)_ПЗИП'!$AQ:$AQ,9,'Отчет РПЗ(ПЗ)_ПЗИП'!$AG:$AG,"&gt;0")</f>
        <v>0</v>
      </c>
      <c r="BB46" s="425">
        <f>ПП!AB34</f>
        <v>0</v>
      </c>
      <c r="BC46" s="373">
        <f>SUMIFS('Отчет РПЗ(ПЗ)_ПЗИП'!$AG:$AG,'Отчет РПЗ(ПЗ)_ПЗИП'!$G:$G,Справочно!$C30,'Отчет РПЗ(ПЗ)_ПЗИП'!$AQ:$AQ,9,'Отчет РПЗ(ПЗ)_ПЗИП'!$AG:$AG,"&gt;0")</f>
        <v>0</v>
      </c>
      <c r="BD46" s="171">
        <f>ПП!AC34</f>
        <v>0</v>
      </c>
      <c r="BE46" s="180">
        <f t="shared" si="9"/>
        <v>0</v>
      </c>
      <c r="BF46" s="424">
        <f t="shared" si="10"/>
        <v>0</v>
      </c>
      <c r="BG46" s="333">
        <f t="shared" si="11"/>
        <v>0</v>
      </c>
      <c r="BH46" s="159">
        <f>ПП!AE34</f>
        <v>0</v>
      </c>
      <c r="BI46" s="177">
        <f>COUNTIFS('Отчет РПЗ(ПЗ)_ПЗИП'!$G:$G,Справочно!$C30,'Отчет РПЗ(ПЗ)_ПЗИП'!$AQ:$AQ,10,'Отчет РПЗ(ПЗ)_ПЗИП'!$AG:$AG,"&gt;0")</f>
        <v>0</v>
      </c>
      <c r="BJ46" s="425">
        <f>ПП!AF34</f>
        <v>0</v>
      </c>
      <c r="BK46" s="374">
        <f>SUMIFS('Отчет РПЗ(ПЗ)_ПЗИП'!$AG:$AG,'Отчет РПЗ(ПЗ)_ПЗИП'!$G:$G,Справочно!$C30,'Отчет РПЗ(ПЗ)_ПЗИП'!$AQ:$AQ,10,'Отчет РПЗ(ПЗ)_ПЗИП'!$AG:$AG,"&gt;0")</f>
        <v>0</v>
      </c>
      <c r="BL46" s="44">
        <f>ПП!AG34</f>
        <v>0</v>
      </c>
      <c r="BM46" s="177">
        <f>COUNTIFS('Отчет РПЗ(ПЗ)_ПЗИП'!$G:$G,Справочно!$C30,'Отчет РПЗ(ПЗ)_ПЗИП'!$AQ:$AQ,11,'Отчет РПЗ(ПЗ)_ПЗИП'!$AG:$AG,"&gt;0")</f>
        <v>0</v>
      </c>
      <c r="BN46" s="425">
        <f>ПП!AH34</f>
        <v>0</v>
      </c>
      <c r="BO46" s="374">
        <f>SUMIFS('Отчет РПЗ(ПЗ)_ПЗИП'!$AG:$AG,'Отчет РПЗ(ПЗ)_ПЗИП'!$G:$G,Справочно!$C30,'Отчет РПЗ(ПЗ)_ПЗИП'!$AQ:$AQ,11,'Отчет РПЗ(ПЗ)_ПЗИП'!$AG:$AG,"&gt;0")</f>
        <v>0</v>
      </c>
      <c r="BP46" s="44">
        <f>ПП!AI34</f>
        <v>0</v>
      </c>
      <c r="BQ46" s="177">
        <f>COUNTIFS('Отчет РПЗ(ПЗ)_ПЗИП'!$G:$G,Справочно!$C30,'Отчет РПЗ(ПЗ)_ПЗИП'!$AQ:$AQ,12,'Отчет РПЗ(ПЗ)_ПЗИП'!$AG:$AG,"&gt;0")</f>
        <v>0</v>
      </c>
      <c r="BR46" s="425">
        <f>ПП!AJ34</f>
        <v>0</v>
      </c>
      <c r="BS46" s="375">
        <f>SUMIFS('Отчет РПЗ(ПЗ)_ПЗИП'!$AG:$AG,'Отчет РПЗ(ПЗ)_ПЗИП'!$G:$G,Справочно!$C30,'Отчет РПЗ(ПЗ)_ПЗИП'!$AQ:$AQ,12,'Отчет РПЗ(ПЗ)_ПЗИП'!$AG:$AG,"&gt;0")</f>
        <v>0</v>
      </c>
      <c r="BT46" s="171">
        <f>ПП!AK34</f>
        <v>0</v>
      </c>
      <c r="BU46" s="179">
        <f t="shared" si="12"/>
        <v>0</v>
      </c>
      <c r="BV46" s="424">
        <f t="shared" si="13"/>
        <v>0</v>
      </c>
      <c r="BW46" s="335">
        <f t="shared" si="14"/>
        <v>0</v>
      </c>
    </row>
    <row r="47" spans="2:75" ht="13.5" thickBot="1" x14ac:dyDescent="0.25">
      <c r="B47" s="83" t="s">
        <v>257</v>
      </c>
      <c r="C47" s="92">
        <f>ПП!B35</f>
        <v>0</v>
      </c>
      <c r="D47" s="412">
        <f>ПП!C35</f>
        <v>0</v>
      </c>
      <c r="E47" s="63">
        <f>COUNTIFS('Отчет РПЗ(ПЗ)_ПЗИП'!$G:$G,Справочно!$C31,'Отчет РПЗ(ПЗ)_ПЗИП'!AG:AG, "&gt;0")</f>
        <v>0</v>
      </c>
      <c r="F47" s="413">
        <f t="shared" si="1"/>
        <v>0</v>
      </c>
      <c r="G47" s="414">
        <f>ПП!D35</f>
        <v>0</v>
      </c>
      <c r="H47" s="415">
        <f>ПП!E35</f>
        <v>0</v>
      </c>
      <c r="I47" s="416">
        <f>SUMIF('Отчет РПЗ(ПЗ)_ПЗИП'!$G:$G,Справочно!$C31,'Отчет РПЗ(ПЗ)_ПЗИП'!$AG:$AG)</f>
        <v>0</v>
      </c>
      <c r="J47" s="413">
        <f t="shared" si="2"/>
        <v>0</v>
      </c>
      <c r="K47" s="61"/>
      <c r="L47" s="164">
        <f>ПП!G35</f>
        <v>0</v>
      </c>
      <c r="M47" s="147">
        <f>COUNTIFS('Отчет РПЗ(ПЗ)_ПЗИП'!$G:$G,Справочно!$C31,'Отчет РПЗ(ПЗ)_ПЗИП'!$AQ:$AQ,1,'Отчет РПЗ(ПЗ)_ПЗИП'!$AG:$AG,"&gt;0")</f>
        <v>0</v>
      </c>
      <c r="N47" s="426">
        <f>ПП!H35</f>
        <v>0</v>
      </c>
      <c r="O47" s="379">
        <f>SUMIFS('Отчет РПЗ(ПЗ)_ПЗИП'!$AG:$AG,'Отчет РПЗ(ПЗ)_ПЗИП'!$G:$G,Справочно!$C31,'Отчет РПЗ(ПЗ)_ПЗИП'!$AQ:$AQ,1,'Отчет РПЗ(ПЗ)_ПЗИП'!$AG:$AG,"&gt;0")</f>
        <v>0</v>
      </c>
      <c r="P47" s="166">
        <f>ПП!I35</f>
        <v>0</v>
      </c>
      <c r="Q47" s="165">
        <f>COUNTIFS('Отчет РПЗ(ПЗ)_ПЗИП'!$G:$G,Справочно!$C31,'Отчет РПЗ(ПЗ)_ПЗИП'!$AQ:$AQ,2,'Отчет РПЗ(ПЗ)_ПЗИП'!$AG:$AG,"&gt;0")</f>
        <v>0</v>
      </c>
      <c r="R47" s="426">
        <f>ПП!J35</f>
        <v>0</v>
      </c>
      <c r="S47" s="379">
        <f>SUMIFS('Отчет РПЗ(ПЗ)_ПЗИП'!$AG:$AG,'Отчет РПЗ(ПЗ)_ПЗИП'!$G:$G,Справочно!$C31,'Отчет РПЗ(ПЗ)_ПЗИП'!$AQ:$AQ,2,'Отчет РПЗ(ПЗ)_ПЗИП'!$AG:$AG,"&gt;0")</f>
        <v>0</v>
      </c>
      <c r="T47" s="166">
        <f>ПП!K35</f>
        <v>0</v>
      </c>
      <c r="U47" s="165">
        <f>COUNTIFS('Отчет РПЗ(ПЗ)_ПЗИП'!$G:$G,Справочно!$C31,'Отчет РПЗ(ПЗ)_ПЗИП'!$AQ:$AQ,3,'Отчет РПЗ(ПЗ)_ПЗИП'!$AG:$AG,"&gt;0")</f>
        <v>0</v>
      </c>
      <c r="V47" s="426">
        <f>ПП!L35</f>
        <v>0</v>
      </c>
      <c r="W47" s="380">
        <f>SUMIFS('Отчет РПЗ(ПЗ)_ПЗИП'!$AG:$AG,'Отчет РПЗ(ПЗ)_ПЗИП'!$G:$G,Справочно!$C31,'Отчет РПЗ(ПЗ)_ПЗИП'!$AQ:$AQ,3,'Отчет РПЗ(ПЗ)_ПЗИП'!$AG:$AG,"&gt;0")</f>
        <v>0</v>
      </c>
      <c r="X47" s="171">
        <f>ПП!M35</f>
        <v>0</v>
      </c>
      <c r="Y47" s="172">
        <f t="shared" si="3"/>
        <v>0</v>
      </c>
      <c r="Z47" s="424">
        <f t="shared" si="4"/>
        <v>0</v>
      </c>
      <c r="AA47" s="329">
        <f t="shared" si="5"/>
        <v>0</v>
      </c>
      <c r="AB47" s="164">
        <f>ПП!O35</f>
        <v>0</v>
      </c>
      <c r="AC47" s="184">
        <f>COUNTIFS('Отчет РПЗ(ПЗ)_ПЗИП'!$G:$G,Справочно!$C31,'Отчет РПЗ(ПЗ)_ПЗИП'!$AQ:$AQ,4,'Отчет РПЗ(ПЗ)_ПЗИП'!$AG:$AG,"&gt;0")</f>
        <v>0</v>
      </c>
      <c r="AD47" s="426">
        <f>ПП!P35</f>
        <v>0</v>
      </c>
      <c r="AE47" s="381">
        <f>SUMIFS('Отчет РПЗ(ПЗ)_ПЗИП'!$AG:$AG,'Отчет РПЗ(ПЗ)_ПЗИП'!$G:$G,Справочно!$C31,'Отчет РПЗ(ПЗ)_ПЗИП'!$AQ:$AQ,4,'Отчет РПЗ(ПЗ)_ПЗИП'!$AG:$AG,"&gt;0")</f>
        <v>0</v>
      </c>
      <c r="AF47" s="166">
        <f>ПП!Q35</f>
        <v>0</v>
      </c>
      <c r="AG47" s="184">
        <f>COUNTIFS('Отчет РПЗ(ПЗ)_ПЗИП'!$G:$G,Справочно!$C31,'Отчет РПЗ(ПЗ)_ПЗИП'!$AQ:$AQ,5,'Отчет РПЗ(ПЗ)_ПЗИП'!$AG:$AG,"&gt;0")</f>
        <v>0</v>
      </c>
      <c r="AH47" s="426">
        <f>ПП!R35</f>
        <v>0</v>
      </c>
      <c r="AI47" s="381">
        <f>SUMIFS('Отчет РПЗ(ПЗ)_ПЗИП'!$AG:$AG,'Отчет РПЗ(ПЗ)_ПЗИП'!$G:$G,Справочно!$C31,'Отчет РПЗ(ПЗ)_ПЗИП'!$AQ:$AQ,5,'Отчет РПЗ(ПЗ)_ПЗИП'!$AG:$AG,"&gt;0")</f>
        <v>0</v>
      </c>
      <c r="AJ47" s="166">
        <f>ПП!S35</f>
        <v>0</v>
      </c>
      <c r="AK47" s="184">
        <f>COUNTIFS('Отчет РПЗ(ПЗ)_ПЗИП'!$G:$G,Справочно!$C31,'Отчет РПЗ(ПЗ)_ПЗИП'!$AQ:$AQ,6,'Отчет РПЗ(ПЗ)_ПЗИП'!$AG:$AG,"&gt;0")</f>
        <v>0</v>
      </c>
      <c r="AL47" s="426">
        <f>ПП!T35</f>
        <v>0</v>
      </c>
      <c r="AM47" s="382">
        <f>SUMIFS('Отчет РПЗ(ПЗ)_ПЗИП'!$AG:$AG,'Отчет РПЗ(ПЗ)_ПЗИП'!$G:$G,Справочно!$C31,'Отчет РПЗ(ПЗ)_ПЗИП'!$AQ:$AQ,6,'Отчет РПЗ(ПЗ)_ПЗИП'!$AG:$AG,"&gt;0")</f>
        <v>0</v>
      </c>
      <c r="AN47" s="171">
        <f>ПП!U35</f>
        <v>0</v>
      </c>
      <c r="AO47" s="185">
        <f t="shared" si="6"/>
        <v>0</v>
      </c>
      <c r="AP47" s="424">
        <f t="shared" si="7"/>
        <v>0</v>
      </c>
      <c r="AQ47" s="331">
        <f t="shared" si="8"/>
        <v>0</v>
      </c>
      <c r="AR47" s="164">
        <f>ПП!W35</f>
        <v>0</v>
      </c>
      <c r="AS47" s="182">
        <f>COUNTIFS('Отчет РПЗ(ПЗ)_ПЗИП'!$G:$G,Справочно!$C31,'Отчет РПЗ(ПЗ)_ПЗИП'!$AQ:$AQ,7,'Отчет РПЗ(ПЗ)_ПЗИП'!$AG:$AG,"&gt;0")</f>
        <v>0</v>
      </c>
      <c r="AT47" s="426">
        <f>ПП!X35</f>
        <v>0</v>
      </c>
      <c r="AU47" s="383">
        <f>SUMIFS('Отчет РПЗ(ПЗ)_ПЗИП'!$AG:$AG,'Отчет РПЗ(ПЗ)_ПЗИП'!$G:$G,Справочно!$C31,'Отчет РПЗ(ПЗ)_ПЗИП'!$AQ:$AQ,7,'Отчет РПЗ(ПЗ)_ПЗИП'!$AG:$AG,"&gt;0")</f>
        <v>0</v>
      </c>
      <c r="AV47" s="166">
        <f>ПП!Y35</f>
        <v>0</v>
      </c>
      <c r="AW47" s="182">
        <f>COUNTIFS('Отчет РПЗ(ПЗ)_ПЗИП'!$G:$G,Справочно!$C31,'Отчет РПЗ(ПЗ)_ПЗИП'!$AQ:$AQ,8,'Отчет РПЗ(ПЗ)_ПЗИП'!$AG:$AG,"&gt;0")</f>
        <v>0</v>
      </c>
      <c r="AX47" s="426">
        <f>ПП!Z35</f>
        <v>0</v>
      </c>
      <c r="AY47" s="383">
        <f>SUMIFS('Отчет РПЗ(ПЗ)_ПЗИП'!$AG:$AG,'Отчет РПЗ(ПЗ)_ПЗИП'!$G:$G,Справочно!$C31,'Отчет РПЗ(ПЗ)_ПЗИП'!$AQ:$AQ,8,'Отчет РПЗ(ПЗ)_ПЗИП'!$AG:$AG,"&gt;0")</f>
        <v>0</v>
      </c>
      <c r="AZ47" s="166">
        <f>ПП!AA35</f>
        <v>0</v>
      </c>
      <c r="BA47" s="182">
        <f>COUNTIFS('Отчет РПЗ(ПЗ)_ПЗИП'!$G:$G,Справочно!$C31,'Отчет РПЗ(ПЗ)_ПЗИП'!$AQ:$AQ,9,'Отчет РПЗ(ПЗ)_ПЗИП'!$AG:$AG,"&gt;0")</f>
        <v>0</v>
      </c>
      <c r="BB47" s="426">
        <f>ПП!AB35</f>
        <v>0</v>
      </c>
      <c r="BC47" s="384">
        <f>SUMIFS('Отчет РПЗ(ПЗ)_ПЗИП'!$AG:$AG,'Отчет РПЗ(ПЗ)_ПЗИП'!$G:$G,Справочно!$C31,'Отчет РПЗ(ПЗ)_ПЗИП'!$AQ:$AQ,9,'Отчет РПЗ(ПЗ)_ПЗИП'!$AG:$AG,"&gt;0")</f>
        <v>0</v>
      </c>
      <c r="BD47" s="171">
        <f>ПП!AC35</f>
        <v>0</v>
      </c>
      <c r="BE47" s="180">
        <f t="shared" si="9"/>
        <v>0</v>
      </c>
      <c r="BF47" s="424">
        <f t="shared" si="10"/>
        <v>0</v>
      </c>
      <c r="BG47" s="333">
        <f t="shared" si="11"/>
        <v>0</v>
      </c>
      <c r="BH47" s="164">
        <f>ПП!AE35</f>
        <v>0</v>
      </c>
      <c r="BI47" s="178">
        <f>COUNTIFS('Отчет РПЗ(ПЗ)_ПЗИП'!$G:$G,Справочно!$C31,'Отчет РПЗ(ПЗ)_ПЗИП'!$AQ:$AQ,10,'Отчет РПЗ(ПЗ)_ПЗИП'!$AG:$AG,"&gt;0")</f>
        <v>0</v>
      </c>
      <c r="BJ47" s="426">
        <f>ПП!AF35</f>
        <v>0</v>
      </c>
      <c r="BK47" s="385">
        <f>SUMIFS('Отчет РПЗ(ПЗ)_ПЗИП'!$AG:$AG,'Отчет РПЗ(ПЗ)_ПЗИП'!$G:$G,Справочно!$C31,'Отчет РПЗ(ПЗ)_ПЗИП'!$AQ:$AQ,10,'Отчет РПЗ(ПЗ)_ПЗИП'!$AG:$AG,"&gt;0")</f>
        <v>0</v>
      </c>
      <c r="BL47" s="166">
        <f>ПП!AG35</f>
        <v>0</v>
      </c>
      <c r="BM47" s="178">
        <f>COUNTIFS('Отчет РПЗ(ПЗ)_ПЗИП'!$G:$G,Справочно!$C31,'Отчет РПЗ(ПЗ)_ПЗИП'!$AQ:$AQ,11,'Отчет РПЗ(ПЗ)_ПЗИП'!$AG:$AG,"&gt;0")</f>
        <v>0</v>
      </c>
      <c r="BN47" s="426">
        <f>ПП!AH35</f>
        <v>0</v>
      </c>
      <c r="BO47" s="385">
        <f>SUMIFS('Отчет РПЗ(ПЗ)_ПЗИП'!$AG:$AG,'Отчет РПЗ(ПЗ)_ПЗИП'!$G:$G,Справочно!$C31,'Отчет РПЗ(ПЗ)_ПЗИП'!$AQ:$AQ,11,'Отчет РПЗ(ПЗ)_ПЗИП'!$AG:$AG,"&gt;0")</f>
        <v>0</v>
      </c>
      <c r="BP47" s="166">
        <f>ПП!AI35</f>
        <v>0</v>
      </c>
      <c r="BQ47" s="178">
        <f>COUNTIFS('Отчет РПЗ(ПЗ)_ПЗИП'!$G:$G,Справочно!$C31,'Отчет РПЗ(ПЗ)_ПЗИП'!$AQ:$AQ,12,'Отчет РПЗ(ПЗ)_ПЗИП'!$AG:$AG,"&gt;0")</f>
        <v>0</v>
      </c>
      <c r="BR47" s="426">
        <f>ПП!AJ35</f>
        <v>0</v>
      </c>
      <c r="BS47" s="386">
        <f>SUMIFS('Отчет РПЗ(ПЗ)_ПЗИП'!$AG:$AG,'Отчет РПЗ(ПЗ)_ПЗИП'!$G:$G,Справочно!$C31,'Отчет РПЗ(ПЗ)_ПЗИП'!$AQ:$AQ,12,'Отчет РПЗ(ПЗ)_ПЗИП'!$AG:$AG,"&gt;0")</f>
        <v>0</v>
      </c>
      <c r="BT47" s="171">
        <f>ПП!AK35</f>
        <v>0</v>
      </c>
      <c r="BU47" s="179">
        <f t="shared" si="12"/>
        <v>0</v>
      </c>
      <c r="BV47" s="424">
        <f t="shared" si="13"/>
        <v>0</v>
      </c>
      <c r="BW47" s="335">
        <f t="shared" si="14"/>
        <v>0</v>
      </c>
    </row>
    <row r="48" spans="2:75" ht="13.5" thickBot="1" x14ac:dyDescent="0.25">
      <c r="B48" s="64" t="s">
        <v>239</v>
      </c>
      <c r="C48" s="315">
        <f t="shared" ref="C48:J48" si="15">SUM(C28:C47)</f>
        <v>965</v>
      </c>
      <c r="D48" s="417">
        <f t="shared" si="15"/>
        <v>0.61308767471410419</v>
      </c>
      <c r="E48" s="93">
        <f t="shared" si="15"/>
        <v>238</v>
      </c>
      <c r="F48" s="395">
        <f t="shared" si="15"/>
        <v>0.41608391608391609</v>
      </c>
      <c r="G48" s="418">
        <f t="shared" si="15"/>
        <v>3471146989.1500006</v>
      </c>
      <c r="H48" s="324">
        <f t="shared" si="15"/>
        <v>0.70966466463716071</v>
      </c>
      <c r="I48" s="419">
        <f>SUM(I28:I47)</f>
        <v>592765719.67999995</v>
      </c>
      <c r="J48" s="395">
        <f t="shared" si="15"/>
        <v>0.3970640250120584</v>
      </c>
      <c r="K48" s="61"/>
      <c r="L48" s="152">
        <f t="shared" ref="L48:Z48" si="16">SUM(L28:L47)</f>
        <v>208</v>
      </c>
      <c r="M48" s="135">
        <f t="shared" si="16"/>
        <v>6</v>
      </c>
      <c r="N48" s="427">
        <f t="shared" si="16"/>
        <v>1099955193.4300003</v>
      </c>
      <c r="O48" s="338">
        <f>SUM(O28:O47)</f>
        <v>5184363</v>
      </c>
      <c r="P48" s="154">
        <f t="shared" si="16"/>
        <v>113</v>
      </c>
      <c r="Q48" s="135">
        <f t="shared" si="16"/>
        <v>14</v>
      </c>
      <c r="R48" s="427">
        <f t="shared" si="16"/>
        <v>516884112.43999994</v>
      </c>
      <c r="S48" s="338">
        <f>SUM(S28:S47)</f>
        <v>10150958.619999999</v>
      </c>
      <c r="T48" s="154">
        <f t="shared" si="16"/>
        <v>84</v>
      </c>
      <c r="U48" s="135">
        <f t="shared" si="16"/>
        <v>20</v>
      </c>
      <c r="V48" s="427">
        <f t="shared" si="16"/>
        <v>151653427.65000004</v>
      </c>
      <c r="W48" s="344">
        <f>SUM(W28:W47)</f>
        <v>22546549.830000002</v>
      </c>
      <c r="X48" s="173">
        <f t="shared" si="16"/>
        <v>405</v>
      </c>
      <c r="Y48" s="174">
        <f t="shared" si="16"/>
        <v>40</v>
      </c>
      <c r="Z48" s="424">
        <f t="shared" si="16"/>
        <v>1768492733.5200005</v>
      </c>
      <c r="AA48" s="340">
        <f t="shared" ref="AA48:BF48" si="17">SUM(AA28:AA47)</f>
        <v>37881871.450000003</v>
      </c>
      <c r="AB48" s="152">
        <f t="shared" si="17"/>
        <v>50</v>
      </c>
      <c r="AC48" s="135">
        <f t="shared" si="17"/>
        <v>14</v>
      </c>
      <c r="AD48" s="427">
        <f t="shared" si="17"/>
        <v>60222067.910000004</v>
      </c>
      <c r="AE48" s="338">
        <f t="shared" si="17"/>
        <v>16176049.209999999</v>
      </c>
      <c r="AF48" s="154">
        <f t="shared" si="17"/>
        <v>61</v>
      </c>
      <c r="AG48" s="135">
        <f t="shared" si="17"/>
        <v>19</v>
      </c>
      <c r="AH48" s="427">
        <f t="shared" si="17"/>
        <v>147038252.80000001</v>
      </c>
      <c r="AI48" s="338">
        <f t="shared" si="17"/>
        <v>56294025.82</v>
      </c>
      <c r="AJ48" s="154">
        <f t="shared" si="17"/>
        <v>108</v>
      </c>
      <c r="AK48" s="135">
        <f t="shared" si="17"/>
        <v>31</v>
      </c>
      <c r="AL48" s="427">
        <f t="shared" si="17"/>
        <v>1008069067.6400001</v>
      </c>
      <c r="AM48" s="344">
        <f t="shared" si="17"/>
        <v>256115786.16</v>
      </c>
      <c r="AN48" s="173">
        <f t="shared" si="17"/>
        <v>219</v>
      </c>
      <c r="AO48" s="174">
        <f t="shared" si="17"/>
        <v>64</v>
      </c>
      <c r="AP48" s="424">
        <f t="shared" si="17"/>
        <v>1215329388.3500001</v>
      </c>
      <c r="AQ48" s="340">
        <f t="shared" si="17"/>
        <v>328585861.18999994</v>
      </c>
      <c r="AR48" s="152">
        <f t="shared" si="17"/>
        <v>70</v>
      </c>
      <c r="AS48" s="135">
        <f t="shared" si="17"/>
        <v>22</v>
      </c>
      <c r="AT48" s="427">
        <f t="shared" si="17"/>
        <v>81039669.350000024</v>
      </c>
      <c r="AU48" s="338">
        <f t="shared" si="17"/>
        <v>13185807.649999999</v>
      </c>
      <c r="AV48" s="154">
        <f t="shared" si="17"/>
        <v>51</v>
      </c>
      <c r="AW48" s="135">
        <f t="shared" si="17"/>
        <v>13</v>
      </c>
      <c r="AX48" s="427">
        <f t="shared" si="17"/>
        <v>150350890.07999998</v>
      </c>
      <c r="AY48" s="338">
        <f t="shared" si="17"/>
        <v>78033149.579999998</v>
      </c>
      <c r="AZ48" s="154">
        <f t="shared" si="17"/>
        <v>49</v>
      </c>
      <c r="BA48" s="135">
        <f t="shared" si="17"/>
        <v>15</v>
      </c>
      <c r="BB48" s="427">
        <f t="shared" si="17"/>
        <v>40559450.359999999</v>
      </c>
      <c r="BC48" s="344">
        <f t="shared" si="17"/>
        <v>7268600.2300000004</v>
      </c>
      <c r="BD48" s="173">
        <f t="shared" si="17"/>
        <v>170</v>
      </c>
      <c r="BE48" s="174">
        <f t="shared" si="17"/>
        <v>50</v>
      </c>
      <c r="BF48" s="424">
        <f t="shared" si="17"/>
        <v>271950009.79000002</v>
      </c>
      <c r="BG48" s="340">
        <f t="shared" ref="BG48:BW48" si="18">SUM(BG28:BG47)</f>
        <v>98487557.459999993</v>
      </c>
      <c r="BH48" s="152">
        <f t="shared" si="18"/>
        <v>53</v>
      </c>
      <c r="BI48" s="135">
        <f t="shared" si="18"/>
        <v>21</v>
      </c>
      <c r="BJ48" s="427">
        <f t="shared" si="18"/>
        <v>75725891.710000008</v>
      </c>
      <c r="BK48" s="338">
        <f t="shared" si="18"/>
        <v>51227790.689999998</v>
      </c>
      <c r="BL48" s="154">
        <f t="shared" si="18"/>
        <v>69</v>
      </c>
      <c r="BM48" s="135">
        <f t="shared" si="18"/>
        <v>39</v>
      </c>
      <c r="BN48" s="427">
        <f t="shared" si="18"/>
        <v>79198068.030000001</v>
      </c>
      <c r="BO48" s="338">
        <f t="shared" si="18"/>
        <v>55599028.969999999</v>
      </c>
      <c r="BP48" s="154">
        <f t="shared" si="18"/>
        <v>49</v>
      </c>
      <c r="BQ48" s="135">
        <f t="shared" si="18"/>
        <v>22</v>
      </c>
      <c r="BR48" s="427">
        <f t="shared" si="18"/>
        <v>60450897.75</v>
      </c>
      <c r="BS48" s="344">
        <f t="shared" si="18"/>
        <v>18281364.120000001</v>
      </c>
      <c r="BT48" s="173">
        <f t="shared" si="18"/>
        <v>171</v>
      </c>
      <c r="BU48" s="174">
        <f t="shared" si="18"/>
        <v>82</v>
      </c>
      <c r="BV48" s="424">
        <f t="shared" si="18"/>
        <v>215374857.49000001</v>
      </c>
      <c r="BW48" s="340">
        <f t="shared" si="18"/>
        <v>125108183.78</v>
      </c>
    </row>
    <row r="49" spans="2:75" ht="13.5" thickBot="1" x14ac:dyDescent="0.25">
      <c r="B49" s="1188"/>
      <c r="C49" s="1189"/>
      <c r="D49" s="1189"/>
      <c r="E49" s="1189"/>
      <c r="F49" s="1189"/>
      <c r="G49" s="1189"/>
      <c r="H49" s="1189"/>
      <c r="I49" s="1189"/>
      <c r="J49" s="1190"/>
      <c r="K49" s="61"/>
      <c r="L49" s="1158"/>
      <c r="M49" s="1159"/>
      <c r="N49" s="1159"/>
      <c r="O49" s="1159"/>
      <c r="P49" s="1159"/>
      <c r="Q49" s="1159"/>
      <c r="R49" s="1159"/>
      <c r="S49" s="1159"/>
      <c r="T49" s="1159"/>
      <c r="U49" s="1159"/>
      <c r="V49" s="1159"/>
      <c r="W49" s="1159"/>
      <c r="X49" s="1159"/>
      <c r="Y49" s="1159"/>
      <c r="Z49" s="1159"/>
      <c r="AA49" s="1160"/>
      <c r="AB49" s="1158"/>
      <c r="AC49" s="1159"/>
      <c r="AD49" s="1159"/>
      <c r="AE49" s="1159"/>
      <c r="AF49" s="1159"/>
      <c r="AG49" s="1159"/>
      <c r="AH49" s="1159"/>
      <c r="AI49" s="1159"/>
      <c r="AJ49" s="1159"/>
      <c r="AK49" s="1159"/>
      <c r="AL49" s="1159"/>
      <c r="AM49" s="1159"/>
      <c r="AN49" s="1159"/>
      <c r="AO49" s="1159"/>
      <c r="AP49" s="1159"/>
      <c r="AQ49" s="1160"/>
      <c r="AR49" s="1158"/>
      <c r="AS49" s="1159"/>
      <c r="AT49" s="1159"/>
      <c r="AU49" s="1159"/>
      <c r="AV49" s="1159"/>
      <c r="AW49" s="1159"/>
      <c r="AX49" s="1159"/>
      <c r="AY49" s="1159"/>
      <c r="AZ49" s="1159"/>
      <c r="BA49" s="1159"/>
      <c r="BB49" s="1159"/>
      <c r="BC49" s="1159"/>
      <c r="BD49" s="1159"/>
      <c r="BE49" s="1159"/>
      <c r="BF49" s="1159"/>
      <c r="BG49" s="1160"/>
      <c r="BH49" s="1158"/>
      <c r="BI49" s="1159"/>
      <c r="BJ49" s="1159"/>
      <c r="BK49" s="1159"/>
      <c r="BL49" s="1159"/>
      <c r="BM49" s="1159"/>
      <c r="BN49" s="1159"/>
      <c r="BO49" s="1159"/>
      <c r="BP49" s="1159"/>
      <c r="BQ49" s="1159"/>
      <c r="BR49" s="1159"/>
      <c r="BS49" s="1159"/>
      <c r="BT49" s="1159"/>
      <c r="BU49" s="1159"/>
      <c r="BV49" s="1159"/>
      <c r="BW49" s="1160"/>
    </row>
    <row r="50" spans="2:75" ht="13.5" thickBot="1" x14ac:dyDescent="0.25">
      <c r="B50" s="71" t="s">
        <v>109</v>
      </c>
      <c r="C50" s="315">
        <f>ПП!B38</f>
        <v>609</v>
      </c>
      <c r="D50" s="417">
        <f>ПП!C38</f>
        <v>0.38691232528589581</v>
      </c>
      <c r="E50" s="94">
        <f>COUNTIFS('Отчет РПЗ(ПЗ)_ПЗИП'!$G:$G,Справочно!$C33,'Отчет РПЗ(ПЗ)_ПЗИП'!AG:AG, "&gt;0")</f>
        <v>334</v>
      </c>
      <c r="F50" s="397">
        <f>E50/$E$52</f>
        <v>0.58391608391608396</v>
      </c>
      <c r="G50" s="418">
        <f>ПП!D38</f>
        <v>1420102585.6400001</v>
      </c>
      <c r="H50" s="324">
        <f>ПП!E38</f>
        <v>0.29033533536283929</v>
      </c>
      <c r="I50" s="420">
        <f>SUMIF('Отчет РПЗ(ПЗ)_ПЗИП'!$G:$G,Справочно!$C33,'Отчет РПЗ(ПЗ)_ПЗИП'!$AG:$AG)</f>
        <v>900106165.80999959</v>
      </c>
      <c r="J50" s="397">
        <f>I50/$I$52</f>
        <v>0.6029359749879416</v>
      </c>
      <c r="K50" s="61"/>
      <c r="L50" s="152">
        <f>ПП!G38</f>
        <v>26</v>
      </c>
      <c r="M50" s="135">
        <f>COUNTIFS('Отчет РПЗ(ПЗ)_ПЗИП'!$G:$G,Справочно!$C33,'Отчет РПЗ(ПЗ)_ПЗИП'!$AQ:$AQ,1,'Отчет РПЗ(ПЗ)_ПЗИП'!$AG:$AG,"&gt;0")</f>
        <v>8</v>
      </c>
      <c r="N50" s="427">
        <f>ПП!H38</f>
        <v>70658317.910000011</v>
      </c>
      <c r="O50" s="338">
        <f>SUMIFS('Отчет РПЗ(ПЗ)_ПЗИП'!$AG:$AG,'Отчет РПЗ(ПЗ)_ПЗИП'!$G:$G,Справочно!$C33,'Отчет РПЗ(ПЗ)_ПЗИП'!$AQ:$AQ,1,'Отчет РПЗ(ПЗ)_ПЗИП'!$AG:$AG,"&gt;0")</f>
        <v>57786472.93</v>
      </c>
      <c r="P50" s="154">
        <f>ПП!I38</f>
        <v>75</v>
      </c>
      <c r="Q50" s="135">
        <f>COUNTIFS('Отчет РПЗ(ПЗ)_ПЗИП'!$G:$G,Справочно!$C33,'Отчет РПЗ(ПЗ)_ПЗИП'!$AQ:$AQ,2,'Отчет РПЗ(ПЗ)_ПЗИП'!$AG:$AG,"&gt;0")</f>
        <v>26</v>
      </c>
      <c r="R50" s="427">
        <f>ПП!J38</f>
        <v>286697836.33000004</v>
      </c>
      <c r="S50" s="338">
        <f>SUMIFS('Отчет РПЗ(ПЗ)_ПЗИП'!$AG:$AG,'Отчет РПЗ(ПЗ)_ПЗИП'!$G:$G,Справочно!$C33,'Отчет РПЗ(ПЗ)_ПЗИП'!$AQ:$AQ,2,'Отчет РПЗ(ПЗ)_ПЗИП'!$AG:$AG,"&gt;0")</f>
        <v>191107841.81999999</v>
      </c>
      <c r="T50" s="154">
        <f>ПП!K38</f>
        <v>84</v>
      </c>
      <c r="U50" s="135">
        <f>COUNTIFS('Отчет РПЗ(ПЗ)_ПЗИП'!$G:$G,Справочно!$C33,'Отчет РПЗ(ПЗ)_ПЗИП'!$AQ:$AQ,3,'Отчет РПЗ(ПЗ)_ПЗИП'!$AG:$AG,"&gt;0")</f>
        <v>41</v>
      </c>
      <c r="V50" s="427">
        <f>ПП!L38</f>
        <v>191079168.62999997</v>
      </c>
      <c r="W50" s="344">
        <f>SUMIFS('Отчет РПЗ(ПЗ)_ПЗИП'!$AG:$AG,'Отчет РПЗ(ПЗ)_ПЗИП'!$G:$G,Справочно!$C33,'Отчет РПЗ(ПЗ)_ПЗИП'!$AQ:$AQ,3,'Отчет РПЗ(ПЗ)_ПЗИП'!$AG:$AG,"&gt;0")</f>
        <v>131085140.78</v>
      </c>
      <c r="X50" s="173">
        <f>SUM(L50,P50,T50)</f>
        <v>185</v>
      </c>
      <c r="Y50" s="174">
        <f>SUM(M50,Q50,U50)</f>
        <v>75</v>
      </c>
      <c r="Z50" s="424">
        <f>SUM(N50,R50,V50)</f>
        <v>548435322.87</v>
      </c>
      <c r="AA50" s="340">
        <f>SUM(O50,S50,W50)</f>
        <v>379979455.52999997</v>
      </c>
      <c r="AB50" s="152">
        <f>ПП!O38</f>
        <v>45</v>
      </c>
      <c r="AC50" s="135">
        <f>COUNTIFS('Отчет РПЗ(ПЗ)_ПЗИП'!$G:$G,Справочно!$C33,'Отчет РПЗ(ПЗ)_ПЗИП'!$AQ:$AQ,4,'Отчет РПЗ(ПЗ)_ПЗИП'!$AG:$AG,"&gt;0")</f>
        <v>25</v>
      </c>
      <c r="AD50" s="427">
        <f>ПП!P38</f>
        <v>48421878.649999999</v>
      </c>
      <c r="AE50" s="338">
        <f>SUMIFS('Отчет РПЗ(ПЗ)_ПЗИП'!$AG:$AG,'Отчет РПЗ(ПЗ)_ПЗИП'!$G:$G,Справочно!$C33,'Отчет РПЗ(ПЗ)_ПЗИП'!$AQ:$AQ,4,'Отчет РПЗ(ПЗ)_ПЗИП'!$AG:$AG,"&gt;0")</f>
        <v>30020663.559999999</v>
      </c>
      <c r="AF50" s="154">
        <f>ПП!Q38</f>
        <v>30</v>
      </c>
      <c r="AG50" s="135">
        <f>COUNTIFS('Отчет РПЗ(ПЗ)_ПЗИП'!$G:$G,Справочно!$C33,'Отчет РПЗ(ПЗ)_ПЗИП'!$AQ:$AQ,5,'Отчет РПЗ(ПЗ)_ПЗИП'!$AG:$AG,"&gt;0")</f>
        <v>21</v>
      </c>
      <c r="AH50" s="427">
        <f>ПП!R38</f>
        <v>112594193.35000001</v>
      </c>
      <c r="AI50" s="338">
        <f>SUMIFS('Отчет РПЗ(ПЗ)_ПЗИП'!$AG:$AG,'Отчет РПЗ(ПЗ)_ПЗИП'!$G:$G,Справочно!$C33,'Отчет РПЗ(ПЗ)_ПЗИП'!$AQ:$AQ,5,'Отчет РПЗ(ПЗ)_ПЗИП'!$AG:$AG,"&gt;0")</f>
        <v>129103146.37</v>
      </c>
      <c r="AJ50" s="154">
        <f>ПП!S38</f>
        <v>80</v>
      </c>
      <c r="AK50" s="135">
        <f>COUNTIFS('Отчет РПЗ(ПЗ)_ПЗИП'!$G:$G,Справочно!$C33,'Отчет РПЗ(ПЗ)_ПЗИП'!$AQ:$AQ,6,'Отчет РПЗ(ПЗ)_ПЗИП'!$AG:$AG,"&gt;0")</f>
        <v>54</v>
      </c>
      <c r="AL50" s="427">
        <f>ПП!T38</f>
        <v>134459440.38</v>
      </c>
      <c r="AM50" s="344">
        <f>SUMIFS('Отчет РПЗ(ПЗ)_ПЗИП'!$AG:$AG,'Отчет РПЗ(ПЗ)_ПЗИП'!$G:$G,Справочно!$C33,'Отчет РПЗ(ПЗ)_ПЗИП'!$N:$N,"&gt;=01.06.2016",'Отчет РПЗ(ПЗ)_ПЗИП'!$N:$N,"&lt;=30.06.2016",'Отчет РПЗ(ПЗ)_ПЗИП'!$AG:$AG,"&gt;0")</f>
        <v>0</v>
      </c>
      <c r="AN50" s="173">
        <f>SUM(AB50,AF50,AJ50)</f>
        <v>155</v>
      </c>
      <c r="AO50" s="174">
        <f>SUM(AC50,AG50,AK50)</f>
        <v>100</v>
      </c>
      <c r="AP50" s="424">
        <f>SUM(AD50,AH50,AL50)</f>
        <v>295475512.38</v>
      </c>
      <c r="AQ50" s="340">
        <f>SUM(AE50,AI50,AM50)</f>
        <v>159123809.93000001</v>
      </c>
      <c r="AR50" s="152">
        <f>ПП!W38</f>
        <v>33</v>
      </c>
      <c r="AS50" s="135">
        <f>COUNTIFS('Отчет РПЗ(ПЗ)_ПЗИП'!$G:$G,Справочно!$C33,'Отчет РПЗ(ПЗ)_ПЗИП'!$AQ:$AQ,7,'Отчет РПЗ(ПЗ)_ПЗИП'!$AG:$AG,"&gt;0")</f>
        <v>18</v>
      </c>
      <c r="AT50" s="427">
        <f>ПП!X38</f>
        <v>15773535.23</v>
      </c>
      <c r="AU50" s="338">
        <f>SUMIFS('Отчет РПЗ(ПЗ)_ПЗИП'!$AG:$AG,'Отчет РПЗ(ПЗ)_ПЗИП'!$G:$G,Справочно!$C33,'Отчет РПЗ(ПЗ)_ПЗИП'!$AQ:$AQ,7,'Отчет РПЗ(ПЗ)_ПЗИП'!$AG:$AG,"&gt;0")</f>
        <v>11106090.25</v>
      </c>
      <c r="AV50" s="154">
        <f>ПП!Y38</f>
        <v>35</v>
      </c>
      <c r="AW50" s="135">
        <f>COUNTIFS('Отчет РПЗ(ПЗ)_ПЗИП'!$G:$G,Справочно!$C33,'Отчет РПЗ(ПЗ)_ПЗИП'!$AQ:$AQ,8,'Отчет РПЗ(ПЗ)_ПЗИП'!$AG:$AG,"&gt;0")</f>
        <v>23</v>
      </c>
      <c r="AX50" s="427">
        <f>ПП!Z38</f>
        <v>93213453.160000011</v>
      </c>
      <c r="AY50" s="338">
        <f>SUMIFS('Отчет РПЗ(ПЗ)_ПЗИП'!$AG:$AG,'Отчет РПЗ(ПЗ)_ПЗИП'!$G:$G,Справочно!$C33,'Отчет РПЗ(ПЗ)_ПЗИП'!$AQ:$AQ,8,'Отчет РПЗ(ПЗ)_ПЗИП'!$AG:$AG,"&gt;0")</f>
        <v>47263238.790000007</v>
      </c>
      <c r="AZ50" s="154">
        <f>ПП!AA38</f>
        <v>43</v>
      </c>
      <c r="BA50" s="135">
        <f>COUNTIFS('Отчет РПЗ(ПЗ)_ПЗИП'!$G:$G,Справочно!$C33,'Отчет РПЗ(ПЗ)_ПЗИП'!$AQ:$AQ,9,'Отчет РПЗ(ПЗ)_ПЗИП'!$AG:$AG,"&gt;0")</f>
        <v>27</v>
      </c>
      <c r="BB50" s="427">
        <f>ПП!AB38</f>
        <v>103424679.47999999</v>
      </c>
      <c r="BC50" s="344">
        <f>SUMIFS('Отчет РПЗ(ПЗ)_ПЗИП'!$AG:$AG,'Отчет РПЗ(ПЗ)_ПЗИП'!$G:$G,Справочно!$C33,'Отчет РПЗ(ПЗ)_ПЗИП'!$AQ:$AQ,9,'Отчет РПЗ(ПЗ)_ПЗИП'!$AG:$AG,"&gt;0")</f>
        <v>75647243.140000015</v>
      </c>
      <c r="BD50" s="173">
        <f>SUM(AR50,AV50,AZ50)</f>
        <v>111</v>
      </c>
      <c r="BE50" s="174">
        <f>SUM(AS50,AW50,BA50)</f>
        <v>68</v>
      </c>
      <c r="BF50" s="424">
        <f>SUM(AT50,AX50,BB50)</f>
        <v>212411667.87</v>
      </c>
      <c r="BG50" s="340">
        <f>SUM(AU50,AY50,BC50)</f>
        <v>134016572.18000002</v>
      </c>
      <c r="BH50" s="152">
        <f>ПП!AE38</f>
        <v>57</v>
      </c>
      <c r="BI50" s="135">
        <f>COUNTIFS('Отчет РПЗ(ПЗ)_ПЗИП'!$G:$G,Справочно!$C33,'Отчет РПЗ(ПЗ)_ПЗИП'!$AQ:$AQ,10,'Отчет РПЗ(ПЗ)_ПЗИП'!$AG:$AG,"&gt;0")</f>
        <v>38</v>
      </c>
      <c r="BJ50" s="427">
        <f>ПП!AF38</f>
        <v>42412796.359999985</v>
      </c>
      <c r="BK50" s="338">
        <f>SUMIFS('Отчет РПЗ(ПЗ)_ПЗИП'!$AG:$AG,'Отчет РПЗ(ПЗ)_ПЗИП'!$G:$G,Справочно!$C33,'Отчет РПЗ(ПЗ)_ПЗИП'!$AQ:$AQ,10,'Отчет РПЗ(ПЗ)_ПЗИП'!$AG:$AG,"&gt;0")</f>
        <v>26564539.48</v>
      </c>
      <c r="BL50" s="154">
        <f>ПП!AG38</f>
        <v>46</v>
      </c>
      <c r="BM50" s="135">
        <f>COUNTIFS('Отчет РПЗ(ПЗ)_ПЗИП'!$G:$G,Справочно!$C33,'Отчет РПЗ(ПЗ)_ПЗИП'!$AQ:$AQ,11,'Отчет РПЗ(ПЗ)_ПЗИП'!$AG:$AG,"&gt;0")</f>
        <v>33</v>
      </c>
      <c r="BN50" s="427">
        <f>ПП!AH38</f>
        <v>104788986.16</v>
      </c>
      <c r="BO50" s="338">
        <f>SUMIFS('Отчет РПЗ(ПЗ)_ПЗИП'!$AG:$AG,'Отчет РПЗ(ПЗ)_ПЗИП'!$G:$G,Справочно!$C33,'Отчет РПЗ(ПЗ)_ПЗИП'!$AQ:$AQ,11,'Отчет РПЗ(ПЗ)_ПЗИП'!$AG:$AG,"&gt;0")</f>
        <v>47564228.430000007</v>
      </c>
      <c r="BP50" s="154">
        <f>ПП!AI38</f>
        <v>55</v>
      </c>
      <c r="BQ50" s="135">
        <f>COUNTIFS('Отчет РПЗ(ПЗ)_ПЗИП'!$G:$G,Справочно!$C33,'Отчет РПЗ(ПЗ)_ПЗИП'!$AQ:$AQ,12,'Отчет РПЗ(ПЗ)_ПЗИП'!$AG:$AG,"&gt;0")</f>
        <v>19</v>
      </c>
      <c r="BR50" s="427">
        <f>ПП!AJ38</f>
        <v>15773535.23</v>
      </c>
      <c r="BS50" s="344">
        <f>SUMIFS('Отчет РПЗ(ПЗ)_ПЗИП'!$AG:$AG,'Отчет РПЗ(ПЗ)_ПЗИП'!$G:$G,Справочно!$C33,'Отчет РПЗ(ПЗ)_ПЗИП'!$AQ:$AQ,12,'Отчет РПЗ(ПЗ)_ПЗИП'!$AG:$AG,"&gt;0")</f>
        <v>69637747.00999999</v>
      </c>
      <c r="BT50" s="173">
        <f>SUM(BH50,BL50,BP50)</f>
        <v>158</v>
      </c>
      <c r="BU50" s="174">
        <f>SUM(BI50,BM50,BQ50)</f>
        <v>90</v>
      </c>
      <c r="BV50" s="424">
        <f>SUM(BJ50,BN50,BR50)</f>
        <v>162975317.74999997</v>
      </c>
      <c r="BW50" s="340">
        <f>SUM(BK50,BO50,BS50)</f>
        <v>143766514.92000002</v>
      </c>
    </row>
    <row r="51" spans="2:75" ht="13.5" thickBot="1" x14ac:dyDescent="0.25">
      <c r="B51" s="1188"/>
      <c r="C51" s="1189"/>
      <c r="D51" s="1189"/>
      <c r="E51" s="1189"/>
      <c r="F51" s="1189"/>
      <c r="G51" s="1189"/>
      <c r="H51" s="1189"/>
      <c r="I51" s="1189"/>
      <c r="J51" s="1190"/>
      <c r="K51" s="61"/>
      <c r="L51" s="1158"/>
      <c r="M51" s="1159"/>
      <c r="N51" s="1159"/>
      <c r="O51" s="1159"/>
      <c r="P51" s="1159"/>
      <c r="Q51" s="1159"/>
      <c r="R51" s="1159"/>
      <c r="S51" s="1159"/>
      <c r="T51" s="1159"/>
      <c r="U51" s="1159"/>
      <c r="V51" s="1159"/>
      <c r="W51" s="1159"/>
      <c r="X51" s="1159"/>
      <c r="Y51" s="1159"/>
      <c r="Z51" s="1159"/>
      <c r="AA51" s="1160"/>
      <c r="AB51" s="1158"/>
      <c r="AC51" s="1159"/>
      <c r="AD51" s="1159"/>
      <c r="AE51" s="1159"/>
      <c r="AF51" s="1159"/>
      <c r="AG51" s="1159"/>
      <c r="AH51" s="1159"/>
      <c r="AI51" s="1159"/>
      <c r="AJ51" s="1159"/>
      <c r="AK51" s="1159"/>
      <c r="AL51" s="1159"/>
      <c r="AM51" s="1159"/>
      <c r="AN51" s="1159"/>
      <c r="AO51" s="1159"/>
      <c r="AP51" s="1159"/>
      <c r="AQ51" s="1160"/>
      <c r="AR51" s="1158"/>
      <c r="AS51" s="1159"/>
      <c r="AT51" s="1159"/>
      <c r="AU51" s="1159"/>
      <c r="AV51" s="1159"/>
      <c r="AW51" s="1159"/>
      <c r="AX51" s="1159"/>
      <c r="AY51" s="1159"/>
      <c r="AZ51" s="1159"/>
      <c r="BA51" s="1159"/>
      <c r="BB51" s="1159"/>
      <c r="BC51" s="1159"/>
      <c r="BD51" s="1159"/>
      <c r="BE51" s="1159"/>
      <c r="BF51" s="1159"/>
      <c r="BG51" s="1160"/>
      <c r="BH51" s="1158"/>
      <c r="BI51" s="1159"/>
      <c r="BJ51" s="1159"/>
      <c r="BK51" s="1159"/>
      <c r="BL51" s="1159"/>
      <c r="BM51" s="1159"/>
      <c r="BN51" s="1159"/>
      <c r="BO51" s="1159"/>
      <c r="BP51" s="1159"/>
      <c r="BQ51" s="1159"/>
      <c r="BR51" s="1159"/>
      <c r="BS51" s="1159"/>
      <c r="BT51" s="1159"/>
      <c r="BU51" s="1159"/>
      <c r="BV51" s="1159"/>
      <c r="BW51" s="1160"/>
    </row>
    <row r="52" spans="2:75" ht="13.5" thickBot="1" x14ac:dyDescent="0.25">
      <c r="B52" s="66" t="s">
        <v>259</v>
      </c>
      <c r="C52" s="95">
        <f>C48+C50+C91</f>
        <v>1574</v>
      </c>
      <c r="D52" s="421">
        <f t="shared" ref="D52:J52" si="19">D48+D50</f>
        <v>1</v>
      </c>
      <c r="E52" s="93">
        <f t="shared" si="19"/>
        <v>572</v>
      </c>
      <c r="F52" s="395">
        <f t="shared" si="19"/>
        <v>1</v>
      </c>
      <c r="G52" s="418">
        <f t="shared" si="19"/>
        <v>4891249574.7900009</v>
      </c>
      <c r="H52" s="324">
        <f t="shared" si="19"/>
        <v>1</v>
      </c>
      <c r="I52" s="419">
        <f t="shared" si="19"/>
        <v>1492871885.4899995</v>
      </c>
      <c r="J52" s="422">
        <f t="shared" si="19"/>
        <v>1</v>
      </c>
      <c r="L52" s="153">
        <f>SUM(L48,L50)</f>
        <v>234</v>
      </c>
      <c r="M52" s="139">
        <f>SUM(M48,M50)</f>
        <v>14</v>
      </c>
      <c r="N52" s="427">
        <f t="shared" ref="N52:Z52" si="20">SUM(N48,N50)</f>
        <v>1170613511.3400004</v>
      </c>
      <c r="O52" s="338">
        <f>SUM(O48,O50)</f>
        <v>62970835.93</v>
      </c>
      <c r="P52" s="156">
        <f t="shared" si="20"/>
        <v>188</v>
      </c>
      <c r="Q52" s="139">
        <f>SUM(Q48,Q50)</f>
        <v>40</v>
      </c>
      <c r="R52" s="427">
        <f t="shared" si="20"/>
        <v>803581948.76999998</v>
      </c>
      <c r="S52" s="338">
        <f>SUM(S48,S50)</f>
        <v>201258800.44</v>
      </c>
      <c r="T52" s="156">
        <f t="shared" si="20"/>
        <v>168</v>
      </c>
      <c r="U52" s="139">
        <f>SUM(U48,U50)</f>
        <v>61</v>
      </c>
      <c r="V52" s="427">
        <f t="shared" si="20"/>
        <v>342732596.27999997</v>
      </c>
      <c r="W52" s="344">
        <f>SUM(W48,W50)</f>
        <v>153631690.61000001</v>
      </c>
      <c r="X52" s="171">
        <f t="shared" si="20"/>
        <v>590</v>
      </c>
      <c r="Y52" s="175">
        <f>SUM(Y48,Y50)</f>
        <v>115</v>
      </c>
      <c r="Z52" s="424">
        <f t="shared" si="20"/>
        <v>2316928056.3900003</v>
      </c>
      <c r="AA52" s="340">
        <f t="shared" ref="AA52:BF52" si="21">SUM(AA48,AA50)</f>
        <v>417861326.97999996</v>
      </c>
      <c r="AB52" s="153">
        <f t="shared" si="21"/>
        <v>95</v>
      </c>
      <c r="AC52" s="139">
        <f t="shared" si="21"/>
        <v>39</v>
      </c>
      <c r="AD52" s="427">
        <f t="shared" si="21"/>
        <v>108643946.56</v>
      </c>
      <c r="AE52" s="338">
        <f t="shared" si="21"/>
        <v>46196712.769999996</v>
      </c>
      <c r="AF52" s="156">
        <f t="shared" si="21"/>
        <v>91</v>
      </c>
      <c r="AG52" s="139">
        <f t="shared" si="21"/>
        <v>40</v>
      </c>
      <c r="AH52" s="427">
        <f t="shared" si="21"/>
        <v>259632446.15000004</v>
      </c>
      <c r="AI52" s="338">
        <f t="shared" si="21"/>
        <v>185397172.19</v>
      </c>
      <c r="AJ52" s="156">
        <f t="shared" si="21"/>
        <v>188</v>
      </c>
      <c r="AK52" s="139">
        <f t="shared" si="21"/>
        <v>85</v>
      </c>
      <c r="AL52" s="427">
        <f t="shared" si="21"/>
        <v>1142528508.02</v>
      </c>
      <c r="AM52" s="344">
        <f t="shared" si="21"/>
        <v>256115786.16</v>
      </c>
      <c r="AN52" s="171">
        <f t="shared" si="21"/>
        <v>374</v>
      </c>
      <c r="AO52" s="175">
        <f t="shared" si="21"/>
        <v>164</v>
      </c>
      <c r="AP52" s="424">
        <f t="shared" si="21"/>
        <v>1510804900.73</v>
      </c>
      <c r="AQ52" s="340">
        <f t="shared" si="21"/>
        <v>487709671.11999995</v>
      </c>
      <c r="AR52" s="153">
        <f t="shared" si="21"/>
        <v>103</v>
      </c>
      <c r="AS52" s="139">
        <f t="shared" si="21"/>
        <v>40</v>
      </c>
      <c r="AT52" s="427">
        <f t="shared" si="21"/>
        <v>96813204.580000028</v>
      </c>
      <c r="AU52" s="338">
        <f t="shared" si="21"/>
        <v>24291897.899999999</v>
      </c>
      <c r="AV52" s="156">
        <f t="shared" si="21"/>
        <v>86</v>
      </c>
      <c r="AW52" s="139">
        <f t="shared" si="21"/>
        <v>36</v>
      </c>
      <c r="AX52" s="427">
        <f t="shared" si="21"/>
        <v>243564343.24000001</v>
      </c>
      <c r="AY52" s="338">
        <f t="shared" si="21"/>
        <v>125296388.37</v>
      </c>
      <c r="AZ52" s="156">
        <f t="shared" si="21"/>
        <v>92</v>
      </c>
      <c r="BA52" s="139">
        <f t="shared" si="21"/>
        <v>42</v>
      </c>
      <c r="BB52" s="427">
        <f t="shared" si="21"/>
        <v>143984129.83999997</v>
      </c>
      <c r="BC52" s="344">
        <f t="shared" si="21"/>
        <v>82915843.37000002</v>
      </c>
      <c r="BD52" s="171">
        <f t="shared" si="21"/>
        <v>281</v>
      </c>
      <c r="BE52" s="175">
        <f t="shared" si="21"/>
        <v>118</v>
      </c>
      <c r="BF52" s="424">
        <f t="shared" si="21"/>
        <v>484361677.66000003</v>
      </c>
      <c r="BG52" s="340">
        <f t="shared" ref="BG52:BW52" si="22">SUM(BG48,BG50)</f>
        <v>232504129.64000002</v>
      </c>
      <c r="BH52" s="153">
        <f t="shared" si="22"/>
        <v>110</v>
      </c>
      <c r="BI52" s="139">
        <f t="shared" si="22"/>
        <v>59</v>
      </c>
      <c r="BJ52" s="427">
        <f t="shared" si="22"/>
        <v>118138688.06999999</v>
      </c>
      <c r="BK52" s="338">
        <f t="shared" si="22"/>
        <v>77792330.170000002</v>
      </c>
      <c r="BL52" s="156">
        <f t="shared" si="22"/>
        <v>115</v>
      </c>
      <c r="BM52" s="139">
        <f t="shared" si="22"/>
        <v>72</v>
      </c>
      <c r="BN52" s="427">
        <f t="shared" si="22"/>
        <v>183987054.19</v>
      </c>
      <c r="BO52" s="338">
        <f t="shared" si="22"/>
        <v>103163257.40000001</v>
      </c>
      <c r="BP52" s="156">
        <f t="shared" si="22"/>
        <v>104</v>
      </c>
      <c r="BQ52" s="139">
        <f t="shared" si="22"/>
        <v>41</v>
      </c>
      <c r="BR52" s="427">
        <f t="shared" si="22"/>
        <v>76224432.980000004</v>
      </c>
      <c r="BS52" s="344">
        <f t="shared" si="22"/>
        <v>87919111.129999995</v>
      </c>
      <c r="BT52" s="171">
        <f t="shared" si="22"/>
        <v>329</v>
      </c>
      <c r="BU52" s="175">
        <f t="shared" si="22"/>
        <v>172</v>
      </c>
      <c r="BV52" s="424">
        <f t="shared" si="22"/>
        <v>378350175.24000001</v>
      </c>
      <c r="BW52" s="340">
        <f t="shared" si="22"/>
        <v>268874698.70000005</v>
      </c>
    </row>
    <row r="53" spans="2:75" ht="22.5" customHeight="1" thickBot="1" x14ac:dyDescent="0.3">
      <c r="B53" s="1162" t="s">
        <v>244</v>
      </c>
      <c r="C53" s="1162"/>
      <c r="D53" s="1162"/>
      <c r="E53" s="1162"/>
      <c r="F53" s="1162"/>
      <c r="G53" s="1162"/>
      <c r="H53" s="1162"/>
      <c r="I53" s="1166"/>
      <c r="J53" s="1166"/>
      <c r="L53" s="1161" t="s">
        <v>244</v>
      </c>
      <c r="M53" s="1162"/>
      <c r="N53" s="1162"/>
      <c r="O53" s="1162"/>
      <c r="P53" s="1162"/>
      <c r="Q53" s="1162"/>
      <c r="R53" s="1162"/>
      <c r="S53" s="1162"/>
      <c r="T53" s="1162"/>
      <c r="U53" s="1162"/>
      <c r="V53" s="1162"/>
      <c r="W53" s="1162"/>
      <c r="X53" s="1162"/>
      <c r="Y53" s="1162"/>
      <c r="Z53" s="1162"/>
      <c r="AA53" s="1163"/>
      <c r="AB53" s="1161" t="s">
        <v>244</v>
      </c>
      <c r="AC53" s="1162"/>
      <c r="AD53" s="1162"/>
      <c r="AE53" s="1162"/>
      <c r="AF53" s="1162"/>
      <c r="AG53" s="1162"/>
      <c r="AH53" s="1162"/>
      <c r="AI53" s="1162"/>
      <c r="AJ53" s="1162"/>
      <c r="AK53" s="1162"/>
      <c r="AL53" s="1162"/>
      <c r="AM53" s="1162"/>
      <c r="AN53" s="1162"/>
      <c r="AO53" s="1162"/>
      <c r="AP53" s="1162"/>
      <c r="AQ53" s="1163"/>
      <c r="AR53" s="1161" t="s">
        <v>244</v>
      </c>
      <c r="AS53" s="1162"/>
      <c r="AT53" s="1162"/>
      <c r="AU53" s="1162"/>
      <c r="AV53" s="1162"/>
      <c r="AW53" s="1162"/>
      <c r="AX53" s="1162"/>
      <c r="AY53" s="1162"/>
      <c r="AZ53" s="1162"/>
      <c r="BA53" s="1162"/>
      <c r="BB53" s="1162"/>
      <c r="BC53" s="1162"/>
      <c r="BD53" s="1162"/>
      <c r="BE53" s="1162"/>
      <c r="BF53" s="1162"/>
      <c r="BG53" s="1163"/>
      <c r="BH53" s="1161" t="s">
        <v>244</v>
      </c>
      <c r="BI53" s="1162"/>
      <c r="BJ53" s="1162"/>
      <c r="BK53" s="1162"/>
      <c r="BL53" s="1162"/>
      <c r="BM53" s="1162"/>
      <c r="BN53" s="1162"/>
      <c r="BO53" s="1162"/>
      <c r="BP53" s="1162"/>
      <c r="BQ53" s="1162"/>
      <c r="BR53" s="1162"/>
      <c r="BS53" s="1162"/>
      <c r="BT53" s="1162"/>
      <c r="BU53" s="1162"/>
      <c r="BV53" s="1162"/>
      <c r="BW53" s="1163"/>
    </row>
    <row r="54" spans="2:75" ht="54.75" customHeight="1" thickBot="1" x14ac:dyDescent="0.25">
      <c r="B54" s="131" t="s">
        <v>210</v>
      </c>
      <c r="C54" s="300" t="s">
        <v>290</v>
      </c>
      <c r="D54" s="62" t="s">
        <v>240</v>
      </c>
      <c r="E54" s="301" t="s">
        <v>289</v>
      </c>
      <c r="F54" s="300" t="s">
        <v>974</v>
      </c>
      <c r="G54" s="62" t="s">
        <v>975</v>
      </c>
      <c r="H54" s="298" t="s">
        <v>976</v>
      </c>
      <c r="I54" s="1201" t="s">
        <v>261</v>
      </c>
      <c r="J54" s="1216"/>
      <c r="L54" s="168" t="s">
        <v>289</v>
      </c>
      <c r="M54" s="169" t="s">
        <v>225</v>
      </c>
      <c r="N54" s="1157" t="s">
        <v>261</v>
      </c>
      <c r="O54" s="1157"/>
      <c r="P54" s="169" t="s">
        <v>289</v>
      </c>
      <c r="Q54" s="169" t="s">
        <v>225</v>
      </c>
      <c r="R54" s="1157" t="s">
        <v>261</v>
      </c>
      <c r="S54" s="1157"/>
      <c r="T54" s="169" t="s">
        <v>289</v>
      </c>
      <c r="U54" s="169" t="s">
        <v>225</v>
      </c>
      <c r="V54" s="1157" t="s">
        <v>261</v>
      </c>
      <c r="W54" s="1164"/>
      <c r="X54" s="97" t="s">
        <v>289</v>
      </c>
      <c r="Y54" s="97" t="s">
        <v>225</v>
      </c>
      <c r="Z54" s="1156" t="s">
        <v>261</v>
      </c>
      <c r="AA54" s="1156"/>
      <c r="AB54" s="168" t="s">
        <v>289</v>
      </c>
      <c r="AC54" s="169" t="s">
        <v>225</v>
      </c>
      <c r="AD54" s="1157" t="s">
        <v>261</v>
      </c>
      <c r="AE54" s="1157"/>
      <c r="AF54" s="169" t="s">
        <v>289</v>
      </c>
      <c r="AG54" s="169" t="s">
        <v>225</v>
      </c>
      <c r="AH54" s="1157" t="s">
        <v>261</v>
      </c>
      <c r="AI54" s="1157"/>
      <c r="AJ54" s="169" t="s">
        <v>289</v>
      </c>
      <c r="AK54" s="169" t="s">
        <v>225</v>
      </c>
      <c r="AL54" s="1157" t="s">
        <v>261</v>
      </c>
      <c r="AM54" s="1164"/>
      <c r="AN54" s="97" t="s">
        <v>289</v>
      </c>
      <c r="AO54" s="97" t="s">
        <v>225</v>
      </c>
      <c r="AP54" s="1156" t="s">
        <v>261</v>
      </c>
      <c r="AQ54" s="1156"/>
      <c r="AR54" s="168" t="s">
        <v>289</v>
      </c>
      <c r="AS54" s="169" t="s">
        <v>225</v>
      </c>
      <c r="AT54" s="1157" t="s">
        <v>261</v>
      </c>
      <c r="AU54" s="1157"/>
      <c r="AV54" s="169" t="s">
        <v>289</v>
      </c>
      <c r="AW54" s="169" t="s">
        <v>225</v>
      </c>
      <c r="AX54" s="1157" t="s">
        <v>261</v>
      </c>
      <c r="AY54" s="1157"/>
      <c r="AZ54" s="169" t="s">
        <v>289</v>
      </c>
      <c r="BA54" s="169" t="s">
        <v>225</v>
      </c>
      <c r="BB54" s="1157" t="s">
        <v>261</v>
      </c>
      <c r="BC54" s="1164"/>
      <c r="BD54" s="97" t="s">
        <v>289</v>
      </c>
      <c r="BE54" s="97" t="s">
        <v>225</v>
      </c>
      <c r="BF54" s="1156" t="s">
        <v>261</v>
      </c>
      <c r="BG54" s="1156"/>
      <c r="BH54" s="168" t="s">
        <v>289</v>
      </c>
      <c r="BI54" s="169" t="s">
        <v>225</v>
      </c>
      <c r="BJ54" s="1157" t="s">
        <v>261</v>
      </c>
      <c r="BK54" s="1157"/>
      <c r="BL54" s="169" t="s">
        <v>289</v>
      </c>
      <c r="BM54" s="169" t="s">
        <v>225</v>
      </c>
      <c r="BN54" s="1157" t="s">
        <v>261</v>
      </c>
      <c r="BO54" s="1157"/>
      <c r="BP54" s="169" t="s">
        <v>289</v>
      </c>
      <c r="BQ54" s="169" t="s">
        <v>225</v>
      </c>
      <c r="BR54" s="1157" t="s">
        <v>261</v>
      </c>
      <c r="BS54" s="1164"/>
      <c r="BT54" s="97" t="s">
        <v>289</v>
      </c>
      <c r="BU54" s="97" t="s">
        <v>225</v>
      </c>
      <c r="BV54" s="1156" t="s">
        <v>261</v>
      </c>
      <c r="BW54" s="1156"/>
    </row>
    <row r="55" spans="2:75" ht="15" customHeight="1" thickBot="1" x14ac:dyDescent="0.25">
      <c r="B55" s="132"/>
      <c r="C55" s="1203" t="s">
        <v>40</v>
      </c>
      <c r="D55" s="1203"/>
      <c r="E55" s="302"/>
      <c r="F55" s="1201" t="s">
        <v>247</v>
      </c>
      <c r="G55" s="1216"/>
      <c r="H55" s="303"/>
      <c r="I55" s="299" t="s">
        <v>222</v>
      </c>
      <c r="J55" s="301" t="s">
        <v>116</v>
      </c>
      <c r="L55" s="136" t="s">
        <v>40</v>
      </c>
      <c r="M55" s="137" t="s">
        <v>247</v>
      </c>
      <c r="N55" s="137" t="s">
        <v>222</v>
      </c>
      <c r="O55" s="137" t="s">
        <v>116</v>
      </c>
      <c r="P55" s="137" t="s">
        <v>40</v>
      </c>
      <c r="Q55" s="137" t="s">
        <v>247</v>
      </c>
      <c r="R55" s="137" t="s">
        <v>222</v>
      </c>
      <c r="S55" s="137" t="s">
        <v>116</v>
      </c>
      <c r="T55" s="137" t="s">
        <v>40</v>
      </c>
      <c r="U55" s="137" t="s">
        <v>247</v>
      </c>
      <c r="V55" s="137" t="s">
        <v>222</v>
      </c>
      <c r="W55" s="138" t="s">
        <v>116</v>
      </c>
      <c r="X55" s="97" t="s">
        <v>40</v>
      </c>
      <c r="Y55" s="97" t="s">
        <v>247</v>
      </c>
      <c r="Z55" s="97" t="s">
        <v>222</v>
      </c>
      <c r="AA55" s="97" t="s">
        <v>116</v>
      </c>
      <c r="AB55" s="136" t="s">
        <v>40</v>
      </c>
      <c r="AC55" s="137" t="s">
        <v>247</v>
      </c>
      <c r="AD55" s="137" t="s">
        <v>222</v>
      </c>
      <c r="AE55" s="137" t="s">
        <v>116</v>
      </c>
      <c r="AF55" s="137" t="s">
        <v>40</v>
      </c>
      <c r="AG55" s="137" t="s">
        <v>247</v>
      </c>
      <c r="AH55" s="137" t="s">
        <v>222</v>
      </c>
      <c r="AI55" s="137" t="s">
        <v>116</v>
      </c>
      <c r="AJ55" s="137" t="s">
        <v>40</v>
      </c>
      <c r="AK55" s="137" t="s">
        <v>247</v>
      </c>
      <c r="AL55" s="137" t="s">
        <v>222</v>
      </c>
      <c r="AM55" s="138" t="s">
        <v>116</v>
      </c>
      <c r="AN55" s="97" t="s">
        <v>40</v>
      </c>
      <c r="AO55" s="97" t="s">
        <v>247</v>
      </c>
      <c r="AP55" s="97" t="s">
        <v>222</v>
      </c>
      <c r="AQ55" s="97" t="s">
        <v>116</v>
      </c>
      <c r="AR55" s="136" t="s">
        <v>40</v>
      </c>
      <c r="AS55" s="137" t="s">
        <v>247</v>
      </c>
      <c r="AT55" s="137" t="s">
        <v>222</v>
      </c>
      <c r="AU55" s="137" t="s">
        <v>116</v>
      </c>
      <c r="AV55" s="137" t="s">
        <v>40</v>
      </c>
      <c r="AW55" s="137" t="s">
        <v>247</v>
      </c>
      <c r="AX55" s="137" t="s">
        <v>222</v>
      </c>
      <c r="AY55" s="137" t="s">
        <v>116</v>
      </c>
      <c r="AZ55" s="137" t="s">
        <v>40</v>
      </c>
      <c r="BA55" s="137" t="s">
        <v>247</v>
      </c>
      <c r="BB55" s="137" t="s">
        <v>222</v>
      </c>
      <c r="BC55" s="138" t="s">
        <v>116</v>
      </c>
      <c r="BD55" s="97" t="s">
        <v>40</v>
      </c>
      <c r="BE55" s="97" t="s">
        <v>247</v>
      </c>
      <c r="BF55" s="97" t="s">
        <v>222</v>
      </c>
      <c r="BG55" s="97" t="s">
        <v>116</v>
      </c>
      <c r="BH55" s="136" t="s">
        <v>40</v>
      </c>
      <c r="BI55" s="137" t="s">
        <v>247</v>
      </c>
      <c r="BJ55" s="137" t="s">
        <v>222</v>
      </c>
      <c r="BK55" s="137" t="s">
        <v>116</v>
      </c>
      <c r="BL55" s="137" t="s">
        <v>40</v>
      </c>
      <c r="BM55" s="137" t="s">
        <v>247</v>
      </c>
      <c r="BN55" s="137" t="s">
        <v>222</v>
      </c>
      <c r="BO55" s="137" t="s">
        <v>116</v>
      </c>
      <c r="BP55" s="137" t="s">
        <v>40</v>
      </c>
      <c r="BQ55" s="137" t="s">
        <v>247</v>
      </c>
      <c r="BR55" s="137" t="s">
        <v>222</v>
      </c>
      <c r="BS55" s="138" t="s">
        <v>116</v>
      </c>
      <c r="BT55" s="97" t="s">
        <v>40</v>
      </c>
      <c r="BU55" s="97" t="s">
        <v>247</v>
      </c>
      <c r="BV55" s="97" t="s">
        <v>222</v>
      </c>
      <c r="BW55" s="97" t="s">
        <v>116</v>
      </c>
    </row>
    <row r="56" spans="2:75" ht="15" customHeight="1" thickBot="1" x14ac:dyDescent="0.25">
      <c r="B56" s="55" t="str">
        <f>Справочно!E21</f>
        <v>ГК "Ростех"</v>
      </c>
      <c r="C56" s="92">
        <f>ПП!B44</f>
        <v>0</v>
      </c>
      <c r="D56" s="412">
        <f>ПП!C44</f>
        <v>0</v>
      </c>
      <c r="E56" s="437">
        <f>ПП!D44</f>
        <v>0</v>
      </c>
      <c r="F56" s="297">
        <f>COUNTIFS('Отчет РПЗ(ПЗ)_ПЗИП'!$AG:$AG,"&gt;0",'Отчет РПЗ(ПЗ)_ПЗИП'!$D:$D,Справочно!$E21)</f>
        <v>0</v>
      </c>
      <c r="G56" s="438">
        <f>F56/$E$52</f>
        <v>0</v>
      </c>
      <c r="H56" s="439">
        <f>SUMIF('Отчет РПЗ(ПЗ)_ПЗИП'!$D:$D,Справочно!$E21,'Отчет РПЗ(ПЗ)_ПЗИП'!$AG:$AG)</f>
        <v>0</v>
      </c>
      <c r="I56" s="461">
        <f>(IF($D$3=1,Z56,0)+IF($D$3=2,Z56+AP56,0)+IF($D$3=3,Z56+AP56+BF56,0)+IF($D$3=4,Z56+AP56+BF56+BV56,0))</f>
        <v>0</v>
      </c>
      <c r="J56" s="514" t="e">
        <f>I56/(X56+AN56+BD56+BT56)</f>
        <v>#DIV/0!</v>
      </c>
      <c r="L56" s="428">
        <f>SUMIFS('Отчет РПЗ(ПЗ)_ПЗИП'!$W:$W,'Отчет РПЗ(ПЗ)_ПЗИП'!$D:$D,Справочно!$E21,'Отчет РПЗ(ПЗ)_ПЗИП'!$N:$N,"&gt;=01.01.2017",'Отчет РПЗ(ПЗ)_ПЗИП'!$N:$N,"&lt;=31.01.2017",'Отчет РПЗ(ПЗ)_ПЗИП'!$AG:$AG,"&gt;0")</f>
        <v>0</v>
      </c>
      <c r="M56" s="328">
        <f>SUMIFS('Отчет РПЗ(ПЗ)_ПЗИП'!$AG:$AG,'Отчет РПЗ(ПЗ)_ПЗИП'!$D:$D,Справочно!$E21,'Отчет РПЗ(ПЗ)_ПЗИП'!$AQ:$AQ,1)</f>
        <v>0</v>
      </c>
      <c r="N56" s="336" t="str">
        <f>IF(M56=0,"НД",L56-M56)</f>
        <v>НД</v>
      </c>
      <c r="O56" s="245" t="str">
        <f>IF(M56=0, "НД", IF((N56="НД"),"НД",N56/L56))</f>
        <v>НД</v>
      </c>
      <c r="P56" s="423">
        <f>SUMIFS('Отчет РПЗ(ПЗ)_ПЗИП'!$W:$W,'Отчет РПЗ(ПЗ)_ПЗИП'!$D:$D,Справочно!$E21,'Отчет РПЗ(ПЗ)_ПЗИП'!$N:$N,"&gt;=01.02.2017",'Отчет РПЗ(ПЗ)_ПЗИП'!$N:$N,"&lt;=28.02.2017",'Отчет РПЗ(ПЗ)_ПЗИП'!$AG:$AG,"&gt;0")</f>
        <v>0</v>
      </c>
      <c r="Q56" s="328">
        <f>SUMIFS('Отчет РПЗ(ПЗ)_ПЗИП'!$AG:$AG,'Отчет РПЗ(ПЗ)_ПЗИП'!$D:$D,Справочно!$E21,'Отчет РПЗ(ПЗ)_ПЗИП'!$AQ:$AQ,2)</f>
        <v>0</v>
      </c>
      <c r="R56" s="336" t="str">
        <f>IF(Q56=0,"НД",P56-Q56)</f>
        <v>НД</v>
      </c>
      <c r="S56" s="245" t="str">
        <f>IF(Q56=0, "НД", IF((R56="НД"),"НД",R56/P56))</f>
        <v>НД</v>
      </c>
      <c r="T56" s="423">
        <f>SUMIFS('Отчет РПЗ(ПЗ)_ПЗИП'!$W:$W,'Отчет РПЗ(ПЗ)_ПЗИП'!$D:$D,Справочно!$E21,'Отчет РПЗ(ПЗ)_ПЗИП'!$N:$N,"&gt;=01.03.2017",'Отчет РПЗ(ПЗ)_ПЗИП'!$N:$N,"&lt;=31.03.2017",'Отчет РПЗ(ПЗ)_ПЗИП'!$AG:$AG,"&gt;0")</f>
        <v>0</v>
      </c>
      <c r="U56" s="328">
        <f>SUMIFS('Отчет РПЗ(ПЗ)_ПЗИП'!$AG:$AG,'Отчет РПЗ(ПЗ)_ПЗИП'!$D:$D,Справочно!$E21,'Отчет РПЗ(ПЗ)_ПЗИП'!$AQ:$AQ,3)</f>
        <v>0</v>
      </c>
      <c r="V56" s="336" t="str">
        <f>IF(U56=0,"НД",T56-U56)</f>
        <v>НД</v>
      </c>
      <c r="W56" s="245" t="str">
        <f t="shared" ref="W56:W81" si="23">IF(U56=0, "НД", IF((V56="НД"),"НД",V56/T56))</f>
        <v>НД</v>
      </c>
      <c r="X56" s="424">
        <f>SUM(L56,P56,T56)</f>
        <v>0</v>
      </c>
      <c r="Y56" s="329">
        <f>SUM(M56,Q56,U56)</f>
        <v>0</v>
      </c>
      <c r="Z56" s="329">
        <f t="shared" ref="Z56:Z81" si="24">IF(Y56=0,0,X56-Y56)</f>
        <v>0</v>
      </c>
      <c r="AA56" s="247">
        <f t="shared" ref="AA56:AA78" si="25">IF(Y56=0, 0, IF((Z56="НД"),"НД",Z56/X56))</f>
        <v>0</v>
      </c>
      <c r="AB56" s="428">
        <f>SUMIFS('Отчет РПЗ(ПЗ)_ПЗИП'!$W:$W,'Отчет РПЗ(ПЗ)_ПЗИП'!$D:$D,Справочно!$E21,'Отчет РПЗ(ПЗ)_ПЗИП'!$N:$N,"&gt;=01.04.2017",'Отчет РПЗ(ПЗ)_ПЗИП'!$N:$N,"&lt;=30.04.2017",'Отчет РПЗ(ПЗ)_ПЗИП'!$AG:$AG,"&gt;0")</f>
        <v>0</v>
      </c>
      <c r="AC56" s="330">
        <f>SUMIFS('Отчет РПЗ(ПЗ)_ПЗИП'!$AG:$AG,'Отчет РПЗ(ПЗ)_ПЗИП'!$D:$D,Справочно!$E21,'Отчет РПЗ(ПЗ)_ПЗИП'!$AQ:$AQ,4)</f>
        <v>0</v>
      </c>
      <c r="AD56" s="330" t="str">
        <f>IF(AC56=0,"НД",AB56-AC56)</f>
        <v>НД</v>
      </c>
      <c r="AE56" s="246" t="str">
        <f t="shared" ref="AE56:AE81" si="26">IF(AC56=0, "НД", IF((AD56="НД"),"НД",AD56/AB56))</f>
        <v>НД</v>
      </c>
      <c r="AF56" s="429">
        <f>SUMIFS('Отчет РПЗ(ПЗ)_ПЗИП'!$W:$W,'Отчет РПЗ(ПЗ)_ПЗИП'!$D:$D,Справочно!$E21,'Отчет РПЗ(ПЗ)_ПЗИП'!$N:$N,"&gt;=01.05.2017",'Отчет РПЗ(ПЗ)_ПЗИП'!$N:$N,"&lt;=31.05.2017",'Отчет РПЗ(ПЗ)_ПЗИП'!$AG:$AG,"&gt;0")</f>
        <v>0</v>
      </c>
      <c r="AG56" s="330">
        <f>SUMIFS('Отчет РПЗ(ПЗ)_ПЗИП'!$AG:$AG,'Отчет РПЗ(ПЗ)_ПЗИП'!$D:$D,Справочно!$E21,'Отчет РПЗ(ПЗ)_ПЗИП'!$AQ:$AQ,5)</f>
        <v>0</v>
      </c>
      <c r="AH56" s="330" t="str">
        <f>IF(AG56=0,"НД",AF56-AG56)</f>
        <v>НД</v>
      </c>
      <c r="AI56" s="246" t="str">
        <f t="shared" ref="AI56:AI81" si="27">IF(AG56=0, "НД", IF((AH56="НД"),"НД",AH56/AF56))</f>
        <v>НД</v>
      </c>
      <c r="AJ56" s="429">
        <f>SUMIFS('Отчет РПЗ(ПЗ)_ПЗИП'!$W:$W,'Отчет РПЗ(ПЗ)_ПЗИП'!$D:$D,Справочно!$E21,'Отчет РПЗ(ПЗ)_ПЗИП'!$N:$N,"&gt;=01.06.2017",'Отчет РПЗ(ПЗ)_ПЗИП'!$N:$N,"&lt;=30.06.2017",'Отчет РПЗ(ПЗ)_ПЗИП'!$AG:$AG,"&gt;0")</f>
        <v>0</v>
      </c>
      <c r="AK56" s="330">
        <f>SUMIFS('Отчет РПЗ(ПЗ)_ПЗИП'!$AG:$AG,'Отчет РПЗ(ПЗ)_ПЗИП'!$D:$D,Справочно!$E21,'Отчет РПЗ(ПЗ)_ПЗИП'!$AQ:$AQ,6)</f>
        <v>0</v>
      </c>
      <c r="AL56" s="330" t="str">
        <f>IF(AK56=0,"НД",AJ56-AK56)</f>
        <v>НД</v>
      </c>
      <c r="AM56" s="246" t="str">
        <f t="shared" ref="AM56:AM81" si="28">IF(AK56=0, "НД", IF((AL56="НД"),"НД",AL56/AJ56))</f>
        <v>НД</v>
      </c>
      <c r="AN56" s="424">
        <f>SUM(AB56,AF56,AJ56)</f>
        <v>0</v>
      </c>
      <c r="AO56" s="331">
        <f>SUM(AC56,AG56,AK56)</f>
        <v>0</v>
      </c>
      <c r="AP56" s="331">
        <f t="shared" ref="AP56:AP81" si="29">IF(AO56=0,0,AN56-AO56)</f>
        <v>0</v>
      </c>
      <c r="AQ56" s="248">
        <f t="shared" ref="AQ56:AQ81" si="30">IF(AO56=0, 0, IF((AP56="НД"),"НД",AP56/AN56))</f>
        <v>0</v>
      </c>
      <c r="AR56" s="428">
        <f>SUMIFS('Отчет РПЗ(ПЗ)_ПЗИП'!$W:$W,'Отчет РПЗ(ПЗ)_ПЗИП'!$D:$D,Справочно!$E21,'Отчет РПЗ(ПЗ)_ПЗИП'!$N:$N,"&gt;=01.07.2017",'Отчет РПЗ(ПЗ)_ПЗИП'!$N:$N,"&lt;=31.07.2017",'Отчет РПЗ(ПЗ)_ПЗИП'!$AG:$AG,"&gt;0")</f>
        <v>0</v>
      </c>
      <c r="AS56" s="332">
        <f>SUMIFS('Отчет РПЗ(ПЗ)_ПЗИП'!$AG:$AG,'Отчет РПЗ(ПЗ)_ПЗИП'!$D:$D,Справочно!$E21,'Отчет РПЗ(ПЗ)_ПЗИП'!$AQ:$AQ,7)</f>
        <v>0</v>
      </c>
      <c r="AT56" s="332" t="str">
        <f>IF(AS56=0,"НД",AR56-AS56)</f>
        <v>НД</v>
      </c>
      <c r="AU56" s="249" t="str">
        <f t="shared" ref="AU56:AU81" si="31">IF(AS56=0, "НД", IF((AT56="НД"),"НД",AT56/AR56))</f>
        <v>НД</v>
      </c>
      <c r="AV56" s="423">
        <f>SUMIFS('Отчет РПЗ(ПЗ)_ПЗИП'!$W:$W,'Отчет РПЗ(ПЗ)_ПЗИП'!$D:$D,Справочно!$E21,'Отчет РПЗ(ПЗ)_ПЗИП'!$N:$N,"&gt;=01.08.2017",'Отчет РПЗ(ПЗ)_ПЗИП'!$N:$N,"&lt;=31.08.2017",'Отчет РПЗ(ПЗ)_ПЗИП'!$AG:$AG,"&gt;0")</f>
        <v>0</v>
      </c>
      <c r="AW56" s="332">
        <f>SUMIFS('Отчет РПЗ(ПЗ)_ПЗИП'!$AG:$AG,'Отчет РПЗ(ПЗ)_ПЗИП'!$D:$D,Справочно!$E21,'Отчет РПЗ(ПЗ)_ПЗИП'!$AQ:$AQ,8)</f>
        <v>0</v>
      </c>
      <c r="AX56" s="332" t="str">
        <f>IF(AW56=0,"НД",AV56-AW56)</f>
        <v>НД</v>
      </c>
      <c r="AY56" s="251" t="str">
        <f t="shared" ref="AY56:AY81" si="32">IF(AW56=0, "НД", IF((AX56="НД"),"НД",AX56/AV56))</f>
        <v>НД</v>
      </c>
      <c r="AZ56" s="423">
        <f>SUMIFS('Отчет РПЗ(ПЗ)_ПЗИП'!$W:$W,'Отчет РПЗ(ПЗ)_ПЗИП'!$D:$D,Справочно!$E21,'Отчет РПЗ(ПЗ)_ПЗИП'!$N:$N,"&gt;=01.09.2017",'Отчет РПЗ(ПЗ)_ПЗИП'!$N:$N,"&lt;=30.09.2017",'Отчет РПЗ(ПЗ)_ПЗИП'!$AG:$AG,"&gt;0")</f>
        <v>0</v>
      </c>
      <c r="BA56" s="332">
        <f>SUMIFS('Отчет РПЗ(ПЗ)_ПЗИП'!$AG:$AG,'Отчет РПЗ(ПЗ)_ПЗИП'!$D:$D,Справочно!$E21,'Отчет РПЗ(ПЗ)_ПЗИП'!$AQ:$AQ,9)</f>
        <v>0</v>
      </c>
      <c r="BB56" s="332" t="str">
        <f>IF(BA56=0,"НД",AZ56-BA56)</f>
        <v>НД</v>
      </c>
      <c r="BC56" s="251" t="str">
        <f t="shared" ref="BC56:BC81" si="33">IF(BA56=0, "НД", IF((BB56="НД"),"НД",BB56/AZ56))</f>
        <v>НД</v>
      </c>
      <c r="BD56" s="424">
        <f>SUM(AR56,AV56,AZ56)</f>
        <v>0</v>
      </c>
      <c r="BE56" s="333">
        <f>SUM(AS56,AW56,BA56)</f>
        <v>0</v>
      </c>
      <c r="BF56" s="333">
        <f t="shared" ref="BF56:BF81" si="34">IF(BE56=0,0,BD56-BE56)</f>
        <v>0</v>
      </c>
      <c r="BG56" s="252">
        <f t="shared" ref="BG56:BG80" si="35">IF(BE56=0, 0, IF((BF56="НД"),"НД",BF56/BD56))</f>
        <v>0</v>
      </c>
      <c r="BH56" s="414">
        <f>SUMIFS('Отчет РПЗ(ПЗ)_ПЗИП'!$W:$W,'Отчет РПЗ(ПЗ)_ПЗИП'!$D:$D,Справочно!$E21,'Отчет РПЗ(ПЗ)_ПЗИП'!$N:$N,"&gt;=01.10.2017",'Отчет РПЗ(ПЗ)_ПЗИП'!$N:$N,"&lt;=31.10.2017",'Отчет РПЗ(ПЗ)_ПЗИП'!$AG:$AG,"&gt;0")</f>
        <v>0</v>
      </c>
      <c r="BI56" s="334">
        <f>SUMIFS('Отчет РПЗ(ПЗ)_ПЗИП'!$AG:$AG,'Отчет РПЗ(ПЗ)_ПЗИП'!$D:$D,Справочно!$E21,'Отчет РПЗ(ПЗ)_ПЗИП'!$AQ:$AQ,10)</f>
        <v>0</v>
      </c>
      <c r="BJ56" s="334" t="str">
        <f>IF(BI56=0,"НД",BH56-BI56)</f>
        <v>НД</v>
      </c>
      <c r="BK56" s="253" t="str">
        <f t="shared" ref="BK56:BK81" si="36">IF(BI56=0, "НД", IF((BJ56="НД"),"НД",BJ56/BH56))</f>
        <v>НД</v>
      </c>
      <c r="BL56" s="429">
        <f>SUMIFS('Отчет РПЗ(ПЗ)_ПЗИП'!$W:$W,'Отчет РПЗ(ПЗ)_ПЗИП'!$D:$D,Справочно!$E21,'Отчет РПЗ(ПЗ)_ПЗИП'!$N:$N,"&gt;=01.11.2017",'Отчет РПЗ(ПЗ)_ПЗИП'!$N:$N,"&lt;=30.11.2017",'Отчет РПЗ(ПЗ)_ПЗИП'!$AG:$AG,"&gt;0")</f>
        <v>0</v>
      </c>
      <c r="BM56" s="334">
        <f>SUMIFS('Отчет РПЗ(ПЗ)_ПЗИП'!$AG:$AG,'Отчет РПЗ(ПЗ)_ПЗИП'!$D:$D,Справочно!$E21,'Отчет РПЗ(ПЗ)_ПЗИП'!$AQ:$AQ,11)</f>
        <v>0</v>
      </c>
      <c r="BN56" s="334" t="str">
        <f>IF(BM56=0,"НД",BL56-BM56)</f>
        <v>НД</v>
      </c>
      <c r="BO56" s="253" t="str">
        <f t="shared" ref="BO56:BO81" si="37">IF(BM56=0, "НД", IF((BN56="НД"),"НД",BN56/BL56))</f>
        <v>НД</v>
      </c>
      <c r="BP56" s="429">
        <f>SUMIFS('Отчет РПЗ(ПЗ)_ПЗИП'!$W:$W,'Отчет РПЗ(ПЗ)_ПЗИП'!$D:$D,Справочно!$E21,'Отчет РПЗ(ПЗ)_ПЗИП'!$N:$N,"&gt;=01.12.2017",'Отчет РПЗ(ПЗ)_ПЗИП'!$N:$N,"&lt;=31.12.2017",'Отчет РПЗ(ПЗ)_ПЗИП'!$AG:$AG,"&gt;0")</f>
        <v>0</v>
      </c>
      <c r="BQ56" s="334">
        <f>SUMIFS('Отчет РПЗ(ПЗ)_ПЗИП'!$AG:$AG,'Отчет РПЗ(ПЗ)_ПЗИП'!$D:$D,Справочно!$E21,'Отчет РПЗ(ПЗ)_ПЗИП'!$AQ:$AQ,12)</f>
        <v>0</v>
      </c>
      <c r="BR56" s="334" t="str">
        <f>IF(BQ56=0,"НД",BP56-BQ56)</f>
        <v>НД</v>
      </c>
      <c r="BS56" s="255" t="str">
        <f t="shared" ref="BS56:BS81" si="38">IF(BQ56=0, "НД", IF((BR56="НД"),"НД",BR56/BP56))</f>
        <v>НД</v>
      </c>
      <c r="BT56" s="424">
        <f>SUM(BH56,BL56,BP56)</f>
        <v>0</v>
      </c>
      <c r="BU56" s="335">
        <f>SUM(BI56,BM56,BQ56)</f>
        <v>0</v>
      </c>
      <c r="BV56" s="335">
        <f t="shared" ref="BV56:BV81" si="39">IF(BU56=0,0,BT56-BU56)</f>
        <v>0</v>
      </c>
      <c r="BW56" s="257">
        <f t="shared" ref="BW56:BW81" si="40">IF(BU56=0, 0, IF((BV56="НД"),"НД",BV56/BT56))</f>
        <v>0</v>
      </c>
    </row>
    <row r="57" spans="2:75" ht="15" customHeight="1" thickBot="1" x14ac:dyDescent="0.25">
      <c r="B57" s="55" t="str">
        <f>Справочно!E22</f>
        <v>ООО "РТ-Развитие бизнеса"</v>
      </c>
      <c r="C57" s="92">
        <f>ПП!B45</f>
        <v>0</v>
      </c>
      <c r="D57" s="412">
        <f>ПП!C45</f>
        <v>0</v>
      </c>
      <c r="E57" s="437">
        <f>ПП!D45</f>
        <v>0</v>
      </c>
      <c r="F57" s="297">
        <f>COUNTIFS('Отчет РПЗ(ПЗ)_ПЗИП'!$AG:$AG,"&gt;0",'Отчет РПЗ(ПЗ)_ПЗИП'!$D:$D,Справочно!$E22)</f>
        <v>0</v>
      </c>
      <c r="G57" s="438">
        <f t="shared" ref="G57:G81" si="41">F57/$E$52</f>
        <v>0</v>
      </c>
      <c r="H57" s="439">
        <f>SUMIF('Отчет РПЗ(ПЗ)_ПЗИП'!$D:$D,Справочно!$E22,'Отчет РПЗ(ПЗ)_ПЗИП'!$AG:$AG)</f>
        <v>0</v>
      </c>
      <c r="I57" s="461">
        <f>(IF($D$3=1,Z57,0)+IF($D$3=2,Z57+AP57,0)+IF($D$3=3,Z57+AP57+BF57,0)+IF($D$3=4,Z57+AP57+BF57+BV57,0))</f>
        <v>0</v>
      </c>
      <c r="J57" s="514" t="e">
        <f t="shared" ref="J57:J79" si="42">I57/(X57+AN57+BD57+BT57)</f>
        <v>#DIV/0!</v>
      </c>
      <c r="L57" s="430">
        <f>SUMIFS('Отчет РПЗ(ПЗ)_ПЗИП'!$W:$W,'Отчет РПЗ(ПЗ)_ПЗИП'!$D:$D,Справочно!$E22,'Отчет РПЗ(ПЗ)_ПЗИП'!$N:$N,"&gt;=01.01.2017",'Отчет РПЗ(ПЗ)_ПЗИП'!$N:$N,"&lt;=31.01.2017",'Отчет РПЗ(ПЗ)_ПЗИП'!$AG:$AG,"&gt;0")</f>
        <v>0</v>
      </c>
      <c r="M57" s="328">
        <f>SUMIFS('Отчет РПЗ(ПЗ)_ПЗИП'!$AG:$AG,'Отчет РПЗ(ПЗ)_ПЗИП'!$D:$D,Справочно!$E22,'Отчет РПЗ(ПЗ)_ПЗИП'!$AQ:$AQ,1)</f>
        <v>0</v>
      </c>
      <c r="N57" s="336" t="str">
        <f t="shared" ref="N57:N81" si="43">IF(M57=0,"НД",L57-M57)</f>
        <v>НД</v>
      </c>
      <c r="O57" s="245" t="str">
        <f t="shared" ref="O57:O81" si="44">IF(M57=0, "НД", IF((N57="НД"),"НД",N57/L57))</f>
        <v>НД</v>
      </c>
      <c r="P57" s="425">
        <f>SUMIFS('Отчет РПЗ(ПЗ)_ПЗИП'!$W:$W,'Отчет РПЗ(ПЗ)_ПЗИП'!$D:$D,Справочно!$E22,'Отчет РПЗ(ПЗ)_ПЗИП'!$N:$N,"&gt;=01.02.2017",'Отчет РПЗ(ПЗ)_ПЗИП'!$N:$N,"&lt;=28.02.2017",'Отчет РПЗ(ПЗ)_ПЗИП'!$AG:$AG,"&gt;0")</f>
        <v>0</v>
      </c>
      <c r="Q57" s="328">
        <f>SUMIFS('Отчет РПЗ(ПЗ)_ПЗИП'!$AG:$AG,'Отчет РПЗ(ПЗ)_ПЗИП'!$D:$D,Справочно!$E22,'Отчет РПЗ(ПЗ)_ПЗИП'!$AQ:$AQ,2)</f>
        <v>0</v>
      </c>
      <c r="R57" s="336" t="str">
        <f t="shared" ref="R57:R81" si="45">IF(Q57=0,"НД",P57-Q57)</f>
        <v>НД</v>
      </c>
      <c r="S57" s="245" t="str">
        <f t="shared" ref="S57:S81" si="46">IF(Q57=0, "НД", IF((R57="НД"),"НД",R57/P57))</f>
        <v>НД</v>
      </c>
      <c r="T57" s="425">
        <f>SUMIFS('Отчет РПЗ(ПЗ)_ПЗИП'!$W:$W,'Отчет РПЗ(ПЗ)_ПЗИП'!$D:$D,Справочно!$E22,'Отчет РПЗ(ПЗ)_ПЗИП'!$N:$N,"&gt;=01.03.2017",'Отчет РПЗ(ПЗ)_ПЗИП'!$N:$N,"&lt;=31.03.2017",'Отчет РПЗ(ПЗ)_ПЗИП'!$AG:$AG,"&gt;0")</f>
        <v>0</v>
      </c>
      <c r="U57" s="328">
        <f>SUMIFS('Отчет РПЗ(ПЗ)_ПЗИП'!$AG:$AG,'Отчет РПЗ(ПЗ)_ПЗИП'!$D:$D,Справочно!$E22,'Отчет РПЗ(ПЗ)_ПЗИП'!$AQ:$AQ,3)</f>
        <v>0</v>
      </c>
      <c r="V57" s="336" t="str">
        <f t="shared" ref="V57:V81" si="47">IF(U57=0,"НД",T57-U57)</f>
        <v>НД</v>
      </c>
      <c r="W57" s="245" t="str">
        <f t="shared" si="23"/>
        <v>НД</v>
      </c>
      <c r="X57" s="424">
        <f t="shared" ref="X57:X80" si="48">SUM(L57,P57,T57)</f>
        <v>0</v>
      </c>
      <c r="Y57" s="329">
        <f t="shared" ref="Y57:Y80" si="49">SUM(M57,Q57,U57)</f>
        <v>0</v>
      </c>
      <c r="Z57" s="329">
        <f t="shared" si="24"/>
        <v>0</v>
      </c>
      <c r="AA57" s="247">
        <f t="shared" si="25"/>
        <v>0</v>
      </c>
      <c r="AB57" s="430">
        <f>SUMIFS('Отчет РПЗ(ПЗ)_ПЗИП'!$W:$W,'Отчет РПЗ(ПЗ)_ПЗИП'!$D:$D,Справочно!$E22,'Отчет РПЗ(ПЗ)_ПЗИП'!$N:$N,"&gt;=01.04.2017",'Отчет РПЗ(ПЗ)_ПЗИП'!$N:$N,"&lt;=30.04.2017",'Отчет РПЗ(ПЗ)_ПЗИП'!$AG:$AG,"&gt;0")</f>
        <v>0</v>
      </c>
      <c r="AC57" s="330">
        <f>SUMIFS('Отчет РПЗ(ПЗ)_ПЗИП'!$AG:$AG,'Отчет РПЗ(ПЗ)_ПЗИП'!$D:$D,Справочно!$E22,'Отчет РПЗ(ПЗ)_ПЗИП'!$AQ:$AQ,4)</f>
        <v>0</v>
      </c>
      <c r="AD57" s="330" t="str">
        <f t="shared" ref="AD57:AD81" si="50">IF(AC57=0,"НД",AB57-AC57)</f>
        <v>НД</v>
      </c>
      <c r="AE57" s="246" t="str">
        <f t="shared" si="26"/>
        <v>НД</v>
      </c>
      <c r="AF57" s="429">
        <f>SUMIFS('Отчет РПЗ(ПЗ)_ПЗИП'!$W:$W,'Отчет РПЗ(ПЗ)_ПЗИП'!$D:$D,Справочно!$E22,'Отчет РПЗ(ПЗ)_ПЗИП'!$N:$N,"&gt;=01.05.2017",'Отчет РПЗ(ПЗ)_ПЗИП'!$N:$N,"&lt;=31.05.2017",'Отчет РПЗ(ПЗ)_ПЗИП'!$AG:$AG,"&gt;0")</f>
        <v>0</v>
      </c>
      <c r="AG57" s="330">
        <f>SUMIFS('Отчет РПЗ(ПЗ)_ПЗИП'!$AG:$AG,'Отчет РПЗ(ПЗ)_ПЗИП'!$D:$D,Справочно!$E22,'Отчет РПЗ(ПЗ)_ПЗИП'!$AQ:$AQ,5)</f>
        <v>0</v>
      </c>
      <c r="AH57" s="330" t="str">
        <f t="shared" ref="AH57:AH80" si="51">IF(AG57=0,"НД",AF57-AG57)</f>
        <v>НД</v>
      </c>
      <c r="AI57" s="246" t="str">
        <f t="shared" si="27"/>
        <v>НД</v>
      </c>
      <c r="AJ57" s="429">
        <f>SUMIFS('Отчет РПЗ(ПЗ)_ПЗИП'!$W:$W,'Отчет РПЗ(ПЗ)_ПЗИП'!$D:$D,Справочно!$E22,'Отчет РПЗ(ПЗ)_ПЗИП'!$N:$N,"&gt;=01.06.2017",'Отчет РПЗ(ПЗ)_ПЗИП'!$N:$N,"&lt;=30.06.2017",'Отчет РПЗ(ПЗ)_ПЗИП'!$AG:$AG,"&gt;0")</f>
        <v>0</v>
      </c>
      <c r="AK57" s="330">
        <f>SUMIFS('Отчет РПЗ(ПЗ)_ПЗИП'!$AG:$AG,'Отчет РПЗ(ПЗ)_ПЗИП'!$D:$D,Справочно!$E22,'Отчет РПЗ(ПЗ)_ПЗИП'!$AQ:$AQ,6)</f>
        <v>0</v>
      </c>
      <c r="AL57" s="330" t="str">
        <f t="shared" ref="AL57:AL80" si="52">IF(AK57=0,"НД",AJ57-AK57)</f>
        <v>НД</v>
      </c>
      <c r="AM57" s="246" t="str">
        <f t="shared" si="28"/>
        <v>НД</v>
      </c>
      <c r="AN57" s="424">
        <f t="shared" ref="AN57:AN80" si="53">SUM(AB57,AF57,AJ57)</f>
        <v>0</v>
      </c>
      <c r="AO57" s="331">
        <f t="shared" ref="AO57:AO80" si="54">SUM(AC57,AG57,AK57)</f>
        <v>0</v>
      </c>
      <c r="AP57" s="331">
        <f t="shared" si="29"/>
        <v>0</v>
      </c>
      <c r="AQ57" s="248">
        <f t="shared" si="30"/>
        <v>0</v>
      </c>
      <c r="AR57" s="430">
        <f>SUMIFS('Отчет РПЗ(ПЗ)_ПЗИП'!$W:$W,'Отчет РПЗ(ПЗ)_ПЗИП'!$D:$D,Справочно!$E22,'Отчет РПЗ(ПЗ)_ПЗИП'!$N:$N,"&gt;=01.07.2017",'Отчет РПЗ(ПЗ)_ПЗИП'!$N:$N,"&lt;=31.07.2017",'Отчет РПЗ(ПЗ)_ПЗИП'!$AG:$AG,"&gt;0")</f>
        <v>0</v>
      </c>
      <c r="AS57" s="332">
        <f>SUMIFS('Отчет РПЗ(ПЗ)_ПЗИП'!$AG:$AG,'Отчет РПЗ(ПЗ)_ПЗИП'!$D:$D,Справочно!$E22,'Отчет РПЗ(ПЗ)_ПЗИП'!$AQ:$AQ,7)</f>
        <v>0</v>
      </c>
      <c r="AT57" s="372" t="str">
        <f t="shared" ref="AT57:AT80" si="55">IF(AS57=0,"НД",AR57-AS57)</f>
        <v>НД</v>
      </c>
      <c r="AU57" s="250" t="str">
        <f t="shared" si="31"/>
        <v>НД</v>
      </c>
      <c r="AV57" s="425">
        <f>SUMIFS('Отчет РПЗ(ПЗ)_ПЗИП'!$W:$W,'Отчет РПЗ(ПЗ)_ПЗИП'!$D:$D,Справочно!$E22,'Отчет РПЗ(ПЗ)_ПЗИП'!$N:$N,"&gt;=01.08.2017",'Отчет РПЗ(ПЗ)_ПЗИП'!$N:$N,"&lt;=31.08.2017",'Отчет РПЗ(ПЗ)_ПЗИП'!$AG:$AG,"&gt;0")</f>
        <v>0</v>
      </c>
      <c r="AW57" s="332">
        <f>SUMIFS('Отчет РПЗ(ПЗ)_ПЗИП'!$AG:$AG,'Отчет РПЗ(ПЗ)_ПЗИП'!$D:$D,Справочно!$E22,'Отчет РПЗ(ПЗ)_ПЗИП'!$AQ:$AQ,8)</f>
        <v>0</v>
      </c>
      <c r="AX57" s="372" t="str">
        <f t="shared" ref="AX57:AX80" si="56">IF(AW57=0,"НД",AV57-AW57)</f>
        <v>НД</v>
      </c>
      <c r="AY57" s="250" t="str">
        <f t="shared" si="32"/>
        <v>НД</v>
      </c>
      <c r="AZ57" s="425">
        <f>SUMIFS('Отчет РПЗ(ПЗ)_ПЗИП'!$W:$W,'Отчет РПЗ(ПЗ)_ПЗИП'!$D:$D,Справочно!$E22,'Отчет РПЗ(ПЗ)_ПЗИП'!$N:$N,"&gt;=01.09.2017",'Отчет РПЗ(ПЗ)_ПЗИП'!$N:$N,"&lt;=30.09.2017",'Отчет РПЗ(ПЗ)_ПЗИП'!$AG:$AG,"&gt;0")</f>
        <v>0</v>
      </c>
      <c r="BA57" s="332">
        <f>SUMIFS('Отчет РПЗ(ПЗ)_ПЗИП'!$AG:$AG,'Отчет РПЗ(ПЗ)_ПЗИП'!$D:$D,Справочно!$E22,'Отчет РПЗ(ПЗ)_ПЗИП'!$AQ:$AQ,9)</f>
        <v>0</v>
      </c>
      <c r="BB57" s="372" t="str">
        <f t="shared" ref="BB57:BB80" si="57">IF(BA57=0,"НД",AZ57-BA57)</f>
        <v>НД</v>
      </c>
      <c r="BC57" s="250" t="str">
        <f t="shared" si="33"/>
        <v>НД</v>
      </c>
      <c r="BD57" s="424">
        <f t="shared" ref="BD57:BD80" si="58">SUM(AR57,AV57,AZ57)</f>
        <v>0</v>
      </c>
      <c r="BE57" s="333">
        <f t="shared" ref="BE57:BE80" si="59">SUM(AS57,AW57,BA57)</f>
        <v>0</v>
      </c>
      <c r="BF57" s="333">
        <f t="shared" si="34"/>
        <v>0</v>
      </c>
      <c r="BG57" s="252">
        <f t="shared" si="35"/>
        <v>0</v>
      </c>
      <c r="BH57" s="414">
        <f>SUMIFS('Отчет РПЗ(ПЗ)_ПЗИП'!$W:$W,'Отчет РПЗ(ПЗ)_ПЗИП'!$D:$D,Справочно!$E22,'Отчет РПЗ(ПЗ)_ПЗИП'!$N:$N,"&gt;=01.10.2017",'Отчет РПЗ(ПЗ)_ПЗИП'!$N:$N,"&lt;=31.10.2017",'Отчет РПЗ(ПЗ)_ПЗИП'!$AG:$AG,"&gt;0")</f>
        <v>0</v>
      </c>
      <c r="BI57" s="334">
        <f>SUMIFS('Отчет РПЗ(ПЗ)_ПЗИП'!$AG:$AG,'Отчет РПЗ(ПЗ)_ПЗИП'!$D:$D,Справочно!$E22,'Отчет РПЗ(ПЗ)_ПЗИП'!$AQ:$AQ,10)</f>
        <v>0</v>
      </c>
      <c r="BJ57" s="374" t="str">
        <f t="shared" ref="BJ57:BJ80" si="60">IF(BI57=0,"НД",BH57-BI57)</f>
        <v>НД</v>
      </c>
      <c r="BK57" s="254" t="str">
        <f t="shared" si="36"/>
        <v>НД</v>
      </c>
      <c r="BL57" s="429">
        <f>SUMIFS('Отчет РПЗ(ПЗ)_ПЗИП'!$W:$W,'Отчет РПЗ(ПЗ)_ПЗИП'!$D:$D,Справочно!$E22,'Отчет РПЗ(ПЗ)_ПЗИП'!$N:$N,"&gt;=01.11.2017",'Отчет РПЗ(ПЗ)_ПЗИП'!$N:$N,"&lt;=30.11.2017",'Отчет РПЗ(ПЗ)_ПЗИП'!$AG:$AG,"&gt;0")</f>
        <v>0</v>
      </c>
      <c r="BM57" s="334">
        <f>SUMIFS('Отчет РПЗ(ПЗ)_ПЗИП'!$AG:$AG,'Отчет РПЗ(ПЗ)_ПЗИП'!$D:$D,Справочно!$E22,'Отчет РПЗ(ПЗ)_ПЗИП'!$AQ:$AQ,11)</f>
        <v>0</v>
      </c>
      <c r="BN57" s="374" t="str">
        <f t="shared" ref="BN57:BN80" si="61">IF(BM57=0,"НД",BL57-BM57)</f>
        <v>НД</v>
      </c>
      <c r="BO57" s="254" t="str">
        <f t="shared" si="37"/>
        <v>НД</v>
      </c>
      <c r="BP57" s="429">
        <f>SUMIFS('Отчет РПЗ(ПЗ)_ПЗИП'!$W:$W,'Отчет РПЗ(ПЗ)_ПЗИП'!$D:$D,Справочно!$E22,'Отчет РПЗ(ПЗ)_ПЗИП'!$N:$N,"&gt;=01.12.2017",'Отчет РПЗ(ПЗ)_ПЗИП'!$N:$N,"&lt;=31.12.2017",'Отчет РПЗ(ПЗ)_ПЗИП'!$AG:$AG,"&gt;0")</f>
        <v>0</v>
      </c>
      <c r="BQ57" s="334">
        <f>SUMIFS('Отчет РПЗ(ПЗ)_ПЗИП'!$AG:$AG,'Отчет РПЗ(ПЗ)_ПЗИП'!$D:$D,Справочно!$E22,'Отчет РПЗ(ПЗ)_ПЗИП'!$AQ:$AQ,12)</f>
        <v>0</v>
      </c>
      <c r="BR57" s="374" t="str">
        <f t="shared" ref="BR57:BR80" si="62">IF(BQ57=0,"НД",BP57-BQ57)</f>
        <v>НД</v>
      </c>
      <c r="BS57" s="256" t="str">
        <f t="shared" si="38"/>
        <v>НД</v>
      </c>
      <c r="BT57" s="424">
        <f t="shared" ref="BT57:BT80" si="63">SUM(BH57,BL57,BP57)</f>
        <v>0</v>
      </c>
      <c r="BU57" s="335">
        <f t="shared" ref="BU57:BU80" si="64">SUM(BI57,BM57,BQ57)</f>
        <v>0</v>
      </c>
      <c r="BV57" s="335">
        <f t="shared" si="39"/>
        <v>0</v>
      </c>
      <c r="BW57" s="257">
        <f t="shared" si="40"/>
        <v>0</v>
      </c>
    </row>
    <row r="58" spans="2:75" ht="15" customHeight="1" thickBot="1" x14ac:dyDescent="0.25">
      <c r="B58" s="55" t="str">
        <f>Справочно!E23</f>
        <v>АО "НПО "Сплав"</v>
      </c>
      <c r="C58" s="92">
        <f>ПП!B46</f>
        <v>0</v>
      </c>
      <c r="D58" s="412">
        <f>ПП!C46</f>
        <v>0</v>
      </c>
      <c r="E58" s="437">
        <f>ПП!D46</f>
        <v>0</v>
      </c>
      <c r="F58" s="297">
        <f>COUNTIFS('Отчет РПЗ(ПЗ)_ПЗИП'!$AG:$AG,"&gt;0",'Отчет РПЗ(ПЗ)_ПЗИП'!$D:$D,Справочно!$E23)</f>
        <v>0</v>
      </c>
      <c r="G58" s="438">
        <f t="shared" si="41"/>
        <v>0</v>
      </c>
      <c r="H58" s="439">
        <f>SUMIF('Отчет РПЗ(ПЗ)_ПЗИП'!$D:$D,Справочно!$E23,'Отчет РПЗ(ПЗ)_ПЗИП'!$AG:$AG)</f>
        <v>0</v>
      </c>
      <c r="I58" s="461">
        <f t="shared" ref="I58:I79" si="65">(IF($D$3=1,Z58,0)+IF($D$3=2,Z58+AP58,0)+IF($D$3=3,Z58+AP58+BF58,0)+IF($D$3=4,Z58+AP58+BF58+BV58,0))</f>
        <v>0</v>
      </c>
      <c r="J58" s="514" t="e">
        <f t="shared" si="42"/>
        <v>#DIV/0!</v>
      </c>
      <c r="L58" s="430">
        <f>SUMIFS('Отчет РПЗ(ПЗ)_ПЗИП'!$W:$W,'Отчет РПЗ(ПЗ)_ПЗИП'!$D:$D,Справочно!$E23,'Отчет РПЗ(ПЗ)_ПЗИП'!$N:$N,"&gt;=01.01.2017",'Отчет РПЗ(ПЗ)_ПЗИП'!$N:$N,"&lt;=31.01.2017",'Отчет РПЗ(ПЗ)_ПЗИП'!$AG:$AG,"&gt;0")</f>
        <v>0</v>
      </c>
      <c r="M58" s="328">
        <f>SUMIFS('Отчет РПЗ(ПЗ)_ПЗИП'!$AG:$AG,'Отчет РПЗ(ПЗ)_ПЗИП'!$D:$D,Справочно!$E23,'Отчет РПЗ(ПЗ)_ПЗИП'!$AQ:$AQ,1)</f>
        <v>0</v>
      </c>
      <c r="N58" s="336" t="str">
        <f t="shared" si="43"/>
        <v>НД</v>
      </c>
      <c r="O58" s="245" t="str">
        <f t="shared" si="44"/>
        <v>НД</v>
      </c>
      <c r="P58" s="425">
        <f>SUMIFS('Отчет РПЗ(ПЗ)_ПЗИП'!$W:$W,'Отчет РПЗ(ПЗ)_ПЗИП'!$D:$D,Справочно!$E23,'Отчет РПЗ(ПЗ)_ПЗИП'!$N:$N,"&gt;=01.02.2017",'Отчет РПЗ(ПЗ)_ПЗИП'!$N:$N,"&lt;=28.02.2017",'Отчет РПЗ(ПЗ)_ПЗИП'!$AG:$AG,"&gt;0")</f>
        <v>0</v>
      </c>
      <c r="Q58" s="328">
        <f>SUMIFS('Отчет РПЗ(ПЗ)_ПЗИП'!$AG:$AG,'Отчет РПЗ(ПЗ)_ПЗИП'!$D:$D,Справочно!$E23,'Отчет РПЗ(ПЗ)_ПЗИП'!$AQ:$AQ,2)</f>
        <v>0</v>
      </c>
      <c r="R58" s="336" t="str">
        <f t="shared" si="45"/>
        <v>НД</v>
      </c>
      <c r="S58" s="245" t="str">
        <f t="shared" si="46"/>
        <v>НД</v>
      </c>
      <c r="T58" s="425">
        <f>SUMIFS('Отчет РПЗ(ПЗ)_ПЗИП'!$W:$W,'Отчет РПЗ(ПЗ)_ПЗИП'!$D:$D,Справочно!$E23,'Отчет РПЗ(ПЗ)_ПЗИП'!$N:$N,"&gt;=01.03.2017",'Отчет РПЗ(ПЗ)_ПЗИП'!$N:$N,"&lt;=31.03.2017",'Отчет РПЗ(ПЗ)_ПЗИП'!$AG:$AG,"&gt;0")</f>
        <v>0</v>
      </c>
      <c r="U58" s="328">
        <f>SUMIFS('Отчет РПЗ(ПЗ)_ПЗИП'!$AG:$AG,'Отчет РПЗ(ПЗ)_ПЗИП'!$D:$D,Справочно!$E23,'Отчет РПЗ(ПЗ)_ПЗИП'!$AQ:$AQ,3)</f>
        <v>0</v>
      </c>
      <c r="V58" s="336" t="str">
        <f t="shared" si="47"/>
        <v>НД</v>
      </c>
      <c r="W58" s="245" t="str">
        <f t="shared" si="23"/>
        <v>НД</v>
      </c>
      <c r="X58" s="424">
        <f t="shared" si="48"/>
        <v>0</v>
      </c>
      <c r="Y58" s="329">
        <f t="shared" si="49"/>
        <v>0</v>
      </c>
      <c r="Z58" s="329">
        <f t="shared" si="24"/>
        <v>0</v>
      </c>
      <c r="AA58" s="247">
        <f t="shared" si="25"/>
        <v>0</v>
      </c>
      <c r="AB58" s="430">
        <f>SUMIFS('Отчет РПЗ(ПЗ)_ПЗИП'!$W:$W,'Отчет РПЗ(ПЗ)_ПЗИП'!$D:$D,Справочно!$E23,'Отчет РПЗ(ПЗ)_ПЗИП'!$N:$N,"&gt;=01.04.2017",'Отчет РПЗ(ПЗ)_ПЗИП'!$N:$N,"&lt;=30.04.2017",'Отчет РПЗ(ПЗ)_ПЗИП'!$AG:$AG,"&gt;0")</f>
        <v>0</v>
      </c>
      <c r="AC58" s="330">
        <f>SUMIFS('Отчет РПЗ(ПЗ)_ПЗИП'!$AG:$AG,'Отчет РПЗ(ПЗ)_ПЗИП'!$D:$D,Справочно!$E23,'Отчет РПЗ(ПЗ)_ПЗИП'!$AQ:$AQ,4)</f>
        <v>0</v>
      </c>
      <c r="AD58" s="330" t="str">
        <f t="shared" si="50"/>
        <v>НД</v>
      </c>
      <c r="AE58" s="246" t="str">
        <f t="shared" si="26"/>
        <v>НД</v>
      </c>
      <c r="AF58" s="429">
        <f>SUMIFS('Отчет РПЗ(ПЗ)_ПЗИП'!$W:$W,'Отчет РПЗ(ПЗ)_ПЗИП'!$D:$D,Справочно!$E23,'Отчет РПЗ(ПЗ)_ПЗИП'!$N:$N,"&gt;=01.05.2017",'Отчет РПЗ(ПЗ)_ПЗИП'!$N:$N,"&lt;=31.05.2017",'Отчет РПЗ(ПЗ)_ПЗИП'!$AG:$AG,"&gt;0")</f>
        <v>0</v>
      </c>
      <c r="AG58" s="330">
        <f>SUMIFS('Отчет РПЗ(ПЗ)_ПЗИП'!$AG:$AG,'Отчет РПЗ(ПЗ)_ПЗИП'!$D:$D,Справочно!$E23,'Отчет РПЗ(ПЗ)_ПЗИП'!$AQ:$AQ,5)</f>
        <v>0</v>
      </c>
      <c r="AH58" s="330" t="str">
        <f t="shared" si="51"/>
        <v>НД</v>
      </c>
      <c r="AI58" s="246" t="str">
        <f t="shared" si="27"/>
        <v>НД</v>
      </c>
      <c r="AJ58" s="429">
        <f>SUMIFS('Отчет РПЗ(ПЗ)_ПЗИП'!$W:$W,'Отчет РПЗ(ПЗ)_ПЗИП'!$D:$D,Справочно!$E23,'Отчет РПЗ(ПЗ)_ПЗИП'!$N:$N,"&gt;=01.06.2017",'Отчет РПЗ(ПЗ)_ПЗИП'!$N:$N,"&lt;=30.06.2017",'Отчет РПЗ(ПЗ)_ПЗИП'!$AG:$AG,"&gt;0")</f>
        <v>0</v>
      </c>
      <c r="AK58" s="330">
        <f>SUMIFS('Отчет РПЗ(ПЗ)_ПЗИП'!$AG:$AG,'Отчет РПЗ(ПЗ)_ПЗИП'!$D:$D,Справочно!$E23,'Отчет РПЗ(ПЗ)_ПЗИП'!$AQ:$AQ,6)</f>
        <v>0</v>
      </c>
      <c r="AL58" s="330" t="str">
        <f t="shared" si="52"/>
        <v>НД</v>
      </c>
      <c r="AM58" s="246" t="str">
        <f t="shared" si="28"/>
        <v>НД</v>
      </c>
      <c r="AN58" s="424">
        <f t="shared" si="53"/>
        <v>0</v>
      </c>
      <c r="AO58" s="331">
        <f t="shared" si="54"/>
        <v>0</v>
      </c>
      <c r="AP58" s="331">
        <f t="shared" si="29"/>
        <v>0</v>
      </c>
      <c r="AQ58" s="248">
        <f t="shared" si="30"/>
        <v>0</v>
      </c>
      <c r="AR58" s="430">
        <f>SUMIFS('Отчет РПЗ(ПЗ)_ПЗИП'!$W:$W,'Отчет РПЗ(ПЗ)_ПЗИП'!$D:$D,Справочно!$E23,'Отчет РПЗ(ПЗ)_ПЗИП'!$N:$N,"&gt;=01.07.2017",'Отчет РПЗ(ПЗ)_ПЗИП'!$N:$N,"&lt;=31.07.2017",'Отчет РПЗ(ПЗ)_ПЗИП'!$AG:$AG,"&gt;0")</f>
        <v>0</v>
      </c>
      <c r="AS58" s="332">
        <f>SUMIFS('Отчет РПЗ(ПЗ)_ПЗИП'!$AG:$AG,'Отчет РПЗ(ПЗ)_ПЗИП'!$D:$D,Справочно!$E23,'Отчет РПЗ(ПЗ)_ПЗИП'!$AQ:$AQ,7)</f>
        <v>0</v>
      </c>
      <c r="AT58" s="372" t="str">
        <f t="shared" si="55"/>
        <v>НД</v>
      </c>
      <c r="AU58" s="250" t="str">
        <f t="shared" si="31"/>
        <v>НД</v>
      </c>
      <c r="AV58" s="425">
        <f>SUMIFS('Отчет РПЗ(ПЗ)_ПЗИП'!$W:$W,'Отчет РПЗ(ПЗ)_ПЗИП'!$D:$D,Справочно!$E23,'Отчет РПЗ(ПЗ)_ПЗИП'!$N:$N,"&gt;=01.08.2017",'Отчет РПЗ(ПЗ)_ПЗИП'!$N:$N,"&lt;=31.08.2017",'Отчет РПЗ(ПЗ)_ПЗИП'!$AG:$AG,"&gt;0")</f>
        <v>0</v>
      </c>
      <c r="AW58" s="332">
        <f>SUMIFS('Отчет РПЗ(ПЗ)_ПЗИП'!$AG:$AG,'Отчет РПЗ(ПЗ)_ПЗИП'!$D:$D,Справочно!$E23,'Отчет РПЗ(ПЗ)_ПЗИП'!$AQ:$AQ,8)</f>
        <v>0</v>
      </c>
      <c r="AX58" s="372" t="str">
        <f t="shared" si="56"/>
        <v>НД</v>
      </c>
      <c r="AY58" s="250" t="str">
        <f t="shared" si="32"/>
        <v>НД</v>
      </c>
      <c r="AZ58" s="425">
        <f>SUMIFS('Отчет РПЗ(ПЗ)_ПЗИП'!$W:$W,'Отчет РПЗ(ПЗ)_ПЗИП'!$D:$D,Справочно!$E23,'Отчет РПЗ(ПЗ)_ПЗИП'!$N:$N,"&gt;=01.09.2017",'Отчет РПЗ(ПЗ)_ПЗИП'!$N:$N,"&lt;=30.09.2017",'Отчет РПЗ(ПЗ)_ПЗИП'!$AG:$AG,"&gt;0")</f>
        <v>0</v>
      </c>
      <c r="BA58" s="332">
        <f>SUMIFS('Отчет РПЗ(ПЗ)_ПЗИП'!$AG:$AG,'Отчет РПЗ(ПЗ)_ПЗИП'!$D:$D,Справочно!$E23,'Отчет РПЗ(ПЗ)_ПЗИП'!$AQ:$AQ,9)</f>
        <v>0</v>
      </c>
      <c r="BB58" s="372" t="str">
        <f t="shared" si="57"/>
        <v>НД</v>
      </c>
      <c r="BC58" s="250" t="str">
        <f t="shared" si="33"/>
        <v>НД</v>
      </c>
      <c r="BD58" s="424">
        <f t="shared" si="58"/>
        <v>0</v>
      </c>
      <c r="BE58" s="333">
        <f t="shared" si="59"/>
        <v>0</v>
      </c>
      <c r="BF58" s="333">
        <f t="shared" si="34"/>
        <v>0</v>
      </c>
      <c r="BG58" s="252">
        <f t="shared" si="35"/>
        <v>0</v>
      </c>
      <c r="BH58" s="414">
        <f>SUMIFS('Отчет РПЗ(ПЗ)_ПЗИП'!$W:$W,'Отчет РПЗ(ПЗ)_ПЗИП'!$D:$D,Справочно!$E23,'Отчет РПЗ(ПЗ)_ПЗИП'!$N:$N,"&gt;=01.10.2017",'Отчет РПЗ(ПЗ)_ПЗИП'!$N:$N,"&lt;=31.10.2017",'Отчет РПЗ(ПЗ)_ПЗИП'!$AG:$AG,"&gt;0")</f>
        <v>0</v>
      </c>
      <c r="BI58" s="334">
        <f>SUMIFS('Отчет РПЗ(ПЗ)_ПЗИП'!$AG:$AG,'Отчет РПЗ(ПЗ)_ПЗИП'!$D:$D,Справочно!$E23,'Отчет РПЗ(ПЗ)_ПЗИП'!$AQ:$AQ,10)</f>
        <v>0</v>
      </c>
      <c r="BJ58" s="374" t="str">
        <f t="shared" si="60"/>
        <v>НД</v>
      </c>
      <c r="BK58" s="254" t="str">
        <f t="shared" si="36"/>
        <v>НД</v>
      </c>
      <c r="BL58" s="429">
        <f>SUMIFS('Отчет РПЗ(ПЗ)_ПЗИП'!$W:$W,'Отчет РПЗ(ПЗ)_ПЗИП'!$D:$D,Справочно!$E23,'Отчет РПЗ(ПЗ)_ПЗИП'!$N:$N,"&gt;=01.11.2017",'Отчет РПЗ(ПЗ)_ПЗИП'!$N:$N,"&lt;=30.11.2017",'Отчет РПЗ(ПЗ)_ПЗИП'!$AG:$AG,"&gt;0")</f>
        <v>0</v>
      </c>
      <c r="BM58" s="334">
        <f>SUMIFS('Отчет РПЗ(ПЗ)_ПЗИП'!$AG:$AG,'Отчет РПЗ(ПЗ)_ПЗИП'!$D:$D,Справочно!$E23,'Отчет РПЗ(ПЗ)_ПЗИП'!$AQ:$AQ,11)</f>
        <v>0</v>
      </c>
      <c r="BN58" s="374" t="str">
        <f t="shared" si="61"/>
        <v>НД</v>
      </c>
      <c r="BO58" s="254" t="str">
        <f t="shared" si="37"/>
        <v>НД</v>
      </c>
      <c r="BP58" s="429">
        <f>SUMIFS('Отчет РПЗ(ПЗ)_ПЗИП'!$W:$W,'Отчет РПЗ(ПЗ)_ПЗИП'!$D:$D,Справочно!$E23,'Отчет РПЗ(ПЗ)_ПЗИП'!$N:$N,"&gt;=01.12.2017",'Отчет РПЗ(ПЗ)_ПЗИП'!$N:$N,"&lt;=31.12.2017",'Отчет РПЗ(ПЗ)_ПЗИП'!$AG:$AG,"&gt;0")</f>
        <v>0</v>
      </c>
      <c r="BQ58" s="334">
        <f>SUMIFS('Отчет РПЗ(ПЗ)_ПЗИП'!$AG:$AG,'Отчет РПЗ(ПЗ)_ПЗИП'!$D:$D,Справочно!$E23,'Отчет РПЗ(ПЗ)_ПЗИП'!$AQ:$AQ,12)</f>
        <v>0</v>
      </c>
      <c r="BR58" s="374" t="str">
        <f t="shared" si="62"/>
        <v>НД</v>
      </c>
      <c r="BS58" s="256" t="str">
        <f t="shared" si="38"/>
        <v>НД</v>
      </c>
      <c r="BT58" s="424">
        <f t="shared" si="63"/>
        <v>0</v>
      </c>
      <c r="BU58" s="335">
        <f t="shared" si="64"/>
        <v>0</v>
      </c>
      <c r="BV58" s="335">
        <f t="shared" si="39"/>
        <v>0</v>
      </c>
      <c r="BW58" s="257">
        <f t="shared" si="40"/>
        <v>0</v>
      </c>
    </row>
    <row r="59" spans="2:75" ht="15" customHeight="1" thickBot="1" x14ac:dyDescent="0.25">
      <c r="B59" s="55" t="str">
        <f>Справочно!E24</f>
        <v>ОАО "РТ-Логистика"</v>
      </c>
      <c r="C59" s="92">
        <f>ПП!B47</f>
        <v>0</v>
      </c>
      <c r="D59" s="412">
        <f>ПП!C47</f>
        <v>0</v>
      </c>
      <c r="E59" s="437">
        <f>ПП!D47</f>
        <v>0</v>
      </c>
      <c r="F59" s="297">
        <f>COUNTIFS('Отчет РПЗ(ПЗ)_ПЗИП'!$AG:$AG,"&gt;0",'Отчет РПЗ(ПЗ)_ПЗИП'!$D:$D,Справочно!$E24)</f>
        <v>0</v>
      </c>
      <c r="G59" s="438">
        <f t="shared" si="41"/>
        <v>0</v>
      </c>
      <c r="H59" s="439">
        <f>SUMIF('Отчет РПЗ(ПЗ)_ПЗИП'!$D:$D,Справочно!$E24,'Отчет РПЗ(ПЗ)_ПЗИП'!$AG:$AG)</f>
        <v>0</v>
      </c>
      <c r="I59" s="461">
        <f t="shared" si="65"/>
        <v>0</v>
      </c>
      <c r="J59" s="514" t="e">
        <f t="shared" si="42"/>
        <v>#DIV/0!</v>
      </c>
      <c r="L59" s="430">
        <f>SUMIFS('Отчет РПЗ(ПЗ)_ПЗИП'!$W:$W,'Отчет РПЗ(ПЗ)_ПЗИП'!$D:$D,Справочно!$E24,'Отчет РПЗ(ПЗ)_ПЗИП'!$N:$N,"&gt;=01.01.2017",'Отчет РПЗ(ПЗ)_ПЗИП'!$N:$N,"&lt;=31.01.2017",'Отчет РПЗ(ПЗ)_ПЗИП'!$AG:$AG,"&gt;0")</f>
        <v>0</v>
      </c>
      <c r="M59" s="328">
        <f>SUMIFS('Отчет РПЗ(ПЗ)_ПЗИП'!$AG:$AG,'Отчет РПЗ(ПЗ)_ПЗИП'!$D:$D,Справочно!$E24,'Отчет РПЗ(ПЗ)_ПЗИП'!$AQ:$AQ,1)</f>
        <v>0</v>
      </c>
      <c r="N59" s="336" t="str">
        <f t="shared" si="43"/>
        <v>НД</v>
      </c>
      <c r="O59" s="245" t="str">
        <f t="shared" si="44"/>
        <v>НД</v>
      </c>
      <c r="P59" s="425">
        <f>SUMIFS('Отчет РПЗ(ПЗ)_ПЗИП'!$W:$W,'Отчет РПЗ(ПЗ)_ПЗИП'!$D:$D,Справочно!$E24,'Отчет РПЗ(ПЗ)_ПЗИП'!$N:$N,"&gt;=01.02.2017",'Отчет РПЗ(ПЗ)_ПЗИП'!$N:$N,"&lt;=28.02.2017",'Отчет РПЗ(ПЗ)_ПЗИП'!$AG:$AG,"&gt;0")</f>
        <v>0</v>
      </c>
      <c r="Q59" s="328">
        <f>SUMIFS('Отчет РПЗ(ПЗ)_ПЗИП'!$AG:$AG,'Отчет РПЗ(ПЗ)_ПЗИП'!$D:$D,Справочно!$E24,'Отчет РПЗ(ПЗ)_ПЗИП'!$AQ:$AQ,2)</f>
        <v>0</v>
      </c>
      <c r="R59" s="336" t="str">
        <f t="shared" si="45"/>
        <v>НД</v>
      </c>
      <c r="S59" s="245" t="str">
        <f t="shared" si="46"/>
        <v>НД</v>
      </c>
      <c r="T59" s="425">
        <f>SUMIFS('Отчет РПЗ(ПЗ)_ПЗИП'!$W:$W,'Отчет РПЗ(ПЗ)_ПЗИП'!$D:$D,Справочно!$E24,'Отчет РПЗ(ПЗ)_ПЗИП'!$N:$N,"&gt;=01.03.2017",'Отчет РПЗ(ПЗ)_ПЗИП'!$N:$N,"&lt;=31.03.2017",'Отчет РПЗ(ПЗ)_ПЗИП'!$AG:$AG,"&gt;0")</f>
        <v>0</v>
      </c>
      <c r="U59" s="328">
        <f>SUMIFS('Отчет РПЗ(ПЗ)_ПЗИП'!$AG:$AG,'Отчет РПЗ(ПЗ)_ПЗИП'!$D:$D,Справочно!$E24,'Отчет РПЗ(ПЗ)_ПЗИП'!$AQ:$AQ,3)</f>
        <v>0</v>
      </c>
      <c r="V59" s="336" t="str">
        <f t="shared" si="47"/>
        <v>НД</v>
      </c>
      <c r="W59" s="245" t="str">
        <f t="shared" si="23"/>
        <v>НД</v>
      </c>
      <c r="X59" s="424">
        <f t="shared" si="48"/>
        <v>0</v>
      </c>
      <c r="Y59" s="329">
        <f t="shared" si="49"/>
        <v>0</v>
      </c>
      <c r="Z59" s="329">
        <f t="shared" si="24"/>
        <v>0</v>
      </c>
      <c r="AA59" s="247">
        <f t="shared" si="25"/>
        <v>0</v>
      </c>
      <c r="AB59" s="430">
        <f>SUMIFS('Отчет РПЗ(ПЗ)_ПЗИП'!$W:$W,'Отчет РПЗ(ПЗ)_ПЗИП'!$D:$D,Справочно!$E24,'Отчет РПЗ(ПЗ)_ПЗИП'!$N:$N,"&gt;=01.04.2017",'Отчет РПЗ(ПЗ)_ПЗИП'!$N:$N,"&lt;=30.04.2017",'Отчет РПЗ(ПЗ)_ПЗИП'!$AG:$AG,"&gt;0")</f>
        <v>0</v>
      </c>
      <c r="AC59" s="330">
        <f>SUMIFS('Отчет РПЗ(ПЗ)_ПЗИП'!$AG:$AG,'Отчет РПЗ(ПЗ)_ПЗИП'!$D:$D,Справочно!$E24,'Отчет РПЗ(ПЗ)_ПЗИП'!$AQ:$AQ,4)</f>
        <v>0</v>
      </c>
      <c r="AD59" s="330" t="str">
        <f t="shared" si="50"/>
        <v>НД</v>
      </c>
      <c r="AE59" s="246" t="str">
        <f t="shared" si="26"/>
        <v>НД</v>
      </c>
      <c r="AF59" s="429">
        <f>SUMIFS('Отчет РПЗ(ПЗ)_ПЗИП'!$W:$W,'Отчет РПЗ(ПЗ)_ПЗИП'!$D:$D,Справочно!$E24,'Отчет РПЗ(ПЗ)_ПЗИП'!$N:$N,"&gt;=01.05.2017",'Отчет РПЗ(ПЗ)_ПЗИП'!$N:$N,"&lt;=31.05.2017",'Отчет РПЗ(ПЗ)_ПЗИП'!$AG:$AG,"&gt;0")</f>
        <v>0</v>
      </c>
      <c r="AG59" s="330">
        <f>SUMIFS('Отчет РПЗ(ПЗ)_ПЗИП'!$AG:$AG,'Отчет РПЗ(ПЗ)_ПЗИП'!$D:$D,Справочно!$E24,'Отчет РПЗ(ПЗ)_ПЗИП'!$AQ:$AQ,5)</f>
        <v>0</v>
      </c>
      <c r="AH59" s="330" t="str">
        <f t="shared" si="51"/>
        <v>НД</v>
      </c>
      <c r="AI59" s="246" t="str">
        <f t="shared" si="27"/>
        <v>НД</v>
      </c>
      <c r="AJ59" s="429">
        <f>SUMIFS('Отчет РПЗ(ПЗ)_ПЗИП'!$W:$W,'Отчет РПЗ(ПЗ)_ПЗИП'!$D:$D,Справочно!$E24,'Отчет РПЗ(ПЗ)_ПЗИП'!$N:$N,"&gt;=01.06.2017",'Отчет РПЗ(ПЗ)_ПЗИП'!$N:$N,"&lt;=30.06.2017",'Отчет РПЗ(ПЗ)_ПЗИП'!$AG:$AG,"&gt;0")</f>
        <v>0</v>
      </c>
      <c r="AK59" s="330">
        <f>SUMIFS('Отчет РПЗ(ПЗ)_ПЗИП'!$AG:$AG,'Отчет РПЗ(ПЗ)_ПЗИП'!$D:$D,Справочно!$E24,'Отчет РПЗ(ПЗ)_ПЗИП'!$AQ:$AQ,6)</f>
        <v>0</v>
      </c>
      <c r="AL59" s="330" t="str">
        <f t="shared" si="52"/>
        <v>НД</v>
      </c>
      <c r="AM59" s="246" t="str">
        <f t="shared" si="28"/>
        <v>НД</v>
      </c>
      <c r="AN59" s="424">
        <f t="shared" si="53"/>
        <v>0</v>
      </c>
      <c r="AO59" s="331">
        <f t="shared" si="54"/>
        <v>0</v>
      </c>
      <c r="AP59" s="331">
        <f t="shared" si="29"/>
        <v>0</v>
      </c>
      <c r="AQ59" s="248">
        <f t="shared" si="30"/>
        <v>0</v>
      </c>
      <c r="AR59" s="430">
        <f>SUMIFS('Отчет РПЗ(ПЗ)_ПЗИП'!$W:$W,'Отчет РПЗ(ПЗ)_ПЗИП'!$D:$D,Справочно!$E24,'Отчет РПЗ(ПЗ)_ПЗИП'!$N:$N,"&gt;=01.07.2017",'Отчет РПЗ(ПЗ)_ПЗИП'!$N:$N,"&lt;=31.07.2017",'Отчет РПЗ(ПЗ)_ПЗИП'!$AG:$AG,"&gt;0")</f>
        <v>0</v>
      </c>
      <c r="AS59" s="332">
        <f>SUMIFS('Отчет РПЗ(ПЗ)_ПЗИП'!$AG:$AG,'Отчет РПЗ(ПЗ)_ПЗИП'!$D:$D,Справочно!$E24,'Отчет РПЗ(ПЗ)_ПЗИП'!$AQ:$AQ,7)</f>
        <v>0</v>
      </c>
      <c r="AT59" s="372" t="str">
        <f t="shared" si="55"/>
        <v>НД</v>
      </c>
      <c r="AU59" s="250" t="str">
        <f t="shared" si="31"/>
        <v>НД</v>
      </c>
      <c r="AV59" s="425">
        <f>SUMIFS('Отчет РПЗ(ПЗ)_ПЗИП'!$W:$W,'Отчет РПЗ(ПЗ)_ПЗИП'!$D:$D,Справочно!$E24,'Отчет РПЗ(ПЗ)_ПЗИП'!$N:$N,"&gt;=01.08.2017",'Отчет РПЗ(ПЗ)_ПЗИП'!$N:$N,"&lt;=31.08.2017",'Отчет РПЗ(ПЗ)_ПЗИП'!$AG:$AG,"&gt;0")</f>
        <v>0</v>
      </c>
      <c r="AW59" s="332">
        <f>SUMIFS('Отчет РПЗ(ПЗ)_ПЗИП'!$AG:$AG,'Отчет РПЗ(ПЗ)_ПЗИП'!$D:$D,Справочно!$E24,'Отчет РПЗ(ПЗ)_ПЗИП'!$AQ:$AQ,8)</f>
        <v>0</v>
      </c>
      <c r="AX59" s="372" t="str">
        <f t="shared" si="56"/>
        <v>НД</v>
      </c>
      <c r="AY59" s="250" t="str">
        <f t="shared" si="32"/>
        <v>НД</v>
      </c>
      <c r="AZ59" s="425">
        <f>SUMIFS('Отчет РПЗ(ПЗ)_ПЗИП'!$W:$W,'Отчет РПЗ(ПЗ)_ПЗИП'!$D:$D,Справочно!$E24,'Отчет РПЗ(ПЗ)_ПЗИП'!$N:$N,"&gt;=01.09.2017",'Отчет РПЗ(ПЗ)_ПЗИП'!$N:$N,"&lt;=30.09.2017",'Отчет РПЗ(ПЗ)_ПЗИП'!$AG:$AG,"&gt;0")</f>
        <v>0</v>
      </c>
      <c r="BA59" s="332">
        <f>SUMIFS('Отчет РПЗ(ПЗ)_ПЗИП'!$AG:$AG,'Отчет РПЗ(ПЗ)_ПЗИП'!$D:$D,Справочно!$E24,'Отчет РПЗ(ПЗ)_ПЗИП'!$AQ:$AQ,9)</f>
        <v>0</v>
      </c>
      <c r="BB59" s="372" t="str">
        <f t="shared" si="57"/>
        <v>НД</v>
      </c>
      <c r="BC59" s="250" t="str">
        <f t="shared" si="33"/>
        <v>НД</v>
      </c>
      <c r="BD59" s="424">
        <f t="shared" si="58"/>
        <v>0</v>
      </c>
      <c r="BE59" s="333">
        <f t="shared" si="59"/>
        <v>0</v>
      </c>
      <c r="BF59" s="333">
        <f t="shared" si="34"/>
        <v>0</v>
      </c>
      <c r="BG59" s="252">
        <f t="shared" si="35"/>
        <v>0</v>
      </c>
      <c r="BH59" s="414">
        <f>SUMIFS('Отчет РПЗ(ПЗ)_ПЗИП'!$W:$W,'Отчет РПЗ(ПЗ)_ПЗИП'!$D:$D,Справочно!$E24,'Отчет РПЗ(ПЗ)_ПЗИП'!$N:$N,"&gt;=01.10.2017",'Отчет РПЗ(ПЗ)_ПЗИП'!$N:$N,"&lt;=31.10.2017",'Отчет РПЗ(ПЗ)_ПЗИП'!$AG:$AG,"&gt;0")</f>
        <v>0</v>
      </c>
      <c r="BI59" s="334">
        <f>SUMIFS('Отчет РПЗ(ПЗ)_ПЗИП'!$AG:$AG,'Отчет РПЗ(ПЗ)_ПЗИП'!$D:$D,Справочно!$E24,'Отчет РПЗ(ПЗ)_ПЗИП'!$AQ:$AQ,10)</f>
        <v>0</v>
      </c>
      <c r="BJ59" s="374" t="str">
        <f t="shared" si="60"/>
        <v>НД</v>
      </c>
      <c r="BK59" s="254" t="str">
        <f t="shared" si="36"/>
        <v>НД</v>
      </c>
      <c r="BL59" s="429">
        <f>SUMIFS('Отчет РПЗ(ПЗ)_ПЗИП'!$W:$W,'Отчет РПЗ(ПЗ)_ПЗИП'!$D:$D,Справочно!$E24,'Отчет РПЗ(ПЗ)_ПЗИП'!$N:$N,"&gt;=01.11.2017",'Отчет РПЗ(ПЗ)_ПЗИП'!$N:$N,"&lt;=30.11.2017",'Отчет РПЗ(ПЗ)_ПЗИП'!$AG:$AG,"&gt;0")</f>
        <v>0</v>
      </c>
      <c r="BM59" s="334">
        <f>SUMIFS('Отчет РПЗ(ПЗ)_ПЗИП'!$AG:$AG,'Отчет РПЗ(ПЗ)_ПЗИП'!$D:$D,Справочно!$E24,'Отчет РПЗ(ПЗ)_ПЗИП'!$AQ:$AQ,11)</f>
        <v>0</v>
      </c>
      <c r="BN59" s="374" t="str">
        <f t="shared" si="61"/>
        <v>НД</v>
      </c>
      <c r="BO59" s="254" t="str">
        <f t="shared" si="37"/>
        <v>НД</v>
      </c>
      <c r="BP59" s="429">
        <f>SUMIFS('Отчет РПЗ(ПЗ)_ПЗИП'!$W:$W,'Отчет РПЗ(ПЗ)_ПЗИП'!$D:$D,Справочно!$E24,'Отчет РПЗ(ПЗ)_ПЗИП'!$N:$N,"&gt;=01.12.2017",'Отчет РПЗ(ПЗ)_ПЗИП'!$N:$N,"&lt;=31.12.2017",'Отчет РПЗ(ПЗ)_ПЗИП'!$AG:$AG,"&gt;0")</f>
        <v>0</v>
      </c>
      <c r="BQ59" s="334">
        <f>SUMIFS('Отчет РПЗ(ПЗ)_ПЗИП'!$AG:$AG,'Отчет РПЗ(ПЗ)_ПЗИП'!$D:$D,Справочно!$E24,'Отчет РПЗ(ПЗ)_ПЗИП'!$AQ:$AQ,12)</f>
        <v>0</v>
      </c>
      <c r="BR59" s="374" t="str">
        <f t="shared" si="62"/>
        <v>НД</v>
      </c>
      <c r="BS59" s="256" t="str">
        <f t="shared" si="38"/>
        <v>НД</v>
      </c>
      <c r="BT59" s="424">
        <f t="shared" si="63"/>
        <v>0</v>
      </c>
      <c r="BU59" s="335">
        <f t="shared" si="64"/>
        <v>0</v>
      </c>
      <c r="BV59" s="335">
        <f t="shared" si="39"/>
        <v>0</v>
      </c>
      <c r="BW59" s="257">
        <f t="shared" si="40"/>
        <v>0</v>
      </c>
    </row>
    <row r="60" spans="2:75" ht="15" customHeight="1" thickBot="1" x14ac:dyDescent="0.25">
      <c r="B60" s="55" t="str">
        <f>Справочно!E25</f>
        <v>ОАО "РТ-Медицина"</v>
      </c>
      <c r="C60" s="92">
        <f>ПП!B48</f>
        <v>0</v>
      </c>
      <c r="D60" s="412">
        <f>ПП!C48</f>
        <v>0</v>
      </c>
      <c r="E60" s="437">
        <f>ПП!D48</f>
        <v>0</v>
      </c>
      <c r="F60" s="297">
        <f>COUNTIFS('Отчет РПЗ(ПЗ)_ПЗИП'!$AG:$AG,"&gt;0",'Отчет РПЗ(ПЗ)_ПЗИП'!$D:$D,Справочно!$E25)</f>
        <v>0</v>
      </c>
      <c r="G60" s="438">
        <f t="shared" si="41"/>
        <v>0</v>
      </c>
      <c r="H60" s="439">
        <f>SUMIF('Отчет РПЗ(ПЗ)_ПЗИП'!$D:$D,Справочно!$E25,'Отчет РПЗ(ПЗ)_ПЗИП'!$AG:$AG)</f>
        <v>0</v>
      </c>
      <c r="I60" s="461">
        <f t="shared" si="65"/>
        <v>0</v>
      </c>
      <c r="J60" s="514" t="e">
        <f t="shared" si="42"/>
        <v>#DIV/0!</v>
      </c>
      <c r="L60" s="430">
        <f>SUMIFS('Отчет РПЗ(ПЗ)_ПЗИП'!$W:$W,'Отчет РПЗ(ПЗ)_ПЗИП'!$D:$D,Справочно!$E25,'Отчет РПЗ(ПЗ)_ПЗИП'!$N:$N,"&gt;=01.01.2017",'Отчет РПЗ(ПЗ)_ПЗИП'!$N:$N,"&lt;=31.01.2017",'Отчет РПЗ(ПЗ)_ПЗИП'!$AG:$AG,"&gt;0")</f>
        <v>0</v>
      </c>
      <c r="M60" s="328">
        <f>SUMIFS('Отчет РПЗ(ПЗ)_ПЗИП'!$AG:$AG,'Отчет РПЗ(ПЗ)_ПЗИП'!$D:$D,Справочно!$E25,'Отчет РПЗ(ПЗ)_ПЗИП'!$AQ:$AQ,1)</f>
        <v>0</v>
      </c>
      <c r="N60" s="336" t="str">
        <f t="shared" si="43"/>
        <v>НД</v>
      </c>
      <c r="O60" s="245" t="str">
        <f t="shared" si="44"/>
        <v>НД</v>
      </c>
      <c r="P60" s="425">
        <f>SUMIFS('Отчет РПЗ(ПЗ)_ПЗИП'!$W:$W,'Отчет РПЗ(ПЗ)_ПЗИП'!$D:$D,Справочно!$E25,'Отчет РПЗ(ПЗ)_ПЗИП'!$N:$N,"&gt;=01.02.2017",'Отчет РПЗ(ПЗ)_ПЗИП'!$N:$N,"&lt;=28.02.2017",'Отчет РПЗ(ПЗ)_ПЗИП'!$AG:$AG,"&gt;0")</f>
        <v>0</v>
      </c>
      <c r="Q60" s="328">
        <f>SUMIFS('Отчет РПЗ(ПЗ)_ПЗИП'!$AG:$AG,'Отчет РПЗ(ПЗ)_ПЗИП'!$D:$D,Справочно!$E25,'Отчет РПЗ(ПЗ)_ПЗИП'!$AQ:$AQ,2)</f>
        <v>0</v>
      </c>
      <c r="R60" s="336" t="str">
        <f t="shared" si="45"/>
        <v>НД</v>
      </c>
      <c r="S60" s="245" t="str">
        <f t="shared" si="46"/>
        <v>НД</v>
      </c>
      <c r="T60" s="425">
        <f>SUMIFS('Отчет РПЗ(ПЗ)_ПЗИП'!$W:$W,'Отчет РПЗ(ПЗ)_ПЗИП'!$D:$D,Справочно!$E25,'Отчет РПЗ(ПЗ)_ПЗИП'!$N:$N,"&gt;=01.03.2017",'Отчет РПЗ(ПЗ)_ПЗИП'!$N:$N,"&lt;=31.03.2017",'Отчет РПЗ(ПЗ)_ПЗИП'!$AG:$AG,"&gt;0")</f>
        <v>0</v>
      </c>
      <c r="U60" s="328">
        <f>SUMIFS('Отчет РПЗ(ПЗ)_ПЗИП'!$AG:$AG,'Отчет РПЗ(ПЗ)_ПЗИП'!$D:$D,Справочно!$E25,'Отчет РПЗ(ПЗ)_ПЗИП'!$AQ:$AQ,3)</f>
        <v>0</v>
      </c>
      <c r="V60" s="336" t="str">
        <f t="shared" si="47"/>
        <v>НД</v>
      </c>
      <c r="W60" s="245" t="str">
        <f t="shared" si="23"/>
        <v>НД</v>
      </c>
      <c r="X60" s="424">
        <f t="shared" si="48"/>
        <v>0</v>
      </c>
      <c r="Y60" s="329">
        <f t="shared" si="49"/>
        <v>0</v>
      </c>
      <c r="Z60" s="329">
        <f t="shared" si="24"/>
        <v>0</v>
      </c>
      <c r="AA60" s="247">
        <f t="shared" si="25"/>
        <v>0</v>
      </c>
      <c r="AB60" s="430">
        <f>SUMIFS('Отчет РПЗ(ПЗ)_ПЗИП'!$W:$W,'Отчет РПЗ(ПЗ)_ПЗИП'!$D:$D,Справочно!$E25,'Отчет РПЗ(ПЗ)_ПЗИП'!$N:$N,"&gt;=01.04.2017",'Отчет РПЗ(ПЗ)_ПЗИП'!$N:$N,"&lt;=30.04.2017",'Отчет РПЗ(ПЗ)_ПЗИП'!$AG:$AG,"&gt;0")</f>
        <v>0</v>
      </c>
      <c r="AC60" s="330">
        <f>SUMIFS('Отчет РПЗ(ПЗ)_ПЗИП'!$AG:$AG,'Отчет РПЗ(ПЗ)_ПЗИП'!$D:$D,Справочно!$E25,'Отчет РПЗ(ПЗ)_ПЗИП'!$AQ:$AQ,4)</f>
        <v>0</v>
      </c>
      <c r="AD60" s="330" t="str">
        <f t="shared" si="50"/>
        <v>НД</v>
      </c>
      <c r="AE60" s="246" t="str">
        <f t="shared" si="26"/>
        <v>НД</v>
      </c>
      <c r="AF60" s="429">
        <f>SUMIFS('Отчет РПЗ(ПЗ)_ПЗИП'!$W:$W,'Отчет РПЗ(ПЗ)_ПЗИП'!$D:$D,Справочно!$E25,'Отчет РПЗ(ПЗ)_ПЗИП'!$N:$N,"&gt;=01.05.2017",'Отчет РПЗ(ПЗ)_ПЗИП'!$N:$N,"&lt;=31.05.2017",'Отчет РПЗ(ПЗ)_ПЗИП'!$AG:$AG,"&gt;0")</f>
        <v>0</v>
      </c>
      <c r="AG60" s="330">
        <f>SUMIFS('Отчет РПЗ(ПЗ)_ПЗИП'!$AG:$AG,'Отчет РПЗ(ПЗ)_ПЗИП'!$D:$D,Справочно!$E25,'Отчет РПЗ(ПЗ)_ПЗИП'!$AQ:$AQ,5)</f>
        <v>0</v>
      </c>
      <c r="AH60" s="330" t="str">
        <f t="shared" si="51"/>
        <v>НД</v>
      </c>
      <c r="AI60" s="246" t="str">
        <f t="shared" si="27"/>
        <v>НД</v>
      </c>
      <c r="AJ60" s="429">
        <f>SUMIFS('Отчет РПЗ(ПЗ)_ПЗИП'!$W:$W,'Отчет РПЗ(ПЗ)_ПЗИП'!$D:$D,Справочно!$E25,'Отчет РПЗ(ПЗ)_ПЗИП'!$N:$N,"&gt;=01.06.2017",'Отчет РПЗ(ПЗ)_ПЗИП'!$N:$N,"&lt;=30.06.2017",'Отчет РПЗ(ПЗ)_ПЗИП'!$AG:$AG,"&gt;0")</f>
        <v>0</v>
      </c>
      <c r="AK60" s="330">
        <f>SUMIFS('Отчет РПЗ(ПЗ)_ПЗИП'!$AG:$AG,'Отчет РПЗ(ПЗ)_ПЗИП'!$D:$D,Справочно!$E25,'Отчет РПЗ(ПЗ)_ПЗИП'!$AQ:$AQ,6)</f>
        <v>0</v>
      </c>
      <c r="AL60" s="330" t="str">
        <f t="shared" si="52"/>
        <v>НД</v>
      </c>
      <c r="AM60" s="246" t="str">
        <f t="shared" si="28"/>
        <v>НД</v>
      </c>
      <c r="AN60" s="424">
        <f t="shared" si="53"/>
        <v>0</v>
      </c>
      <c r="AO60" s="331">
        <f t="shared" si="54"/>
        <v>0</v>
      </c>
      <c r="AP60" s="331">
        <f t="shared" si="29"/>
        <v>0</v>
      </c>
      <c r="AQ60" s="248">
        <f t="shared" si="30"/>
        <v>0</v>
      </c>
      <c r="AR60" s="430">
        <f>SUMIFS('Отчет РПЗ(ПЗ)_ПЗИП'!$W:$W,'Отчет РПЗ(ПЗ)_ПЗИП'!$D:$D,Справочно!$E25,'Отчет РПЗ(ПЗ)_ПЗИП'!$N:$N,"&gt;=01.07.2017",'Отчет РПЗ(ПЗ)_ПЗИП'!$N:$N,"&lt;=31.07.2017",'Отчет РПЗ(ПЗ)_ПЗИП'!$AG:$AG,"&gt;0")</f>
        <v>0</v>
      </c>
      <c r="AS60" s="332">
        <f>SUMIFS('Отчет РПЗ(ПЗ)_ПЗИП'!$AG:$AG,'Отчет РПЗ(ПЗ)_ПЗИП'!$D:$D,Справочно!$E25,'Отчет РПЗ(ПЗ)_ПЗИП'!$AQ:$AQ,7)</f>
        <v>0</v>
      </c>
      <c r="AT60" s="372" t="str">
        <f t="shared" si="55"/>
        <v>НД</v>
      </c>
      <c r="AU60" s="250" t="str">
        <f t="shared" si="31"/>
        <v>НД</v>
      </c>
      <c r="AV60" s="425">
        <f>SUMIFS('Отчет РПЗ(ПЗ)_ПЗИП'!$W:$W,'Отчет РПЗ(ПЗ)_ПЗИП'!$D:$D,Справочно!$E25,'Отчет РПЗ(ПЗ)_ПЗИП'!$N:$N,"&gt;=01.08.2017",'Отчет РПЗ(ПЗ)_ПЗИП'!$N:$N,"&lt;=31.08.2017",'Отчет РПЗ(ПЗ)_ПЗИП'!$AG:$AG,"&gt;0")</f>
        <v>0</v>
      </c>
      <c r="AW60" s="332">
        <f>SUMIFS('Отчет РПЗ(ПЗ)_ПЗИП'!$AG:$AG,'Отчет РПЗ(ПЗ)_ПЗИП'!$D:$D,Справочно!$E25,'Отчет РПЗ(ПЗ)_ПЗИП'!$AQ:$AQ,8)</f>
        <v>0</v>
      </c>
      <c r="AX60" s="372" t="str">
        <f t="shared" si="56"/>
        <v>НД</v>
      </c>
      <c r="AY60" s="250" t="str">
        <f t="shared" si="32"/>
        <v>НД</v>
      </c>
      <c r="AZ60" s="425">
        <f>SUMIFS('Отчет РПЗ(ПЗ)_ПЗИП'!$W:$W,'Отчет РПЗ(ПЗ)_ПЗИП'!$D:$D,Справочно!$E25,'Отчет РПЗ(ПЗ)_ПЗИП'!$N:$N,"&gt;=01.09.2017",'Отчет РПЗ(ПЗ)_ПЗИП'!$N:$N,"&lt;=30.09.2017",'Отчет РПЗ(ПЗ)_ПЗИП'!$AG:$AG,"&gt;0")</f>
        <v>0</v>
      </c>
      <c r="BA60" s="332">
        <f>SUMIFS('Отчет РПЗ(ПЗ)_ПЗИП'!$AG:$AG,'Отчет РПЗ(ПЗ)_ПЗИП'!$D:$D,Справочно!$E25,'Отчет РПЗ(ПЗ)_ПЗИП'!$AQ:$AQ,9)</f>
        <v>0</v>
      </c>
      <c r="BB60" s="372" t="str">
        <f t="shared" si="57"/>
        <v>НД</v>
      </c>
      <c r="BC60" s="250" t="str">
        <f t="shared" si="33"/>
        <v>НД</v>
      </c>
      <c r="BD60" s="424">
        <f t="shared" si="58"/>
        <v>0</v>
      </c>
      <c r="BE60" s="333">
        <f t="shared" si="59"/>
        <v>0</v>
      </c>
      <c r="BF60" s="333">
        <f t="shared" si="34"/>
        <v>0</v>
      </c>
      <c r="BG60" s="252">
        <f t="shared" si="35"/>
        <v>0</v>
      </c>
      <c r="BH60" s="414">
        <f>SUMIFS('Отчет РПЗ(ПЗ)_ПЗИП'!$W:$W,'Отчет РПЗ(ПЗ)_ПЗИП'!$D:$D,Справочно!$E25,'Отчет РПЗ(ПЗ)_ПЗИП'!$N:$N,"&gt;=01.10.2017",'Отчет РПЗ(ПЗ)_ПЗИП'!$N:$N,"&lt;=31.10.2017",'Отчет РПЗ(ПЗ)_ПЗИП'!$AG:$AG,"&gt;0")</f>
        <v>0</v>
      </c>
      <c r="BI60" s="334">
        <f>SUMIFS('Отчет РПЗ(ПЗ)_ПЗИП'!$AG:$AG,'Отчет РПЗ(ПЗ)_ПЗИП'!$D:$D,Справочно!$E25,'Отчет РПЗ(ПЗ)_ПЗИП'!$AQ:$AQ,10)</f>
        <v>0</v>
      </c>
      <c r="BJ60" s="374" t="str">
        <f t="shared" si="60"/>
        <v>НД</v>
      </c>
      <c r="BK60" s="254" t="str">
        <f t="shared" si="36"/>
        <v>НД</v>
      </c>
      <c r="BL60" s="429">
        <f>SUMIFS('Отчет РПЗ(ПЗ)_ПЗИП'!$W:$W,'Отчет РПЗ(ПЗ)_ПЗИП'!$D:$D,Справочно!$E25,'Отчет РПЗ(ПЗ)_ПЗИП'!$N:$N,"&gt;=01.11.2017",'Отчет РПЗ(ПЗ)_ПЗИП'!$N:$N,"&lt;=30.11.2017",'Отчет РПЗ(ПЗ)_ПЗИП'!$AG:$AG,"&gt;0")</f>
        <v>0</v>
      </c>
      <c r="BM60" s="334">
        <f>SUMIFS('Отчет РПЗ(ПЗ)_ПЗИП'!$AG:$AG,'Отчет РПЗ(ПЗ)_ПЗИП'!$D:$D,Справочно!$E25,'Отчет РПЗ(ПЗ)_ПЗИП'!$AQ:$AQ,11)</f>
        <v>0</v>
      </c>
      <c r="BN60" s="374" t="str">
        <f t="shared" si="61"/>
        <v>НД</v>
      </c>
      <c r="BO60" s="254" t="str">
        <f t="shared" si="37"/>
        <v>НД</v>
      </c>
      <c r="BP60" s="429">
        <f>SUMIFS('Отчет РПЗ(ПЗ)_ПЗИП'!$W:$W,'Отчет РПЗ(ПЗ)_ПЗИП'!$D:$D,Справочно!$E25,'Отчет РПЗ(ПЗ)_ПЗИП'!$N:$N,"&gt;=01.12.2017",'Отчет РПЗ(ПЗ)_ПЗИП'!$N:$N,"&lt;=31.12.2017",'Отчет РПЗ(ПЗ)_ПЗИП'!$AG:$AG,"&gt;0")</f>
        <v>0</v>
      </c>
      <c r="BQ60" s="334">
        <f>SUMIFS('Отчет РПЗ(ПЗ)_ПЗИП'!$AG:$AG,'Отчет РПЗ(ПЗ)_ПЗИП'!$D:$D,Справочно!$E25,'Отчет РПЗ(ПЗ)_ПЗИП'!$AQ:$AQ,12)</f>
        <v>0</v>
      </c>
      <c r="BR60" s="374" t="str">
        <f t="shared" si="62"/>
        <v>НД</v>
      </c>
      <c r="BS60" s="256" t="str">
        <f t="shared" si="38"/>
        <v>НД</v>
      </c>
      <c r="BT60" s="424">
        <f t="shared" si="63"/>
        <v>0</v>
      </c>
      <c r="BU60" s="335">
        <f t="shared" si="64"/>
        <v>0</v>
      </c>
      <c r="BV60" s="335">
        <f t="shared" si="39"/>
        <v>0</v>
      </c>
      <c r="BW60" s="257">
        <f t="shared" si="40"/>
        <v>0</v>
      </c>
    </row>
    <row r="61" spans="2:75" ht="15" customHeight="1" thickBot="1" x14ac:dyDescent="0.25">
      <c r="B61" s="55" t="str">
        <f>Справочно!E26</f>
        <v>АО "Концерн "Автоматика"</v>
      </c>
      <c r="C61" s="92">
        <f>ПП!B49</f>
        <v>0</v>
      </c>
      <c r="D61" s="412">
        <f>ПП!C49</f>
        <v>0</v>
      </c>
      <c r="E61" s="437">
        <f>ПП!D49</f>
        <v>0</v>
      </c>
      <c r="F61" s="297">
        <f>COUNTIFS('Отчет РПЗ(ПЗ)_ПЗИП'!$AG:$AG,"&gt;0",'Отчет РПЗ(ПЗ)_ПЗИП'!$D:$D,Справочно!$E26)</f>
        <v>0</v>
      </c>
      <c r="G61" s="438">
        <f t="shared" si="41"/>
        <v>0</v>
      </c>
      <c r="H61" s="439">
        <f>SUMIF('Отчет РПЗ(ПЗ)_ПЗИП'!$D:$D,Справочно!$E26,'Отчет РПЗ(ПЗ)_ПЗИП'!$AG:$AG)</f>
        <v>0</v>
      </c>
      <c r="I61" s="461">
        <f t="shared" si="65"/>
        <v>0</v>
      </c>
      <c r="J61" s="514" t="e">
        <f t="shared" si="42"/>
        <v>#DIV/0!</v>
      </c>
      <c r="L61" s="430">
        <f>SUMIFS('Отчет РПЗ(ПЗ)_ПЗИП'!$W:$W,'Отчет РПЗ(ПЗ)_ПЗИП'!$D:$D,Справочно!$E26,'Отчет РПЗ(ПЗ)_ПЗИП'!$N:$N,"&gt;=01.01.2017",'Отчет РПЗ(ПЗ)_ПЗИП'!$N:$N,"&lt;=31.01.2017",'Отчет РПЗ(ПЗ)_ПЗИП'!$AG:$AG,"&gt;0")</f>
        <v>0</v>
      </c>
      <c r="M61" s="328">
        <f>SUMIFS('Отчет РПЗ(ПЗ)_ПЗИП'!$AG:$AG,'Отчет РПЗ(ПЗ)_ПЗИП'!$D:$D,Справочно!$E26,'Отчет РПЗ(ПЗ)_ПЗИП'!$AQ:$AQ,1)</f>
        <v>0</v>
      </c>
      <c r="N61" s="336" t="str">
        <f t="shared" si="43"/>
        <v>НД</v>
      </c>
      <c r="O61" s="245" t="str">
        <f t="shared" si="44"/>
        <v>НД</v>
      </c>
      <c r="P61" s="425">
        <f>SUMIFS('Отчет РПЗ(ПЗ)_ПЗИП'!$W:$W,'Отчет РПЗ(ПЗ)_ПЗИП'!$D:$D,Справочно!$E26,'Отчет РПЗ(ПЗ)_ПЗИП'!$N:$N,"&gt;=01.02.2017",'Отчет РПЗ(ПЗ)_ПЗИП'!$N:$N,"&lt;=28.02.2017",'Отчет РПЗ(ПЗ)_ПЗИП'!$AG:$AG,"&gt;0")</f>
        <v>0</v>
      </c>
      <c r="Q61" s="328">
        <f>SUMIFS('Отчет РПЗ(ПЗ)_ПЗИП'!$AG:$AG,'Отчет РПЗ(ПЗ)_ПЗИП'!$D:$D,Справочно!$E26,'Отчет РПЗ(ПЗ)_ПЗИП'!$AQ:$AQ,2)</f>
        <v>0</v>
      </c>
      <c r="R61" s="336" t="str">
        <f t="shared" si="45"/>
        <v>НД</v>
      </c>
      <c r="S61" s="245" t="str">
        <f t="shared" si="46"/>
        <v>НД</v>
      </c>
      <c r="T61" s="425">
        <f>SUMIFS('Отчет РПЗ(ПЗ)_ПЗИП'!$W:$W,'Отчет РПЗ(ПЗ)_ПЗИП'!$D:$D,Справочно!$E26,'Отчет РПЗ(ПЗ)_ПЗИП'!$N:$N,"&gt;=01.03.2017",'Отчет РПЗ(ПЗ)_ПЗИП'!$N:$N,"&lt;=31.03.2017",'Отчет РПЗ(ПЗ)_ПЗИП'!$AG:$AG,"&gt;0")</f>
        <v>0</v>
      </c>
      <c r="U61" s="328">
        <f>SUMIFS('Отчет РПЗ(ПЗ)_ПЗИП'!$AG:$AG,'Отчет РПЗ(ПЗ)_ПЗИП'!$D:$D,Справочно!$E26,'Отчет РПЗ(ПЗ)_ПЗИП'!$AQ:$AQ,3)</f>
        <v>0</v>
      </c>
      <c r="V61" s="336" t="str">
        <f t="shared" si="47"/>
        <v>НД</v>
      </c>
      <c r="W61" s="245" t="str">
        <f t="shared" si="23"/>
        <v>НД</v>
      </c>
      <c r="X61" s="424">
        <f t="shared" si="48"/>
        <v>0</v>
      </c>
      <c r="Y61" s="329">
        <f t="shared" si="49"/>
        <v>0</v>
      </c>
      <c r="Z61" s="329">
        <f t="shared" si="24"/>
        <v>0</v>
      </c>
      <c r="AA61" s="247">
        <f t="shared" si="25"/>
        <v>0</v>
      </c>
      <c r="AB61" s="430">
        <f>SUMIFS('Отчет РПЗ(ПЗ)_ПЗИП'!$W:$W,'Отчет РПЗ(ПЗ)_ПЗИП'!$D:$D,Справочно!$E26,'Отчет РПЗ(ПЗ)_ПЗИП'!$N:$N,"&gt;=01.04.2017",'Отчет РПЗ(ПЗ)_ПЗИП'!$N:$N,"&lt;=30.04.2017",'Отчет РПЗ(ПЗ)_ПЗИП'!$AG:$AG,"&gt;0")</f>
        <v>0</v>
      </c>
      <c r="AC61" s="330">
        <f>SUMIFS('Отчет РПЗ(ПЗ)_ПЗИП'!$AG:$AG,'Отчет РПЗ(ПЗ)_ПЗИП'!$D:$D,Справочно!$E26,'Отчет РПЗ(ПЗ)_ПЗИП'!$AQ:$AQ,4)</f>
        <v>0</v>
      </c>
      <c r="AD61" s="330" t="str">
        <f t="shared" si="50"/>
        <v>НД</v>
      </c>
      <c r="AE61" s="246" t="str">
        <f t="shared" si="26"/>
        <v>НД</v>
      </c>
      <c r="AF61" s="429">
        <f>SUMIFS('Отчет РПЗ(ПЗ)_ПЗИП'!$W:$W,'Отчет РПЗ(ПЗ)_ПЗИП'!$D:$D,Справочно!$E26,'Отчет РПЗ(ПЗ)_ПЗИП'!$N:$N,"&gt;=01.05.2017",'Отчет РПЗ(ПЗ)_ПЗИП'!$N:$N,"&lt;=31.05.2017",'Отчет РПЗ(ПЗ)_ПЗИП'!$AG:$AG,"&gt;0")</f>
        <v>0</v>
      </c>
      <c r="AG61" s="330">
        <f>SUMIFS('Отчет РПЗ(ПЗ)_ПЗИП'!$AG:$AG,'Отчет РПЗ(ПЗ)_ПЗИП'!$D:$D,Справочно!$E26,'Отчет РПЗ(ПЗ)_ПЗИП'!$AQ:$AQ,5)</f>
        <v>0</v>
      </c>
      <c r="AH61" s="330" t="str">
        <f t="shared" si="51"/>
        <v>НД</v>
      </c>
      <c r="AI61" s="246" t="str">
        <f t="shared" si="27"/>
        <v>НД</v>
      </c>
      <c r="AJ61" s="429">
        <f>SUMIFS('Отчет РПЗ(ПЗ)_ПЗИП'!$W:$W,'Отчет РПЗ(ПЗ)_ПЗИП'!$D:$D,Справочно!$E26,'Отчет РПЗ(ПЗ)_ПЗИП'!$N:$N,"&gt;=01.06.2017",'Отчет РПЗ(ПЗ)_ПЗИП'!$N:$N,"&lt;=30.06.2017",'Отчет РПЗ(ПЗ)_ПЗИП'!$AG:$AG,"&gt;0")</f>
        <v>0</v>
      </c>
      <c r="AK61" s="330">
        <f>SUMIFS('Отчет РПЗ(ПЗ)_ПЗИП'!$AG:$AG,'Отчет РПЗ(ПЗ)_ПЗИП'!$D:$D,Справочно!$E26,'Отчет РПЗ(ПЗ)_ПЗИП'!$AQ:$AQ,6)</f>
        <v>0</v>
      </c>
      <c r="AL61" s="330" t="str">
        <f t="shared" si="52"/>
        <v>НД</v>
      </c>
      <c r="AM61" s="246" t="str">
        <f t="shared" si="28"/>
        <v>НД</v>
      </c>
      <c r="AN61" s="424">
        <f t="shared" si="53"/>
        <v>0</v>
      </c>
      <c r="AO61" s="331">
        <f t="shared" si="54"/>
        <v>0</v>
      </c>
      <c r="AP61" s="331">
        <f t="shared" si="29"/>
        <v>0</v>
      </c>
      <c r="AQ61" s="248">
        <f t="shared" si="30"/>
        <v>0</v>
      </c>
      <c r="AR61" s="430">
        <f>SUMIFS('Отчет РПЗ(ПЗ)_ПЗИП'!$W:$W,'Отчет РПЗ(ПЗ)_ПЗИП'!$D:$D,Справочно!$E26,'Отчет РПЗ(ПЗ)_ПЗИП'!$N:$N,"&gt;=01.07.2017",'Отчет РПЗ(ПЗ)_ПЗИП'!$N:$N,"&lt;=31.07.2017",'Отчет РПЗ(ПЗ)_ПЗИП'!$AG:$AG,"&gt;0")</f>
        <v>0</v>
      </c>
      <c r="AS61" s="332">
        <f>SUMIFS('Отчет РПЗ(ПЗ)_ПЗИП'!$AG:$AG,'Отчет РПЗ(ПЗ)_ПЗИП'!$D:$D,Справочно!$E26,'Отчет РПЗ(ПЗ)_ПЗИП'!$AQ:$AQ,7)</f>
        <v>0</v>
      </c>
      <c r="AT61" s="372" t="str">
        <f t="shared" si="55"/>
        <v>НД</v>
      </c>
      <c r="AU61" s="250" t="str">
        <f t="shared" si="31"/>
        <v>НД</v>
      </c>
      <c r="AV61" s="425">
        <f>SUMIFS('Отчет РПЗ(ПЗ)_ПЗИП'!$W:$W,'Отчет РПЗ(ПЗ)_ПЗИП'!$D:$D,Справочно!$E26,'Отчет РПЗ(ПЗ)_ПЗИП'!$N:$N,"&gt;=01.08.2017",'Отчет РПЗ(ПЗ)_ПЗИП'!$N:$N,"&lt;=31.08.2017",'Отчет РПЗ(ПЗ)_ПЗИП'!$AG:$AG,"&gt;0")</f>
        <v>0</v>
      </c>
      <c r="AW61" s="332">
        <f>SUMIFS('Отчет РПЗ(ПЗ)_ПЗИП'!$AG:$AG,'Отчет РПЗ(ПЗ)_ПЗИП'!$D:$D,Справочно!$E26,'Отчет РПЗ(ПЗ)_ПЗИП'!$AQ:$AQ,8)</f>
        <v>0</v>
      </c>
      <c r="AX61" s="372" t="str">
        <f t="shared" si="56"/>
        <v>НД</v>
      </c>
      <c r="AY61" s="250" t="str">
        <f t="shared" si="32"/>
        <v>НД</v>
      </c>
      <c r="AZ61" s="425">
        <f>SUMIFS('Отчет РПЗ(ПЗ)_ПЗИП'!$W:$W,'Отчет РПЗ(ПЗ)_ПЗИП'!$D:$D,Справочно!$E26,'Отчет РПЗ(ПЗ)_ПЗИП'!$N:$N,"&gt;=01.09.2017",'Отчет РПЗ(ПЗ)_ПЗИП'!$N:$N,"&lt;=30.09.2017",'Отчет РПЗ(ПЗ)_ПЗИП'!$AG:$AG,"&gt;0")</f>
        <v>0</v>
      </c>
      <c r="BA61" s="332">
        <f>SUMIFS('Отчет РПЗ(ПЗ)_ПЗИП'!$AG:$AG,'Отчет РПЗ(ПЗ)_ПЗИП'!$D:$D,Справочно!$E26,'Отчет РПЗ(ПЗ)_ПЗИП'!$AQ:$AQ,9)</f>
        <v>0</v>
      </c>
      <c r="BB61" s="372" t="str">
        <f t="shared" si="57"/>
        <v>НД</v>
      </c>
      <c r="BC61" s="250" t="str">
        <f t="shared" si="33"/>
        <v>НД</v>
      </c>
      <c r="BD61" s="424">
        <f t="shared" si="58"/>
        <v>0</v>
      </c>
      <c r="BE61" s="333">
        <f t="shared" si="59"/>
        <v>0</v>
      </c>
      <c r="BF61" s="333">
        <f t="shared" si="34"/>
        <v>0</v>
      </c>
      <c r="BG61" s="252">
        <f t="shared" si="35"/>
        <v>0</v>
      </c>
      <c r="BH61" s="414">
        <f>SUMIFS('Отчет РПЗ(ПЗ)_ПЗИП'!$W:$W,'Отчет РПЗ(ПЗ)_ПЗИП'!$D:$D,Справочно!$E26,'Отчет РПЗ(ПЗ)_ПЗИП'!$N:$N,"&gt;=01.10.2017",'Отчет РПЗ(ПЗ)_ПЗИП'!$N:$N,"&lt;=31.10.2017",'Отчет РПЗ(ПЗ)_ПЗИП'!$AG:$AG,"&gt;0")</f>
        <v>0</v>
      </c>
      <c r="BI61" s="334">
        <f>SUMIFS('Отчет РПЗ(ПЗ)_ПЗИП'!$AG:$AG,'Отчет РПЗ(ПЗ)_ПЗИП'!$D:$D,Справочно!$E26,'Отчет РПЗ(ПЗ)_ПЗИП'!$AQ:$AQ,10)</f>
        <v>0</v>
      </c>
      <c r="BJ61" s="374" t="str">
        <f t="shared" si="60"/>
        <v>НД</v>
      </c>
      <c r="BK61" s="254" t="str">
        <f t="shared" si="36"/>
        <v>НД</v>
      </c>
      <c r="BL61" s="429">
        <f>SUMIFS('Отчет РПЗ(ПЗ)_ПЗИП'!$W:$W,'Отчет РПЗ(ПЗ)_ПЗИП'!$D:$D,Справочно!$E26,'Отчет РПЗ(ПЗ)_ПЗИП'!$N:$N,"&gt;=01.11.2017",'Отчет РПЗ(ПЗ)_ПЗИП'!$N:$N,"&lt;=30.11.2017",'Отчет РПЗ(ПЗ)_ПЗИП'!$AG:$AG,"&gt;0")</f>
        <v>0</v>
      </c>
      <c r="BM61" s="334">
        <f>SUMIFS('Отчет РПЗ(ПЗ)_ПЗИП'!$AG:$AG,'Отчет РПЗ(ПЗ)_ПЗИП'!$D:$D,Справочно!$E26,'Отчет РПЗ(ПЗ)_ПЗИП'!$AQ:$AQ,11)</f>
        <v>0</v>
      </c>
      <c r="BN61" s="374" t="str">
        <f t="shared" si="61"/>
        <v>НД</v>
      </c>
      <c r="BO61" s="254" t="str">
        <f t="shared" si="37"/>
        <v>НД</v>
      </c>
      <c r="BP61" s="429">
        <f>SUMIFS('Отчет РПЗ(ПЗ)_ПЗИП'!$W:$W,'Отчет РПЗ(ПЗ)_ПЗИП'!$D:$D,Справочно!$E26,'Отчет РПЗ(ПЗ)_ПЗИП'!$N:$N,"&gt;=01.12.2017",'Отчет РПЗ(ПЗ)_ПЗИП'!$N:$N,"&lt;=31.12.2017",'Отчет РПЗ(ПЗ)_ПЗИП'!$AG:$AG,"&gt;0")</f>
        <v>0</v>
      </c>
      <c r="BQ61" s="334">
        <f>SUMIFS('Отчет РПЗ(ПЗ)_ПЗИП'!$AG:$AG,'Отчет РПЗ(ПЗ)_ПЗИП'!$D:$D,Справочно!$E26,'Отчет РПЗ(ПЗ)_ПЗИП'!$AQ:$AQ,12)</f>
        <v>0</v>
      </c>
      <c r="BR61" s="374" t="str">
        <f t="shared" si="62"/>
        <v>НД</v>
      </c>
      <c r="BS61" s="256" t="str">
        <f t="shared" si="38"/>
        <v>НД</v>
      </c>
      <c r="BT61" s="424">
        <f t="shared" si="63"/>
        <v>0</v>
      </c>
      <c r="BU61" s="335">
        <f t="shared" si="64"/>
        <v>0</v>
      </c>
      <c r="BV61" s="335">
        <f t="shared" si="39"/>
        <v>0</v>
      </c>
      <c r="BW61" s="257">
        <f t="shared" si="40"/>
        <v>0</v>
      </c>
    </row>
    <row r="62" spans="2:75" ht="15" customHeight="1" thickBot="1" x14ac:dyDescent="0.25">
      <c r="B62" s="55" t="str">
        <f>Справочно!E27</f>
        <v>АО "Станкопром"</v>
      </c>
      <c r="C62" s="92">
        <f>ПП!B50</f>
        <v>0</v>
      </c>
      <c r="D62" s="412">
        <f>ПП!C50</f>
        <v>0</v>
      </c>
      <c r="E62" s="437">
        <f>ПП!D50</f>
        <v>0</v>
      </c>
      <c r="F62" s="297">
        <f>COUNTIFS('Отчет РПЗ(ПЗ)_ПЗИП'!$AG:$AG,"&gt;0",'Отчет РПЗ(ПЗ)_ПЗИП'!$D:$D,Справочно!$E27)</f>
        <v>0</v>
      </c>
      <c r="G62" s="438">
        <f t="shared" si="41"/>
        <v>0</v>
      </c>
      <c r="H62" s="439">
        <f>SUMIF('Отчет РПЗ(ПЗ)_ПЗИП'!$D:$D,Справочно!$E27,'Отчет РПЗ(ПЗ)_ПЗИП'!$AG:$AG)</f>
        <v>0</v>
      </c>
      <c r="I62" s="461">
        <f t="shared" si="65"/>
        <v>0</v>
      </c>
      <c r="J62" s="514" t="e">
        <f t="shared" si="42"/>
        <v>#DIV/0!</v>
      </c>
      <c r="L62" s="430">
        <f>SUMIFS('Отчет РПЗ(ПЗ)_ПЗИП'!$W:$W,'Отчет РПЗ(ПЗ)_ПЗИП'!$D:$D,Справочно!$E27,'Отчет РПЗ(ПЗ)_ПЗИП'!$N:$N,"&gt;=01.01.2017",'Отчет РПЗ(ПЗ)_ПЗИП'!$N:$N,"&lt;=31.01.2017",'Отчет РПЗ(ПЗ)_ПЗИП'!$AG:$AG,"&gt;0")</f>
        <v>0</v>
      </c>
      <c r="M62" s="328">
        <f>SUMIFS('Отчет РПЗ(ПЗ)_ПЗИП'!$AG:$AG,'Отчет РПЗ(ПЗ)_ПЗИП'!$D:$D,Справочно!$E27,'Отчет РПЗ(ПЗ)_ПЗИП'!$AQ:$AQ,1)</f>
        <v>0</v>
      </c>
      <c r="N62" s="336" t="str">
        <f t="shared" si="43"/>
        <v>НД</v>
      </c>
      <c r="O62" s="245" t="str">
        <f t="shared" si="44"/>
        <v>НД</v>
      </c>
      <c r="P62" s="425">
        <f>SUMIFS('Отчет РПЗ(ПЗ)_ПЗИП'!$W:$W,'Отчет РПЗ(ПЗ)_ПЗИП'!$D:$D,Справочно!$E27,'Отчет РПЗ(ПЗ)_ПЗИП'!$N:$N,"&gt;=01.02.2017",'Отчет РПЗ(ПЗ)_ПЗИП'!$N:$N,"&lt;=28.02.2017",'Отчет РПЗ(ПЗ)_ПЗИП'!$AG:$AG,"&gt;0")</f>
        <v>0</v>
      </c>
      <c r="Q62" s="328">
        <f>SUMIFS('Отчет РПЗ(ПЗ)_ПЗИП'!$AG:$AG,'Отчет РПЗ(ПЗ)_ПЗИП'!$D:$D,Справочно!$E27,'Отчет РПЗ(ПЗ)_ПЗИП'!$AQ:$AQ,2)</f>
        <v>0</v>
      </c>
      <c r="R62" s="336" t="str">
        <f t="shared" si="45"/>
        <v>НД</v>
      </c>
      <c r="S62" s="245" t="str">
        <f t="shared" si="46"/>
        <v>НД</v>
      </c>
      <c r="T62" s="425">
        <f>SUMIFS('Отчет РПЗ(ПЗ)_ПЗИП'!$W:$W,'Отчет РПЗ(ПЗ)_ПЗИП'!$D:$D,Справочно!$E27,'Отчет РПЗ(ПЗ)_ПЗИП'!$N:$N,"&gt;=01.03.2017",'Отчет РПЗ(ПЗ)_ПЗИП'!$N:$N,"&lt;=31.03.2017",'Отчет РПЗ(ПЗ)_ПЗИП'!$AG:$AG,"&gt;0")</f>
        <v>0</v>
      </c>
      <c r="U62" s="328">
        <f>SUMIFS('Отчет РПЗ(ПЗ)_ПЗИП'!$AG:$AG,'Отчет РПЗ(ПЗ)_ПЗИП'!$D:$D,Справочно!$E27,'Отчет РПЗ(ПЗ)_ПЗИП'!$AQ:$AQ,3)</f>
        <v>0</v>
      </c>
      <c r="V62" s="336" t="str">
        <f t="shared" si="47"/>
        <v>НД</v>
      </c>
      <c r="W62" s="245" t="str">
        <f t="shared" si="23"/>
        <v>НД</v>
      </c>
      <c r="X62" s="424">
        <f t="shared" si="48"/>
        <v>0</v>
      </c>
      <c r="Y62" s="329">
        <f t="shared" si="49"/>
        <v>0</v>
      </c>
      <c r="Z62" s="329">
        <f t="shared" si="24"/>
        <v>0</v>
      </c>
      <c r="AA62" s="247">
        <f t="shared" si="25"/>
        <v>0</v>
      </c>
      <c r="AB62" s="430">
        <f>SUMIFS('Отчет РПЗ(ПЗ)_ПЗИП'!$W:$W,'Отчет РПЗ(ПЗ)_ПЗИП'!$D:$D,Справочно!$E27,'Отчет РПЗ(ПЗ)_ПЗИП'!$N:$N,"&gt;=01.04.2017",'Отчет РПЗ(ПЗ)_ПЗИП'!$N:$N,"&lt;=30.04.2017",'Отчет РПЗ(ПЗ)_ПЗИП'!$AG:$AG,"&gt;0")</f>
        <v>0</v>
      </c>
      <c r="AC62" s="330">
        <f>SUMIFS('Отчет РПЗ(ПЗ)_ПЗИП'!$AG:$AG,'Отчет РПЗ(ПЗ)_ПЗИП'!$D:$D,Справочно!$E27,'Отчет РПЗ(ПЗ)_ПЗИП'!$AQ:$AQ,4)</f>
        <v>0</v>
      </c>
      <c r="AD62" s="330" t="str">
        <f t="shared" si="50"/>
        <v>НД</v>
      </c>
      <c r="AE62" s="246" t="str">
        <f t="shared" si="26"/>
        <v>НД</v>
      </c>
      <c r="AF62" s="429">
        <f>SUMIFS('Отчет РПЗ(ПЗ)_ПЗИП'!$W:$W,'Отчет РПЗ(ПЗ)_ПЗИП'!$D:$D,Справочно!$E27,'Отчет РПЗ(ПЗ)_ПЗИП'!$N:$N,"&gt;=01.05.2017",'Отчет РПЗ(ПЗ)_ПЗИП'!$N:$N,"&lt;=31.05.2017",'Отчет РПЗ(ПЗ)_ПЗИП'!$AG:$AG,"&gt;0")</f>
        <v>0</v>
      </c>
      <c r="AG62" s="330">
        <f>SUMIFS('Отчет РПЗ(ПЗ)_ПЗИП'!$AG:$AG,'Отчет РПЗ(ПЗ)_ПЗИП'!$D:$D,Справочно!$E27,'Отчет РПЗ(ПЗ)_ПЗИП'!$AQ:$AQ,5)</f>
        <v>0</v>
      </c>
      <c r="AH62" s="330" t="str">
        <f t="shared" si="51"/>
        <v>НД</v>
      </c>
      <c r="AI62" s="246" t="str">
        <f t="shared" si="27"/>
        <v>НД</v>
      </c>
      <c r="AJ62" s="429">
        <f>SUMIFS('Отчет РПЗ(ПЗ)_ПЗИП'!$W:$W,'Отчет РПЗ(ПЗ)_ПЗИП'!$D:$D,Справочно!$E27,'Отчет РПЗ(ПЗ)_ПЗИП'!$N:$N,"&gt;=01.06.2017",'Отчет РПЗ(ПЗ)_ПЗИП'!$N:$N,"&lt;=30.06.2017",'Отчет РПЗ(ПЗ)_ПЗИП'!$AG:$AG,"&gt;0")</f>
        <v>0</v>
      </c>
      <c r="AK62" s="330">
        <f>SUMIFS('Отчет РПЗ(ПЗ)_ПЗИП'!$AG:$AG,'Отчет РПЗ(ПЗ)_ПЗИП'!$D:$D,Справочно!$E27,'Отчет РПЗ(ПЗ)_ПЗИП'!$AQ:$AQ,6)</f>
        <v>0</v>
      </c>
      <c r="AL62" s="330" t="str">
        <f t="shared" si="52"/>
        <v>НД</v>
      </c>
      <c r="AM62" s="246" t="str">
        <f t="shared" si="28"/>
        <v>НД</v>
      </c>
      <c r="AN62" s="424">
        <f t="shared" si="53"/>
        <v>0</v>
      </c>
      <c r="AO62" s="331">
        <f t="shared" si="54"/>
        <v>0</v>
      </c>
      <c r="AP62" s="331">
        <f t="shared" si="29"/>
        <v>0</v>
      </c>
      <c r="AQ62" s="248">
        <f t="shared" si="30"/>
        <v>0</v>
      </c>
      <c r="AR62" s="430">
        <f>SUMIFS('Отчет РПЗ(ПЗ)_ПЗИП'!$W:$W,'Отчет РПЗ(ПЗ)_ПЗИП'!$D:$D,Справочно!$E27,'Отчет РПЗ(ПЗ)_ПЗИП'!$N:$N,"&gt;=01.07.2017",'Отчет РПЗ(ПЗ)_ПЗИП'!$N:$N,"&lt;=31.07.2017",'Отчет РПЗ(ПЗ)_ПЗИП'!$AG:$AG,"&gt;0")</f>
        <v>0</v>
      </c>
      <c r="AS62" s="332">
        <f>SUMIFS('Отчет РПЗ(ПЗ)_ПЗИП'!$AG:$AG,'Отчет РПЗ(ПЗ)_ПЗИП'!$D:$D,Справочно!$E27,'Отчет РПЗ(ПЗ)_ПЗИП'!$AQ:$AQ,7)</f>
        <v>0</v>
      </c>
      <c r="AT62" s="372" t="str">
        <f t="shared" si="55"/>
        <v>НД</v>
      </c>
      <c r="AU62" s="250" t="str">
        <f t="shared" si="31"/>
        <v>НД</v>
      </c>
      <c r="AV62" s="425">
        <f>SUMIFS('Отчет РПЗ(ПЗ)_ПЗИП'!$W:$W,'Отчет РПЗ(ПЗ)_ПЗИП'!$D:$D,Справочно!$E27,'Отчет РПЗ(ПЗ)_ПЗИП'!$N:$N,"&gt;=01.08.2017",'Отчет РПЗ(ПЗ)_ПЗИП'!$N:$N,"&lt;=31.08.2017",'Отчет РПЗ(ПЗ)_ПЗИП'!$AG:$AG,"&gt;0")</f>
        <v>0</v>
      </c>
      <c r="AW62" s="332">
        <f>SUMIFS('Отчет РПЗ(ПЗ)_ПЗИП'!$AG:$AG,'Отчет РПЗ(ПЗ)_ПЗИП'!$D:$D,Справочно!$E27,'Отчет РПЗ(ПЗ)_ПЗИП'!$AQ:$AQ,8)</f>
        <v>0</v>
      </c>
      <c r="AX62" s="372" t="str">
        <f t="shared" si="56"/>
        <v>НД</v>
      </c>
      <c r="AY62" s="250" t="str">
        <f t="shared" si="32"/>
        <v>НД</v>
      </c>
      <c r="AZ62" s="425">
        <f>SUMIFS('Отчет РПЗ(ПЗ)_ПЗИП'!$W:$W,'Отчет РПЗ(ПЗ)_ПЗИП'!$D:$D,Справочно!$E27,'Отчет РПЗ(ПЗ)_ПЗИП'!$N:$N,"&gt;=01.09.2017",'Отчет РПЗ(ПЗ)_ПЗИП'!$N:$N,"&lt;=30.09.2017",'Отчет РПЗ(ПЗ)_ПЗИП'!$AG:$AG,"&gt;0")</f>
        <v>0</v>
      </c>
      <c r="BA62" s="332">
        <f>SUMIFS('Отчет РПЗ(ПЗ)_ПЗИП'!$AG:$AG,'Отчет РПЗ(ПЗ)_ПЗИП'!$D:$D,Справочно!$E27,'Отчет РПЗ(ПЗ)_ПЗИП'!$AQ:$AQ,9)</f>
        <v>0</v>
      </c>
      <c r="BB62" s="372" t="str">
        <f t="shared" si="57"/>
        <v>НД</v>
      </c>
      <c r="BC62" s="250" t="str">
        <f t="shared" si="33"/>
        <v>НД</v>
      </c>
      <c r="BD62" s="424">
        <f t="shared" si="58"/>
        <v>0</v>
      </c>
      <c r="BE62" s="333">
        <f t="shared" si="59"/>
        <v>0</v>
      </c>
      <c r="BF62" s="333">
        <f t="shared" si="34"/>
        <v>0</v>
      </c>
      <c r="BG62" s="252">
        <f t="shared" si="35"/>
        <v>0</v>
      </c>
      <c r="BH62" s="414">
        <f>SUMIFS('Отчет РПЗ(ПЗ)_ПЗИП'!$W:$W,'Отчет РПЗ(ПЗ)_ПЗИП'!$D:$D,Справочно!$E27,'Отчет РПЗ(ПЗ)_ПЗИП'!$N:$N,"&gt;=01.10.2017",'Отчет РПЗ(ПЗ)_ПЗИП'!$N:$N,"&lt;=31.10.2017",'Отчет РПЗ(ПЗ)_ПЗИП'!$AG:$AG,"&gt;0")</f>
        <v>0</v>
      </c>
      <c r="BI62" s="334">
        <f>SUMIFS('Отчет РПЗ(ПЗ)_ПЗИП'!$AG:$AG,'Отчет РПЗ(ПЗ)_ПЗИП'!$D:$D,Справочно!$E27,'Отчет РПЗ(ПЗ)_ПЗИП'!$AQ:$AQ,10)</f>
        <v>0</v>
      </c>
      <c r="BJ62" s="374" t="str">
        <f t="shared" si="60"/>
        <v>НД</v>
      </c>
      <c r="BK62" s="254" t="str">
        <f t="shared" si="36"/>
        <v>НД</v>
      </c>
      <c r="BL62" s="429">
        <f>SUMIFS('Отчет РПЗ(ПЗ)_ПЗИП'!$W:$W,'Отчет РПЗ(ПЗ)_ПЗИП'!$D:$D,Справочно!$E27,'Отчет РПЗ(ПЗ)_ПЗИП'!$N:$N,"&gt;=01.11.2017",'Отчет РПЗ(ПЗ)_ПЗИП'!$N:$N,"&lt;=30.11.2017",'Отчет РПЗ(ПЗ)_ПЗИП'!$AG:$AG,"&gt;0")</f>
        <v>0</v>
      </c>
      <c r="BM62" s="334">
        <f>SUMIFS('Отчет РПЗ(ПЗ)_ПЗИП'!$AG:$AG,'Отчет РПЗ(ПЗ)_ПЗИП'!$D:$D,Справочно!$E27,'Отчет РПЗ(ПЗ)_ПЗИП'!$AQ:$AQ,11)</f>
        <v>0</v>
      </c>
      <c r="BN62" s="374" t="str">
        <f t="shared" si="61"/>
        <v>НД</v>
      </c>
      <c r="BO62" s="254" t="str">
        <f t="shared" si="37"/>
        <v>НД</v>
      </c>
      <c r="BP62" s="429">
        <f>SUMIFS('Отчет РПЗ(ПЗ)_ПЗИП'!$W:$W,'Отчет РПЗ(ПЗ)_ПЗИП'!$D:$D,Справочно!$E27,'Отчет РПЗ(ПЗ)_ПЗИП'!$N:$N,"&gt;=01.12.2017",'Отчет РПЗ(ПЗ)_ПЗИП'!$N:$N,"&lt;=31.12.2017",'Отчет РПЗ(ПЗ)_ПЗИП'!$AG:$AG,"&gt;0")</f>
        <v>0</v>
      </c>
      <c r="BQ62" s="334">
        <f>SUMIFS('Отчет РПЗ(ПЗ)_ПЗИП'!$AG:$AG,'Отчет РПЗ(ПЗ)_ПЗИП'!$D:$D,Справочно!$E27,'Отчет РПЗ(ПЗ)_ПЗИП'!$AQ:$AQ,12)</f>
        <v>0</v>
      </c>
      <c r="BR62" s="374" t="str">
        <f t="shared" si="62"/>
        <v>НД</v>
      </c>
      <c r="BS62" s="256" t="str">
        <f t="shared" si="38"/>
        <v>НД</v>
      </c>
      <c r="BT62" s="424">
        <f t="shared" si="63"/>
        <v>0</v>
      </c>
      <c r="BU62" s="335">
        <f t="shared" si="64"/>
        <v>0</v>
      </c>
      <c r="BV62" s="335">
        <f t="shared" si="39"/>
        <v>0</v>
      </c>
      <c r="BW62" s="257">
        <f t="shared" si="40"/>
        <v>0</v>
      </c>
    </row>
    <row r="63" spans="2:75" ht="15" customHeight="1" thickBot="1" x14ac:dyDescent="0.25">
      <c r="B63" s="55" t="str">
        <f>Справочно!E28</f>
        <v>АО "СИБЕР"</v>
      </c>
      <c r="C63" s="92">
        <f>ПП!B51</f>
        <v>0</v>
      </c>
      <c r="D63" s="412">
        <f>ПП!C51</f>
        <v>0</v>
      </c>
      <c r="E63" s="437">
        <f>ПП!D51</f>
        <v>0</v>
      </c>
      <c r="F63" s="297">
        <f>COUNTIFS('Отчет РПЗ(ПЗ)_ПЗИП'!$AG:$AG,"&gt;0",'Отчет РПЗ(ПЗ)_ПЗИП'!$D:$D,Справочно!$E28)</f>
        <v>0</v>
      </c>
      <c r="G63" s="438">
        <f t="shared" si="41"/>
        <v>0</v>
      </c>
      <c r="H63" s="439">
        <f>SUMIF('Отчет РПЗ(ПЗ)_ПЗИП'!$D:$D,Справочно!$E28,'Отчет РПЗ(ПЗ)_ПЗИП'!$AG:$AG)</f>
        <v>0</v>
      </c>
      <c r="I63" s="461">
        <f t="shared" si="65"/>
        <v>0</v>
      </c>
      <c r="J63" s="514" t="e">
        <f t="shared" si="42"/>
        <v>#DIV/0!</v>
      </c>
      <c r="L63" s="430">
        <f>SUMIFS('Отчет РПЗ(ПЗ)_ПЗИП'!$W:$W,'Отчет РПЗ(ПЗ)_ПЗИП'!$D:$D,Справочно!$E28,'Отчет РПЗ(ПЗ)_ПЗИП'!$N:$N,"&gt;=01.01.2017",'Отчет РПЗ(ПЗ)_ПЗИП'!$N:$N,"&lt;=31.01.2017",'Отчет РПЗ(ПЗ)_ПЗИП'!$AG:$AG,"&gt;0")</f>
        <v>0</v>
      </c>
      <c r="M63" s="328">
        <f>SUMIFS('Отчет РПЗ(ПЗ)_ПЗИП'!$AG:$AG,'Отчет РПЗ(ПЗ)_ПЗИП'!$D:$D,Справочно!$E28,'Отчет РПЗ(ПЗ)_ПЗИП'!$AQ:$AQ,1)</f>
        <v>0</v>
      </c>
      <c r="N63" s="336" t="str">
        <f t="shared" si="43"/>
        <v>НД</v>
      </c>
      <c r="O63" s="245" t="str">
        <f t="shared" si="44"/>
        <v>НД</v>
      </c>
      <c r="P63" s="425">
        <f>SUMIFS('Отчет РПЗ(ПЗ)_ПЗИП'!$W:$W,'Отчет РПЗ(ПЗ)_ПЗИП'!$D:$D,Справочно!$E28,'Отчет РПЗ(ПЗ)_ПЗИП'!$N:$N,"&gt;=01.02.2017",'Отчет РПЗ(ПЗ)_ПЗИП'!$N:$N,"&lt;=28.02.2017",'Отчет РПЗ(ПЗ)_ПЗИП'!$AG:$AG,"&gt;0")</f>
        <v>0</v>
      </c>
      <c r="Q63" s="328">
        <f>SUMIFS('Отчет РПЗ(ПЗ)_ПЗИП'!$AG:$AG,'Отчет РПЗ(ПЗ)_ПЗИП'!$D:$D,Справочно!$E28,'Отчет РПЗ(ПЗ)_ПЗИП'!$AQ:$AQ,2)</f>
        <v>0</v>
      </c>
      <c r="R63" s="336" t="str">
        <f t="shared" si="45"/>
        <v>НД</v>
      </c>
      <c r="S63" s="245" t="str">
        <f t="shared" si="46"/>
        <v>НД</v>
      </c>
      <c r="T63" s="425">
        <f>SUMIFS('Отчет РПЗ(ПЗ)_ПЗИП'!$W:$W,'Отчет РПЗ(ПЗ)_ПЗИП'!$D:$D,Справочно!$E28,'Отчет РПЗ(ПЗ)_ПЗИП'!$N:$N,"&gt;=01.03.2017",'Отчет РПЗ(ПЗ)_ПЗИП'!$N:$N,"&lt;=31.03.2017",'Отчет РПЗ(ПЗ)_ПЗИП'!$AG:$AG,"&gt;0")</f>
        <v>0</v>
      </c>
      <c r="U63" s="328">
        <f>SUMIFS('Отчет РПЗ(ПЗ)_ПЗИП'!$AG:$AG,'Отчет РПЗ(ПЗ)_ПЗИП'!$D:$D,Справочно!$E28,'Отчет РПЗ(ПЗ)_ПЗИП'!$AQ:$AQ,3)</f>
        <v>0</v>
      </c>
      <c r="V63" s="336" t="str">
        <f t="shared" si="47"/>
        <v>НД</v>
      </c>
      <c r="W63" s="245" t="str">
        <f t="shared" si="23"/>
        <v>НД</v>
      </c>
      <c r="X63" s="424">
        <f t="shared" si="48"/>
        <v>0</v>
      </c>
      <c r="Y63" s="329">
        <f t="shared" si="49"/>
        <v>0</v>
      </c>
      <c r="Z63" s="329">
        <f t="shared" si="24"/>
        <v>0</v>
      </c>
      <c r="AA63" s="247">
        <f t="shared" si="25"/>
        <v>0</v>
      </c>
      <c r="AB63" s="430">
        <f>SUMIFS('Отчет РПЗ(ПЗ)_ПЗИП'!$W:$W,'Отчет РПЗ(ПЗ)_ПЗИП'!$D:$D,Справочно!$E28,'Отчет РПЗ(ПЗ)_ПЗИП'!$N:$N,"&gt;=01.04.2017",'Отчет РПЗ(ПЗ)_ПЗИП'!$N:$N,"&lt;=30.04.2017",'Отчет РПЗ(ПЗ)_ПЗИП'!$AG:$AG,"&gt;0")</f>
        <v>0</v>
      </c>
      <c r="AC63" s="330">
        <f>SUMIFS('Отчет РПЗ(ПЗ)_ПЗИП'!$AG:$AG,'Отчет РПЗ(ПЗ)_ПЗИП'!$D:$D,Справочно!$E28,'Отчет РПЗ(ПЗ)_ПЗИП'!$AQ:$AQ,4)</f>
        <v>0</v>
      </c>
      <c r="AD63" s="330" t="str">
        <f t="shared" si="50"/>
        <v>НД</v>
      </c>
      <c r="AE63" s="246" t="str">
        <f t="shared" si="26"/>
        <v>НД</v>
      </c>
      <c r="AF63" s="429">
        <f>SUMIFS('Отчет РПЗ(ПЗ)_ПЗИП'!$W:$W,'Отчет РПЗ(ПЗ)_ПЗИП'!$D:$D,Справочно!$E28,'Отчет РПЗ(ПЗ)_ПЗИП'!$N:$N,"&gt;=01.05.2017",'Отчет РПЗ(ПЗ)_ПЗИП'!$N:$N,"&lt;=31.05.2017",'Отчет РПЗ(ПЗ)_ПЗИП'!$AG:$AG,"&gt;0")</f>
        <v>0</v>
      </c>
      <c r="AG63" s="330">
        <f>SUMIFS('Отчет РПЗ(ПЗ)_ПЗИП'!$AG:$AG,'Отчет РПЗ(ПЗ)_ПЗИП'!$D:$D,Справочно!$E28,'Отчет РПЗ(ПЗ)_ПЗИП'!$AQ:$AQ,5)</f>
        <v>0</v>
      </c>
      <c r="AH63" s="330" t="str">
        <f t="shared" si="51"/>
        <v>НД</v>
      </c>
      <c r="AI63" s="246" t="str">
        <f t="shared" si="27"/>
        <v>НД</v>
      </c>
      <c r="AJ63" s="429">
        <f>SUMIFS('Отчет РПЗ(ПЗ)_ПЗИП'!$W:$W,'Отчет РПЗ(ПЗ)_ПЗИП'!$D:$D,Справочно!$E28,'Отчет РПЗ(ПЗ)_ПЗИП'!$N:$N,"&gt;=01.06.2017",'Отчет РПЗ(ПЗ)_ПЗИП'!$N:$N,"&lt;=30.06.2017",'Отчет РПЗ(ПЗ)_ПЗИП'!$AG:$AG,"&gt;0")</f>
        <v>0</v>
      </c>
      <c r="AK63" s="330">
        <f>SUMIFS('Отчет РПЗ(ПЗ)_ПЗИП'!$AG:$AG,'Отчет РПЗ(ПЗ)_ПЗИП'!$D:$D,Справочно!$E28,'Отчет РПЗ(ПЗ)_ПЗИП'!$AQ:$AQ,6)</f>
        <v>0</v>
      </c>
      <c r="AL63" s="330" t="str">
        <f t="shared" si="52"/>
        <v>НД</v>
      </c>
      <c r="AM63" s="246" t="str">
        <f t="shared" si="28"/>
        <v>НД</v>
      </c>
      <c r="AN63" s="424">
        <f t="shared" si="53"/>
        <v>0</v>
      </c>
      <c r="AO63" s="331">
        <f t="shared" si="54"/>
        <v>0</v>
      </c>
      <c r="AP63" s="331">
        <f t="shared" si="29"/>
        <v>0</v>
      </c>
      <c r="AQ63" s="248">
        <f t="shared" si="30"/>
        <v>0</v>
      </c>
      <c r="AR63" s="430">
        <f>SUMIFS('Отчет РПЗ(ПЗ)_ПЗИП'!$W:$W,'Отчет РПЗ(ПЗ)_ПЗИП'!$D:$D,Справочно!$E28,'Отчет РПЗ(ПЗ)_ПЗИП'!$N:$N,"&gt;=01.07.2017",'Отчет РПЗ(ПЗ)_ПЗИП'!$N:$N,"&lt;=31.07.2017",'Отчет РПЗ(ПЗ)_ПЗИП'!$AG:$AG,"&gt;0")</f>
        <v>0</v>
      </c>
      <c r="AS63" s="332">
        <f>SUMIFS('Отчет РПЗ(ПЗ)_ПЗИП'!$AG:$AG,'Отчет РПЗ(ПЗ)_ПЗИП'!$D:$D,Справочно!$E28,'Отчет РПЗ(ПЗ)_ПЗИП'!$AQ:$AQ,7)</f>
        <v>0</v>
      </c>
      <c r="AT63" s="372" t="str">
        <f t="shared" si="55"/>
        <v>НД</v>
      </c>
      <c r="AU63" s="250" t="str">
        <f t="shared" si="31"/>
        <v>НД</v>
      </c>
      <c r="AV63" s="425">
        <f>SUMIFS('Отчет РПЗ(ПЗ)_ПЗИП'!$W:$W,'Отчет РПЗ(ПЗ)_ПЗИП'!$D:$D,Справочно!$E28,'Отчет РПЗ(ПЗ)_ПЗИП'!$N:$N,"&gt;=01.08.2017",'Отчет РПЗ(ПЗ)_ПЗИП'!$N:$N,"&lt;=31.08.2017",'Отчет РПЗ(ПЗ)_ПЗИП'!$AG:$AG,"&gt;0")</f>
        <v>0</v>
      </c>
      <c r="AW63" s="332">
        <f>SUMIFS('Отчет РПЗ(ПЗ)_ПЗИП'!$AG:$AG,'Отчет РПЗ(ПЗ)_ПЗИП'!$D:$D,Справочно!$E28,'Отчет РПЗ(ПЗ)_ПЗИП'!$AQ:$AQ,8)</f>
        <v>0</v>
      </c>
      <c r="AX63" s="372" t="str">
        <f t="shared" si="56"/>
        <v>НД</v>
      </c>
      <c r="AY63" s="250" t="str">
        <f t="shared" si="32"/>
        <v>НД</v>
      </c>
      <c r="AZ63" s="425">
        <f>SUMIFS('Отчет РПЗ(ПЗ)_ПЗИП'!$W:$W,'Отчет РПЗ(ПЗ)_ПЗИП'!$D:$D,Справочно!$E28,'Отчет РПЗ(ПЗ)_ПЗИП'!$N:$N,"&gt;=01.09.2017",'Отчет РПЗ(ПЗ)_ПЗИП'!$N:$N,"&lt;=30.09.2017",'Отчет РПЗ(ПЗ)_ПЗИП'!$AG:$AG,"&gt;0")</f>
        <v>0</v>
      </c>
      <c r="BA63" s="332">
        <f>SUMIFS('Отчет РПЗ(ПЗ)_ПЗИП'!$AG:$AG,'Отчет РПЗ(ПЗ)_ПЗИП'!$D:$D,Справочно!$E28,'Отчет РПЗ(ПЗ)_ПЗИП'!$AQ:$AQ,9)</f>
        <v>0</v>
      </c>
      <c r="BB63" s="372" t="str">
        <f t="shared" si="57"/>
        <v>НД</v>
      </c>
      <c r="BC63" s="250" t="str">
        <f t="shared" si="33"/>
        <v>НД</v>
      </c>
      <c r="BD63" s="424">
        <f t="shared" si="58"/>
        <v>0</v>
      </c>
      <c r="BE63" s="333">
        <f t="shared" si="59"/>
        <v>0</v>
      </c>
      <c r="BF63" s="333">
        <f t="shared" si="34"/>
        <v>0</v>
      </c>
      <c r="BG63" s="252">
        <f t="shared" si="35"/>
        <v>0</v>
      </c>
      <c r="BH63" s="414">
        <f>SUMIFS('Отчет РПЗ(ПЗ)_ПЗИП'!$W:$W,'Отчет РПЗ(ПЗ)_ПЗИП'!$D:$D,Справочно!$E28,'Отчет РПЗ(ПЗ)_ПЗИП'!$N:$N,"&gt;=01.10.2017",'Отчет РПЗ(ПЗ)_ПЗИП'!$N:$N,"&lt;=31.10.2017",'Отчет РПЗ(ПЗ)_ПЗИП'!$AG:$AG,"&gt;0")</f>
        <v>0</v>
      </c>
      <c r="BI63" s="334">
        <f>SUMIFS('Отчет РПЗ(ПЗ)_ПЗИП'!$AG:$AG,'Отчет РПЗ(ПЗ)_ПЗИП'!$D:$D,Справочно!$E28,'Отчет РПЗ(ПЗ)_ПЗИП'!$AQ:$AQ,10)</f>
        <v>0</v>
      </c>
      <c r="BJ63" s="374" t="str">
        <f t="shared" si="60"/>
        <v>НД</v>
      </c>
      <c r="BK63" s="254" t="str">
        <f t="shared" si="36"/>
        <v>НД</v>
      </c>
      <c r="BL63" s="429">
        <f>SUMIFS('Отчет РПЗ(ПЗ)_ПЗИП'!$W:$W,'Отчет РПЗ(ПЗ)_ПЗИП'!$D:$D,Справочно!$E28,'Отчет РПЗ(ПЗ)_ПЗИП'!$N:$N,"&gt;=01.11.2017",'Отчет РПЗ(ПЗ)_ПЗИП'!$N:$N,"&lt;=30.11.2017",'Отчет РПЗ(ПЗ)_ПЗИП'!$AG:$AG,"&gt;0")</f>
        <v>0</v>
      </c>
      <c r="BM63" s="334">
        <f>SUMIFS('Отчет РПЗ(ПЗ)_ПЗИП'!$AG:$AG,'Отчет РПЗ(ПЗ)_ПЗИП'!$D:$D,Справочно!$E28,'Отчет РПЗ(ПЗ)_ПЗИП'!$AQ:$AQ,11)</f>
        <v>0</v>
      </c>
      <c r="BN63" s="374" t="str">
        <f t="shared" si="61"/>
        <v>НД</v>
      </c>
      <c r="BO63" s="254" t="str">
        <f t="shared" si="37"/>
        <v>НД</v>
      </c>
      <c r="BP63" s="429">
        <f>SUMIFS('Отчет РПЗ(ПЗ)_ПЗИП'!$W:$W,'Отчет РПЗ(ПЗ)_ПЗИП'!$D:$D,Справочно!$E28,'Отчет РПЗ(ПЗ)_ПЗИП'!$N:$N,"&gt;=01.12.2017",'Отчет РПЗ(ПЗ)_ПЗИП'!$N:$N,"&lt;=31.12.2017",'Отчет РПЗ(ПЗ)_ПЗИП'!$AG:$AG,"&gt;0")</f>
        <v>0</v>
      </c>
      <c r="BQ63" s="334">
        <f>SUMIFS('Отчет РПЗ(ПЗ)_ПЗИП'!$AG:$AG,'Отчет РПЗ(ПЗ)_ПЗИП'!$D:$D,Справочно!$E28,'Отчет РПЗ(ПЗ)_ПЗИП'!$AQ:$AQ,12)</f>
        <v>0</v>
      </c>
      <c r="BR63" s="374" t="str">
        <f t="shared" si="62"/>
        <v>НД</v>
      </c>
      <c r="BS63" s="256" t="str">
        <f t="shared" si="38"/>
        <v>НД</v>
      </c>
      <c r="BT63" s="424">
        <f t="shared" si="63"/>
        <v>0</v>
      </c>
      <c r="BU63" s="335">
        <f t="shared" si="64"/>
        <v>0</v>
      </c>
      <c r="BV63" s="335">
        <f t="shared" si="39"/>
        <v>0</v>
      </c>
      <c r="BW63" s="257">
        <f t="shared" si="40"/>
        <v>0</v>
      </c>
    </row>
    <row r="64" spans="2:75" ht="13.5" thickBot="1" x14ac:dyDescent="0.25">
      <c r="B64" s="55" t="str">
        <f>Справочно!E29</f>
        <v>АО "Объединенная двигателестроительная корпорация"</v>
      </c>
      <c r="C64" s="92">
        <f>ПП!B52</f>
        <v>0</v>
      </c>
      <c r="D64" s="412">
        <f>ПП!C52</f>
        <v>0</v>
      </c>
      <c r="E64" s="437">
        <f>ПП!D52</f>
        <v>0</v>
      </c>
      <c r="F64" s="297">
        <f>COUNTIFS('Отчет РПЗ(ПЗ)_ПЗИП'!$AG:$AG,"&gt;0",'Отчет РПЗ(ПЗ)_ПЗИП'!$D:$D,Справочно!$E29)</f>
        <v>0</v>
      </c>
      <c r="G64" s="438">
        <f t="shared" si="41"/>
        <v>0</v>
      </c>
      <c r="H64" s="439">
        <f>SUMIF('Отчет РПЗ(ПЗ)_ПЗИП'!$D:$D,Справочно!$E29,'Отчет РПЗ(ПЗ)_ПЗИП'!$AG:$AG)</f>
        <v>0</v>
      </c>
      <c r="I64" s="461">
        <f t="shared" si="65"/>
        <v>0</v>
      </c>
      <c r="J64" s="514" t="e">
        <f t="shared" si="42"/>
        <v>#DIV/0!</v>
      </c>
      <c r="L64" s="430">
        <f>SUMIFS('Отчет РПЗ(ПЗ)_ПЗИП'!$W:$W,'Отчет РПЗ(ПЗ)_ПЗИП'!$D:$D,Справочно!$E29,'Отчет РПЗ(ПЗ)_ПЗИП'!$N:$N,"&gt;=01.01.2017",'Отчет РПЗ(ПЗ)_ПЗИП'!$N:$N,"&lt;=31.01.2017",'Отчет РПЗ(ПЗ)_ПЗИП'!$AG:$AG,"&gt;0")</f>
        <v>0</v>
      </c>
      <c r="M64" s="328">
        <f>SUMIFS('Отчет РПЗ(ПЗ)_ПЗИП'!$AG:$AG,'Отчет РПЗ(ПЗ)_ПЗИП'!$D:$D,Справочно!$E29,'Отчет РПЗ(ПЗ)_ПЗИП'!$AQ:$AQ,1)</f>
        <v>0</v>
      </c>
      <c r="N64" s="336" t="str">
        <f t="shared" si="43"/>
        <v>НД</v>
      </c>
      <c r="O64" s="245" t="str">
        <f t="shared" si="44"/>
        <v>НД</v>
      </c>
      <c r="P64" s="425">
        <f>SUMIFS('Отчет РПЗ(ПЗ)_ПЗИП'!$W:$W,'Отчет РПЗ(ПЗ)_ПЗИП'!$D:$D,Справочно!$E29,'Отчет РПЗ(ПЗ)_ПЗИП'!$N:$N,"&gt;=01.02.2017",'Отчет РПЗ(ПЗ)_ПЗИП'!$N:$N,"&lt;=28.02.2017",'Отчет РПЗ(ПЗ)_ПЗИП'!$AG:$AG,"&gt;0")</f>
        <v>0</v>
      </c>
      <c r="Q64" s="328">
        <f>SUMIFS('Отчет РПЗ(ПЗ)_ПЗИП'!$AG:$AG,'Отчет РПЗ(ПЗ)_ПЗИП'!$D:$D,Справочно!$E29,'Отчет РПЗ(ПЗ)_ПЗИП'!$AQ:$AQ,2)</f>
        <v>0</v>
      </c>
      <c r="R64" s="336" t="str">
        <f t="shared" si="45"/>
        <v>НД</v>
      </c>
      <c r="S64" s="245" t="str">
        <f t="shared" si="46"/>
        <v>НД</v>
      </c>
      <c r="T64" s="425">
        <f>SUMIFS('Отчет РПЗ(ПЗ)_ПЗИП'!$W:$W,'Отчет РПЗ(ПЗ)_ПЗИП'!$D:$D,Справочно!$E29,'Отчет РПЗ(ПЗ)_ПЗИП'!$N:$N,"&gt;=01.03.2017",'Отчет РПЗ(ПЗ)_ПЗИП'!$N:$N,"&lt;=31.03.2017",'Отчет РПЗ(ПЗ)_ПЗИП'!$AG:$AG,"&gt;0")</f>
        <v>0</v>
      </c>
      <c r="U64" s="328">
        <f>SUMIFS('Отчет РПЗ(ПЗ)_ПЗИП'!$AG:$AG,'Отчет РПЗ(ПЗ)_ПЗИП'!$D:$D,Справочно!$E29,'Отчет РПЗ(ПЗ)_ПЗИП'!$AQ:$AQ,3)</f>
        <v>0</v>
      </c>
      <c r="V64" s="336" t="str">
        <f t="shared" si="47"/>
        <v>НД</v>
      </c>
      <c r="W64" s="245" t="str">
        <f t="shared" si="23"/>
        <v>НД</v>
      </c>
      <c r="X64" s="424">
        <f t="shared" si="48"/>
        <v>0</v>
      </c>
      <c r="Y64" s="329">
        <f t="shared" si="49"/>
        <v>0</v>
      </c>
      <c r="Z64" s="329">
        <f t="shared" si="24"/>
        <v>0</v>
      </c>
      <c r="AA64" s="247">
        <f t="shared" si="25"/>
        <v>0</v>
      </c>
      <c r="AB64" s="430">
        <f>SUMIFS('Отчет РПЗ(ПЗ)_ПЗИП'!$W:$W,'Отчет РПЗ(ПЗ)_ПЗИП'!$D:$D,Справочно!$E29,'Отчет РПЗ(ПЗ)_ПЗИП'!$N:$N,"&gt;=01.04.2017",'Отчет РПЗ(ПЗ)_ПЗИП'!$N:$N,"&lt;=30.04.2017",'Отчет РПЗ(ПЗ)_ПЗИП'!$AG:$AG,"&gt;0")</f>
        <v>0</v>
      </c>
      <c r="AC64" s="330">
        <f>SUMIFS('Отчет РПЗ(ПЗ)_ПЗИП'!$AG:$AG,'Отчет РПЗ(ПЗ)_ПЗИП'!$D:$D,Справочно!$E29,'Отчет РПЗ(ПЗ)_ПЗИП'!$AQ:$AQ,4)</f>
        <v>0</v>
      </c>
      <c r="AD64" s="330" t="str">
        <f t="shared" si="50"/>
        <v>НД</v>
      </c>
      <c r="AE64" s="246" t="str">
        <f t="shared" si="26"/>
        <v>НД</v>
      </c>
      <c r="AF64" s="429">
        <f>SUMIFS('Отчет РПЗ(ПЗ)_ПЗИП'!$W:$W,'Отчет РПЗ(ПЗ)_ПЗИП'!$D:$D,Справочно!$E29,'Отчет РПЗ(ПЗ)_ПЗИП'!$N:$N,"&gt;=01.05.2017",'Отчет РПЗ(ПЗ)_ПЗИП'!$N:$N,"&lt;=31.05.2017",'Отчет РПЗ(ПЗ)_ПЗИП'!$AG:$AG,"&gt;0")</f>
        <v>0</v>
      </c>
      <c r="AG64" s="330">
        <f>SUMIFS('Отчет РПЗ(ПЗ)_ПЗИП'!$AG:$AG,'Отчет РПЗ(ПЗ)_ПЗИП'!$D:$D,Справочно!$E29,'Отчет РПЗ(ПЗ)_ПЗИП'!$AQ:$AQ,5)</f>
        <v>0</v>
      </c>
      <c r="AH64" s="330" t="str">
        <f t="shared" si="51"/>
        <v>НД</v>
      </c>
      <c r="AI64" s="246" t="str">
        <f t="shared" si="27"/>
        <v>НД</v>
      </c>
      <c r="AJ64" s="429">
        <f>SUMIFS('Отчет РПЗ(ПЗ)_ПЗИП'!$W:$W,'Отчет РПЗ(ПЗ)_ПЗИП'!$D:$D,Справочно!$E29,'Отчет РПЗ(ПЗ)_ПЗИП'!$N:$N,"&gt;=01.06.2017",'Отчет РПЗ(ПЗ)_ПЗИП'!$N:$N,"&lt;=30.06.2017",'Отчет РПЗ(ПЗ)_ПЗИП'!$AG:$AG,"&gt;0")</f>
        <v>0</v>
      </c>
      <c r="AK64" s="330">
        <f>SUMIFS('Отчет РПЗ(ПЗ)_ПЗИП'!$AG:$AG,'Отчет РПЗ(ПЗ)_ПЗИП'!$D:$D,Справочно!$E29,'Отчет РПЗ(ПЗ)_ПЗИП'!$AQ:$AQ,6)</f>
        <v>0</v>
      </c>
      <c r="AL64" s="330" t="str">
        <f t="shared" si="52"/>
        <v>НД</v>
      </c>
      <c r="AM64" s="246" t="str">
        <f t="shared" si="28"/>
        <v>НД</v>
      </c>
      <c r="AN64" s="424">
        <f t="shared" si="53"/>
        <v>0</v>
      </c>
      <c r="AO64" s="331">
        <f t="shared" si="54"/>
        <v>0</v>
      </c>
      <c r="AP64" s="331">
        <f t="shared" si="29"/>
        <v>0</v>
      </c>
      <c r="AQ64" s="248">
        <f t="shared" si="30"/>
        <v>0</v>
      </c>
      <c r="AR64" s="430">
        <f>SUMIFS('Отчет РПЗ(ПЗ)_ПЗИП'!$W:$W,'Отчет РПЗ(ПЗ)_ПЗИП'!$D:$D,Справочно!$E29,'Отчет РПЗ(ПЗ)_ПЗИП'!$N:$N,"&gt;=01.07.2017",'Отчет РПЗ(ПЗ)_ПЗИП'!$N:$N,"&lt;=31.07.2017",'Отчет РПЗ(ПЗ)_ПЗИП'!$AG:$AG,"&gt;0")</f>
        <v>0</v>
      </c>
      <c r="AS64" s="332">
        <f>SUMIFS('Отчет РПЗ(ПЗ)_ПЗИП'!$AG:$AG,'Отчет РПЗ(ПЗ)_ПЗИП'!$D:$D,Справочно!$E29,'Отчет РПЗ(ПЗ)_ПЗИП'!$AQ:$AQ,7)</f>
        <v>0</v>
      </c>
      <c r="AT64" s="372" t="str">
        <f t="shared" si="55"/>
        <v>НД</v>
      </c>
      <c r="AU64" s="250" t="str">
        <f t="shared" si="31"/>
        <v>НД</v>
      </c>
      <c r="AV64" s="425">
        <f>SUMIFS('Отчет РПЗ(ПЗ)_ПЗИП'!$W:$W,'Отчет РПЗ(ПЗ)_ПЗИП'!$D:$D,Справочно!$E29,'Отчет РПЗ(ПЗ)_ПЗИП'!$N:$N,"&gt;=01.08.2017",'Отчет РПЗ(ПЗ)_ПЗИП'!$N:$N,"&lt;=31.08.2017",'Отчет РПЗ(ПЗ)_ПЗИП'!$AG:$AG,"&gt;0")</f>
        <v>0</v>
      </c>
      <c r="AW64" s="332">
        <f>SUMIFS('Отчет РПЗ(ПЗ)_ПЗИП'!$AG:$AG,'Отчет РПЗ(ПЗ)_ПЗИП'!$D:$D,Справочно!$E29,'Отчет РПЗ(ПЗ)_ПЗИП'!$AQ:$AQ,8)</f>
        <v>0</v>
      </c>
      <c r="AX64" s="372" t="str">
        <f t="shared" si="56"/>
        <v>НД</v>
      </c>
      <c r="AY64" s="250" t="str">
        <f t="shared" si="32"/>
        <v>НД</v>
      </c>
      <c r="AZ64" s="425">
        <f>SUMIFS('Отчет РПЗ(ПЗ)_ПЗИП'!$W:$W,'Отчет РПЗ(ПЗ)_ПЗИП'!$D:$D,Справочно!$E29,'Отчет РПЗ(ПЗ)_ПЗИП'!$N:$N,"&gt;=01.09.2017",'Отчет РПЗ(ПЗ)_ПЗИП'!$N:$N,"&lt;=30.09.2017",'Отчет РПЗ(ПЗ)_ПЗИП'!$AG:$AG,"&gt;0")</f>
        <v>0</v>
      </c>
      <c r="BA64" s="332">
        <f>SUMIFS('Отчет РПЗ(ПЗ)_ПЗИП'!$AG:$AG,'Отчет РПЗ(ПЗ)_ПЗИП'!$D:$D,Справочно!$E29,'Отчет РПЗ(ПЗ)_ПЗИП'!$AQ:$AQ,9)</f>
        <v>0</v>
      </c>
      <c r="BB64" s="372" t="str">
        <f t="shared" si="57"/>
        <v>НД</v>
      </c>
      <c r="BC64" s="250" t="str">
        <f t="shared" si="33"/>
        <v>НД</v>
      </c>
      <c r="BD64" s="424">
        <f t="shared" si="58"/>
        <v>0</v>
      </c>
      <c r="BE64" s="333">
        <f t="shared" si="59"/>
        <v>0</v>
      </c>
      <c r="BF64" s="333">
        <f t="shared" si="34"/>
        <v>0</v>
      </c>
      <c r="BG64" s="252">
        <f t="shared" si="35"/>
        <v>0</v>
      </c>
      <c r="BH64" s="414">
        <f>SUMIFS('Отчет РПЗ(ПЗ)_ПЗИП'!$W:$W,'Отчет РПЗ(ПЗ)_ПЗИП'!$D:$D,Справочно!$E29,'Отчет РПЗ(ПЗ)_ПЗИП'!$N:$N,"&gt;=01.10.2017",'Отчет РПЗ(ПЗ)_ПЗИП'!$N:$N,"&lt;=31.10.2017",'Отчет РПЗ(ПЗ)_ПЗИП'!$AG:$AG,"&gt;0")</f>
        <v>0</v>
      </c>
      <c r="BI64" s="334">
        <f>SUMIFS('Отчет РПЗ(ПЗ)_ПЗИП'!$AG:$AG,'Отчет РПЗ(ПЗ)_ПЗИП'!$D:$D,Справочно!$E29,'Отчет РПЗ(ПЗ)_ПЗИП'!$AQ:$AQ,10)</f>
        <v>0</v>
      </c>
      <c r="BJ64" s="374" t="str">
        <f t="shared" si="60"/>
        <v>НД</v>
      </c>
      <c r="BK64" s="254" t="str">
        <f t="shared" si="36"/>
        <v>НД</v>
      </c>
      <c r="BL64" s="429">
        <f>SUMIFS('Отчет РПЗ(ПЗ)_ПЗИП'!$W:$W,'Отчет РПЗ(ПЗ)_ПЗИП'!$D:$D,Справочно!$E29,'Отчет РПЗ(ПЗ)_ПЗИП'!$N:$N,"&gt;=01.11.2017",'Отчет РПЗ(ПЗ)_ПЗИП'!$N:$N,"&lt;=30.11.2017",'Отчет РПЗ(ПЗ)_ПЗИП'!$AG:$AG,"&gt;0")</f>
        <v>0</v>
      </c>
      <c r="BM64" s="334">
        <f>SUMIFS('Отчет РПЗ(ПЗ)_ПЗИП'!$AG:$AG,'Отчет РПЗ(ПЗ)_ПЗИП'!$D:$D,Справочно!$E29,'Отчет РПЗ(ПЗ)_ПЗИП'!$AQ:$AQ,11)</f>
        <v>0</v>
      </c>
      <c r="BN64" s="374" t="str">
        <f t="shared" si="61"/>
        <v>НД</v>
      </c>
      <c r="BO64" s="254" t="str">
        <f t="shared" si="37"/>
        <v>НД</v>
      </c>
      <c r="BP64" s="429">
        <f>SUMIFS('Отчет РПЗ(ПЗ)_ПЗИП'!$W:$W,'Отчет РПЗ(ПЗ)_ПЗИП'!$D:$D,Справочно!$E29,'Отчет РПЗ(ПЗ)_ПЗИП'!$N:$N,"&gt;=01.12.2017",'Отчет РПЗ(ПЗ)_ПЗИП'!$N:$N,"&lt;=31.12.2017",'Отчет РПЗ(ПЗ)_ПЗИП'!$AG:$AG,"&gt;0")</f>
        <v>0</v>
      </c>
      <c r="BQ64" s="334">
        <f>SUMIFS('Отчет РПЗ(ПЗ)_ПЗИП'!$AG:$AG,'Отчет РПЗ(ПЗ)_ПЗИП'!$D:$D,Справочно!$E29,'Отчет РПЗ(ПЗ)_ПЗИП'!$AQ:$AQ,12)</f>
        <v>0</v>
      </c>
      <c r="BR64" s="374" t="str">
        <f t="shared" si="62"/>
        <v>НД</v>
      </c>
      <c r="BS64" s="256" t="str">
        <f t="shared" si="38"/>
        <v>НД</v>
      </c>
      <c r="BT64" s="424">
        <f t="shared" si="63"/>
        <v>0</v>
      </c>
      <c r="BU64" s="335">
        <f t="shared" si="64"/>
        <v>0</v>
      </c>
      <c r="BV64" s="335">
        <f t="shared" si="39"/>
        <v>0</v>
      </c>
      <c r="BW64" s="257">
        <f t="shared" si="40"/>
        <v>0</v>
      </c>
    </row>
    <row r="65" spans="2:75" ht="15" customHeight="1" thickBot="1" x14ac:dyDescent="0.25">
      <c r="B65" s="55" t="str">
        <f>Справочно!E30</f>
        <v>ООО "РТ-Информ"</v>
      </c>
      <c r="C65" s="92">
        <f>ПП!B53</f>
        <v>0</v>
      </c>
      <c r="D65" s="412">
        <f>ПП!C53</f>
        <v>0</v>
      </c>
      <c r="E65" s="437">
        <f>ПП!D53</f>
        <v>0</v>
      </c>
      <c r="F65" s="297">
        <f>COUNTIFS('Отчет РПЗ(ПЗ)_ПЗИП'!$AG:$AG,"&gt;0",'Отчет РПЗ(ПЗ)_ПЗИП'!$D:$D,Справочно!$E30)</f>
        <v>0</v>
      </c>
      <c r="G65" s="438">
        <f t="shared" si="41"/>
        <v>0</v>
      </c>
      <c r="H65" s="439">
        <f>SUMIF('Отчет РПЗ(ПЗ)_ПЗИП'!$D:$D,Справочно!$E30,'Отчет РПЗ(ПЗ)_ПЗИП'!$AG:$AG)</f>
        <v>0</v>
      </c>
      <c r="I65" s="461">
        <f t="shared" si="65"/>
        <v>0</v>
      </c>
      <c r="J65" s="514" t="e">
        <f t="shared" si="42"/>
        <v>#DIV/0!</v>
      </c>
      <c r="L65" s="430">
        <f>SUMIFS('Отчет РПЗ(ПЗ)_ПЗИП'!$W:$W,'Отчет РПЗ(ПЗ)_ПЗИП'!$D:$D,Справочно!$E30,'Отчет РПЗ(ПЗ)_ПЗИП'!$N:$N,"&gt;=01.01.2017",'Отчет РПЗ(ПЗ)_ПЗИП'!$N:$N,"&lt;=31.01.2017",'Отчет РПЗ(ПЗ)_ПЗИП'!$AG:$AG,"&gt;0")</f>
        <v>0</v>
      </c>
      <c r="M65" s="328">
        <f>SUMIFS('Отчет РПЗ(ПЗ)_ПЗИП'!$AG:$AG,'Отчет РПЗ(ПЗ)_ПЗИП'!$D:$D,Справочно!$E30,'Отчет РПЗ(ПЗ)_ПЗИП'!$AQ:$AQ,1)</f>
        <v>0</v>
      </c>
      <c r="N65" s="336" t="str">
        <f t="shared" si="43"/>
        <v>НД</v>
      </c>
      <c r="O65" s="245" t="str">
        <f t="shared" si="44"/>
        <v>НД</v>
      </c>
      <c r="P65" s="425">
        <f>SUMIFS('Отчет РПЗ(ПЗ)_ПЗИП'!$W:$W,'Отчет РПЗ(ПЗ)_ПЗИП'!$D:$D,Справочно!$E30,'Отчет РПЗ(ПЗ)_ПЗИП'!$N:$N,"&gt;=01.02.2017",'Отчет РПЗ(ПЗ)_ПЗИП'!$N:$N,"&lt;=28.02.2017",'Отчет РПЗ(ПЗ)_ПЗИП'!$AG:$AG,"&gt;0")</f>
        <v>0</v>
      </c>
      <c r="Q65" s="328">
        <f>SUMIFS('Отчет РПЗ(ПЗ)_ПЗИП'!$AG:$AG,'Отчет РПЗ(ПЗ)_ПЗИП'!$D:$D,Справочно!$E30,'Отчет РПЗ(ПЗ)_ПЗИП'!$AQ:$AQ,2)</f>
        <v>0</v>
      </c>
      <c r="R65" s="336" t="str">
        <f t="shared" si="45"/>
        <v>НД</v>
      </c>
      <c r="S65" s="245" t="str">
        <f t="shared" si="46"/>
        <v>НД</v>
      </c>
      <c r="T65" s="425">
        <f>SUMIFS('Отчет РПЗ(ПЗ)_ПЗИП'!$W:$W,'Отчет РПЗ(ПЗ)_ПЗИП'!$D:$D,Справочно!$E30,'Отчет РПЗ(ПЗ)_ПЗИП'!$N:$N,"&gt;=01.03.2017",'Отчет РПЗ(ПЗ)_ПЗИП'!$N:$N,"&lt;=31.03.2017",'Отчет РПЗ(ПЗ)_ПЗИП'!$AG:$AG,"&gt;0")</f>
        <v>0</v>
      </c>
      <c r="U65" s="328">
        <f>SUMIFS('Отчет РПЗ(ПЗ)_ПЗИП'!$AG:$AG,'Отчет РПЗ(ПЗ)_ПЗИП'!$D:$D,Справочно!$E30,'Отчет РПЗ(ПЗ)_ПЗИП'!$AQ:$AQ,3)</f>
        <v>0</v>
      </c>
      <c r="V65" s="336" t="str">
        <f t="shared" si="47"/>
        <v>НД</v>
      </c>
      <c r="W65" s="245" t="str">
        <f t="shared" si="23"/>
        <v>НД</v>
      </c>
      <c r="X65" s="424">
        <f t="shared" si="48"/>
        <v>0</v>
      </c>
      <c r="Y65" s="329">
        <f t="shared" si="49"/>
        <v>0</v>
      </c>
      <c r="Z65" s="329">
        <f t="shared" si="24"/>
        <v>0</v>
      </c>
      <c r="AA65" s="247">
        <f t="shared" si="25"/>
        <v>0</v>
      </c>
      <c r="AB65" s="430">
        <f>SUMIFS('Отчет РПЗ(ПЗ)_ПЗИП'!$W:$W,'Отчет РПЗ(ПЗ)_ПЗИП'!$D:$D,Справочно!$E30,'Отчет РПЗ(ПЗ)_ПЗИП'!$N:$N,"&gt;=01.04.2017",'Отчет РПЗ(ПЗ)_ПЗИП'!$N:$N,"&lt;=30.04.2017",'Отчет РПЗ(ПЗ)_ПЗИП'!$AG:$AG,"&gt;0")</f>
        <v>0</v>
      </c>
      <c r="AC65" s="330">
        <f>SUMIFS('Отчет РПЗ(ПЗ)_ПЗИП'!$AG:$AG,'Отчет РПЗ(ПЗ)_ПЗИП'!$D:$D,Справочно!$E30,'Отчет РПЗ(ПЗ)_ПЗИП'!$AQ:$AQ,4)</f>
        <v>0</v>
      </c>
      <c r="AD65" s="330" t="str">
        <f t="shared" si="50"/>
        <v>НД</v>
      </c>
      <c r="AE65" s="246" t="str">
        <f t="shared" si="26"/>
        <v>НД</v>
      </c>
      <c r="AF65" s="429">
        <f>SUMIFS('Отчет РПЗ(ПЗ)_ПЗИП'!$W:$W,'Отчет РПЗ(ПЗ)_ПЗИП'!$D:$D,Справочно!$E30,'Отчет РПЗ(ПЗ)_ПЗИП'!$N:$N,"&gt;=01.05.2017",'Отчет РПЗ(ПЗ)_ПЗИП'!$N:$N,"&lt;=31.05.2017",'Отчет РПЗ(ПЗ)_ПЗИП'!$AG:$AG,"&gt;0")</f>
        <v>0</v>
      </c>
      <c r="AG65" s="330">
        <f>SUMIFS('Отчет РПЗ(ПЗ)_ПЗИП'!$AG:$AG,'Отчет РПЗ(ПЗ)_ПЗИП'!$D:$D,Справочно!$E30,'Отчет РПЗ(ПЗ)_ПЗИП'!$AQ:$AQ,5)</f>
        <v>0</v>
      </c>
      <c r="AH65" s="330" t="str">
        <f t="shared" si="51"/>
        <v>НД</v>
      </c>
      <c r="AI65" s="246" t="str">
        <f t="shared" si="27"/>
        <v>НД</v>
      </c>
      <c r="AJ65" s="429">
        <f>SUMIFS('Отчет РПЗ(ПЗ)_ПЗИП'!$W:$W,'Отчет РПЗ(ПЗ)_ПЗИП'!$D:$D,Справочно!$E30,'Отчет РПЗ(ПЗ)_ПЗИП'!$N:$N,"&gt;=01.06.2017",'Отчет РПЗ(ПЗ)_ПЗИП'!$N:$N,"&lt;=30.06.2017",'Отчет РПЗ(ПЗ)_ПЗИП'!$AG:$AG,"&gt;0")</f>
        <v>0</v>
      </c>
      <c r="AK65" s="330">
        <f>SUMIFS('Отчет РПЗ(ПЗ)_ПЗИП'!$AG:$AG,'Отчет РПЗ(ПЗ)_ПЗИП'!$D:$D,Справочно!$E30,'Отчет РПЗ(ПЗ)_ПЗИП'!$AQ:$AQ,6)</f>
        <v>0</v>
      </c>
      <c r="AL65" s="330" t="str">
        <f t="shared" si="52"/>
        <v>НД</v>
      </c>
      <c r="AM65" s="246" t="str">
        <f t="shared" si="28"/>
        <v>НД</v>
      </c>
      <c r="AN65" s="424">
        <f t="shared" si="53"/>
        <v>0</v>
      </c>
      <c r="AO65" s="331">
        <f t="shared" si="54"/>
        <v>0</v>
      </c>
      <c r="AP65" s="331">
        <f t="shared" si="29"/>
        <v>0</v>
      </c>
      <c r="AQ65" s="248">
        <f t="shared" si="30"/>
        <v>0</v>
      </c>
      <c r="AR65" s="430">
        <f>SUMIFS('Отчет РПЗ(ПЗ)_ПЗИП'!$W:$W,'Отчет РПЗ(ПЗ)_ПЗИП'!$D:$D,Справочно!$E30,'Отчет РПЗ(ПЗ)_ПЗИП'!$N:$N,"&gt;=01.07.2017",'Отчет РПЗ(ПЗ)_ПЗИП'!$N:$N,"&lt;=31.07.2017",'Отчет РПЗ(ПЗ)_ПЗИП'!$AG:$AG,"&gt;0")</f>
        <v>0</v>
      </c>
      <c r="AS65" s="332">
        <f>SUMIFS('Отчет РПЗ(ПЗ)_ПЗИП'!$AG:$AG,'Отчет РПЗ(ПЗ)_ПЗИП'!$D:$D,Справочно!$E30,'Отчет РПЗ(ПЗ)_ПЗИП'!$AQ:$AQ,7)</f>
        <v>0</v>
      </c>
      <c r="AT65" s="372" t="str">
        <f t="shared" si="55"/>
        <v>НД</v>
      </c>
      <c r="AU65" s="250" t="str">
        <f t="shared" si="31"/>
        <v>НД</v>
      </c>
      <c r="AV65" s="425">
        <f>SUMIFS('Отчет РПЗ(ПЗ)_ПЗИП'!$W:$W,'Отчет РПЗ(ПЗ)_ПЗИП'!$D:$D,Справочно!$E30,'Отчет РПЗ(ПЗ)_ПЗИП'!$N:$N,"&gt;=01.08.2017",'Отчет РПЗ(ПЗ)_ПЗИП'!$N:$N,"&lt;=31.08.2017",'Отчет РПЗ(ПЗ)_ПЗИП'!$AG:$AG,"&gt;0")</f>
        <v>0</v>
      </c>
      <c r="AW65" s="332">
        <f>SUMIFS('Отчет РПЗ(ПЗ)_ПЗИП'!$AG:$AG,'Отчет РПЗ(ПЗ)_ПЗИП'!$D:$D,Справочно!$E30,'Отчет РПЗ(ПЗ)_ПЗИП'!$AQ:$AQ,8)</f>
        <v>0</v>
      </c>
      <c r="AX65" s="372" t="str">
        <f t="shared" si="56"/>
        <v>НД</v>
      </c>
      <c r="AY65" s="250" t="str">
        <f t="shared" si="32"/>
        <v>НД</v>
      </c>
      <c r="AZ65" s="425">
        <f>SUMIFS('Отчет РПЗ(ПЗ)_ПЗИП'!$W:$W,'Отчет РПЗ(ПЗ)_ПЗИП'!$D:$D,Справочно!$E30,'Отчет РПЗ(ПЗ)_ПЗИП'!$N:$N,"&gt;=01.09.2017",'Отчет РПЗ(ПЗ)_ПЗИП'!$N:$N,"&lt;=30.09.2017",'Отчет РПЗ(ПЗ)_ПЗИП'!$AG:$AG,"&gt;0")</f>
        <v>0</v>
      </c>
      <c r="BA65" s="332">
        <f>SUMIFS('Отчет РПЗ(ПЗ)_ПЗИП'!$AG:$AG,'Отчет РПЗ(ПЗ)_ПЗИП'!$D:$D,Справочно!$E30,'Отчет РПЗ(ПЗ)_ПЗИП'!$AQ:$AQ,9)</f>
        <v>0</v>
      </c>
      <c r="BB65" s="372" t="str">
        <f t="shared" si="57"/>
        <v>НД</v>
      </c>
      <c r="BC65" s="250" t="str">
        <f t="shared" si="33"/>
        <v>НД</v>
      </c>
      <c r="BD65" s="424">
        <f t="shared" si="58"/>
        <v>0</v>
      </c>
      <c r="BE65" s="333">
        <f t="shared" si="59"/>
        <v>0</v>
      </c>
      <c r="BF65" s="333">
        <f t="shared" si="34"/>
        <v>0</v>
      </c>
      <c r="BG65" s="252">
        <f t="shared" si="35"/>
        <v>0</v>
      </c>
      <c r="BH65" s="414">
        <f>SUMIFS('Отчет РПЗ(ПЗ)_ПЗИП'!$W:$W,'Отчет РПЗ(ПЗ)_ПЗИП'!$D:$D,Справочно!$E30,'Отчет РПЗ(ПЗ)_ПЗИП'!$N:$N,"&gt;=01.10.2017",'Отчет РПЗ(ПЗ)_ПЗИП'!$N:$N,"&lt;=31.10.2017",'Отчет РПЗ(ПЗ)_ПЗИП'!$AG:$AG,"&gt;0")</f>
        <v>0</v>
      </c>
      <c r="BI65" s="334">
        <f>SUMIFS('Отчет РПЗ(ПЗ)_ПЗИП'!$AG:$AG,'Отчет РПЗ(ПЗ)_ПЗИП'!$D:$D,Справочно!$E30,'Отчет РПЗ(ПЗ)_ПЗИП'!$AQ:$AQ,10)</f>
        <v>0</v>
      </c>
      <c r="BJ65" s="374" t="str">
        <f t="shared" si="60"/>
        <v>НД</v>
      </c>
      <c r="BK65" s="254" t="str">
        <f t="shared" si="36"/>
        <v>НД</v>
      </c>
      <c r="BL65" s="429">
        <f>SUMIFS('Отчет РПЗ(ПЗ)_ПЗИП'!$W:$W,'Отчет РПЗ(ПЗ)_ПЗИП'!$D:$D,Справочно!$E30,'Отчет РПЗ(ПЗ)_ПЗИП'!$N:$N,"&gt;=01.11.2017",'Отчет РПЗ(ПЗ)_ПЗИП'!$N:$N,"&lt;=30.11.2017",'Отчет РПЗ(ПЗ)_ПЗИП'!$AG:$AG,"&gt;0")</f>
        <v>0</v>
      </c>
      <c r="BM65" s="334">
        <f>SUMIFS('Отчет РПЗ(ПЗ)_ПЗИП'!$AG:$AG,'Отчет РПЗ(ПЗ)_ПЗИП'!$D:$D,Справочно!$E30,'Отчет РПЗ(ПЗ)_ПЗИП'!$AQ:$AQ,11)</f>
        <v>0</v>
      </c>
      <c r="BN65" s="374" t="str">
        <f t="shared" si="61"/>
        <v>НД</v>
      </c>
      <c r="BO65" s="254" t="str">
        <f t="shared" si="37"/>
        <v>НД</v>
      </c>
      <c r="BP65" s="429">
        <f>SUMIFS('Отчет РПЗ(ПЗ)_ПЗИП'!$W:$W,'Отчет РПЗ(ПЗ)_ПЗИП'!$D:$D,Справочно!$E30,'Отчет РПЗ(ПЗ)_ПЗИП'!$N:$N,"&gt;=01.12.2017",'Отчет РПЗ(ПЗ)_ПЗИП'!$N:$N,"&lt;=31.12.2017",'Отчет РПЗ(ПЗ)_ПЗИП'!$AG:$AG,"&gt;0")</f>
        <v>0</v>
      </c>
      <c r="BQ65" s="334">
        <f>SUMIFS('Отчет РПЗ(ПЗ)_ПЗИП'!$AG:$AG,'Отчет РПЗ(ПЗ)_ПЗИП'!$D:$D,Справочно!$E30,'Отчет РПЗ(ПЗ)_ПЗИП'!$AQ:$AQ,12)</f>
        <v>0</v>
      </c>
      <c r="BR65" s="374" t="str">
        <f t="shared" si="62"/>
        <v>НД</v>
      </c>
      <c r="BS65" s="256" t="str">
        <f t="shared" si="38"/>
        <v>НД</v>
      </c>
      <c r="BT65" s="424">
        <f t="shared" si="63"/>
        <v>0</v>
      </c>
      <c r="BU65" s="335">
        <f t="shared" si="64"/>
        <v>0</v>
      </c>
      <c r="BV65" s="335">
        <f t="shared" si="39"/>
        <v>0</v>
      </c>
      <c r="BW65" s="257">
        <f t="shared" si="40"/>
        <v>0</v>
      </c>
    </row>
    <row r="66" spans="2:75" ht="15" customHeight="1" thickBot="1" x14ac:dyDescent="0.25">
      <c r="B66" s="55" t="str">
        <f>Справочно!E31</f>
        <v>ООО "РТ-Комплектимпекс"</v>
      </c>
      <c r="C66" s="92">
        <f>ПП!B54</f>
        <v>0</v>
      </c>
      <c r="D66" s="412">
        <f>ПП!C54</f>
        <v>0</v>
      </c>
      <c r="E66" s="437">
        <f>ПП!D54</f>
        <v>0</v>
      </c>
      <c r="F66" s="297">
        <f>COUNTIFS('Отчет РПЗ(ПЗ)_ПЗИП'!$AG:$AG,"&gt;0",'Отчет РПЗ(ПЗ)_ПЗИП'!$D:$D,Справочно!$E31)</f>
        <v>0</v>
      </c>
      <c r="G66" s="438">
        <f t="shared" si="41"/>
        <v>0</v>
      </c>
      <c r="H66" s="439">
        <f>SUMIF('Отчет РПЗ(ПЗ)_ПЗИП'!$D:$D,Справочно!$E31,'Отчет РПЗ(ПЗ)_ПЗИП'!$AG:$AG)</f>
        <v>0</v>
      </c>
      <c r="I66" s="461">
        <f t="shared" si="65"/>
        <v>0</v>
      </c>
      <c r="J66" s="514" t="e">
        <f t="shared" si="42"/>
        <v>#DIV/0!</v>
      </c>
      <c r="L66" s="430">
        <f>SUMIFS('Отчет РПЗ(ПЗ)_ПЗИП'!$W:$W,'Отчет РПЗ(ПЗ)_ПЗИП'!$D:$D,Справочно!$E31,'Отчет РПЗ(ПЗ)_ПЗИП'!$N:$N,"&gt;=01.01.2017",'Отчет РПЗ(ПЗ)_ПЗИП'!$N:$N,"&lt;=31.01.2017",'Отчет РПЗ(ПЗ)_ПЗИП'!$AG:$AG,"&gt;0")</f>
        <v>0</v>
      </c>
      <c r="M66" s="328">
        <f>SUMIFS('Отчет РПЗ(ПЗ)_ПЗИП'!$AG:$AG,'Отчет РПЗ(ПЗ)_ПЗИП'!$D:$D,Справочно!$E31,'Отчет РПЗ(ПЗ)_ПЗИП'!$AQ:$AQ,1)</f>
        <v>0</v>
      </c>
      <c r="N66" s="336" t="str">
        <f t="shared" si="43"/>
        <v>НД</v>
      </c>
      <c r="O66" s="245" t="str">
        <f t="shared" si="44"/>
        <v>НД</v>
      </c>
      <c r="P66" s="425">
        <f>SUMIFS('Отчет РПЗ(ПЗ)_ПЗИП'!$W:$W,'Отчет РПЗ(ПЗ)_ПЗИП'!$D:$D,Справочно!$E31,'Отчет РПЗ(ПЗ)_ПЗИП'!$N:$N,"&gt;=01.02.2017",'Отчет РПЗ(ПЗ)_ПЗИП'!$N:$N,"&lt;=28.02.2017",'Отчет РПЗ(ПЗ)_ПЗИП'!$AG:$AG,"&gt;0")</f>
        <v>0</v>
      </c>
      <c r="Q66" s="328">
        <f>SUMIFS('Отчет РПЗ(ПЗ)_ПЗИП'!$AG:$AG,'Отчет РПЗ(ПЗ)_ПЗИП'!$D:$D,Справочно!$E31,'Отчет РПЗ(ПЗ)_ПЗИП'!$AQ:$AQ,2)</f>
        <v>0</v>
      </c>
      <c r="R66" s="336" t="str">
        <f t="shared" si="45"/>
        <v>НД</v>
      </c>
      <c r="S66" s="245" t="str">
        <f t="shared" si="46"/>
        <v>НД</v>
      </c>
      <c r="T66" s="425">
        <f>SUMIFS('Отчет РПЗ(ПЗ)_ПЗИП'!$W:$W,'Отчет РПЗ(ПЗ)_ПЗИП'!$D:$D,Справочно!$E31,'Отчет РПЗ(ПЗ)_ПЗИП'!$N:$N,"&gt;=01.03.2017",'Отчет РПЗ(ПЗ)_ПЗИП'!$N:$N,"&lt;=31.03.2017",'Отчет РПЗ(ПЗ)_ПЗИП'!$AG:$AG,"&gt;0")</f>
        <v>0</v>
      </c>
      <c r="U66" s="328">
        <f>SUMIFS('Отчет РПЗ(ПЗ)_ПЗИП'!$AG:$AG,'Отчет РПЗ(ПЗ)_ПЗИП'!$D:$D,Справочно!$E31,'Отчет РПЗ(ПЗ)_ПЗИП'!$AQ:$AQ,3)</f>
        <v>0</v>
      </c>
      <c r="V66" s="336" t="str">
        <f t="shared" si="47"/>
        <v>НД</v>
      </c>
      <c r="W66" s="245" t="str">
        <f t="shared" si="23"/>
        <v>НД</v>
      </c>
      <c r="X66" s="424">
        <f t="shared" si="48"/>
        <v>0</v>
      </c>
      <c r="Y66" s="329">
        <f t="shared" si="49"/>
        <v>0</v>
      </c>
      <c r="Z66" s="329">
        <f t="shared" si="24"/>
        <v>0</v>
      </c>
      <c r="AA66" s="247">
        <f t="shared" si="25"/>
        <v>0</v>
      </c>
      <c r="AB66" s="430">
        <f>SUMIFS('Отчет РПЗ(ПЗ)_ПЗИП'!$W:$W,'Отчет РПЗ(ПЗ)_ПЗИП'!$D:$D,Справочно!$E31,'Отчет РПЗ(ПЗ)_ПЗИП'!$N:$N,"&gt;=01.04.2017",'Отчет РПЗ(ПЗ)_ПЗИП'!$N:$N,"&lt;=30.04.2017",'Отчет РПЗ(ПЗ)_ПЗИП'!$AG:$AG,"&gt;0")</f>
        <v>0</v>
      </c>
      <c r="AC66" s="330">
        <f>SUMIFS('Отчет РПЗ(ПЗ)_ПЗИП'!$AG:$AG,'Отчет РПЗ(ПЗ)_ПЗИП'!$D:$D,Справочно!$E31,'Отчет РПЗ(ПЗ)_ПЗИП'!$AQ:$AQ,4)</f>
        <v>0</v>
      </c>
      <c r="AD66" s="330" t="str">
        <f t="shared" si="50"/>
        <v>НД</v>
      </c>
      <c r="AE66" s="246" t="str">
        <f t="shared" si="26"/>
        <v>НД</v>
      </c>
      <c r="AF66" s="429">
        <f>SUMIFS('Отчет РПЗ(ПЗ)_ПЗИП'!$W:$W,'Отчет РПЗ(ПЗ)_ПЗИП'!$D:$D,Справочно!$E31,'Отчет РПЗ(ПЗ)_ПЗИП'!$N:$N,"&gt;=01.05.2017",'Отчет РПЗ(ПЗ)_ПЗИП'!$N:$N,"&lt;=31.05.2017",'Отчет РПЗ(ПЗ)_ПЗИП'!$AG:$AG,"&gt;0")</f>
        <v>0</v>
      </c>
      <c r="AG66" s="330">
        <f>SUMIFS('Отчет РПЗ(ПЗ)_ПЗИП'!$AG:$AG,'Отчет РПЗ(ПЗ)_ПЗИП'!$D:$D,Справочно!$E31,'Отчет РПЗ(ПЗ)_ПЗИП'!$AQ:$AQ,5)</f>
        <v>0</v>
      </c>
      <c r="AH66" s="330" t="str">
        <f t="shared" si="51"/>
        <v>НД</v>
      </c>
      <c r="AI66" s="246" t="str">
        <f t="shared" si="27"/>
        <v>НД</v>
      </c>
      <c r="AJ66" s="429">
        <f>SUMIFS('Отчет РПЗ(ПЗ)_ПЗИП'!$W:$W,'Отчет РПЗ(ПЗ)_ПЗИП'!$D:$D,Справочно!$E31,'Отчет РПЗ(ПЗ)_ПЗИП'!$N:$N,"&gt;=01.06.2017",'Отчет РПЗ(ПЗ)_ПЗИП'!$N:$N,"&lt;=30.06.2017",'Отчет РПЗ(ПЗ)_ПЗИП'!$AG:$AG,"&gt;0")</f>
        <v>0</v>
      </c>
      <c r="AK66" s="330">
        <f>SUMIFS('Отчет РПЗ(ПЗ)_ПЗИП'!$AG:$AG,'Отчет РПЗ(ПЗ)_ПЗИП'!$D:$D,Справочно!$E31,'Отчет РПЗ(ПЗ)_ПЗИП'!$AQ:$AQ,6)</f>
        <v>0</v>
      </c>
      <c r="AL66" s="330" t="str">
        <f t="shared" si="52"/>
        <v>НД</v>
      </c>
      <c r="AM66" s="246" t="str">
        <f t="shared" si="28"/>
        <v>НД</v>
      </c>
      <c r="AN66" s="424">
        <f t="shared" si="53"/>
        <v>0</v>
      </c>
      <c r="AO66" s="331">
        <f t="shared" si="54"/>
        <v>0</v>
      </c>
      <c r="AP66" s="331">
        <f t="shared" si="29"/>
        <v>0</v>
      </c>
      <c r="AQ66" s="248">
        <f t="shared" si="30"/>
        <v>0</v>
      </c>
      <c r="AR66" s="430">
        <f>SUMIFS('Отчет РПЗ(ПЗ)_ПЗИП'!$W:$W,'Отчет РПЗ(ПЗ)_ПЗИП'!$D:$D,Справочно!$E31,'Отчет РПЗ(ПЗ)_ПЗИП'!$N:$N,"&gt;=01.07.2017",'Отчет РПЗ(ПЗ)_ПЗИП'!$N:$N,"&lt;=31.07.2017",'Отчет РПЗ(ПЗ)_ПЗИП'!$AG:$AG,"&gt;0")</f>
        <v>0</v>
      </c>
      <c r="AS66" s="332">
        <f>SUMIFS('Отчет РПЗ(ПЗ)_ПЗИП'!$AG:$AG,'Отчет РПЗ(ПЗ)_ПЗИП'!$D:$D,Справочно!$E31,'Отчет РПЗ(ПЗ)_ПЗИП'!$AQ:$AQ,7)</f>
        <v>0</v>
      </c>
      <c r="AT66" s="372" t="str">
        <f t="shared" si="55"/>
        <v>НД</v>
      </c>
      <c r="AU66" s="250" t="str">
        <f t="shared" si="31"/>
        <v>НД</v>
      </c>
      <c r="AV66" s="425">
        <f>SUMIFS('Отчет РПЗ(ПЗ)_ПЗИП'!$W:$W,'Отчет РПЗ(ПЗ)_ПЗИП'!$D:$D,Справочно!$E31,'Отчет РПЗ(ПЗ)_ПЗИП'!$N:$N,"&gt;=01.08.2017",'Отчет РПЗ(ПЗ)_ПЗИП'!$N:$N,"&lt;=31.08.2017",'Отчет РПЗ(ПЗ)_ПЗИП'!$AG:$AG,"&gt;0")</f>
        <v>0</v>
      </c>
      <c r="AW66" s="332">
        <f>SUMIFS('Отчет РПЗ(ПЗ)_ПЗИП'!$AG:$AG,'Отчет РПЗ(ПЗ)_ПЗИП'!$D:$D,Справочно!$E31,'Отчет РПЗ(ПЗ)_ПЗИП'!$AQ:$AQ,8)</f>
        <v>0</v>
      </c>
      <c r="AX66" s="372" t="str">
        <f t="shared" si="56"/>
        <v>НД</v>
      </c>
      <c r="AY66" s="250" t="str">
        <f t="shared" si="32"/>
        <v>НД</v>
      </c>
      <c r="AZ66" s="425">
        <f>SUMIFS('Отчет РПЗ(ПЗ)_ПЗИП'!$W:$W,'Отчет РПЗ(ПЗ)_ПЗИП'!$D:$D,Справочно!$E31,'Отчет РПЗ(ПЗ)_ПЗИП'!$N:$N,"&gt;=01.09.2017",'Отчет РПЗ(ПЗ)_ПЗИП'!$N:$N,"&lt;=30.09.2017",'Отчет РПЗ(ПЗ)_ПЗИП'!$AG:$AG,"&gt;0")</f>
        <v>0</v>
      </c>
      <c r="BA66" s="332">
        <f>SUMIFS('Отчет РПЗ(ПЗ)_ПЗИП'!$AG:$AG,'Отчет РПЗ(ПЗ)_ПЗИП'!$D:$D,Справочно!$E31,'Отчет РПЗ(ПЗ)_ПЗИП'!$AQ:$AQ,9)</f>
        <v>0</v>
      </c>
      <c r="BB66" s="372" t="str">
        <f t="shared" si="57"/>
        <v>НД</v>
      </c>
      <c r="BC66" s="250" t="str">
        <f t="shared" si="33"/>
        <v>НД</v>
      </c>
      <c r="BD66" s="424">
        <f t="shared" si="58"/>
        <v>0</v>
      </c>
      <c r="BE66" s="333">
        <f t="shared" si="59"/>
        <v>0</v>
      </c>
      <c r="BF66" s="333">
        <f t="shared" si="34"/>
        <v>0</v>
      </c>
      <c r="BG66" s="252">
        <f t="shared" si="35"/>
        <v>0</v>
      </c>
      <c r="BH66" s="414">
        <f>SUMIFS('Отчет РПЗ(ПЗ)_ПЗИП'!$W:$W,'Отчет РПЗ(ПЗ)_ПЗИП'!$D:$D,Справочно!$E31,'Отчет РПЗ(ПЗ)_ПЗИП'!$N:$N,"&gt;=01.10.2017",'Отчет РПЗ(ПЗ)_ПЗИП'!$N:$N,"&lt;=31.10.2017",'Отчет РПЗ(ПЗ)_ПЗИП'!$AG:$AG,"&gt;0")</f>
        <v>0</v>
      </c>
      <c r="BI66" s="334">
        <f>SUMIFS('Отчет РПЗ(ПЗ)_ПЗИП'!$AG:$AG,'Отчет РПЗ(ПЗ)_ПЗИП'!$D:$D,Справочно!$E31,'Отчет РПЗ(ПЗ)_ПЗИП'!$AQ:$AQ,10)</f>
        <v>0</v>
      </c>
      <c r="BJ66" s="374" t="str">
        <f t="shared" si="60"/>
        <v>НД</v>
      </c>
      <c r="BK66" s="254" t="str">
        <f t="shared" si="36"/>
        <v>НД</v>
      </c>
      <c r="BL66" s="429">
        <f>SUMIFS('Отчет РПЗ(ПЗ)_ПЗИП'!$W:$W,'Отчет РПЗ(ПЗ)_ПЗИП'!$D:$D,Справочно!$E31,'Отчет РПЗ(ПЗ)_ПЗИП'!$N:$N,"&gt;=01.11.2017",'Отчет РПЗ(ПЗ)_ПЗИП'!$N:$N,"&lt;=30.11.2017",'Отчет РПЗ(ПЗ)_ПЗИП'!$AG:$AG,"&gt;0")</f>
        <v>0</v>
      </c>
      <c r="BM66" s="334">
        <f>SUMIFS('Отчет РПЗ(ПЗ)_ПЗИП'!$AG:$AG,'Отчет РПЗ(ПЗ)_ПЗИП'!$D:$D,Справочно!$E31,'Отчет РПЗ(ПЗ)_ПЗИП'!$AQ:$AQ,11)</f>
        <v>0</v>
      </c>
      <c r="BN66" s="374" t="str">
        <f t="shared" si="61"/>
        <v>НД</v>
      </c>
      <c r="BO66" s="254" t="str">
        <f t="shared" si="37"/>
        <v>НД</v>
      </c>
      <c r="BP66" s="429">
        <f>SUMIFS('Отчет РПЗ(ПЗ)_ПЗИП'!$W:$W,'Отчет РПЗ(ПЗ)_ПЗИП'!$D:$D,Справочно!$E31,'Отчет РПЗ(ПЗ)_ПЗИП'!$N:$N,"&gt;=01.12.2017",'Отчет РПЗ(ПЗ)_ПЗИП'!$N:$N,"&lt;=31.12.2017",'Отчет РПЗ(ПЗ)_ПЗИП'!$AG:$AG,"&gt;0")</f>
        <v>0</v>
      </c>
      <c r="BQ66" s="334">
        <f>SUMIFS('Отчет РПЗ(ПЗ)_ПЗИП'!$AG:$AG,'Отчет РПЗ(ПЗ)_ПЗИП'!$D:$D,Справочно!$E31,'Отчет РПЗ(ПЗ)_ПЗИП'!$AQ:$AQ,12)</f>
        <v>0</v>
      </c>
      <c r="BR66" s="374" t="str">
        <f t="shared" si="62"/>
        <v>НД</v>
      </c>
      <c r="BS66" s="256" t="str">
        <f t="shared" si="38"/>
        <v>НД</v>
      </c>
      <c r="BT66" s="424">
        <f t="shared" si="63"/>
        <v>0</v>
      </c>
      <c r="BU66" s="335">
        <f t="shared" si="64"/>
        <v>0</v>
      </c>
      <c r="BV66" s="335">
        <f t="shared" si="39"/>
        <v>0</v>
      </c>
      <c r="BW66" s="257">
        <f t="shared" si="40"/>
        <v>0</v>
      </c>
    </row>
    <row r="67" spans="2:75" ht="13.5" thickBot="1" x14ac:dyDescent="0.25">
      <c r="B67" s="55" t="str">
        <f>Справочно!E32</f>
        <v>ООО "РТ-Экспо"</v>
      </c>
      <c r="C67" s="92">
        <f>ПП!B55</f>
        <v>0</v>
      </c>
      <c r="D67" s="412">
        <f>ПП!C55</f>
        <v>0</v>
      </c>
      <c r="E67" s="437">
        <f>ПП!D55</f>
        <v>0</v>
      </c>
      <c r="F67" s="297">
        <f>COUNTIFS('Отчет РПЗ(ПЗ)_ПЗИП'!$AG:$AG,"&gt;0",'Отчет РПЗ(ПЗ)_ПЗИП'!$D:$D,Справочно!$E32)</f>
        <v>0</v>
      </c>
      <c r="G67" s="438">
        <f t="shared" si="41"/>
        <v>0</v>
      </c>
      <c r="H67" s="439">
        <f>SUMIF('Отчет РПЗ(ПЗ)_ПЗИП'!$D:$D,Справочно!$E32,'Отчет РПЗ(ПЗ)_ПЗИП'!$AG:$AG)</f>
        <v>0</v>
      </c>
      <c r="I67" s="461">
        <f t="shared" si="65"/>
        <v>0</v>
      </c>
      <c r="J67" s="514" t="e">
        <f t="shared" si="42"/>
        <v>#DIV/0!</v>
      </c>
      <c r="L67" s="430">
        <f>SUMIFS('Отчет РПЗ(ПЗ)_ПЗИП'!$W:$W,'Отчет РПЗ(ПЗ)_ПЗИП'!$D:$D,Справочно!$E32,'Отчет РПЗ(ПЗ)_ПЗИП'!$N:$N,"&gt;=01.01.2017",'Отчет РПЗ(ПЗ)_ПЗИП'!$N:$N,"&lt;=31.01.2017",'Отчет РПЗ(ПЗ)_ПЗИП'!$AG:$AG,"&gt;0")</f>
        <v>0</v>
      </c>
      <c r="M67" s="328">
        <f>SUMIFS('Отчет РПЗ(ПЗ)_ПЗИП'!$AG:$AG,'Отчет РПЗ(ПЗ)_ПЗИП'!$D:$D,Справочно!$E32,'Отчет РПЗ(ПЗ)_ПЗИП'!$AQ:$AQ,1)</f>
        <v>0</v>
      </c>
      <c r="N67" s="336" t="str">
        <f t="shared" si="43"/>
        <v>НД</v>
      </c>
      <c r="O67" s="245" t="str">
        <f t="shared" si="44"/>
        <v>НД</v>
      </c>
      <c r="P67" s="425">
        <f>SUMIFS('Отчет РПЗ(ПЗ)_ПЗИП'!$W:$W,'Отчет РПЗ(ПЗ)_ПЗИП'!$D:$D,Справочно!$E32,'Отчет РПЗ(ПЗ)_ПЗИП'!$N:$N,"&gt;=01.02.2017",'Отчет РПЗ(ПЗ)_ПЗИП'!$N:$N,"&lt;=28.02.2017",'Отчет РПЗ(ПЗ)_ПЗИП'!$AG:$AG,"&gt;0")</f>
        <v>0</v>
      </c>
      <c r="Q67" s="328">
        <f>SUMIFS('Отчет РПЗ(ПЗ)_ПЗИП'!$AG:$AG,'Отчет РПЗ(ПЗ)_ПЗИП'!$D:$D,Справочно!$E32,'Отчет РПЗ(ПЗ)_ПЗИП'!$AQ:$AQ,2)</f>
        <v>0</v>
      </c>
      <c r="R67" s="336" t="str">
        <f t="shared" si="45"/>
        <v>НД</v>
      </c>
      <c r="S67" s="245" t="str">
        <f t="shared" si="46"/>
        <v>НД</v>
      </c>
      <c r="T67" s="425">
        <f>SUMIFS('Отчет РПЗ(ПЗ)_ПЗИП'!$W:$W,'Отчет РПЗ(ПЗ)_ПЗИП'!$D:$D,Справочно!$E32,'Отчет РПЗ(ПЗ)_ПЗИП'!$N:$N,"&gt;=01.03.2017",'Отчет РПЗ(ПЗ)_ПЗИП'!$N:$N,"&lt;=31.03.2017",'Отчет РПЗ(ПЗ)_ПЗИП'!$AG:$AG,"&gt;0")</f>
        <v>0</v>
      </c>
      <c r="U67" s="328">
        <f>SUMIFS('Отчет РПЗ(ПЗ)_ПЗИП'!$AG:$AG,'Отчет РПЗ(ПЗ)_ПЗИП'!$D:$D,Справочно!$E32,'Отчет РПЗ(ПЗ)_ПЗИП'!$AQ:$AQ,3)</f>
        <v>0</v>
      </c>
      <c r="V67" s="336" t="str">
        <f t="shared" si="47"/>
        <v>НД</v>
      </c>
      <c r="W67" s="245" t="str">
        <f t="shared" si="23"/>
        <v>НД</v>
      </c>
      <c r="X67" s="424">
        <f t="shared" si="48"/>
        <v>0</v>
      </c>
      <c r="Y67" s="329">
        <f t="shared" si="49"/>
        <v>0</v>
      </c>
      <c r="Z67" s="329">
        <f t="shared" si="24"/>
        <v>0</v>
      </c>
      <c r="AA67" s="247">
        <f t="shared" si="25"/>
        <v>0</v>
      </c>
      <c r="AB67" s="430">
        <f>SUMIFS('Отчет РПЗ(ПЗ)_ПЗИП'!$W:$W,'Отчет РПЗ(ПЗ)_ПЗИП'!$D:$D,Справочно!$E32,'Отчет РПЗ(ПЗ)_ПЗИП'!$N:$N,"&gt;=01.04.2017",'Отчет РПЗ(ПЗ)_ПЗИП'!$N:$N,"&lt;=30.04.2017",'Отчет РПЗ(ПЗ)_ПЗИП'!$AG:$AG,"&gt;0")</f>
        <v>0</v>
      </c>
      <c r="AC67" s="330">
        <f>SUMIFS('Отчет РПЗ(ПЗ)_ПЗИП'!$AG:$AG,'Отчет РПЗ(ПЗ)_ПЗИП'!$D:$D,Справочно!$E32,'Отчет РПЗ(ПЗ)_ПЗИП'!$AQ:$AQ,4)</f>
        <v>0</v>
      </c>
      <c r="AD67" s="330" t="str">
        <f t="shared" si="50"/>
        <v>НД</v>
      </c>
      <c r="AE67" s="246" t="str">
        <f t="shared" si="26"/>
        <v>НД</v>
      </c>
      <c r="AF67" s="429">
        <f>SUMIFS('Отчет РПЗ(ПЗ)_ПЗИП'!$W:$W,'Отчет РПЗ(ПЗ)_ПЗИП'!$D:$D,Справочно!$E32,'Отчет РПЗ(ПЗ)_ПЗИП'!$N:$N,"&gt;=01.05.2017",'Отчет РПЗ(ПЗ)_ПЗИП'!$N:$N,"&lt;=31.05.2017",'Отчет РПЗ(ПЗ)_ПЗИП'!$AG:$AG,"&gt;0")</f>
        <v>0</v>
      </c>
      <c r="AG67" s="330">
        <f>SUMIFS('Отчет РПЗ(ПЗ)_ПЗИП'!$AG:$AG,'Отчет РПЗ(ПЗ)_ПЗИП'!$D:$D,Справочно!$E32,'Отчет РПЗ(ПЗ)_ПЗИП'!$AQ:$AQ,5)</f>
        <v>0</v>
      </c>
      <c r="AH67" s="330" t="str">
        <f t="shared" si="51"/>
        <v>НД</v>
      </c>
      <c r="AI67" s="246" t="str">
        <f t="shared" si="27"/>
        <v>НД</v>
      </c>
      <c r="AJ67" s="429">
        <f>SUMIFS('Отчет РПЗ(ПЗ)_ПЗИП'!$W:$W,'Отчет РПЗ(ПЗ)_ПЗИП'!$D:$D,Справочно!$E32,'Отчет РПЗ(ПЗ)_ПЗИП'!$N:$N,"&gt;=01.06.2017",'Отчет РПЗ(ПЗ)_ПЗИП'!$N:$N,"&lt;=30.06.2017",'Отчет РПЗ(ПЗ)_ПЗИП'!$AG:$AG,"&gt;0")</f>
        <v>0</v>
      </c>
      <c r="AK67" s="330">
        <f>SUMIFS('Отчет РПЗ(ПЗ)_ПЗИП'!$AG:$AG,'Отчет РПЗ(ПЗ)_ПЗИП'!$D:$D,Справочно!$E32,'Отчет РПЗ(ПЗ)_ПЗИП'!$AQ:$AQ,6)</f>
        <v>0</v>
      </c>
      <c r="AL67" s="330" t="str">
        <f t="shared" si="52"/>
        <v>НД</v>
      </c>
      <c r="AM67" s="246" t="str">
        <f t="shared" si="28"/>
        <v>НД</v>
      </c>
      <c r="AN67" s="424">
        <f t="shared" si="53"/>
        <v>0</v>
      </c>
      <c r="AO67" s="331">
        <f t="shared" si="54"/>
        <v>0</v>
      </c>
      <c r="AP67" s="331">
        <f t="shared" si="29"/>
        <v>0</v>
      </c>
      <c r="AQ67" s="248">
        <f t="shared" si="30"/>
        <v>0</v>
      </c>
      <c r="AR67" s="430">
        <f>SUMIFS('Отчет РПЗ(ПЗ)_ПЗИП'!$W:$W,'Отчет РПЗ(ПЗ)_ПЗИП'!$D:$D,Справочно!$E32,'Отчет РПЗ(ПЗ)_ПЗИП'!$N:$N,"&gt;=01.07.2017",'Отчет РПЗ(ПЗ)_ПЗИП'!$N:$N,"&lt;=31.07.2017",'Отчет РПЗ(ПЗ)_ПЗИП'!$AG:$AG,"&gt;0")</f>
        <v>0</v>
      </c>
      <c r="AS67" s="332">
        <f>SUMIFS('Отчет РПЗ(ПЗ)_ПЗИП'!$AG:$AG,'Отчет РПЗ(ПЗ)_ПЗИП'!$D:$D,Справочно!$E32,'Отчет РПЗ(ПЗ)_ПЗИП'!$AQ:$AQ,7)</f>
        <v>0</v>
      </c>
      <c r="AT67" s="372" t="str">
        <f t="shared" si="55"/>
        <v>НД</v>
      </c>
      <c r="AU67" s="250" t="str">
        <f t="shared" si="31"/>
        <v>НД</v>
      </c>
      <c r="AV67" s="425">
        <f>SUMIFS('Отчет РПЗ(ПЗ)_ПЗИП'!$W:$W,'Отчет РПЗ(ПЗ)_ПЗИП'!$D:$D,Справочно!$E32,'Отчет РПЗ(ПЗ)_ПЗИП'!$N:$N,"&gt;=01.08.2017",'Отчет РПЗ(ПЗ)_ПЗИП'!$N:$N,"&lt;=31.08.2017",'Отчет РПЗ(ПЗ)_ПЗИП'!$AG:$AG,"&gt;0")</f>
        <v>0</v>
      </c>
      <c r="AW67" s="332">
        <f>SUMIFS('Отчет РПЗ(ПЗ)_ПЗИП'!$AG:$AG,'Отчет РПЗ(ПЗ)_ПЗИП'!$D:$D,Справочно!$E32,'Отчет РПЗ(ПЗ)_ПЗИП'!$AQ:$AQ,8)</f>
        <v>0</v>
      </c>
      <c r="AX67" s="372" t="str">
        <f t="shared" si="56"/>
        <v>НД</v>
      </c>
      <c r="AY67" s="250" t="str">
        <f t="shared" si="32"/>
        <v>НД</v>
      </c>
      <c r="AZ67" s="425">
        <f>SUMIFS('Отчет РПЗ(ПЗ)_ПЗИП'!$W:$W,'Отчет РПЗ(ПЗ)_ПЗИП'!$D:$D,Справочно!$E32,'Отчет РПЗ(ПЗ)_ПЗИП'!$N:$N,"&gt;=01.09.2017",'Отчет РПЗ(ПЗ)_ПЗИП'!$N:$N,"&lt;=30.09.2017",'Отчет РПЗ(ПЗ)_ПЗИП'!$AG:$AG,"&gt;0")</f>
        <v>0</v>
      </c>
      <c r="BA67" s="332">
        <f>SUMIFS('Отчет РПЗ(ПЗ)_ПЗИП'!$AG:$AG,'Отчет РПЗ(ПЗ)_ПЗИП'!$D:$D,Справочно!$E32,'Отчет РПЗ(ПЗ)_ПЗИП'!$AQ:$AQ,9)</f>
        <v>0</v>
      </c>
      <c r="BB67" s="372" t="str">
        <f t="shared" si="57"/>
        <v>НД</v>
      </c>
      <c r="BC67" s="250" t="str">
        <f t="shared" si="33"/>
        <v>НД</v>
      </c>
      <c r="BD67" s="424">
        <f t="shared" si="58"/>
        <v>0</v>
      </c>
      <c r="BE67" s="333">
        <f t="shared" si="59"/>
        <v>0</v>
      </c>
      <c r="BF67" s="333">
        <f t="shared" si="34"/>
        <v>0</v>
      </c>
      <c r="BG67" s="252">
        <f t="shared" si="35"/>
        <v>0</v>
      </c>
      <c r="BH67" s="414">
        <f>SUMIFS('Отчет РПЗ(ПЗ)_ПЗИП'!$W:$W,'Отчет РПЗ(ПЗ)_ПЗИП'!$D:$D,Справочно!$E32,'Отчет РПЗ(ПЗ)_ПЗИП'!$N:$N,"&gt;=01.10.2017",'Отчет РПЗ(ПЗ)_ПЗИП'!$N:$N,"&lt;=31.10.2017",'Отчет РПЗ(ПЗ)_ПЗИП'!$AG:$AG,"&gt;0")</f>
        <v>0</v>
      </c>
      <c r="BI67" s="334">
        <f>SUMIFS('Отчет РПЗ(ПЗ)_ПЗИП'!$AG:$AG,'Отчет РПЗ(ПЗ)_ПЗИП'!$D:$D,Справочно!$E32,'Отчет РПЗ(ПЗ)_ПЗИП'!$AQ:$AQ,10)</f>
        <v>0</v>
      </c>
      <c r="BJ67" s="374" t="str">
        <f t="shared" si="60"/>
        <v>НД</v>
      </c>
      <c r="BK67" s="254" t="str">
        <f t="shared" si="36"/>
        <v>НД</v>
      </c>
      <c r="BL67" s="429">
        <f>SUMIFS('Отчет РПЗ(ПЗ)_ПЗИП'!$W:$W,'Отчет РПЗ(ПЗ)_ПЗИП'!$D:$D,Справочно!$E32,'Отчет РПЗ(ПЗ)_ПЗИП'!$N:$N,"&gt;=01.11.2017",'Отчет РПЗ(ПЗ)_ПЗИП'!$N:$N,"&lt;=30.11.2017",'Отчет РПЗ(ПЗ)_ПЗИП'!$AG:$AG,"&gt;0")</f>
        <v>0</v>
      </c>
      <c r="BM67" s="334">
        <f>SUMIFS('Отчет РПЗ(ПЗ)_ПЗИП'!$AG:$AG,'Отчет РПЗ(ПЗ)_ПЗИП'!$D:$D,Справочно!$E32,'Отчет РПЗ(ПЗ)_ПЗИП'!$AQ:$AQ,11)</f>
        <v>0</v>
      </c>
      <c r="BN67" s="374" t="str">
        <f t="shared" si="61"/>
        <v>НД</v>
      </c>
      <c r="BO67" s="254" t="str">
        <f t="shared" si="37"/>
        <v>НД</v>
      </c>
      <c r="BP67" s="429">
        <f>SUMIFS('Отчет РПЗ(ПЗ)_ПЗИП'!$W:$W,'Отчет РПЗ(ПЗ)_ПЗИП'!$D:$D,Справочно!$E32,'Отчет РПЗ(ПЗ)_ПЗИП'!$N:$N,"&gt;=01.12.2017",'Отчет РПЗ(ПЗ)_ПЗИП'!$N:$N,"&lt;=31.12.2017",'Отчет РПЗ(ПЗ)_ПЗИП'!$AG:$AG,"&gt;0")</f>
        <v>0</v>
      </c>
      <c r="BQ67" s="334">
        <f>SUMIFS('Отчет РПЗ(ПЗ)_ПЗИП'!$AG:$AG,'Отчет РПЗ(ПЗ)_ПЗИП'!$D:$D,Справочно!$E32,'Отчет РПЗ(ПЗ)_ПЗИП'!$AQ:$AQ,12)</f>
        <v>0</v>
      </c>
      <c r="BR67" s="374" t="str">
        <f t="shared" si="62"/>
        <v>НД</v>
      </c>
      <c r="BS67" s="256" t="str">
        <f t="shared" si="38"/>
        <v>НД</v>
      </c>
      <c r="BT67" s="424">
        <f t="shared" si="63"/>
        <v>0</v>
      </c>
      <c r="BU67" s="335">
        <f t="shared" si="64"/>
        <v>0</v>
      </c>
      <c r="BV67" s="335">
        <f t="shared" si="39"/>
        <v>0</v>
      </c>
      <c r="BW67" s="257">
        <f t="shared" si="40"/>
        <v>0</v>
      </c>
    </row>
    <row r="68" spans="2:75" ht="13.5" thickBot="1" x14ac:dyDescent="0.25">
      <c r="B68" s="55" t="str">
        <f>Справочно!E33</f>
        <v>ООО "РТ-Страхование"</v>
      </c>
      <c r="C68" s="92">
        <f>ПП!B56</f>
        <v>3</v>
      </c>
      <c r="D68" s="412">
        <f>ПП!C56</f>
        <v>1.9059720457433292E-3</v>
      </c>
      <c r="E68" s="437">
        <f>ПП!D56</f>
        <v>972206</v>
      </c>
      <c r="F68" s="297">
        <f>COUNTIFS('Отчет РПЗ(ПЗ)_ПЗИП'!$AG:$AG,"&gt;0",'Отчет РПЗ(ПЗ)_ПЗИП'!$D:$D,Справочно!$E33)</f>
        <v>2</v>
      </c>
      <c r="G68" s="438">
        <f t="shared" si="41"/>
        <v>3.4965034965034965E-3</v>
      </c>
      <c r="H68" s="439">
        <f>SUMIF('Отчет РПЗ(ПЗ)_ПЗИП'!$D:$D,Справочно!$E33,'Отчет РПЗ(ПЗ)_ПЗИП'!$AG:$AG)</f>
        <v>533014.64</v>
      </c>
      <c r="I68" s="461">
        <f t="shared" si="65"/>
        <v>0</v>
      </c>
      <c r="J68" s="514">
        <f t="shared" si="42"/>
        <v>0</v>
      </c>
      <c r="L68" s="430">
        <f>SUMIFS('Отчет РПЗ(ПЗ)_ПЗИП'!$W:$W,'Отчет РПЗ(ПЗ)_ПЗИП'!$D:$D,Справочно!$E33,'Отчет РПЗ(ПЗ)_ПЗИП'!$N:$N,"&gt;=01.01.2017",'Отчет РПЗ(ПЗ)_ПЗИП'!$N:$N,"&lt;=31.01.2017",'Отчет РПЗ(ПЗ)_ПЗИП'!$AG:$AG,"&gt;0")</f>
        <v>0</v>
      </c>
      <c r="M68" s="328">
        <f>SUMIFS('Отчет РПЗ(ПЗ)_ПЗИП'!$AG:$AG,'Отчет РПЗ(ПЗ)_ПЗИП'!$D:$D,Справочно!$E33,'Отчет РПЗ(ПЗ)_ПЗИП'!$AQ:$AQ,1)</f>
        <v>0</v>
      </c>
      <c r="N68" s="336" t="str">
        <f t="shared" si="43"/>
        <v>НД</v>
      </c>
      <c r="O68" s="245" t="str">
        <f t="shared" si="44"/>
        <v>НД</v>
      </c>
      <c r="P68" s="425">
        <f>SUMIFS('Отчет РПЗ(ПЗ)_ПЗИП'!$W:$W,'Отчет РПЗ(ПЗ)_ПЗИП'!$D:$D,Справочно!$E33,'Отчет РПЗ(ПЗ)_ПЗИП'!$N:$N,"&gt;=01.02.2017",'Отчет РПЗ(ПЗ)_ПЗИП'!$N:$N,"&lt;=28.02.2017",'Отчет РПЗ(ПЗ)_ПЗИП'!$AG:$AG,"&gt;0")</f>
        <v>0</v>
      </c>
      <c r="Q68" s="328">
        <f>SUMIFS('Отчет РПЗ(ПЗ)_ПЗИП'!$AG:$AG,'Отчет РПЗ(ПЗ)_ПЗИП'!$D:$D,Справочно!$E33,'Отчет РПЗ(ПЗ)_ПЗИП'!$AQ:$AQ,2)</f>
        <v>0</v>
      </c>
      <c r="R68" s="336" t="str">
        <f t="shared" si="45"/>
        <v>НД</v>
      </c>
      <c r="S68" s="245" t="str">
        <f t="shared" si="46"/>
        <v>НД</v>
      </c>
      <c r="T68" s="425">
        <f>SUMIFS('Отчет РПЗ(ПЗ)_ПЗИП'!$W:$W,'Отчет РПЗ(ПЗ)_ПЗИП'!$D:$D,Справочно!$E33,'Отчет РПЗ(ПЗ)_ПЗИП'!$N:$N,"&gt;=01.03.2017",'Отчет РПЗ(ПЗ)_ПЗИП'!$N:$N,"&lt;=31.03.2017",'Отчет РПЗ(ПЗ)_ПЗИП'!$AG:$AG,"&gt;0")</f>
        <v>0</v>
      </c>
      <c r="U68" s="328">
        <f>SUMIFS('Отчет РПЗ(ПЗ)_ПЗИП'!$AG:$AG,'Отчет РПЗ(ПЗ)_ПЗИП'!$D:$D,Справочно!$E33,'Отчет РПЗ(ПЗ)_ПЗИП'!$AQ:$AQ,3)</f>
        <v>0</v>
      </c>
      <c r="V68" s="336" t="str">
        <f t="shared" si="47"/>
        <v>НД</v>
      </c>
      <c r="W68" s="245" t="str">
        <f t="shared" si="23"/>
        <v>НД</v>
      </c>
      <c r="X68" s="424">
        <f t="shared" si="48"/>
        <v>0</v>
      </c>
      <c r="Y68" s="329">
        <f t="shared" si="49"/>
        <v>0</v>
      </c>
      <c r="Z68" s="329">
        <f t="shared" si="24"/>
        <v>0</v>
      </c>
      <c r="AA68" s="247">
        <f t="shared" si="25"/>
        <v>0</v>
      </c>
      <c r="AB68" s="430">
        <f>SUMIFS('Отчет РПЗ(ПЗ)_ПЗИП'!$W:$W,'Отчет РПЗ(ПЗ)_ПЗИП'!$D:$D,Справочно!$E33,'Отчет РПЗ(ПЗ)_ПЗИП'!$N:$N,"&gt;=01.04.2017",'Отчет РПЗ(ПЗ)_ПЗИП'!$N:$N,"&lt;=30.04.2017",'Отчет РПЗ(ПЗ)_ПЗИП'!$AG:$AG,"&gt;0")</f>
        <v>0</v>
      </c>
      <c r="AC68" s="330">
        <f>SUMIFS('Отчет РПЗ(ПЗ)_ПЗИП'!$AG:$AG,'Отчет РПЗ(ПЗ)_ПЗИП'!$D:$D,Справочно!$E33,'Отчет РПЗ(ПЗ)_ПЗИП'!$AQ:$AQ,4)</f>
        <v>0</v>
      </c>
      <c r="AD68" s="330" t="str">
        <f t="shared" si="50"/>
        <v>НД</v>
      </c>
      <c r="AE68" s="246" t="str">
        <f t="shared" si="26"/>
        <v>НД</v>
      </c>
      <c r="AF68" s="429">
        <f>SUMIFS('Отчет РПЗ(ПЗ)_ПЗИП'!$W:$W,'Отчет РПЗ(ПЗ)_ПЗИП'!$D:$D,Справочно!$E33,'Отчет РПЗ(ПЗ)_ПЗИП'!$N:$N,"&gt;=01.05.2017",'Отчет РПЗ(ПЗ)_ПЗИП'!$N:$N,"&lt;=31.05.2017",'Отчет РПЗ(ПЗ)_ПЗИП'!$AG:$AG,"&gt;0")</f>
        <v>0</v>
      </c>
      <c r="AG68" s="330">
        <f>SUMIFS('Отчет РПЗ(ПЗ)_ПЗИП'!$AG:$AG,'Отчет РПЗ(ПЗ)_ПЗИП'!$D:$D,Справочно!$E33,'Отчет РПЗ(ПЗ)_ПЗИП'!$AQ:$AQ,5)</f>
        <v>0</v>
      </c>
      <c r="AH68" s="330" t="str">
        <f t="shared" si="51"/>
        <v>НД</v>
      </c>
      <c r="AI68" s="246" t="str">
        <f t="shared" si="27"/>
        <v>НД</v>
      </c>
      <c r="AJ68" s="429">
        <f>SUMIFS('Отчет РПЗ(ПЗ)_ПЗИП'!$W:$W,'Отчет РПЗ(ПЗ)_ПЗИП'!$D:$D,Справочно!$E33,'Отчет РПЗ(ПЗ)_ПЗИП'!$N:$N,"&gt;=01.06.2017",'Отчет РПЗ(ПЗ)_ПЗИП'!$N:$N,"&lt;=30.06.2017",'Отчет РПЗ(ПЗ)_ПЗИП'!$AG:$AG,"&gt;0")</f>
        <v>0</v>
      </c>
      <c r="AK68" s="330">
        <f>SUMIFS('Отчет РПЗ(ПЗ)_ПЗИП'!$AG:$AG,'Отчет РПЗ(ПЗ)_ПЗИП'!$D:$D,Справочно!$E33,'Отчет РПЗ(ПЗ)_ПЗИП'!$AQ:$AQ,6)</f>
        <v>0</v>
      </c>
      <c r="AL68" s="330" t="str">
        <f t="shared" si="52"/>
        <v>НД</v>
      </c>
      <c r="AM68" s="246" t="str">
        <f t="shared" si="28"/>
        <v>НД</v>
      </c>
      <c r="AN68" s="424">
        <f t="shared" si="53"/>
        <v>0</v>
      </c>
      <c r="AO68" s="331">
        <f t="shared" si="54"/>
        <v>0</v>
      </c>
      <c r="AP68" s="331">
        <f t="shared" si="29"/>
        <v>0</v>
      </c>
      <c r="AQ68" s="248">
        <f t="shared" si="30"/>
        <v>0</v>
      </c>
      <c r="AR68" s="430">
        <f>SUMIFS('Отчет РПЗ(ПЗ)_ПЗИП'!$W:$W,'Отчет РПЗ(ПЗ)_ПЗИП'!$D:$D,Справочно!$E33,'Отчет РПЗ(ПЗ)_ПЗИП'!$N:$N,"&gt;=01.07.2017",'Отчет РПЗ(ПЗ)_ПЗИП'!$N:$N,"&lt;=31.07.2017",'Отчет РПЗ(ПЗ)_ПЗИП'!$AG:$AG,"&gt;0")</f>
        <v>0</v>
      </c>
      <c r="AS68" s="332">
        <f>SUMIFS('Отчет РПЗ(ПЗ)_ПЗИП'!$AG:$AG,'Отчет РПЗ(ПЗ)_ПЗИП'!$D:$D,Справочно!$E33,'Отчет РПЗ(ПЗ)_ПЗИП'!$AQ:$AQ,7)</f>
        <v>0</v>
      </c>
      <c r="AT68" s="372" t="str">
        <f t="shared" si="55"/>
        <v>НД</v>
      </c>
      <c r="AU68" s="250" t="str">
        <f t="shared" si="31"/>
        <v>НД</v>
      </c>
      <c r="AV68" s="425">
        <f>SUMIFS('Отчет РПЗ(ПЗ)_ПЗИП'!$W:$W,'Отчет РПЗ(ПЗ)_ПЗИП'!$D:$D,Справочно!$E33,'Отчет РПЗ(ПЗ)_ПЗИП'!$N:$N,"&gt;=01.08.2017",'Отчет РПЗ(ПЗ)_ПЗИП'!$N:$N,"&lt;=31.08.2017",'Отчет РПЗ(ПЗ)_ПЗИП'!$AG:$AG,"&gt;0")</f>
        <v>0</v>
      </c>
      <c r="AW68" s="332">
        <f>SUMIFS('Отчет РПЗ(ПЗ)_ПЗИП'!$AG:$AG,'Отчет РПЗ(ПЗ)_ПЗИП'!$D:$D,Справочно!$E33,'Отчет РПЗ(ПЗ)_ПЗИП'!$AQ:$AQ,8)</f>
        <v>0</v>
      </c>
      <c r="AX68" s="372" t="str">
        <f t="shared" si="56"/>
        <v>НД</v>
      </c>
      <c r="AY68" s="250" t="str">
        <f t="shared" si="32"/>
        <v>НД</v>
      </c>
      <c r="AZ68" s="425">
        <f>SUMIFS('Отчет РПЗ(ПЗ)_ПЗИП'!$W:$W,'Отчет РПЗ(ПЗ)_ПЗИП'!$D:$D,Справочно!$E33,'Отчет РПЗ(ПЗ)_ПЗИП'!$N:$N,"&gt;=01.09.2017",'Отчет РПЗ(ПЗ)_ПЗИП'!$N:$N,"&lt;=30.09.2017",'Отчет РПЗ(ПЗ)_ПЗИП'!$AG:$AG,"&gt;0")</f>
        <v>382853</v>
      </c>
      <c r="BA68" s="332">
        <f>SUMIFS('Отчет РПЗ(ПЗ)_ПЗИП'!$AG:$AG,'Отчет РПЗ(ПЗ)_ПЗИП'!$D:$D,Справочно!$E33,'Отчет РПЗ(ПЗ)_ПЗИП'!$AQ:$AQ,9)</f>
        <v>327962.96000000002</v>
      </c>
      <c r="BB68" s="372">
        <f t="shared" si="57"/>
        <v>54890.039999999979</v>
      </c>
      <c r="BC68" s="250">
        <f t="shared" si="33"/>
        <v>0.14337105886593543</v>
      </c>
      <c r="BD68" s="424">
        <f t="shared" si="58"/>
        <v>382853</v>
      </c>
      <c r="BE68" s="333">
        <f t="shared" si="59"/>
        <v>327962.96000000002</v>
      </c>
      <c r="BF68" s="333">
        <f t="shared" si="34"/>
        <v>54890.039999999979</v>
      </c>
      <c r="BG68" s="252">
        <f t="shared" si="35"/>
        <v>0.14337105886593543</v>
      </c>
      <c r="BH68" s="414">
        <f>SUMIFS('Отчет РПЗ(ПЗ)_ПЗИП'!$W:$W,'Отчет РПЗ(ПЗ)_ПЗИП'!$D:$D,Справочно!$E33,'Отчет РПЗ(ПЗ)_ПЗИП'!$N:$N,"&gt;=01.10.2017",'Отчет РПЗ(ПЗ)_ПЗИП'!$N:$N,"&lt;=31.10.2017",'Отчет РПЗ(ПЗ)_ПЗИП'!$AG:$AG,"&gt;0")</f>
        <v>206500</v>
      </c>
      <c r="BI68" s="334">
        <f>SUMIFS('Отчет РПЗ(ПЗ)_ПЗИП'!$AG:$AG,'Отчет РПЗ(ПЗ)_ПЗИП'!$D:$D,Справочно!$E33,'Отчет РПЗ(ПЗ)_ПЗИП'!$AQ:$AQ,10)</f>
        <v>205051.68</v>
      </c>
      <c r="BJ68" s="374">
        <f t="shared" si="60"/>
        <v>1448.320000000007</v>
      </c>
      <c r="BK68" s="254">
        <f t="shared" si="36"/>
        <v>7.0136561743341739E-3</v>
      </c>
      <c r="BL68" s="429">
        <f>SUMIFS('Отчет РПЗ(ПЗ)_ПЗИП'!$W:$W,'Отчет РПЗ(ПЗ)_ПЗИП'!$D:$D,Справочно!$E33,'Отчет РПЗ(ПЗ)_ПЗИП'!$N:$N,"&gt;=01.11.2017",'Отчет РПЗ(ПЗ)_ПЗИП'!$N:$N,"&lt;=30.11.2017",'Отчет РПЗ(ПЗ)_ПЗИП'!$AG:$AG,"&gt;0")</f>
        <v>0</v>
      </c>
      <c r="BM68" s="334">
        <f>SUMIFS('Отчет РПЗ(ПЗ)_ПЗИП'!$AG:$AG,'Отчет РПЗ(ПЗ)_ПЗИП'!$D:$D,Справочно!$E33,'Отчет РПЗ(ПЗ)_ПЗИП'!$AQ:$AQ,11)</f>
        <v>0</v>
      </c>
      <c r="BN68" s="374" t="str">
        <f t="shared" si="61"/>
        <v>НД</v>
      </c>
      <c r="BO68" s="254" t="str">
        <f t="shared" si="37"/>
        <v>НД</v>
      </c>
      <c r="BP68" s="429">
        <f>SUMIFS('Отчет РПЗ(ПЗ)_ПЗИП'!$W:$W,'Отчет РПЗ(ПЗ)_ПЗИП'!$D:$D,Справочно!$E33,'Отчет РПЗ(ПЗ)_ПЗИП'!$N:$N,"&gt;=01.12.2017",'Отчет РПЗ(ПЗ)_ПЗИП'!$N:$N,"&lt;=31.12.2017",'Отчет РПЗ(ПЗ)_ПЗИП'!$AG:$AG,"&gt;0")</f>
        <v>0</v>
      </c>
      <c r="BQ68" s="334">
        <f>SUMIFS('Отчет РПЗ(ПЗ)_ПЗИП'!$AG:$AG,'Отчет РПЗ(ПЗ)_ПЗИП'!$D:$D,Справочно!$E33,'Отчет РПЗ(ПЗ)_ПЗИП'!$AQ:$AQ,12)</f>
        <v>0</v>
      </c>
      <c r="BR68" s="374" t="str">
        <f t="shared" si="62"/>
        <v>НД</v>
      </c>
      <c r="BS68" s="256" t="str">
        <f t="shared" si="38"/>
        <v>НД</v>
      </c>
      <c r="BT68" s="424">
        <f t="shared" si="63"/>
        <v>206500</v>
      </c>
      <c r="BU68" s="335">
        <f t="shared" si="64"/>
        <v>205051.68</v>
      </c>
      <c r="BV68" s="335">
        <f t="shared" si="39"/>
        <v>1448.320000000007</v>
      </c>
      <c r="BW68" s="257">
        <f t="shared" si="40"/>
        <v>7.0136561743341739E-3</v>
      </c>
    </row>
    <row r="69" spans="2:75" ht="13.5" thickBot="1" x14ac:dyDescent="0.25">
      <c r="B69" s="55" t="str">
        <f>Справочно!E34</f>
        <v>АО "Концерн Радиоэлектронные технологии"</v>
      </c>
      <c r="C69" s="92">
        <f>ПП!B57</f>
        <v>0</v>
      </c>
      <c r="D69" s="412">
        <f>ПП!C57</f>
        <v>0</v>
      </c>
      <c r="E69" s="437">
        <f>ПП!D57</f>
        <v>0</v>
      </c>
      <c r="F69" s="297">
        <f>COUNTIFS('Отчет РПЗ(ПЗ)_ПЗИП'!$AG:$AG,"&gt;0",'Отчет РПЗ(ПЗ)_ПЗИП'!$D:$D,Справочно!$E34)</f>
        <v>0</v>
      </c>
      <c r="G69" s="438">
        <f t="shared" si="41"/>
        <v>0</v>
      </c>
      <c r="H69" s="439">
        <f>SUMIF('Отчет РПЗ(ПЗ)_ПЗИП'!$D:$D,Справочно!$E34,'Отчет РПЗ(ПЗ)_ПЗИП'!$AG:$AG)</f>
        <v>0</v>
      </c>
      <c r="I69" s="461">
        <f t="shared" si="65"/>
        <v>0</v>
      </c>
      <c r="J69" s="514" t="e">
        <f t="shared" si="42"/>
        <v>#DIV/0!</v>
      </c>
      <c r="L69" s="430">
        <f>SUMIFS('Отчет РПЗ(ПЗ)_ПЗИП'!$W:$W,'Отчет РПЗ(ПЗ)_ПЗИП'!$D:$D,Справочно!$E34,'Отчет РПЗ(ПЗ)_ПЗИП'!$N:$N,"&gt;=01.01.2017",'Отчет РПЗ(ПЗ)_ПЗИП'!$N:$N,"&lt;=31.01.2017",'Отчет РПЗ(ПЗ)_ПЗИП'!$AG:$AG,"&gt;0")</f>
        <v>0</v>
      </c>
      <c r="M69" s="328">
        <f>SUMIFS('Отчет РПЗ(ПЗ)_ПЗИП'!$AG:$AG,'Отчет РПЗ(ПЗ)_ПЗИП'!$D:$D,Справочно!$E34,'Отчет РПЗ(ПЗ)_ПЗИП'!$AQ:$AQ,1)</f>
        <v>0</v>
      </c>
      <c r="N69" s="336" t="str">
        <f t="shared" si="43"/>
        <v>НД</v>
      </c>
      <c r="O69" s="245" t="str">
        <f t="shared" si="44"/>
        <v>НД</v>
      </c>
      <c r="P69" s="425">
        <f>SUMIFS('Отчет РПЗ(ПЗ)_ПЗИП'!$W:$W,'Отчет РПЗ(ПЗ)_ПЗИП'!$D:$D,Справочно!$E34,'Отчет РПЗ(ПЗ)_ПЗИП'!$N:$N,"&gt;=01.02.2017",'Отчет РПЗ(ПЗ)_ПЗИП'!$N:$N,"&lt;=28.02.2017",'Отчет РПЗ(ПЗ)_ПЗИП'!$AG:$AG,"&gt;0")</f>
        <v>0</v>
      </c>
      <c r="Q69" s="328">
        <f>SUMIFS('Отчет РПЗ(ПЗ)_ПЗИП'!$AG:$AG,'Отчет РПЗ(ПЗ)_ПЗИП'!$D:$D,Справочно!$E34,'Отчет РПЗ(ПЗ)_ПЗИП'!$AQ:$AQ,2)</f>
        <v>0</v>
      </c>
      <c r="R69" s="336" t="str">
        <f t="shared" si="45"/>
        <v>НД</v>
      </c>
      <c r="S69" s="245" t="str">
        <f t="shared" si="46"/>
        <v>НД</v>
      </c>
      <c r="T69" s="425">
        <f>SUMIFS('Отчет РПЗ(ПЗ)_ПЗИП'!$W:$W,'Отчет РПЗ(ПЗ)_ПЗИП'!$D:$D,Справочно!$E34,'Отчет РПЗ(ПЗ)_ПЗИП'!$N:$N,"&gt;=01.03.2017",'Отчет РПЗ(ПЗ)_ПЗИП'!$N:$N,"&lt;=31.03.2017",'Отчет РПЗ(ПЗ)_ПЗИП'!$AG:$AG,"&gt;0")</f>
        <v>0</v>
      </c>
      <c r="U69" s="328">
        <f>SUMIFS('Отчет РПЗ(ПЗ)_ПЗИП'!$AG:$AG,'Отчет РПЗ(ПЗ)_ПЗИП'!$D:$D,Справочно!$E34,'Отчет РПЗ(ПЗ)_ПЗИП'!$AQ:$AQ,3)</f>
        <v>0</v>
      </c>
      <c r="V69" s="336" t="str">
        <f t="shared" si="47"/>
        <v>НД</v>
      </c>
      <c r="W69" s="245" t="str">
        <f t="shared" si="23"/>
        <v>НД</v>
      </c>
      <c r="X69" s="424">
        <f t="shared" si="48"/>
        <v>0</v>
      </c>
      <c r="Y69" s="329">
        <f t="shared" si="49"/>
        <v>0</v>
      </c>
      <c r="Z69" s="329">
        <f t="shared" si="24"/>
        <v>0</v>
      </c>
      <c r="AA69" s="247">
        <f t="shared" si="25"/>
        <v>0</v>
      </c>
      <c r="AB69" s="430">
        <f>SUMIFS('Отчет РПЗ(ПЗ)_ПЗИП'!$W:$W,'Отчет РПЗ(ПЗ)_ПЗИП'!$D:$D,Справочно!$E34,'Отчет РПЗ(ПЗ)_ПЗИП'!$N:$N,"&gt;=01.04.2017",'Отчет РПЗ(ПЗ)_ПЗИП'!$N:$N,"&lt;=30.04.2017",'Отчет РПЗ(ПЗ)_ПЗИП'!$AG:$AG,"&gt;0")</f>
        <v>0</v>
      </c>
      <c r="AC69" s="330">
        <f>SUMIFS('Отчет РПЗ(ПЗ)_ПЗИП'!$AG:$AG,'Отчет РПЗ(ПЗ)_ПЗИП'!$D:$D,Справочно!$E34,'Отчет РПЗ(ПЗ)_ПЗИП'!$AQ:$AQ,4)</f>
        <v>0</v>
      </c>
      <c r="AD69" s="330" t="str">
        <f t="shared" si="50"/>
        <v>НД</v>
      </c>
      <c r="AE69" s="246" t="str">
        <f t="shared" si="26"/>
        <v>НД</v>
      </c>
      <c r="AF69" s="429">
        <f>SUMIFS('Отчет РПЗ(ПЗ)_ПЗИП'!$W:$W,'Отчет РПЗ(ПЗ)_ПЗИП'!$D:$D,Справочно!$E34,'Отчет РПЗ(ПЗ)_ПЗИП'!$N:$N,"&gt;=01.05.2017",'Отчет РПЗ(ПЗ)_ПЗИП'!$N:$N,"&lt;=31.05.2017",'Отчет РПЗ(ПЗ)_ПЗИП'!$AG:$AG,"&gt;0")</f>
        <v>0</v>
      </c>
      <c r="AG69" s="330">
        <f>SUMIFS('Отчет РПЗ(ПЗ)_ПЗИП'!$AG:$AG,'Отчет РПЗ(ПЗ)_ПЗИП'!$D:$D,Справочно!$E34,'Отчет РПЗ(ПЗ)_ПЗИП'!$AQ:$AQ,5)</f>
        <v>0</v>
      </c>
      <c r="AH69" s="330" t="str">
        <f t="shared" si="51"/>
        <v>НД</v>
      </c>
      <c r="AI69" s="246" t="str">
        <f t="shared" si="27"/>
        <v>НД</v>
      </c>
      <c r="AJ69" s="429">
        <f>SUMIFS('Отчет РПЗ(ПЗ)_ПЗИП'!$W:$W,'Отчет РПЗ(ПЗ)_ПЗИП'!$D:$D,Справочно!$E34,'Отчет РПЗ(ПЗ)_ПЗИП'!$N:$N,"&gt;=01.06.2017",'Отчет РПЗ(ПЗ)_ПЗИП'!$N:$N,"&lt;=30.06.2017",'Отчет РПЗ(ПЗ)_ПЗИП'!$AG:$AG,"&gt;0")</f>
        <v>0</v>
      </c>
      <c r="AK69" s="330">
        <f>SUMIFS('Отчет РПЗ(ПЗ)_ПЗИП'!$AG:$AG,'Отчет РПЗ(ПЗ)_ПЗИП'!$D:$D,Справочно!$E34,'Отчет РПЗ(ПЗ)_ПЗИП'!$AQ:$AQ,6)</f>
        <v>0</v>
      </c>
      <c r="AL69" s="330" t="str">
        <f t="shared" si="52"/>
        <v>НД</v>
      </c>
      <c r="AM69" s="246" t="str">
        <f t="shared" si="28"/>
        <v>НД</v>
      </c>
      <c r="AN69" s="424">
        <f t="shared" si="53"/>
        <v>0</v>
      </c>
      <c r="AO69" s="331">
        <f t="shared" si="54"/>
        <v>0</v>
      </c>
      <c r="AP69" s="331">
        <f t="shared" si="29"/>
        <v>0</v>
      </c>
      <c r="AQ69" s="248">
        <f t="shared" si="30"/>
        <v>0</v>
      </c>
      <c r="AR69" s="430">
        <f>SUMIFS('Отчет РПЗ(ПЗ)_ПЗИП'!$W:$W,'Отчет РПЗ(ПЗ)_ПЗИП'!$D:$D,Справочно!$E34,'Отчет РПЗ(ПЗ)_ПЗИП'!$N:$N,"&gt;=01.07.2017",'Отчет РПЗ(ПЗ)_ПЗИП'!$N:$N,"&lt;=31.07.2017",'Отчет РПЗ(ПЗ)_ПЗИП'!$AG:$AG,"&gt;0")</f>
        <v>0</v>
      </c>
      <c r="AS69" s="332">
        <f>SUMIFS('Отчет РПЗ(ПЗ)_ПЗИП'!$AG:$AG,'Отчет РПЗ(ПЗ)_ПЗИП'!$D:$D,Справочно!$E34,'Отчет РПЗ(ПЗ)_ПЗИП'!$AQ:$AQ,7)</f>
        <v>0</v>
      </c>
      <c r="AT69" s="372" t="str">
        <f t="shared" si="55"/>
        <v>НД</v>
      </c>
      <c r="AU69" s="250" t="str">
        <f t="shared" si="31"/>
        <v>НД</v>
      </c>
      <c r="AV69" s="425">
        <f>SUMIFS('Отчет РПЗ(ПЗ)_ПЗИП'!$W:$W,'Отчет РПЗ(ПЗ)_ПЗИП'!$D:$D,Справочно!$E34,'Отчет РПЗ(ПЗ)_ПЗИП'!$N:$N,"&gt;=01.08.2017",'Отчет РПЗ(ПЗ)_ПЗИП'!$N:$N,"&lt;=31.08.2017",'Отчет РПЗ(ПЗ)_ПЗИП'!$AG:$AG,"&gt;0")</f>
        <v>0</v>
      </c>
      <c r="AW69" s="332">
        <f>SUMIFS('Отчет РПЗ(ПЗ)_ПЗИП'!$AG:$AG,'Отчет РПЗ(ПЗ)_ПЗИП'!$D:$D,Справочно!$E34,'Отчет РПЗ(ПЗ)_ПЗИП'!$AQ:$AQ,8)</f>
        <v>0</v>
      </c>
      <c r="AX69" s="372" t="str">
        <f t="shared" si="56"/>
        <v>НД</v>
      </c>
      <c r="AY69" s="250" t="str">
        <f t="shared" si="32"/>
        <v>НД</v>
      </c>
      <c r="AZ69" s="425">
        <f>SUMIFS('Отчет РПЗ(ПЗ)_ПЗИП'!$W:$W,'Отчет РПЗ(ПЗ)_ПЗИП'!$D:$D,Справочно!$E34,'Отчет РПЗ(ПЗ)_ПЗИП'!$N:$N,"&gt;=01.09.2017",'Отчет РПЗ(ПЗ)_ПЗИП'!$N:$N,"&lt;=30.09.2017",'Отчет РПЗ(ПЗ)_ПЗИП'!$AG:$AG,"&gt;0")</f>
        <v>0</v>
      </c>
      <c r="BA69" s="332">
        <f>SUMIFS('Отчет РПЗ(ПЗ)_ПЗИП'!$AG:$AG,'Отчет РПЗ(ПЗ)_ПЗИП'!$D:$D,Справочно!$E34,'Отчет РПЗ(ПЗ)_ПЗИП'!$AQ:$AQ,9)</f>
        <v>0</v>
      </c>
      <c r="BB69" s="372" t="str">
        <f t="shared" si="57"/>
        <v>НД</v>
      </c>
      <c r="BC69" s="250" t="str">
        <f t="shared" si="33"/>
        <v>НД</v>
      </c>
      <c r="BD69" s="424">
        <f t="shared" si="58"/>
        <v>0</v>
      </c>
      <c r="BE69" s="333">
        <f t="shared" si="59"/>
        <v>0</v>
      </c>
      <c r="BF69" s="333">
        <f t="shared" si="34"/>
        <v>0</v>
      </c>
      <c r="BG69" s="252">
        <f t="shared" si="35"/>
        <v>0</v>
      </c>
      <c r="BH69" s="414">
        <f>SUMIFS('Отчет РПЗ(ПЗ)_ПЗИП'!$W:$W,'Отчет РПЗ(ПЗ)_ПЗИП'!$D:$D,Справочно!$E34,'Отчет РПЗ(ПЗ)_ПЗИП'!$N:$N,"&gt;=01.10.2017",'Отчет РПЗ(ПЗ)_ПЗИП'!$N:$N,"&lt;=31.10.2017",'Отчет РПЗ(ПЗ)_ПЗИП'!$AG:$AG,"&gt;0")</f>
        <v>0</v>
      </c>
      <c r="BI69" s="334">
        <f>SUMIFS('Отчет РПЗ(ПЗ)_ПЗИП'!$AG:$AG,'Отчет РПЗ(ПЗ)_ПЗИП'!$D:$D,Справочно!$E34,'Отчет РПЗ(ПЗ)_ПЗИП'!$AQ:$AQ,10)</f>
        <v>0</v>
      </c>
      <c r="BJ69" s="374" t="str">
        <f t="shared" si="60"/>
        <v>НД</v>
      </c>
      <c r="BK69" s="254" t="str">
        <f t="shared" si="36"/>
        <v>НД</v>
      </c>
      <c r="BL69" s="429">
        <f>SUMIFS('Отчет РПЗ(ПЗ)_ПЗИП'!$W:$W,'Отчет РПЗ(ПЗ)_ПЗИП'!$D:$D,Справочно!$E34,'Отчет РПЗ(ПЗ)_ПЗИП'!$N:$N,"&gt;=01.11.2017",'Отчет РПЗ(ПЗ)_ПЗИП'!$N:$N,"&lt;=30.11.2017",'Отчет РПЗ(ПЗ)_ПЗИП'!$AG:$AG,"&gt;0")</f>
        <v>0</v>
      </c>
      <c r="BM69" s="334">
        <f>SUMIFS('Отчет РПЗ(ПЗ)_ПЗИП'!$AG:$AG,'Отчет РПЗ(ПЗ)_ПЗИП'!$D:$D,Справочно!$E34,'Отчет РПЗ(ПЗ)_ПЗИП'!$AQ:$AQ,11)</f>
        <v>0</v>
      </c>
      <c r="BN69" s="374" t="str">
        <f t="shared" si="61"/>
        <v>НД</v>
      </c>
      <c r="BO69" s="254" t="str">
        <f t="shared" si="37"/>
        <v>НД</v>
      </c>
      <c r="BP69" s="429">
        <f>SUMIFS('Отчет РПЗ(ПЗ)_ПЗИП'!$W:$W,'Отчет РПЗ(ПЗ)_ПЗИП'!$D:$D,Справочно!$E34,'Отчет РПЗ(ПЗ)_ПЗИП'!$N:$N,"&gt;=01.12.2017",'Отчет РПЗ(ПЗ)_ПЗИП'!$N:$N,"&lt;=31.12.2017",'Отчет РПЗ(ПЗ)_ПЗИП'!$AG:$AG,"&gt;0")</f>
        <v>0</v>
      </c>
      <c r="BQ69" s="334">
        <f>SUMIFS('Отчет РПЗ(ПЗ)_ПЗИП'!$AG:$AG,'Отчет РПЗ(ПЗ)_ПЗИП'!$D:$D,Справочно!$E34,'Отчет РПЗ(ПЗ)_ПЗИП'!$AQ:$AQ,12)</f>
        <v>0</v>
      </c>
      <c r="BR69" s="374" t="str">
        <f t="shared" si="62"/>
        <v>НД</v>
      </c>
      <c r="BS69" s="256" t="str">
        <f t="shared" si="38"/>
        <v>НД</v>
      </c>
      <c r="BT69" s="424">
        <f t="shared" si="63"/>
        <v>0</v>
      </c>
      <c r="BU69" s="335">
        <f t="shared" si="64"/>
        <v>0</v>
      </c>
      <c r="BV69" s="335">
        <f t="shared" si="39"/>
        <v>0</v>
      </c>
      <c r="BW69" s="257">
        <f t="shared" si="40"/>
        <v>0</v>
      </c>
    </row>
    <row r="70" spans="2:75" ht="13.5" thickBot="1" x14ac:dyDescent="0.25">
      <c r="B70" s="55" t="str">
        <f>Справочно!E35</f>
        <v>АО "НПК "Технологии машиностроения"</v>
      </c>
      <c r="C70" s="92">
        <f>ПП!B58</f>
        <v>0</v>
      </c>
      <c r="D70" s="412">
        <f>ПП!C58</f>
        <v>0</v>
      </c>
      <c r="E70" s="437">
        <f>ПП!D58</f>
        <v>0</v>
      </c>
      <c r="F70" s="297">
        <f>COUNTIFS('Отчет РПЗ(ПЗ)_ПЗИП'!$AG:$AG,"&gt;0",'Отчет РПЗ(ПЗ)_ПЗИП'!$D:$D,Справочно!$E35)</f>
        <v>0</v>
      </c>
      <c r="G70" s="438">
        <f t="shared" si="41"/>
        <v>0</v>
      </c>
      <c r="H70" s="439">
        <f>SUMIF('Отчет РПЗ(ПЗ)_ПЗИП'!$D:$D,Справочно!$E35,'Отчет РПЗ(ПЗ)_ПЗИП'!$AG:$AG)</f>
        <v>0</v>
      </c>
      <c r="I70" s="461">
        <f t="shared" si="65"/>
        <v>0</v>
      </c>
      <c r="J70" s="514" t="e">
        <f t="shared" si="42"/>
        <v>#DIV/0!</v>
      </c>
      <c r="L70" s="430">
        <f>SUMIFS('Отчет РПЗ(ПЗ)_ПЗИП'!$W:$W,'Отчет РПЗ(ПЗ)_ПЗИП'!$D:$D,Справочно!$E35,'Отчет РПЗ(ПЗ)_ПЗИП'!$N:$N,"&gt;=01.01.2017",'Отчет РПЗ(ПЗ)_ПЗИП'!$N:$N,"&lt;=31.01.2017",'Отчет РПЗ(ПЗ)_ПЗИП'!$AG:$AG,"&gt;0")</f>
        <v>0</v>
      </c>
      <c r="M70" s="328">
        <f>SUMIFS('Отчет РПЗ(ПЗ)_ПЗИП'!$AG:$AG,'Отчет РПЗ(ПЗ)_ПЗИП'!$D:$D,Справочно!$E35,'Отчет РПЗ(ПЗ)_ПЗИП'!$AQ:$AQ,1)</f>
        <v>0</v>
      </c>
      <c r="N70" s="336" t="str">
        <f t="shared" si="43"/>
        <v>НД</v>
      </c>
      <c r="O70" s="245" t="str">
        <f t="shared" si="44"/>
        <v>НД</v>
      </c>
      <c r="P70" s="425">
        <f>SUMIFS('Отчет РПЗ(ПЗ)_ПЗИП'!$W:$W,'Отчет РПЗ(ПЗ)_ПЗИП'!$D:$D,Справочно!$E35,'Отчет РПЗ(ПЗ)_ПЗИП'!$N:$N,"&gt;=01.02.2017",'Отчет РПЗ(ПЗ)_ПЗИП'!$N:$N,"&lt;=28.02.2017",'Отчет РПЗ(ПЗ)_ПЗИП'!$AG:$AG,"&gt;0")</f>
        <v>0</v>
      </c>
      <c r="Q70" s="328">
        <f>SUMIFS('Отчет РПЗ(ПЗ)_ПЗИП'!$AG:$AG,'Отчет РПЗ(ПЗ)_ПЗИП'!$D:$D,Справочно!$E35,'Отчет РПЗ(ПЗ)_ПЗИП'!$AQ:$AQ,2)</f>
        <v>0</v>
      </c>
      <c r="R70" s="336" t="str">
        <f t="shared" si="45"/>
        <v>НД</v>
      </c>
      <c r="S70" s="245" t="str">
        <f t="shared" si="46"/>
        <v>НД</v>
      </c>
      <c r="T70" s="425">
        <f>SUMIFS('Отчет РПЗ(ПЗ)_ПЗИП'!$W:$W,'Отчет РПЗ(ПЗ)_ПЗИП'!$D:$D,Справочно!$E35,'Отчет РПЗ(ПЗ)_ПЗИП'!$N:$N,"&gt;=01.03.2017",'Отчет РПЗ(ПЗ)_ПЗИП'!$N:$N,"&lt;=31.03.2017",'Отчет РПЗ(ПЗ)_ПЗИП'!$AG:$AG,"&gt;0")</f>
        <v>0</v>
      </c>
      <c r="U70" s="328">
        <f>SUMIFS('Отчет РПЗ(ПЗ)_ПЗИП'!$AG:$AG,'Отчет РПЗ(ПЗ)_ПЗИП'!$D:$D,Справочно!$E35,'Отчет РПЗ(ПЗ)_ПЗИП'!$AQ:$AQ,3)</f>
        <v>0</v>
      </c>
      <c r="V70" s="336" t="str">
        <f t="shared" si="47"/>
        <v>НД</v>
      </c>
      <c r="W70" s="245" t="str">
        <f t="shared" si="23"/>
        <v>НД</v>
      </c>
      <c r="X70" s="424">
        <f t="shared" si="48"/>
        <v>0</v>
      </c>
      <c r="Y70" s="329">
        <f t="shared" si="49"/>
        <v>0</v>
      </c>
      <c r="Z70" s="329">
        <f t="shared" si="24"/>
        <v>0</v>
      </c>
      <c r="AA70" s="247">
        <f t="shared" si="25"/>
        <v>0</v>
      </c>
      <c r="AB70" s="430">
        <f>SUMIFS('Отчет РПЗ(ПЗ)_ПЗИП'!$W:$W,'Отчет РПЗ(ПЗ)_ПЗИП'!$D:$D,Справочно!$E35,'Отчет РПЗ(ПЗ)_ПЗИП'!$N:$N,"&gt;=01.04.2017",'Отчет РПЗ(ПЗ)_ПЗИП'!$N:$N,"&lt;=30.04.2017",'Отчет РПЗ(ПЗ)_ПЗИП'!$AG:$AG,"&gt;0")</f>
        <v>0</v>
      </c>
      <c r="AC70" s="330">
        <f>SUMIFS('Отчет РПЗ(ПЗ)_ПЗИП'!$AG:$AG,'Отчет РПЗ(ПЗ)_ПЗИП'!$D:$D,Справочно!$E35,'Отчет РПЗ(ПЗ)_ПЗИП'!$AQ:$AQ,4)</f>
        <v>0</v>
      </c>
      <c r="AD70" s="330" t="str">
        <f t="shared" si="50"/>
        <v>НД</v>
      </c>
      <c r="AE70" s="246" t="str">
        <f t="shared" si="26"/>
        <v>НД</v>
      </c>
      <c r="AF70" s="429">
        <f>SUMIFS('Отчет РПЗ(ПЗ)_ПЗИП'!$W:$W,'Отчет РПЗ(ПЗ)_ПЗИП'!$D:$D,Справочно!$E35,'Отчет РПЗ(ПЗ)_ПЗИП'!$N:$N,"&gt;=01.05.2017",'Отчет РПЗ(ПЗ)_ПЗИП'!$N:$N,"&lt;=31.05.2017",'Отчет РПЗ(ПЗ)_ПЗИП'!$AG:$AG,"&gt;0")</f>
        <v>0</v>
      </c>
      <c r="AG70" s="330">
        <f>SUMIFS('Отчет РПЗ(ПЗ)_ПЗИП'!$AG:$AG,'Отчет РПЗ(ПЗ)_ПЗИП'!$D:$D,Справочно!$E35,'Отчет РПЗ(ПЗ)_ПЗИП'!$AQ:$AQ,5)</f>
        <v>0</v>
      </c>
      <c r="AH70" s="330" t="str">
        <f t="shared" si="51"/>
        <v>НД</v>
      </c>
      <c r="AI70" s="246" t="str">
        <f t="shared" si="27"/>
        <v>НД</v>
      </c>
      <c r="AJ70" s="429">
        <f>SUMIFS('Отчет РПЗ(ПЗ)_ПЗИП'!$W:$W,'Отчет РПЗ(ПЗ)_ПЗИП'!$D:$D,Справочно!$E35,'Отчет РПЗ(ПЗ)_ПЗИП'!$N:$N,"&gt;=01.06.2017",'Отчет РПЗ(ПЗ)_ПЗИП'!$N:$N,"&lt;=30.06.2017",'Отчет РПЗ(ПЗ)_ПЗИП'!$AG:$AG,"&gt;0")</f>
        <v>0</v>
      </c>
      <c r="AK70" s="330">
        <f>SUMIFS('Отчет РПЗ(ПЗ)_ПЗИП'!$AG:$AG,'Отчет РПЗ(ПЗ)_ПЗИП'!$D:$D,Справочно!$E35,'Отчет РПЗ(ПЗ)_ПЗИП'!$AQ:$AQ,6)</f>
        <v>0</v>
      </c>
      <c r="AL70" s="330" t="str">
        <f t="shared" si="52"/>
        <v>НД</v>
      </c>
      <c r="AM70" s="246" t="str">
        <f t="shared" si="28"/>
        <v>НД</v>
      </c>
      <c r="AN70" s="424">
        <f t="shared" si="53"/>
        <v>0</v>
      </c>
      <c r="AO70" s="331">
        <f t="shared" si="54"/>
        <v>0</v>
      </c>
      <c r="AP70" s="331">
        <f t="shared" si="29"/>
        <v>0</v>
      </c>
      <c r="AQ70" s="248">
        <f t="shared" si="30"/>
        <v>0</v>
      </c>
      <c r="AR70" s="430">
        <f>SUMIFS('Отчет РПЗ(ПЗ)_ПЗИП'!$W:$W,'Отчет РПЗ(ПЗ)_ПЗИП'!$D:$D,Справочно!$E35,'Отчет РПЗ(ПЗ)_ПЗИП'!$N:$N,"&gt;=01.07.2017",'Отчет РПЗ(ПЗ)_ПЗИП'!$N:$N,"&lt;=31.07.2017",'Отчет РПЗ(ПЗ)_ПЗИП'!$AG:$AG,"&gt;0")</f>
        <v>0</v>
      </c>
      <c r="AS70" s="332">
        <f>SUMIFS('Отчет РПЗ(ПЗ)_ПЗИП'!$AG:$AG,'Отчет РПЗ(ПЗ)_ПЗИП'!$D:$D,Справочно!$E35,'Отчет РПЗ(ПЗ)_ПЗИП'!$AQ:$AQ,7)</f>
        <v>0</v>
      </c>
      <c r="AT70" s="372" t="str">
        <f t="shared" si="55"/>
        <v>НД</v>
      </c>
      <c r="AU70" s="250" t="str">
        <f t="shared" si="31"/>
        <v>НД</v>
      </c>
      <c r="AV70" s="425">
        <f>SUMIFS('Отчет РПЗ(ПЗ)_ПЗИП'!$W:$W,'Отчет РПЗ(ПЗ)_ПЗИП'!$D:$D,Справочно!$E35,'Отчет РПЗ(ПЗ)_ПЗИП'!$N:$N,"&gt;=01.08.2017",'Отчет РПЗ(ПЗ)_ПЗИП'!$N:$N,"&lt;=31.08.2017",'Отчет РПЗ(ПЗ)_ПЗИП'!$AG:$AG,"&gt;0")</f>
        <v>0</v>
      </c>
      <c r="AW70" s="332">
        <f>SUMIFS('Отчет РПЗ(ПЗ)_ПЗИП'!$AG:$AG,'Отчет РПЗ(ПЗ)_ПЗИП'!$D:$D,Справочно!$E35,'Отчет РПЗ(ПЗ)_ПЗИП'!$AQ:$AQ,8)</f>
        <v>0</v>
      </c>
      <c r="AX70" s="372" t="str">
        <f t="shared" si="56"/>
        <v>НД</v>
      </c>
      <c r="AY70" s="250" t="str">
        <f t="shared" si="32"/>
        <v>НД</v>
      </c>
      <c r="AZ70" s="425">
        <f>SUMIFS('Отчет РПЗ(ПЗ)_ПЗИП'!$W:$W,'Отчет РПЗ(ПЗ)_ПЗИП'!$D:$D,Справочно!$E35,'Отчет РПЗ(ПЗ)_ПЗИП'!$N:$N,"&gt;=01.09.2017",'Отчет РПЗ(ПЗ)_ПЗИП'!$N:$N,"&lt;=30.09.2017",'Отчет РПЗ(ПЗ)_ПЗИП'!$AG:$AG,"&gt;0")</f>
        <v>0</v>
      </c>
      <c r="BA70" s="332">
        <f>SUMIFS('Отчет РПЗ(ПЗ)_ПЗИП'!$AG:$AG,'Отчет РПЗ(ПЗ)_ПЗИП'!$D:$D,Справочно!$E35,'Отчет РПЗ(ПЗ)_ПЗИП'!$AQ:$AQ,9)</f>
        <v>0</v>
      </c>
      <c r="BB70" s="372" t="str">
        <f t="shared" si="57"/>
        <v>НД</v>
      </c>
      <c r="BC70" s="250" t="str">
        <f t="shared" si="33"/>
        <v>НД</v>
      </c>
      <c r="BD70" s="424">
        <f t="shared" si="58"/>
        <v>0</v>
      </c>
      <c r="BE70" s="333">
        <f t="shared" si="59"/>
        <v>0</v>
      </c>
      <c r="BF70" s="333">
        <f t="shared" si="34"/>
        <v>0</v>
      </c>
      <c r="BG70" s="252">
        <f t="shared" si="35"/>
        <v>0</v>
      </c>
      <c r="BH70" s="414">
        <f>SUMIFS('Отчет РПЗ(ПЗ)_ПЗИП'!$W:$W,'Отчет РПЗ(ПЗ)_ПЗИП'!$D:$D,Справочно!$E35,'Отчет РПЗ(ПЗ)_ПЗИП'!$N:$N,"&gt;=01.10.2017",'Отчет РПЗ(ПЗ)_ПЗИП'!$N:$N,"&lt;=31.10.2017",'Отчет РПЗ(ПЗ)_ПЗИП'!$AG:$AG,"&gt;0")</f>
        <v>0</v>
      </c>
      <c r="BI70" s="334">
        <f>SUMIFS('Отчет РПЗ(ПЗ)_ПЗИП'!$AG:$AG,'Отчет РПЗ(ПЗ)_ПЗИП'!$D:$D,Справочно!$E35,'Отчет РПЗ(ПЗ)_ПЗИП'!$AQ:$AQ,10)</f>
        <v>0</v>
      </c>
      <c r="BJ70" s="374" t="str">
        <f t="shared" si="60"/>
        <v>НД</v>
      </c>
      <c r="BK70" s="254" t="str">
        <f t="shared" si="36"/>
        <v>НД</v>
      </c>
      <c r="BL70" s="429">
        <f>SUMIFS('Отчет РПЗ(ПЗ)_ПЗИП'!$W:$W,'Отчет РПЗ(ПЗ)_ПЗИП'!$D:$D,Справочно!$E35,'Отчет РПЗ(ПЗ)_ПЗИП'!$N:$N,"&gt;=01.11.2017",'Отчет РПЗ(ПЗ)_ПЗИП'!$N:$N,"&lt;=30.11.2017",'Отчет РПЗ(ПЗ)_ПЗИП'!$AG:$AG,"&gt;0")</f>
        <v>0</v>
      </c>
      <c r="BM70" s="334">
        <f>SUMIFS('Отчет РПЗ(ПЗ)_ПЗИП'!$AG:$AG,'Отчет РПЗ(ПЗ)_ПЗИП'!$D:$D,Справочно!$E35,'Отчет РПЗ(ПЗ)_ПЗИП'!$AQ:$AQ,11)</f>
        <v>0</v>
      </c>
      <c r="BN70" s="374" t="str">
        <f t="shared" si="61"/>
        <v>НД</v>
      </c>
      <c r="BO70" s="254" t="str">
        <f t="shared" si="37"/>
        <v>НД</v>
      </c>
      <c r="BP70" s="429">
        <f>SUMIFS('Отчет РПЗ(ПЗ)_ПЗИП'!$W:$W,'Отчет РПЗ(ПЗ)_ПЗИП'!$D:$D,Справочно!$E35,'Отчет РПЗ(ПЗ)_ПЗИП'!$N:$N,"&gt;=01.12.2017",'Отчет РПЗ(ПЗ)_ПЗИП'!$N:$N,"&lt;=31.12.2017",'Отчет РПЗ(ПЗ)_ПЗИП'!$AG:$AG,"&gt;0")</f>
        <v>0</v>
      </c>
      <c r="BQ70" s="334">
        <f>SUMIFS('Отчет РПЗ(ПЗ)_ПЗИП'!$AG:$AG,'Отчет РПЗ(ПЗ)_ПЗИП'!$D:$D,Справочно!$E35,'Отчет РПЗ(ПЗ)_ПЗИП'!$AQ:$AQ,12)</f>
        <v>0</v>
      </c>
      <c r="BR70" s="374" t="str">
        <f t="shared" si="62"/>
        <v>НД</v>
      </c>
      <c r="BS70" s="256" t="str">
        <f t="shared" si="38"/>
        <v>НД</v>
      </c>
      <c r="BT70" s="424">
        <f t="shared" si="63"/>
        <v>0</v>
      </c>
      <c r="BU70" s="335">
        <f t="shared" si="64"/>
        <v>0</v>
      </c>
      <c r="BV70" s="335">
        <f t="shared" si="39"/>
        <v>0</v>
      </c>
      <c r="BW70" s="257">
        <f t="shared" si="40"/>
        <v>0</v>
      </c>
    </row>
    <row r="71" spans="2:75" ht="12.75" customHeight="1" thickBot="1" x14ac:dyDescent="0.25">
      <c r="B71" s="55" t="str">
        <f>Справочно!E36</f>
        <v>АО "НПО "Высокоточные комплексы"</v>
      </c>
      <c r="C71" s="92">
        <f>ПП!B59</f>
        <v>0</v>
      </c>
      <c r="D71" s="412">
        <f>ПП!C59</f>
        <v>0</v>
      </c>
      <c r="E71" s="437">
        <f>ПП!D59</f>
        <v>0</v>
      </c>
      <c r="F71" s="297">
        <f>COUNTIFS('Отчет РПЗ(ПЗ)_ПЗИП'!$AG:$AG,"&gt;0",'Отчет РПЗ(ПЗ)_ПЗИП'!$D:$D,Справочно!$E36)</f>
        <v>0</v>
      </c>
      <c r="G71" s="438">
        <f t="shared" si="41"/>
        <v>0</v>
      </c>
      <c r="H71" s="439">
        <f>SUMIF('Отчет РПЗ(ПЗ)_ПЗИП'!$D:$D,Справочно!$E36,'Отчет РПЗ(ПЗ)_ПЗИП'!$AG:$AG)</f>
        <v>0</v>
      </c>
      <c r="I71" s="461">
        <f t="shared" si="65"/>
        <v>0</v>
      </c>
      <c r="J71" s="514" t="e">
        <f t="shared" si="42"/>
        <v>#DIV/0!</v>
      </c>
      <c r="L71" s="430">
        <f>SUMIFS('Отчет РПЗ(ПЗ)_ПЗИП'!$W:$W,'Отчет РПЗ(ПЗ)_ПЗИП'!$D:$D,Справочно!$E36,'Отчет РПЗ(ПЗ)_ПЗИП'!$N:$N,"&gt;=01.01.2017",'Отчет РПЗ(ПЗ)_ПЗИП'!$N:$N,"&lt;=31.01.2017",'Отчет РПЗ(ПЗ)_ПЗИП'!$AG:$AG,"&gt;0")</f>
        <v>0</v>
      </c>
      <c r="M71" s="328">
        <f>SUMIFS('Отчет РПЗ(ПЗ)_ПЗИП'!$AG:$AG,'Отчет РПЗ(ПЗ)_ПЗИП'!$D:$D,Справочно!$E36,'Отчет РПЗ(ПЗ)_ПЗИП'!$AQ:$AQ,1)</f>
        <v>0</v>
      </c>
      <c r="N71" s="336" t="str">
        <f t="shared" si="43"/>
        <v>НД</v>
      </c>
      <c r="O71" s="245" t="str">
        <f t="shared" si="44"/>
        <v>НД</v>
      </c>
      <c r="P71" s="425">
        <f>SUMIFS('Отчет РПЗ(ПЗ)_ПЗИП'!$W:$W,'Отчет РПЗ(ПЗ)_ПЗИП'!$D:$D,Справочно!$E36,'Отчет РПЗ(ПЗ)_ПЗИП'!$N:$N,"&gt;=01.02.2017",'Отчет РПЗ(ПЗ)_ПЗИП'!$N:$N,"&lt;=28.02.2017",'Отчет РПЗ(ПЗ)_ПЗИП'!$AG:$AG,"&gt;0")</f>
        <v>0</v>
      </c>
      <c r="Q71" s="328">
        <f>SUMIFS('Отчет РПЗ(ПЗ)_ПЗИП'!$AG:$AG,'Отчет РПЗ(ПЗ)_ПЗИП'!$D:$D,Справочно!$E36,'Отчет РПЗ(ПЗ)_ПЗИП'!$AQ:$AQ,2)</f>
        <v>0</v>
      </c>
      <c r="R71" s="336" t="str">
        <f t="shared" si="45"/>
        <v>НД</v>
      </c>
      <c r="S71" s="245" t="str">
        <f t="shared" si="46"/>
        <v>НД</v>
      </c>
      <c r="T71" s="425">
        <f>SUMIFS('Отчет РПЗ(ПЗ)_ПЗИП'!$W:$W,'Отчет РПЗ(ПЗ)_ПЗИП'!$D:$D,Справочно!$E36,'Отчет РПЗ(ПЗ)_ПЗИП'!$N:$N,"&gt;=01.03.2017",'Отчет РПЗ(ПЗ)_ПЗИП'!$N:$N,"&lt;=31.03.2017",'Отчет РПЗ(ПЗ)_ПЗИП'!$AG:$AG,"&gt;0")</f>
        <v>0</v>
      </c>
      <c r="U71" s="328">
        <f>SUMIFS('Отчет РПЗ(ПЗ)_ПЗИП'!$AG:$AG,'Отчет РПЗ(ПЗ)_ПЗИП'!$D:$D,Справочно!$E36,'Отчет РПЗ(ПЗ)_ПЗИП'!$AQ:$AQ,3)</f>
        <v>0</v>
      </c>
      <c r="V71" s="336" t="str">
        <f t="shared" si="47"/>
        <v>НД</v>
      </c>
      <c r="W71" s="245" t="str">
        <f t="shared" si="23"/>
        <v>НД</v>
      </c>
      <c r="X71" s="424">
        <f t="shared" si="48"/>
        <v>0</v>
      </c>
      <c r="Y71" s="329">
        <f t="shared" si="49"/>
        <v>0</v>
      </c>
      <c r="Z71" s="329">
        <f t="shared" si="24"/>
        <v>0</v>
      </c>
      <c r="AA71" s="247">
        <f t="shared" si="25"/>
        <v>0</v>
      </c>
      <c r="AB71" s="430">
        <f>SUMIFS('Отчет РПЗ(ПЗ)_ПЗИП'!$W:$W,'Отчет РПЗ(ПЗ)_ПЗИП'!$D:$D,Справочно!$E36,'Отчет РПЗ(ПЗ)_ПЗИП'!$N:$N,"&gt;=01.04.2017",'Отчет РПЗ(ПЗ)_ПЗИП'!$N:$N,"&lt;=30.04.2017",'Отчет РПЗ(ПЗ)_ПЗИП'!$AG:$AG,"&gt;0")</f>
        <v>0</v>
      </c>
      <c r="AC71" s="330">
        <f>SUMIFS('Отчет РПЗ(ПЗ)_ПЗИП'!$AG:$AG,'Отчет РПЗ(ПЗ)_ПЗИП'!$D:$D,Справочно!$E36,'Отчет РПЗ(ПЗ)_ПЗИП'!$AQ:$AQ,4)</f>
        <v>0</v>
      </c>
      <c r="AD71" s="330" t="str">
        <f t="shared" si="50"/>
        <v>НД</v>
      </c>
      <c r="AE71" s="246" t="str">
        <f t="shared" si="26"/>
        <v>НД</v>
      </c>
      <c r="AF71" s="429">
        <f>SUMIFS('Отчет РПЗ(ПЗ)_ПЗИП'!$W:$W,'Отчет РПЗ(ПЗ)_ПЗИП'!$D:$D,Справочно!$E36,'Отчет РПЗ(ПЗ)_ПЗИП'!$N:$N,"&gt;=01.05.2017",'Отчет РПЗ(ПЗ)_ПЗИП'!$N:$N,"&lt;=31.05.2017",'Отчет РПЗ(ПЗ)_ПЗИП'!$AG:$AG,"&gt;0")</f>
        <v>0</v>
      </c>
      <c r="AG71" s="330">
        <f>SUMIFS('Отчет РПЗ(ПЗ)_ПЗИП'!$AG:$AG,'Отчет РПЗ(ПЗ)_ПЗИП'!$D:$D,Справочно!$E36,'Отчет РПЗ(ПЗ)_ПЗИП'!$AQ:$AQ,5)</f>
        <v>0</v>
      </c>
      <c r="AH71" s="330" t="str">
        <f t="shared" si="51"/>
        <v>НД</v>
      </c>
      <c r="AI71" s="246" t="str">
        <f t="shared" si="27"/>
        <v>НД</v>
      </c>
      <c r="AJ71" s="429">
        <f>SUMIFS('Отчет РПЗ(ПЗ)_ПЗИП'!$W:$W,'Отчет РПЗ(ПЗ)_ПЗИП'!$D:$D,Справочно!$E36,'Отчет РПЗ(ПЗ)_ПЗИП'!$N:$N,"&gt;=01.06.2017",'Отчет РПЗ(ПЗ)_ПЗИП'!$N:$N,"&lt;=30.06.2017",'Отчет РПЗ(ПЗ)_ПЗИП'!$AG:$AG,"&gt;0")</f>
        <v>0</v>
      </c>
      <c r="AK71" s="330">
        <f>SUMIFS('Отчет РПЗ(ПЗ)_ПЗИП'!$AG:$AG,'Отчет РПЗ(ПЗ)_ПЗИП'!$D:$D,Справочно!$E36,'Отчет РПЗ(ПЗ)_ПЗИП'!$AQ:$AQ,6)</f>
        <v>0</v>
      </c>
      <c r="AL71" s="330" t="str">
        <f t="shared" si="52"/>
        <v>НД</v>
      </c>
      <c r="AM71" s="246" t="str">
        <f t="shared" si="28"/>
        <v>НД</v>
      </c>
      <c r="AN71" s="424">
        <f t="shared" si="53"/>
        <v>0</v>
      </c>
      <c r="AO71" s="331">
        <f t="shared" si="54"/>
        <v>0</v>
      </c>
      <c r="AP71" s="331">
        <f t="shared" si="29"/>
        <v>0</v>
      </c>
      <c r="AQ71" s="248">
        <f t="shared" si="30"/>
        <v>0</v>
      </c>
      <c r="AR71" s="430">
        <f>SUMIFS('Отчет РПЗ(ПЗ)_ПЗИП'!$W:$W,'Отчет РПЗ(ПЗ)_ПЗИП'!$D:$D,Справочно!$E36,'Отчет РПЗ(ПЗ)_ПЗИП'!$N:$N,"&gt;=01.07.2017",'Отчет РПЗ(ПЗ)_ПЗИП'!$N:$N,"&lt;=31.07.2017",'Отчет РПЗ(ПЗ)_ПЗИП'!$AG:$AG,"&gt;0")</f>
        <v>0</v>
      </c>
      <c r="AS71" s="332">
        <f>SUMIFS('Отчет РПЗ(ПЗ)_ПЗИП'!$AG:$AG,'Отчет РПЗ(ПЗ)_ПЗИП'!$D:$D,Справочно!$E36,'Отчет РПЗ(ПЗ)_ПЗИП'!$AQ:$AQ,7)</f>
        <v>0</v>
      </c>
      <c r="AT71" s="372" t="str">
        <f t="shared" si="55"/>
        <v>НД</v>
      </c>
      <c r="AU71" s="250" t="str">
        <f t="shared" si="31"/>
        <v>НД</v>
      </c>
      <c r="AV71" s="425">
        <f>SUMIFS('Отчет РПЗ(ПЗ)_ПЗИП'!$W:$W,'Отчет РПЗ(ПЗ)_ПЗИП'!$D:$D,Справочно!$E36,'Отчет РПЗ(ПЗ)_ПЗИП'!$N:$N,"&gt;=01.08.2017",'Отчет РПЗ(ПЗ)_ПЗИП'!$N:$N,"&lt;=31.08.2017",'Отчет РПЗ(ПЗ)_ПЗИП'!$AG:$AG,"&gt;0")</f>
        <v>0</v>
      </c>
      <c r="AW71" s="332">
        <f>SUMIFS('Отчет РПЗ(ПЗ)_ПЗИП'!$AG:$AG,'Отчет РПЗ(ПЗ)_ПЗИП'!$D:$D,Справочно!$E36,'Отчет РПЗ(ПЗ)_ПЗИП'!$AQ:$AQ,8)</f>
        <v>0</v>
      </c>
      <c r="AX71" s="372" t="str">
        <f t="shared" si="56"/>
        <v>НД</v>
      </c>
      <c r="AY71" s="250" t="str">
        <f t="shared" si="32"/>
        <v>НД</v>
      </c>
      <c r="AZ71" s="425">
        <f>SUMIFS('Отчет РПЗ(ПЗ)_ПЗИП'!$W:$W,'Отчет РПЗ(ПЗ)_ПЗИП'!$D:$D,Справочно!$E36,'Отчет РПЗ(ПЗ)_ПЗИП'!$N:$N,"&gt;=01.09.2017",'Отчет РПЗ(ПЗ)_ПЗИП'!$N:$N,"&lt;=30.09.2017",'Отчет РПЗ(ПЗ)_ПЗИП'!$AG:$AG,"&gt;0")</f>
        <v>0</v>
      </c>
      <c r="BA71" s="332">
        <f>SUMIFS('Отчет РПЗ(ПЗ)_ПЗИП'!$AG:$AG,'Отчет РПЗ(ПЗ)_ПЗИП'!$D:$D,Справочно!$E36,'Отчет РПЗ(ПЗ)_ПЗИП'!$AQ:$AQ,9)</f>
        <v>0</v>
      </c>
      <c r="BB71" s="372" t="str">
        <f t="shared" si="57"/>
        <v>НД</v>
      </c>
      <c r="BC71" s="250" t="str">
        <f t="shared" si="33"/>
        <v>НД</v>
      </c>
      <c r="BD71" s="424">
        <f t="shared" si="58"/>
        <v>0</v>
      </c>
      <c r="BE71" s="333">
        <f t="shared" si="59"/>
        <v>0</v>
      </c>
      <c r="BF71" s="333">
        <f t="shared" si="34"/>
        <v>0</v>
      </c>
      <c r="BG71" s="252">
        <f t="shared" si="35"/>
        <v>0</v>
      </c>
      <c r="BH71" s="414">
        <f>SUMIFS('Отчет РПЗ(ПЗ)_ПЗИП'!$W:$W,'Отчет РПЗ(ПЗ)_ПЗИП'!$D:$D,Справочно!$E36,'Отчет РПЗ(ПЗ)_ПЗИП'!$N:$N,"&gt;=01.10.2017",'Отчет РПЗ(ПЗ)_ПЗИП'!$N:$N,"&lt;=31.10.2017",'Отчет РПЗ(ПЗ)_ПЗИП'!$AG:$AG,"&gt;0")</f>
        <v>0</v>
      </c>
      <c r="BI71" s="334">
        <f>SUMIFS('Отчет РПЗ(ПЗ)_ПЗИП'!$AG:$AG,'Отчет РПЗ(ПЗ)_ПЗИП'!$D:$D,Справочно!$E36,'Отчет РПЗ(ПЗ)_ПЗИП'!$AQ:$AQ,10)</f>
        <v>0</v>
      </c>
      <c r="BJ71" s="374" t="str">
        <f t="shared" si="60"/>
        <v>НД</v>
      </c>
      <c r="BK71" s="254" t="str">
        <f t="shared" si="36"/>
        <v>НД</v>
      </c>
      <c r="BL71" s="429">
        <f>SUMIFS('Отчет РПЗ(ПЗ)_ПЗИП'!$W:$W,'Отчет РПЗ(ПЗ)_ПЗИП'!$D:$D,Справочно!$E36,'Отчет РПЗ(ПЗ)_ПЗИП'!$N:$N,"&gt;=01.11.2017",'Отчет РПЗ(ПЗ)_ПЗИП'!$N:$N,"&lt;=30.11.2017",'Отчет РПЗ(ПЗ)_ПЗИП'!$AG:$AG,"&gt;0")</f>
        <v>0</v>
      </c>
      <c r="BM71" s="334">
        <f>SUMIFS('Отчет РПЗ(ПЗ)_ПЗИП'!$AG:$AG,'Отчет РПЗ(ПЗ)_ПЗИП'!$D:$D,Справочно!$E36,'Отчет РПЗ(ПЗ)_ПЗИП'!$AQ:$AQ,11)</f>
        <v>0</v>
      </c>
      <c r="BN71" s="374" t="str">
        <f t="shared" si="61"/>
        <v>НД</v>
      </c>
      <c r="BO71" s="254" t="str">
        <f t="shared" si="37"/>
        <v>НД</v>
      </c>
      <c r="BP71" s="429">
        <f>SUMIFS('Отчет РПЗ(ПЗ)_ПЗИП'!$W:$W,'Отчет РПЗ(ПЗ)_ПЗИП'!$D:$D,Справочно!$E36,'Отчет РПЗ(ПЗ)_ПЗИП'!$N:$N,"&gt;=01.12.2017",'Отчет РПЗ(ПЗ)_ПЗИП'!$N:$N,"&lt;=31.12.2017",'Отчет РПЗ(ПЗ)_ПЗИП'!$AG:$AG,"&gt;0")</f>
        <v>0</v>
      </c>
      <c r="BQ71" s="334">
        <f>SUMIFS('Отчет РПЗ(ПЗ)_ПЗИП'!$AG:$AG,'Отчет РПЗ(ПЗ)_ПЗИП'!$D:$D,Справочно!$E36,'Отчет РПЗ(ПЗ)_ПЗИП'!$AQ:$AQ,12)</f>
        <v>0</v>
      </c>
      <c r="BR71" s="374" t="str">
        <f t="shared" si="62"/>
        <v>НД</v>
      </c>
      <c r="BS71" s="256" t="str">
        <f t="shared" si="38"/>
        <v>НД</v>
      </c>
      <c r="BT71" s="424">
        <f t="shared" si="63"/>
        <v>0</v>
      </c>
      <c r="BU71" s="335">
        <f t="shared" si="64"/>
        <v>0</v>
      </c>
      <c r="BV71" s="335">
        <f t="shared" si="39"/>
        <v>0</v>
      </c>
      <c r="BW71" s="257">
        <f t="shared" si="40"/>
        <v>0</v>
      </c>
    </row>
    <row r="72" spans="2:75" ht="13.5" thickBot="1" x14ac:dyDescent="0.25">
      <c r="B72" s="55" t="str">
        <f>Справочно!E37</f>
        <v>АО "Объединенная приборостроительная компания"</v>
      </c>
      <c r="C72" s="92">
        <f>ПП!B60</f>
        <v>0</v>
      </c>
      <c r="D72" s="412">
        <f>ПП!C60</f>
        <v>0</v>
      </c>
      <c r="E72" s="437">
        <f>ПП!D60</f>
        <v>0</v>
      </c>
      <c r="F72" s="297">
        <f>COUNTIFS('Отчет РПЗ(ПЗ)_ПЗИП'!$AG:$AG,"&gt;0",'Отчет РПЗ(ПЗ)_ПЗИП'!$D:$D,Справочно!$E37)</f>
        <v>0</v>
      </c>
      <c r="G72" s="438">
        <f t="shared" si="41"/>
        <v>0</v>
      </c>
      <c r="H72" s="439">
        <f>SUMIF('Отчет РПЗ(ПЗ)_ПЗИП'!$D:$D,Справочно!$E37,'Отчет РПЗ(ПЗ)_ПЗИП'!$AG:$AG)</f>
        <v>0</v>
      </c>
      <c r="I72" s="461">
        <f t="shared" si="65"/>
        <v>0</v>
      </c>
      <c r="J72" s="514" t="e">
        <f t="shared" si="42"/>
        <v>#DIV/0!</v>
      </c>
      <c r="L72" s="430">
        <f>SUMIFS('Отчет РПЗ(ПЗ)_ПЗИП'!$W:$W,'Отчет РПЗ(ПЗ)_ПЗИП'!$D:$D,Справочно!$E37,'Отчет РПЗ(ПЗ)_ПЗИП'!$N:$N,"&gt;=01.01.2017",'Отчет РПЗ(ПЗ)_ПЗИП'!$N:$N,"&lt;=31.01.2017",'Отчет РПЗ(ПЗ)_ПЗИП'!$AG:$AG,"&gt;0")</f>
        <v>0</v>
      </c>
      <c r="M72" s="328">
        <f>SUMIFS('Отчет РПЗ(ПЗ)_ПЗИП'!$AG:$AG,'Отчет РПЗ(ПЗ)_ПЗИП'!$D:$D,Справочно!$E37,'Отчет РПЗ(ПЗ)_ПЗИП'!$AQ:$AQ,1)</f>
        <v>0</v>
      </c>
      <c r="N72" s="336" t="str">
        <f t="shared" si="43"/>
        <v>НД</v>
      </c>
      <c r="O72" s="245" t="str">
        <f t="shared" si="44"/>
        <v>НД</v>
      </c>
      <c r="P72" s="425">
        <f>SUMIFS('Отчет РПЗ(ПЗ)_ПЗИП'!$W:$W,'Отчет РПЗ(ПЗ)_ПЗИП'!$D:$D,Справочно!$E37,'Отчет РПЗ(ПЗ)_ПЗИП'!$N:$N,"&gt;=01.02.2017",'Отчет РПЗ(ПЗ)_ПЗИП'!$N:$N,"&lt;=28.02.2017",'Отчет РПЗ(ПЗ)_ПЗИП'!$AG:$AG,"&gt;0")</f>
        <v>0</v>
      </c>
      <c r="Q72" s="328">
        <f>SUMIFS('Отчет РПЗ(ПЗ)_ПЗИП'!$AG:$AG,'Отчет РПЗ(ПЗ)_ПЗИП'!$D:$D,Справочно!$E37,'Отчет РПЗ(ПЗ)_ПЗИП'!$AQ:$AQ,2)</f>
        <v>0</v>
      </c>
      <c r="R72" s="336" t="str">
        <f t="shared" si="45"/>
        <v>НД</v>
      </c>
      <c r="S72" s="245" t="str">
        <f t="shared" si="46"/>
        <v>НД</v>
      </c>
      <c r="T72" s="425">
        <f>SUMIFS('Отчет РПЗ(ПЗ)_ПЗИП'!$W:$W,'Отчет РПЗ(ПЗ)_ПЗИП'!$D:$D,Справочно!$E37,'Отчет РПЗ(ПЗ)_ПЗИП'!$N:$N,"&gt;=01.03.2017",'Отчет РПЗ(ПЗ)_ПЗИП'!$N:$N,"&lt;=31.03.2017",'Отчет РПЗ(ПЗ)_ПЗИП'!$AG:$AG,"&gt;0")</f>
        <v>0</v>
      </c>
      <c r="U72" s="328">
        <f>SUMIFS('Отчет РПЗ(ПЗ)_ПЗИП'!$AG:$AG,'Отчет РПЗ(ПЗ)_ПЗИП'!$D:$D,Справочно!$E37,'Отчет РПЗ(ПЗ)_ПЗИП'!$AQ:$AQ,3)</f>
        <v>0</v>
      </c>
      <c r="V72" s="336" t="str">
        <f t="shared" si="47"/>
        <v>НД</v>
      </c>
      <c r="W72" s="245" t="str">
        <f t="shared" si="23"/>
        <v>НД</v>
      </c>
      <c r="X72" s="424">
        <f t="shared" si="48"/>
        <v>0</v>
      </c>
      <c r="Y72" s="329">
        <f t="shared" si="49"/>
        <v>0</v>
      </c>
      <c r="Z72" s="329">
        <f t="shared" si="24"/>
        <v>0</v>
      </c>
      <c r="AA72" s="247">
        <f t="shared" si="25"/>
        <v>0</v>
      </c>
      <c r="AB72" s="430">
        <f>SUMIFS('Отчет РПЗ(ПЗ)_ПЗИП'!$W:$W,'Отчет РПЗ(ПЗ)_ПЗИП'!$D:$D,Справочно!$E37,'Отчет РПЗ(ПЗ)_ПЗИП'!$N:$N,"&gt;=01.04.2017",'Отчет РПЗ(ПЗ)_ПЗИП'!$N:$N,"&lt;=30.04.2017",'Отчет РПЗ(ПЗ)_ПЗИП'!$AG:$AG,"&gt;0")</f>
        <v>0</v>
      </c>
      <c r="AC72" s="330">
        <f>SUMIFS('Отчет РПЗ(ПЗ)_ПЗИП'!$AG:$AG,'Отчет РПЗ(ПЗ)_ПЗИП'!$D:$D,Справочно!$E37,'Отчет РПЗ(ПЗ)_ПЗИП'!$AQ:$AQ,4)</f>
        <v>0</v>
      </c>
      <c r="AD72" s="330" t="str">
        <f t="shared" si="50"/>
        <v>НД</v>
      </c>
      <c r="AE72" s="246" t="str">
        <f t="shared" si="26"/>
        <v>НД</v>
      </c>
      <c r="AF72" s="429">
        <f>SUMIFS('Отчет РПЗ(ПЗ)_ПЗИП'!$W:$W,'Отчет РПЗ(ПЗ)_ПЗИП'!$D:$D,Справочно!$E37,'Отчет РПЗ(ПЗ)_ПЗИП'!$N:$N,"&gt;=01.05.2017",'Отчет РПЗ(ПЗ)_ПЗИП'!$N:$N,"&lt;=31.05.2017",'Отчет РПЗ(ПЗ)_ПЗИП'!$AG:$AG,"&gt;0")</f>
        <v>0</v>
      </c>
      <c r="AG72" s="330">
        <f>SUMIFS('Отчет РПЗ(ПЗ)_ПЗИП'!$AG:$AG,'Отчет РПЗ(ПЗ)_ПЗИП'!$D:$D,Справочно!$E37,'Отчет РПЗ(ПЗ)_ПЗИП'!$AQ:$AQ,5)</f>
        <v>0</v>
      </c>
      <c r="AH72" s="330" t="str">
        <f t="shared" si="51"/>
        <v>НД</v>
      </c>
      <c r="AI72" s="246" t="str">
        <f t="shared" si="27"/>
        <v>НД</v>
      </c>
      <c r="AJ72" s="429">
        <f>SUMIFS('Отчет РПЗ(ПЗ)_ПЗИП'!$W:$W,'Отчет РПЗ(ПЗ)_ПЗИП'!$D:$D,Справочно!$E37,'Отчет РПЗ(ПЗ)_ПЗИП'!$N:$N,"&gt;=01.06.2017",'Отчет РПЗ(ПЗ)_ПЗИП'!$N:$N,"&lt;=30.06.2017",'Отчет РПЗ(ПЗ)_ПЗИП'!$AG:$AG,"&gt;0")</f>
        <v>0</v>
      </c>
      <c r="AK72" s="330">
        <f>SUMIFS('Отчет РПЗ(ПЗ)_ПЗИП'!$AG:$AG,'Отчет РПЗ(ПЗ)_ПЗИП'!$D:$D,Справочно!$E37,'Отчет РПЗ(ПЗ)_ПЗИП'!$AQ:$AQ,6)</f>
        <v>0</v>
      </c>
      <c r="AL72" s="330" t="str">
        <f t="shared" si="52"/>
        <v>НД</v>
      </c>
      <c r="AM72" s="246" t="str">
        <f t="shared" si="28"/>
        <v>НД</v>
      </c>
      <c r="AN72" s="424">
        <f t="shared" si="53"/>
        <v>0</v>
      </c>
      <c r="AO72" s="331">
        <f t="shared" si="54"/>
        <v>0</v>
      </c>
      <c r="AP72" s="331">
        <f t="shared" si="29"/>
        <v>0</v>
      </c>
      <c r="AQ72" s="248">
        <f t="shared" si="30"/>
        <v>0</v>
      </c>
      <c r="AR72" s="430">
        <f>SUMIFS('Отчет РПЗ(ПЗ)_ПЗИП'!$W:$W,'Отчет РПЗ(ПЗ)_ПЗИП'!$D:$D,Справочно!$E37,'Отчет РПЗ(ПЗ)_ПЗИП'!$N:$N,"&gt;=01.07.2017",'Отчет РПЗ(ПЗ)_ПЗИП'!$N:$N,"&lt;=31.07.2017",'Отчет РПЗ(ПЗ)_ПЗИП'!$AG:$AG,"&gt;0")</f>
        <v>0</v>
      </c>
      <c r="AS72" s="332">
        <f>SUMIFS('Отчет РПЗ(ПЗ)_ПЗИП'!$AG:$AG,'Отчет РПЗ(ПЗ)_ПЗИП'!$D:$D,Справочно!$E37,'Отчет РПЗ(ПЗ)_ПЗИП'!$AQ:$AQ,7)</f>
        <v>0</v>
      </c>
      <c r="AT72" s="372" t="str">
        <f t="shared" si="55"/>
        <v>НД</v>
      </c>
      <c r="AU72" s="250" t="str">
        <f t="shared" si="31"/>
        <v>НД</v>
      </c>
      <c r="AV72" s="425">
        <f>SUMIFS('Отчет РПЗ(ПЗ)_ПЗИП'!$W:$W,'Отчет РПЗ(ПЗ)_ПЗИП'!$D:$D,Справочно!$E37,'Отчет РПЗ(ПЗ)_ПЗИП'!$N:$N,"&gt;=01.08.2017",'Отчет РПЗ(ПЗ)_ПЗИП'!$N:$N,"&lt;=31.08.2017",'Отчет РПЗ(ПЗ)_ПЗИП'!$AG:$AG,"&gt;0")</f>
        <v>0</v>
      </c>
      <c r="AW72" s="332">
        <f>SUMIFS('Отчет РПЗ(ПЗ)_ПЗИП'!$AG:$AG,'Отчет РПЗ(ПЗ)_ПЗИП'!$D:$D,Справочно!$E37,'Отчет РПЗ(ПЗ)_ПЗИП'!$AQ:$AQ,8)</f>
        <v>0</v>
      </c>
      <c r="AX72" s="372" t="str">
        <f t="shared" si="56"/>
        <v>НД</v>
      </c>
      <c r="AY72" s="250" t="str">
        <f t="shared" si="32"/>
        <v>НД</v>
      </c>
      <c r="AZ72" s="425">
        <f>SUMIFS('Отчет РПЗ(ПЗ)_ПЗИП'!$W:$W,'Отчет РПЗ(ПЗ)_ПЗИП'!$D:$D,Справочно!$E37,'Отчет РПЗ(ПЗ)_ПЗИП'!$N:$N,"&gt;=01.09.2017",'Отчет РПЗ(ПЗ)_ПЗИП'!$N:$N,"&lt;=30.09.2017",'Отчет РПЗ(ПЗ)_ПЗИП'!$AG:$AG,"&gt;0")</f>
        <v>0</v>
      </c>
      <c r="BA72" s="332">
        <f>SUMIFS('Отчет РПЗ(ПЗ)_ПЗИП'!$AG:$AG,'Отчет РПЗ(ПЗ)_ПЗИП'!$D:$D,Справочно!$E37,'Отчет РПЗ(ПЗ)_ПЗИП'!$AQ:$AQ,9)</f>
        <v>0</v>
      </c>
      <c r="BB72" s="372" t="str">
        <f t="shared" si="57"/>
        <v>НД</v>
      </c>
      <c r="BC72" s="250" t="str">
        <f t="shared" si="33"/>
        <v>НД</v>
      </c>
      <c r="BD72" s="424">
        <f t="shared" si="58"/>
        <v>0</v>
      </c>
      <c r="BE72" s="333">
        <f t="shared" si="59"/>
        <v>0</v>
      </c>
      <c r="BF72" s="333">
        <f t="shared" si="34"/>
        <v>0</v>
      </c>
      <c r="BG72" s="252">
        <f t="shared" si="35"/>
        <v>0</v>
      </c>
      <c r="BH72" s="414">
        <f>SUMIFS('Отчет РПЗ(ПЗ)_ПЗИП'!$W:$W,'Отчет РПЗ(ПЗ)_ПЗИП'!$D:$D,Справочно!$E37,'Отчет РПЗ(ПЗ)_ПЗИП'!$N:$N,"&gt;=01.10.2017",'Отчет РПЗ(ПЗ)_ПЗИП'!$N:$N,"&lt;=31.10.2017",'Отчет РПЗ(ПЗ)_ПЗИП'!$AG:$AG,"&gt;0")</f>
        <v>0</v>
      </c>
      <c r="BI72" s="334">
        <f>SUMIFS('Отчет РПЗ(ПЗ)_ПЗИП'!$AG:$AG,'Отчет РПЗ(ПЗ)_ПЗИП'!$D:$D,Справочно!$E37,'Отчет РПЗ(ПЗ)_ПЗИП'!$AQ:$AQ,10)</f>
        <v>0</v>
      </c>
      <c r="BJ72" s="374" t="str">
        <f t="shared" si="60"/>
        <v>НД</v>
      </c>
      <c r="BK72" s="254" t="str">
        <f t="shared" si="36"/>
        <v>НД</v>
      </c>
      <c r="BL72" s="429">
        <f>SUMIFS('Отчет РПЗ(ПЗ)_ПЗИП'!$W:$W,'Отчет РПЗ(ПЗ)_ПЗИП'!$D:$D,Справочно!$E37,'Отчет РПЗ(ПЗ)_ПЗИП'!$N:$N,"&gt;=01.11.2017",'Отчет РПЗ(ПЗ)_ПЗИП'!$N:$N,"&lt;=30.11.2017",'Отчет РПЗ(ПЗ)_ПЗИП'!$AG:$AG,"&gt;0")</f>
        <v>0</v>
      </c>
      <c r="BM72" s="334">
        <f>SUMIFS('Отчет РПЗ(ПЗ)_ПЗИП'!$AG:$AG,'Отчет РПЗ(ПЗ)_ПЗИП'!$D:$D,Справочно!$E37,'Отчет РПЗ(ПЗ)_ПЗИП'!$AQ:$AQ,11)</f>
        <v>0</v>
      </c>
      <c r="BN72" s="374" t="str">
        <f t="shared" si="61"/>
        <v>НД</v>
      </c>
      <c r="BO72" s="254" t="str">
        <f t="shared" si="37"/>
        <v>НД</v>
      </c>
      <c r="BP72" s="429">
        <f>SUMIFS('Отчет РПЗ(ПЗ)_ПЗИП'!$W:$W,'Отчет РПЗ(ПЗ)_ПЗИП'!$D:$D,Справочно!$E37,'Отчет РПЗ(ПЗ)_ПЗИП'!$N:$N,"&gt;=01.12.2017",'Отчет РПЗ(ПЗ)_ПЗИП'!$N:$N,"&lt;=31.12.2017",'Отчет РПЗ(ПЗ)_ПЗИП'!$AG:$AG,"&gt;0")</f>
        <v>0</v>
      </c>
      <c r="BQ72" s="334">
        <f>SUMIFS('Отчет РПЗ(ПЗ)_ПЗИП'!$AG:$AG,'Отчет РПЗ(ПЗ)_ПЗИП'!$D:$D,Справочно!$E37,'Отчет РПЗ(ПЗ)_ПЗИП'!$AQ:$AQ,12)</f>
        <v>0</v>
      </c>
      <c r="BR72" s="374" t="str">
        <f t="shared" si="62"/>
        <v>НД</v>
      </c>
      <c r="BS72" s="256" t="str">
        <f t="shared" si="38"/>
        <v>НД</v>
      </c>
      <c r="BT72" s="424">
        <f t="shared" si="63"/>
        <v>0</v>
      </c>
      <c r="BU72" s="335">
        <f t="shared" si="64"/>
        <v>0</v>
      </c>
      <c r="BV72" s="335">
        <f t="shared" si="39"/>
        <v>0</v>
      </c>
      <c r="BW72" s="257">
        <f t="shared" si="40"/>
        <v>0</v>
      </c>
    </row>
    <row r="73" spans="2:75" ht="13.5" thickBot="1" x14ac:dyDescent="0.25">
      <c r="B73" s="55" t="str">
        <f>Справочно!E38</f>
        <v>АО "Российская электроника"</v>
      </c>
      <c r="C73" s="92">
        <f>ПП!B61</f>
        <v>0</v>
      </c>
      <c r="D73" s="412">
        <f>ПП!C61</f>
        <v>0</v>
      </c>
      <c r="E73" s="437">
        <f>ПП!D61</f>
        <v>0</v>
      </c>
      <c r="F73" s="297">
        <f>COUNTIFS('Отчет РПЗ(ПЗ)_ПЗИП'!$AG:$AG,"&gt;0",'Отчет РПЗ(ПЗ)_ПЗИП'!$D:$D,Справочно!$E38)</f>
        <v>0</v>
      </c>
      <c r="G73" s="438">
        <f t="shared" si="41"/>
        <v>0</v>
      </c>
      <c r="H73" s="439">
        <f>SUMIF('Отчет РПЗ(ПЗ)_ПЗИП'!$D:$D,Справочно!$E38,'Отчет РПЗ(ПЗ)_ПЗИП'!$AG:$AG)</f>
        <v>0</v>
      </c>
      <c r="I73" s="461">
        <f t="shared" si="65"/>
        <v>0</v>
      </c>
      <c r="J73" s="514" t="e">
        <f t="shared" si="42"/>
        <v>#DIV/0!</v>
      </c>
      <c r="L73" s="430">
        <f>SUMIFS('Отчет РПЗ(ПЗ)_ПЗИП'!$W:$W,'Отчет РПЗ(ПЗ)_ПЗИП'!$D:$D,Справочно!$E38,'Отчет РПЗ(ПЗ)_ПЗИП'!$N:$N,"&gt;=01.01.2017",'Отчет РПЗ(ПЗ)_ПЗИП'!$N:$N,"&lt;=31.01.2017",'Отчет РПЗ(ПЗ)_ПЗИП'!$AG:$AG,"&gt;0")</f>
        <v>0</v>
      </c>
      <c r="M73" s="328">
        <f>SUMIFS('Отчет РПЗ(ПЗ)_ПЗИП'!$AG:$AG,'Отчет РПЗ(ПЗ)_ПЗИП'!$D:$D,Справочно!$E38,'Отчет РПЗ(ПЗ)_ПЗИП'!$AQ:$AQ,1)</f>
        <v>0</v>
      </c>
      <c r="N73" s="336" t="str">
        <f t="shared" si="43"/>
        <v>НД</v>
      </c>
      <c r="O73" s="245" t="str">
        <f t="shared" si="44"/>
        <v>НД</v>
      </c>
      <c r="P73" s="425">
        <f>SUMIFS('Отчет РПЗ(ПЗ)_ПЗИП'!$W:$W,'Отчет РПЗ(ПЗ)_ПЗИП'!$D:$D,Справочно!$E38,'Отчет РПЗ(ПЗ)_ПЗИП'!$N:$N,"&gt;=01.02.2017",'Отчет РПЗ(ПЗ)_ПЗИП'!$N:$N,"&lt;=28.02.2017",'Отчет РПЗ(ПЗ)_ПЗИП'!$AG:$AG,"&gt;0")</f>
        <v>0</v>
      </c>
      <c r="Q73" s="328">
        <f>SUMIFS('Отчет РПЗ(ПЗ)_ПЗИП'!$AG:$AG,'Отчет РПЗ(ПЗ)_ПЗИП'!$D:$D,Справочно!$E38,'Отчет РПЗ(ПЗ)_ПЗИП'!$AQ:$AQ,2)</f>
        <v>0</v>
      </c>
      <c r="R73" s="336" t="str">
        <f t="shared" si="45"/>
        <v>НД</v>
      </c>
      <c r="S73" s="245" t="str">
        <f t="shared" si="46"/>
        <v>НД</v>
      </c>
      <c r="T73" s="425">
        <f>SUMIFS('Отчет РПЗ(ПЗ)_ПЗИП'!$W:$W,'Отчет РПЗ(ПЗ)_ПЗИП'!$D:$D,Справочно!$E38,'Отчет РПЗ(ПЗ)_ПЗИП'!$N:$N,"&gt;=01.03.2017",'Отчет РПЗ(ПЗ)_ПЗИП'!$N:$N,"&lt;=31.03.2017",'Отчет РПЗ(ПЗ)_ПЗИП'!$AG:$AG,"&gt;0")</f>
        <v>0</v>
      </c>
      <c r="U73" s="328">
        <f>SUMIFS('Отчет РПЗ(ПЗ)_ПЗИП'!$AG:$AG,'Отчет РПЗ(ПЗ)_ПЗИП'!$D:$D,Справочно!$E38,'Отчет РПЗ(ПЗ)_ПЗИП'!$AQ:$AQ,3)</f>
        <v>0</v>
      </c>
      <c r="V73" s="336" t="str">
        <f t="shared" si="47"/>
        <v>НД</v>
      </c>
      <c r="W73" s="245" t="str">
        <f t="shared" si="23"/>
        <v>НД</v>
      </c>
      <c r="X73" s="424">
        <f t="shared" si="48"/>
        <v>0</v>
      </c>
      <c r="Y73" s="329">
        <f t="shared" si="49"/>
        <v>0</v>
      </c>
      <c r="Z73" s="329">
        <f t="shared" si="24"/>
        <v>0</v>
      </c>
      <c r="AA73" s="247">
        <f t="shared" si="25"/>
        <v>0</v>
      </c>
      <c r="AB73" s="430">
        <f>SUMIFS('Отчет РПЗ(ПЗ)_ПЗИП'!$W:$W,'Отчет РПЗ(ПЗ)_ПЗИП'!$D:$D,Справочно!$E38,'Отчет РПЗ(ПЗ)_ПЗИП'!$N:$N,"&gt;=01.04.2017",'Отчет РПЗ(ПЗ)_ПЗИП'!$N:$N,"&lt;=30.04.2017",'Отчет РПЗ(ПЗ)_ПЗИП'!$AG:$AG,"&gt;0")</f>
        <v>0</v>
      </c>
      <c r="AC73" s="330">
        <f>SUMIFS('Отчет РПЗ(ПЗ)_ПЗИП'!$AG:$AG,'Отчет РПЗ(ПЗ)_ПЗИП'!$D:$D,Справочно!$E38,'Отчет РПЗ(ПЗ)_ПЗИП'!$AQ:$AQ,4)</f>
        <v>0</v>
      </c>
      <c r="AD73" s="330" t="str">
        <f t="shared" si="50"/>
        <v>НД</v>
      </c>
      <c r="AE73" s="246" t="str">
        <f t="shared" si="26"/>
        <v>НД</v>
      </c>
      <c r="AF73" s="429">
        <f>SUMIFS('Отчет РПЗ(ПЗ)_ПЗИП'!$W:$W,'Отчет РПЗ(ПЗ)_ПЗИП'!$D:$D,Справочно!$E38,'Отчет РПЗ(ПЗ)_ПЗИП'!$N:$N,"&gt;=01.05.2017",'Отчет РПЗ(ПЗ)_ПЗИП'!$N:$N,"&lt;=31.05.2017",'Отчет РПЗ(ПЗ)_ПЗИП'!$AG:$AG,"&gt;0")</f>
        <v>0</v>
      </c>
      <c r="AG73" s="330">
        <f>SUMIFS('Отчет РПЗ(ПЗ)_ПЗИП'!$AG:$AG,'Отчет РПЗ(ПЗ)_ПЗИП'!$D:$D,Справочно!$E38,'Отчет РПЗ(ПЗ)_ПЗИП'!$AQ:$AQ,5)</f>
        <v>0</v>
      </c>
      <c r="AH73" s="330" t="str">
        <f t="shared" si="51"/>
        <v>НД</v>
      </c>
      <c r="AI73" s="246" t="str">
        <f t="shared" si="27"/>
        <v>НД</v>
      </c>
      <c r="AJ73" s="429">
        <f>SUMIFS('Отчет РПЗ(ПЗ)_ПЗИП'!$W:$W,'Отчет РПЗ(ПЗ)_ПЗИП'!$D:$D,Справочно!$E38,'Отчет РПЗ(ПЗ)_ПЗИП'!$N:$N,"&gt;=01.06.2017",'Отчет РПЗ(ПЗ)_ПЗИП'!$N:$N,"&lt;=30.06.2017",'Отчет РПЗ(ПЗ)_ПЗИП'!$AG:$AG,"&gt;0")</f>
        <v>0</v>
      </c>
      <c r="AK73" s="330">
        <f>SUMIFS('Отчет РПЗ(ПЗ)_ПЗИП'!$AG:$AG,'Отчет РПЗ(ПЗ)_ПЗИП'!$D:$D,Справочно!$E38,'Отчет РПЗ(ПЗ)_ПЗИП'!$AQ:$AQ,6)</f>
        <v>0</v>
      </c>
      <c r="AL73" s="330" t="str">
        <f t="shared" si="52"/>
        <v>НД</v>
      </c>
      <c r="AM73" s="246" t="str">
        <f t="shared" si="28"/>
        <v>НД</v>
      </c>
      <c r="AN73" s="424">
        <f t="shared" si="53"/>
        <v>0</v>
      </c>
      <c r="AO73" s="331">
        <f t="shared" si="54"/>
        <v>0</v>
      </c>
      <c r="AP73" s="331">
        <f t="shared" si="29"/>
        <v>0</v>
      </c>
      <c r="AQ73" s="248">
        <f t="shared" si="30"/>
        <v>0</v>
      </c>
      <c r="AR73" s="430">
        <f>SUMIFS('Отчет РПЗ(ПЗ)_ПЗИП'!$W:$W,'Отчет РПЗ(ПЗ)_ПЗИП'!$D:$D,Справочно!$E38,'Отчет РПЗ(ПЗ)_ПЗИП'!$N:$N,"&gt;=01.07.2017",'Отчет РПЗ(ПЗ)_ПЗИП'!$N:$N,"&lt;=31.07.2017",'Отчет РПЗ(ПЗ)_ПЗИП'!$AG:$AG,"&gt;0")</f>
        <v>0</v>
      </c>
      <c r="AS73" s="332">
        <f>SUMIFS('Отчет РПЗ(ПЗ)_ПЗИП'!$AG:$AG,'Отчет РПЗ(ПЗ)_ПЗИП'!$D:$D,Справочно!$E38,'Отчет РПЗ(ПЗ)_ПЗИП'!$AQ:$AQ,7)</f>
        <v>0</v>
      </c>
      <c r="AT73" s="372" t="str">
        <f t="shared" si="55"/>
        <v>НД</v>
      </c>
      <c r="AU73" s="250" t="str">
        <f t="shared" si="31"/>
        <v>НД</v>
      </c>
      <c r="AV73" s="425">
        <f>SUMIFS('Отчет РПЗ(ПЗ)_ПЗИП'!$W:$W,'Отчет РПЗ(ПЗ)_ПЗИП'!$D:$D,Справочно!$E38,'Отчет РПЗ(ПЗ)_ПЗИП'!$N:$N,"&gt;=01.08.2017",'Отчет РПЗ(ПЗ)_ПЗИП'!$N:$N,"&lt;=31.08.2017",'Отчет РПЗ(ПЗ)_ПЗИП'!$AG:$AG,"&gt;0")</f>
        <v>0</v>
      </c>
      <c r="AW73" s="332">
        <f>SUMIFS('Отчет РПЗ(ПЗ)_ПЗИП'!$AG:$AG,'Отчет РПЗ(ПЗ)_ПЗИП'!$D:$D,Справочно!$E38,'Отчет РПЗ(ПЗ)_ПЗИП'!$AQ:$AQ,8)</f>
        <v>0</v>
      </c>
      <c r="AX73" s="372" t="str">
        <f t="shared" si="56"/>
        <v>НД</v>
      </c>
      <c r="AY73" s="250" t="str">
        <f t="shared" si="32"/>
        <v>НД</v>
      </c>
      <c r="AZ73" s="425">
        <f>SUMIFS('Отчет РПЗ(ПЗ)_ПЗИП'!$W:$W,'Отчет РПЗ(ПЗ)_ПЗИП'!$D:$D,Справочно!$E38,'Отчет РПЗ(ПЗ)_ПЗИП'!$N:$N,"&gt;=01.09.2017",'Отчет РПЗ(ПЗ)_ПЗИП'!$N:$N,"&lt;=30.09.2017",'Отчет РПЗ(ПЗ)_ПЗИП'!$AG:$AG,"&gt;0")</f>
        <v>0</v>
      </c>
      <c r="BA73" s="332">
        <f>SUMIFS('Отчет РПЗ(ПЗ)_ПЗИП'!$AG:$AG,'Отчет РПЗ(ПЗ)_ПЗИП'!$D:$D,Справочно!$E38,'Отчет РПЗ(ПЗ)_ПЗИП'!$AQ:$AQ,9)</f>
        <v>0</v>
      </c>
      <c r="BB73" s="372" t="str">
        <f t="shared" si="57"/>
        <v>НД</v>
      </c>
      <c r="BC73" s="250" t="str">
        <f t="shared" si="33"/>
        <v>НД</v>
      </c>
      <c r="BD73" s="424">
        <f t="shared" si="58"/>
        <v>0</v>
      </c>
      <c r="BE73" s="333">
        <f t="shared" si="59"/>
        <v>0</v>
      </c>
      <c r="BF73" s="333">
        <f t="shared" si="34"/>
        <v>0</v>
      </c>
      <c r="BG73" s="252">
        <f t="shared" si="35"/>
        <v>0</v>
      </c>
      <c r="BH73" s="414">
        <f>SUMIFS('Отчет РПЗ(ПЗ)_ПЗИП'!$W:$W,'Отчет РПЗ(ПЗ)_ПЗИП'!$D:$D,Справочно!$E38,'Отчет РПЗ(ПЗ)_ПЗИП'!$N:$N,"&gt;=01.10.2017",'Отчет РПЗ(ПЗ)_ПЗИП'!$N:$N,"&lt;=31.10.2017",'Отчет РПЗ(ПЗ)_ПЗИП'!$AG:$AG,"&gt;0")</f>
        <v>0</v>
      </c>
      <c r="BI73" s="334">
        <f>SUMIFS('Отчет РПЗ(ПЗ)_ПЗИП'!$AG:$AG,'Отчет РПЗ(ПЗ)_ПЗИП'!$D:$D,Справочно!$E38,'Отчет РПЗ(ПЗ)_ПЗИП'!$AQ:$AQ,10)</f>
        <v>0</v>
      </c>
      <c r="BJ73" s="374" t="str">
        <f t="shared" si="60"/>
        <v>НД</v>
      </c>
      <c r="BK73" s="254" t="str">
        <f t="shared" si="36"/>
        <v>НД</v>
      </c>
      <c r="BL73" s="429">
        <f>SUMIFS('Отчет РПЗ(ПЗ)_ПЗИП'!$W:$W,'Отчет РПЗ(ПЗ)_ПЗИП'!$D:$D,Справочно!$E38,'Отчет РПЗ(ПЗ)_ПЗИП'!$N:$N,"&gt;=01.11.2017",'Отчет РПЗ(ПЗ)_ПЗИП'!$N:$N,"&lt;=30.11.2017",'Отчет РПЗ(ПЗ)_ПЗИП'!$AG:$AG,"&gt;0")</f>
        <v>0</v>
      </c>
      <c r="BM73" s="334">
        <f>SUMIFS('Отчет РПЗ(ПЗ)_ПЗИП'!$AG:$AG,'Отчет РПЗ(ПЗ)_ПЗИП'!$D:$D,Справочно!$E38,'Отчет РПЗ(ПЗ)_ПЗИП'!$AQ:$AQ,11)</f>
        <v>0</v>
      </c>
      <c r="BN73" s="374" t="str">
        <f t="shared" si="61"/>
        <v>НД</v>
      </c>
      <c r="BO73" s="254" t="str">
        <f t="shared" si="37"/>
        <v>НД</v>
      </c>
      <c r="BP73" s="429">
        <f>SUMIFS('Отчет РПЗ(ПЗ)_ПЗИП'!$W:$W,'Отчет РПЗ(ПЗ)_ПЗИП'!$D:$D,Справочно!$E38,'Отчет РПЗ(ПЗ)_ПЗИП'!$N:$N,"&gt;=01.12.2017",'Отчет РПЗ(ПЗ)_ПЗИП'!$N:$N,"&lt;=31.12.2017",'Отчет РПЗ(ПЗ)_ПЗИП'!$AG:$AG,"&gt;0")</f>
        <v>0</v>
      </c>
      <c r="BQ73" s="334">
        <f>SUMIFS('Отчет РПЗ(ПЗ)_ПЗИП'!$AG:$AG,'Отчет РПЗ(ПЗ)_ПЗИП'!$D:$D,Справочно!$E38,'Отчет РПЗ(ПЗ)_ПЗИП'!$AQ:$AQ,12)</f>
        <v>0</v>
      </c>
      <c r="BR73" s="374" t="str">
        <f t="shared" si="62"/>
        <v>НД</v>
      </c>
      <c r="BS73" s="256" t="str">
        <f t="shared" si="38"/>
        <v>НД</v>
      </c>
      <c r="BT73" s="424">
        <f t="shared" si="63"/>
        <v>0</v>
      </c>
      <c r="BU73" s="335">
        <f t="shared" si="64"/>
        <v>0</v>
      </c>
      <c r="BV73" s="335">
        <f t="shared" si="39"/>
        <v>0</v>
      </c>
      <c r="BW73" s="257">
        <f t="shared" si="40"/>
        <v>0</v>
      </c>
    </row>
    <row r="74" spans="2:75" ht="13.5" thickBot="1" x14ac:dyDescent="0.25">
      <c r="B74" s="55" t="str">
        <f>Справочно!E39</f>
        <v>АО "РТ-Авто"</v>
      </c>
      <c r="C74" s="92">
        <f>ПП!B62</f>
        <v>0</v>
      </c>
      <c r="D74" s="412">
        <f>ПП!C62</f>
        <v>0</v>
      </c>
      <c r="E74" s="437">
        <f>ПП!D62</f>
        <v>0</v>
      </c>
      <c r="F74" s="297">
        <f>COUNTIFS('Отчет РПЗ(ПЗ)_ПЗИП'!$AG:$AG,"&gt;0",'Отчет РПЗ(ПЗ)_ПЗИП'!$D:$D,Справочно!$E38)</f>
        <v>0</v>
      </c>
      <c r="G74" s="438">
        <f t="shared" si="41"/>
        <v>0</v>
      </c>
      <c r="H74" s="439">
        <f>SUMIF('Отчет РПЗ(ПЗ)_ПЗИП'!$D:$D,Справочно!$E38,'Отчет РПЗ(ПЗ)_ПЗИП'!$AG:$AG)</f>
        <v>0</v>
      </c>
      <c r="I74" s="461">
        <f t="shared" si="65"/>
        <v>0</v>
      </c>
      <c r="J74" s="514" t="e">
        <f t="shared" si="42"/>
        <v>#DIV/0!</v>
      </c>
      <c r="L74" s="430">
        <f>SUMIFS('Отчет РПЗ(ПЗ)_ПЗИП'!$W:$W,'Отчет РПЗ(ПЗ)_ПЗИП'!$D:$D,Справочно!$E39,'Отчет РПЗ(ПЗ)_ПЗИП'!$N:$N,"&gt;=01.01.2017",'Отчет РПЗ(ПЗ)_ПЗИП'!$N:$N,"&lt;=31.01.2017",'Отчет РПЗ(ПЗ)_ПЗИП'!$AG:$AG,"&gt;0")</f>
        <v>0</v>
      </c>
      <c r="M74" s="328">
        <f>SUMIFS('Отчет РПЗ(ПЗ)_ПЗИП'!$AG:$AG,'Отчет РПЗ(ПЗ)_ПЗИП'!$D:$D,Справочно!$E39,'Отчет РПЗ(ПЗ)_ПЗИП'!$AQ:$AQ,1)</f>
        <v>0</v>
      </c>
      <c r="N74" s="336" t="str">
        <f t="shared" si="43"/>
        <v>НД</v>
      </c>
      <c r="O74" s="245" t="str">
        <f t="shared" si="44"/>
        <v>НД</v>
      </c>
      <c r="P74" s="425">
        <f>SUMIFS('Отчет РПЗ(ПЗ)_ПЗИП'!$W:$W,'Отчет РПЗ(ПЗ)_ПЗИП'!$D:$D,Справочно!$E39,'Отчет РПЗ(ПЗ)_ПЗИП'!$N:$N,"&gt;=01.02.2017",'Отчет РПЗ(ПЗ)_ПЗИП'!$N:$N,"&lt;=28.02.2017",'Отчет РПЗ(ПЗ)_ПЗИП'!$AG:$AG,"&gt;0")</f>
        <v>0</v>
      </c>
      <c r="Q74" s="328">
        <f>SUMIFS('Отчет РПЗ(ПЗ)_ПЗИП'!$AG:$AG,'Отчет РПЗ(ПЗ)_ПЗИП'!$D:$D,Справочно!$E39,'Отчет РПЗ(ПЗ)_ПЗИП'!$AQ:$AQ,2)</f>
        <v>0</v>
      </c>
      <c r="R74" s="336" t="str">
        <f t="shared" si="45"/>
        <v>НД</v>
      </c>
      <c r="S74" s="245" t="str">
        <f t="shared" si="46"/>
        <v>НД</v>
      </c>
      <c r="T74" s="425">
        <f>SUMIFS('Отчет РПЗ(ПЗ)_ПЗИП'!$W:$W,'Отчет РПЗ(ПЗ)_ПЗИП'!$D:$D,Справочно!$E39,'Отчет РПЗ(ПЗ)_ПЗИП'!$N:$N,"&gt;=01.03.2017",'Отчет РПЗ(ПЗ)_ПЗИП'!$N:$N,"&lt;=31.03.2017",'Отчет РПЗ(ПЗ)_ПЗИП'!$AG:$AG,"&gt;0")</f>
        <v>0</v>
      </c>
      <c r="U74" s="328">
        <f>SUMIFS('Отчет РПЗ(ПЗ)_ПЗИП'!$AG:$AG,'Отчет РПЗ(ПЗ)_ПЗИП'!$D:$D,Справочно!$E39,'Отчет РПЗ(ПЗ)_ПЗИП'!$AQ:$AQ,3)</f>
        <v>0</v>
      </c>
      <c r="V74" s="336" t="str">
        <f t="shared" si="47"/>
        <v>НД</v>
      </c>
      <c r="W74" s="245" t="str">
        <f t="shared" si="23"/>
        <v>НД</v>
      </c>
      <c r="X74" s="424">
        <f t="shared" si="48"/>
        <v>0</v>
      </c>
      <c r="Y74" s="329">
        <f t="shared" si="49"/>
        <v>0</v>
      </c>
      <c r="Z74" s="329">
        <f t="shared" si="24"/>
        <v>0</v>
      </c>
      <c r="AA74" s="247">
        <f t="shared" si="25"/>
        <v>0</v>
      </c>
      <c r="AB74" s="430">
        <f>SUMIFS('Отчет РПЗ(ПЗ)_ПЗИП'!$W:$W,'Отчет РПЗ(ПЗ)_ПЗИП'!$D:$D,Справочно!$E39,'Отчет РПЗ(ПЗ)_ПЗИП'!$N:$N,"&gt;=01.04.2017",'Отчет РПЗ(ПЗ)_ПЗИП'!$N:$N,"&lt;=30.04.2017",'Отчет РПЗ(ПЗ)_ПЗИП'!$AG:$AG,"&gt;0")</f>
        <v>0</v>
      </c>
      <c r="AC74" s="330">
        <f>SUMIFS('Отчет РПЗ(ПЗ)_ПЗИП'!$AG:$AG,'Отчет РПЗ(ПЗ)_ПЗИП'!$D:$D,Справочно!$E39,'Отчет РПЗ(ПЗ)_ПЗИП'!$AQ:$AQ,4)</f>
        <v>0</v>
      </c>
      <c r="AD74" s="330" t="str">
        <f t="shared" si="50"/>
        <v>НД</v>
      </c>
      <c r="AE74" s="246" t="str">
        <f t="shared" si="26"/>
        <v>НД</v>
      </c>
      <c r="AF74" s="429">
        <f>SUMIFS('Отчет РПЗ(ПЗ)_ПЗИП'!$W:$W,'Отчет РПЗ(ПЗ)_ПЗИП'!$D:$D,Справочно!$E39,'Отчет РПЗ(ПЗ)_ПЗИП'!$N:$N,"&gt;=01.05.2017",'Отчет РПЗ(ПЗ)_ПЗИП'!$N:$N,"&lt;=31.05.2017",'Отчет РПЗ(ПЗ)_ПЗИП'!$AG:$AG,"&gt;0")</f>
        <v>0</v>
      </c>
      <c r="AG74" s="330">
        <f>SUMIFS('Отчет РПЗ(ПЗ)_ПЗИП'!$AG:$AG,'Отчет РПЗ(ПЗ)_ПЗИП'!$D:$D,Справочно!$E39,'Отчет РПЗ(ПЗ)_ПЗИП'!$AQ:$AQ,5)</f>
        <v>0</v>
      </c>
      <c r="AH74" s="330" t="str">
        <f t="shared" si="51"/>
        <v>НД</v>
      </c>
      <c r="AI74" s="246" t="str">
        <f t="shared" si="27"/>
        <v>НД</v>
      </c>
      <c r="AJ74" s="429">
        <f>SUMIFS('Отчет РПЗ(ПЗ)_ПЗИП'!$W:$W,'Отчет РПЗ(ПЗ)_ПЗИП'!$D:$D,Справочно!$E39,'Отчет РПЗ(ПЗ)_ПЗИП'!$N:$N,"&gt;=01.06.2017",'Отчет РПЗ(ПЗ)_ПЗИП'!$N:$N,"&lt;=30.06.2017",'Отчет РПЗ(ПЗ)_ПЗИП'!$AG:$AG,"&gt;0")</f>
        <v>0</v>
      </c>
      <c r="AK74" s="330">
        <f>SUMIFS('Отчет РПЗ(ПЗ)_ПЗИП'!$AG:$AG,'Отчет РПЗ(ПЗ)_ПЗИП'!$D:$D,Справочно!$E39,'Отчет РПЗ(ПЗ)_ПЗИП'!$AQ:$AQ,6)</f>
        <v>0</v>
      </c>
      <c r="AL74" s="330" t="str">
        <f t="shared" si="52"/>
        <v>НД</v>
      </c>
      <c r="AM74" s="246" t="str">
        <f t="shared" si="28"/>
        <v>НД</v>
      </c>
      <c r="AN74" s="424">
        <f t="shared" si="53"/>
        <v>0</v>
      </c>
      <c r="AO74" s="331">
        <f t="shared" si="54"/>
        <v>0</v>
      </c>
      <c r="AP74" s="331">
        <f t="shared" si="29"/>
        <v>0</v>
      </c>
      <c r="AQ74" s="248">
        <f t="shared" si="30"/>
        <v>0</v>
      </c>
      <c r="AR74" s="430">
        <f>SUMIFS('Отчет РПЗ(ПЗ)_ПЗИП'!$W:$W,'Отчет РПЗ(ПЗ)_ПЗИП'!$D:$D,Справочно!$E39,'Отчет РПЗ(ПЗ)_ПЗИП'!$N:$N,"&gt;=01.07.2017",'Отчет РПЗ(ПЗ)_ПЗИП'!$N:$N,"&lt;=31.07.2017",'Отчет РПЗ(ПЗ)_ПЗИП'!$AG:$AG,"&gt;0")</f>
        <v>0</v>
      </c>
      <c r="AS74" s="332">
        <f>SUMIFS('Отчет РПЗ(ПЗ)_ПЗИП'!$AG:$AG,'Отчет РПЗ(ПЗ)_ПЗИП'!$D:$D,Справочно!$E39,'Отчет РПЗ(ПЗ)_ПЗИП'!$AQ:$AQ,7)</f>
        <v>0</v>
      </c>
      <c r="AT74" s="372" t="str">
        <f>IF(AS74=0,"НД",AR74-AS74)</f>
        <v>НД</v>
      </c>
      <c r="AU74" s="250" t="str">
        <f t="shared" si="31"/>
        <v>НД</v>
      </c>
      <c r="AV74" s="425">
        <f>SUMIFS('Отчет РПЗ(ПЗ)_ПЗИП'!$W:$W,'Отчет РПЗ(ПЗ)_ПЗИП'!$D:$D,Справочно!$E39,'Отчет РПЗ(ПЗ)_ПЗИП'!$N:$N,"&gt;=01.08.2017",'Отчет РПЗ(ПЗ)_ПЗИП'!$N:$N,"&lt;=31.08.2017",'Отчет РПЗ(ПЗ)_ПЗИП'!$AG:$AG,"&gt;0")</f>
        <v>0</v>
      </c>
      <c r="AW74" s="332">
        <f>SUMIFS('Отчет РПЗ(ПЗ)_ПЗИП'!$AG:$AG,'Отчет РПЗ(ПЗ)_ПЗИП'!$D:$D,Справочно!$E39,'Отчет РПЗ(ПЗ)_ПЗИП'!$AQ:$AQ,8)</f>
        <v>0</v>
      </c>
      <c r="AX74" s="372" t="str">
        <f t="shared" si="56"/>
        <v>НД</v>
      </c>
      <c r="AY74" s="250" t="str">
        <f t="shared" si="32"/>
        <v>НД</v>
      </c>
      <c r="AZ74" s="425">
        <f>SUMIFS('Отчет РПЗ(ПЗ)_ПЗИП'!$W:$W,'Отчет РПЗ(ПЗ)_ПЗИП'!$D:$D,Справочно!$E39,'Отчет РПЗ(ПЗ)_ПЗИП'!$N:$N,"&gt;=01.09.2017",'Отчет РПЗ(ПЗ)_ПЗИП'!$N:$N,"&lt;=30.09.2017",'Отчет РПЗ(ПЗ)_ПЗИП'!$AG:$AG,"&gt;0")</f>
        <v>0</v>
      </c>
      <c r="BA74" s="332">
        <f>SUMIFS('Отчет РПЗ(ПЗ)_ПЗИП'!$AG:$AG,'Отчет РПЗ(ПЗ)_ПЗИП'!$D:$D,Справочно!$E39,'Отчет РПЗ(ПЗ)_ПЗИП'!$AQ:$AQ,9)</f>
        <v>0</v>
      </c>
      <c r="BB74" s="372" t="str">
        <f t="shared" si="57"/>
        <v>НД</v>
      </c>
      <c r="BC74" s="250" t="str">
        <f t="shared" si="33"/>
        <v>НД</v>
      </c>
      <c r="BD74" s="424">
        <f t="shared" si="58"/>
        <v>0</v>
      </c>
      <c r="BE74" s="333">
        <f t="shared" si="59"/>
        <v>0</v>
      </c>
      <c r="BF74" s="333">
        <f t="shared" si="34"/>
        <v>0</v>
      </c>
      <c r="BG74" s="252">
        <f t="shared" si="35"/>
        <v>0</v>
      </c>
      <c r="BH74" s="414">
        <f>SUMIFS('Отчет РПЗ(ПЗ)_ПЗИП'!$W:$W,'Отчет РПЗ(ПЗ)_ПЗИП'!$D:$D,Справочно!$E39,'Отчет РПЗ(ПЗ)_ПЗИП'!$N:$N,"&gt;=01.10.2017",'Отчет РПЗ(ПЗ)_ПЗИП'!$N:$N,"&lt;=31.10.2017",'Отчет РПЗ(ПЗ)_ПЗИП'!$AG:$AG,"&gt;0")</f>
        <v>0</v>
      </c>
      <c r="BI74" s="334">
        <f>SUMIFS('Отчет РПЗ(ПЗ)_ПЗИП'!$AG:$AG,'Отчет РПЗ(ПЗ)_ПЗИП'!$D:$D,Справочно!$E39,'Отчет РПЗ(ПЗ)_ПЗИП'!$AQ:$AQ,10)</f>
        <v>0</v>
      </c>
      <c r="BJ74" s="374" t="str">
        <f t="shared" si="60"/>
        <v>НД</v>
      </c>
      <c r="BK74" s="254" t="str">
        <f t="shared" si="36"/>
        <v>НД</v>
      </c>
      <c r="BL74" s="429">
        <f>SUMIFS('Отчет РПЗ(ПЗ)_ПЗИП'!$W:$W,'Отчет РПЗ(ПЗ)_ПЗИП'!$D:$D,Справочно!$E39,'Отчет РПЗ(ПЗ)_ПЗИП'!$N:$N,"&gt;=01.11.2017",'Отчет РПЗ(ПЗ)_ПЗИП'!$N:$N,"&lt;=30.11.2017",'Отчет РПЗ(ПЗ)_ПЗИП'!$AG:$AG,"&gt;0")</f>
        <v>0</v>
      </c>
      <c r="BM74" s="334">
        <f>SUMIFS('Отчет РПЗ(ПЗ)_ПЗИП'!$AG:$AG,'Отчет РПЗ(ПЗ)_ПЗИП'!$D:$D,Справочно!$E39,'Отчет РПЗ(ПЗ)_ПЗИП'!$AQ:$AQ,11)</f>
        <v>0</v>
      </c>
      <c r="BN74" s="374" t="str">
        <f t="shared" si="61"/>
        <v>НД</v>
      </c>
      <c r="BO74" s="254" t="str">
        <f t="shared" si="37"/>
        <v>НД</v>
      </c>
      <c r="BP74" s="429">
        <f>SUMIFS('Отчет РПЗ(ПЗ)_ПЗИП'!$W:$W,'Отчет РПЗ(ПЗ)_ПЗИП'!$D:$D,Справочно!$E39,'Отчет РПЗ(ПЗ)_ПЗИП'!$N:$N,"&gt;=01.12.2017",'Отчет РПЗ(ПЗ)_ПЗИП'!$N:$N,"&lt;=31.12.2017",'Отчет РПЗ(ПЗ)_ПЗИП'!$AG:$AG,"&gt;0")</f>
        <v>0</v>
      </c>
      <c r="BQ74" s="334">
        <f>SUMIFS('Отчет РПЗ(ПЗ)_ПЗИП'!$AG:$AG,'Отчет РПЗ(ПЗ)_ПЗИП'!$D:$D,Справочно!$E39,'Отчет РПЗ(ПЗ)_ПЗИП'!$AQ:$AQ,12)</f>
        <v>0</v>
      </c>
      <c r="BR74" s="374" t="str">
        <f t="shared" si="62"/>
        <v>НД</v>
      </c>
      <c r="BS74" s="256" t="str">
        <f t="shared" si="38"/>
        <v>НД</v>
      </c>
      <c r="BT74" s="424">
        <f t="shared" si="63"/>
        <v>0</v>
      </c>
      <c r="BU74" s="335">
        <f t="shared" si="64"/>
        <v>0</v>
      </c>
      <c r="BV74" s="335">
        <f t="shared" si="39"/>
        <v>0</v>
      </c>
      <c r="BW74" s="257">
        <f t="shared" si="40"/>
        <v>0</v>
      </c>
    </row>
    <row r="75" spans="2:75" ht="13.5" thickBot="1" x14ac:dyDescent="0.25">
      <c r="B75" s="55" t="str">
        <f>Справочно!E40</f>
        <v>АО "Национальная иммунобиологическая компания"</v>
      </c>
      <c r="C75" s="92">
        <f>ПП!B63</f>
        <v>0</v>
      </c>
      <c r="D75" s="412">
        <f>ПП!C63</f>
        <v>0</v>
      </c>
      <c r="E75" s="437">
        <f>ПП!D63</f>
        <v>0</v>
      </c>
      <c r="F75" s="297">
        <f>COUNTIFS('Отчет РПЗ(ПЗ)_ПЗИП'!$AG:$AG,"&gt;0",'Отчет РПЗ(ПЗ)_ПЗИП'!$D:$D,Справочно!$E39)</f>
        <v>0</v>
      </c>
      <c r="G75" s="438">
        <f t="shared" si="41"/>
        <v>0</v>
      </c>
      <c r="H75" s="439">
        <f>SUMIF('Отчет РПЗ(ПЗ)_ПЗИП'!$D:$D,Справочно!$E39,'Отчет РПЗ(ПЗ)_ПЗИП'!$AG:$AG)</f>
        <v>0</v>
      </c>
      <c r="I75" s="461">
        <f t="shared" si="65"/>
        <v>0</v>
      </c>
      <c r="J75" s="514" t="e">
        <f t="shared" si="42"/>
        <v>#DIV/0!</v>
      </c>
      <c r="L75" s="430">
        <f>SUMIFS('Отчет РПЗ(ПЗ)_ПЗИП'!$W:$W,'Отчет РПЗ(ПЗ)_ПЗИП'!$D:$D,Справочно!$E40,'Отчет РПЗ(ПЗ)_ПЗИП'!$N:$N,"&gt;=01.01.2017",'Отчет РПЗ(ПЗ)_ПЗИП'!$N:$N,"&lt;=31.01.2017",'Отчет РПЗ(ПЗ)_ПЗИП'!$AG:$AG,"&gt;0")</f>
        <v>0</v>
      </c>
      <c r="M75" s="328">
        <f>SUMIFS('Отчет РПЗ(ПЗ)_ПЗИП'!$AG:$AG,'Отчет РПЗ(ПЗ)_ПЗИП'!$D:$D,Справочно!$E40,'Отчет РПЗ(ПЗ)_ПЗИП'!$AQ:$AQ,1)</f>
        <v>0</v>
      </c>
      <c r="N75" s="336" t="str">
        <f t="shared" si="43"/>
        <v>НД</v>
      </c>
      <c r="O75" s="245" t="str">
        <f t="shared" si="44"/>
        <v>НД</v>
      </c>
      <c r="P75" s="425">
        <f>SUMIFS('Отчет РПЗ(ПЗ)_ПЗИП'!$W:$W,'Отчет РПЗ(ПЗ)_ПЗИП'!$D:$D,Справочно!$E40,'Отчет РПЗ(ПЗ)_ПЗИП'!$N:$N,"&gt;=01.02.2017",'Отчет РПЗ(ПЗ)_ПЗИП'!$N:$N,"&lt;=28.02.2017",'Отчет РПЗ(ПЗ)_ПЗИП'!$AG:$AG,"&gt;0")</f>
        <v>0</v>
      </c>
      <c r="Q75" s="328">
        <f>SUMIFS('Отчет РПЗ(ПЗ)_ПЗИП'!$AG:$AG,'Отчет РПЗ(ПЗ)_ПЗИП'!$D:$D,Справочно!$E40,'Отчет РПЗ(ПЗ)_ПЗИП'!$AQ:$AQ,2)</f>
        <v>0</v>
      </c>
      <c r="R75" s="336" t="str">
        <f t="shared" si="45"/>
        <v>НД</v>
      </c>
      <c r="S75" s="245" t="str">
        <f t="shared" si="46"/>
        <v>НД</v>
      </c>
      <c r="T75" s="425">
        <f>SUMIFS('Отчет РПЗ(ПЗ)_ПЗИП'!$W:$W,'Отчет РПЗ(ПЗ)_ПЗИП'!$D:$D,Справочно!$E40,'Отчет РПЗ(ПЗ)_ПЗИП'!$N:$N,"&gt;=01.03.2017",'Отчет РПЗ(ПЗ)_ПЗИП'!$N:$N,"&lt;=31.03.2017",'Отчет РПЗ(ПЗ)_ПЗИП'!$AG:$AG,"&gt;0")</f>
        <v>0</v>
      </c>
      <c r="U75" s="328">
        <f>SUMIFS('Отчет РПЗ(ПЗ)_ПЗИП'!$AG:$AG,'Отчет РПЗ(ПЗ)_ПЗИП'!$D:$D,Справочно!$E40,'Отчет РПЗ(ПЗ)_ПЗИП'!$AQ:$AQ,3)</f>
        <v>0</v>
      </c>
      <c r="V75" s="336" t="str">
        <f t="shared" si="47"/>
        <v>НД</v>
      </c>
      <c r="W75" s="245" t="str">
        <f t="shared" si="23"/>
        <v>НД</v>
      </c>
      <c r="X75" s="424">
        <f t="shared" si="48"/>
        <v>0</v>
      </c>
      <c r="Y75" s="329">
        <f t="shared" si="49"/>
        <v>0</v>
      </c>
      <c r="Z75" s="329">
        <f t="shared" si="24"/>
        <v>0</v>
      </c>
      <c r="AA75" s="247">
        <f t="shared" si="25"/>
        <v>0</v>
      </c>
      <c r="AB75" s="430">
        <f>SUMIFS('Отчет РПЗ(ПЗ)_ПЗИП'!$W:$W,'Отчет РПЗ(ПЗ)_ПЗИП'!$D:$D,Справочно!$E40,'Отчет РПЗ(ПЗ)_ПЗИП'!$N:$N,"&gt;=01.04.2017",'Отчет РПЗ(ПЗ)_ПЗИП'!$N:$N,"&lt;=30.04.2017",'Отчет РПЗ(ПЗ)_ПЗИП'!$AG:$AG,"&gt;0")</f>
        <v>0</v>
      </c>
      <c r="AC75" s="330">
        <f>SUMIFS('Отчет РПЗ(ПЗ)_ПЗИП'!$AG:$AG,'Отчет РПЗ(ПЗ)_ПЗИП'!$D:$D,Справочно!$E40,'Отчет РПЗ(ПЗ)_ПЗИП'!$AQ:$AQ,4)</f>
        <v>0</v>
      </c>
      <c r="AD75" s="330" t="str">
        <f t="shared" si="50"/>
        <v>НД</v>
      </c>
      <c r="AE75" s="246" t="str">
        <f t="shared" si="26"/>
        <v>НД</v>
      </c>
      <c r="AF75" s="429">
        <f>SUMIFS('Отчет РПЗ(ПЗ)_ПЗИП'!$W:$W,'Отчет РПЗ(ПЗ)_ПЗИП'!$D:$D,Справочно!$E40,'Отчет РПЗ(ПЗ)_ПЗИП'!$N:$N,"&gt;=01.05.2017",'Отчет РПЗ(ПЗ)_ПЗИП'!$N:$N,"&lt;=31.05.2017",'Отчет РПЗ(ПЗ)_ПЗИП'!$AG:$AG,"&gt;0")</f>
        <v>0</v>
      </c>
      <c r="AG75" s="330">
        <f>SUMIFS('Отчет РПЗ(ПЗ)_ПЗИП'!$AG:$AG,'Отчет РПЗ(ПЗ)_ПЗИП'!$D:$D,Справочно!$E40,'Отчет РПЗ(ПЗ)_ПЗИП'!$AQ:$AQ,5)</f>
        <v>0</v>
      </c>
      <c r="AH75" s="330" t="str">
        <f t="shared" si="51"/>
        <v>НД</v>
      </c>
      <c r="AI75" s="246" t="str">
        <f t="shared" si="27"/>
        <v>НД</v>
      </c>
      <c r="AJ75" s="429">
        <f>SUMIFS('Отчет РПЗ(ПЗ)_ПЗИП'!$W:$W,'Отчет РПЗ(ПЗ)_ПЗИП'!$D:$D,Справочно!$E40,'Отчет РПЗ(ПЗ)_ПЗИП'!$N:$N,"&gt;=01.06.2017",'Отчет РПЗ(ПЗ)_ПЗИП'!$N:$N,"&lt;=30.06.2017",'Отчет РПЗ(ПЗ)_ПЗИП'!$AG:$AG,"&gt;0")</f>
        <v>0</v>
      </c>
      <c r="AK75" s="330">
        <f>SUMIFS('Отчет РПЗ(ПЗ)_ПЗИП'!$AG:$AG,'Отчет РПЗ(ПЗ)_ПЗИП'!$D:$D,Справочно!$E40,'Отчет РПЗ(ПЗ)_ПЗИП'!$AQ:$AQ,6)</f>
        <v>0</v>
      </c>
      <c r="AL75" s="330" t="str">
        <f t="shared" si="52"/>
        <v>НД</v>
      </c>
      <c r="AM75" s="246" t="str">
        <f t="shared" si="28"/>
        <v>НД</v>
      </c>
      <c r="AN75" s="424">
        <f t="shared" si="53"/>
        <v>0</v>
      </c>
      <c r="AO75" s="331">
        <f t="shared" si="54"/>
        <v>0</v>
      </c>
      <c r="AP75" s="331">
        <f t="shared" si="29"/>
        <v>0</v>
      </c>
      <c r="AQ75" s="248">
        <f t="shared" si="30"/>
        <v>0</v>
      </c>
      <c r="AR75" s="430">
        <f>SUMIFS('Отчет РПЗ(ПЗ)_ПЗИП'!$W:$W,'Отчет РПЗ(ПЗ)_ПЗИП'!$D:$D,Справочно!$E40,'Отчет РПЗ(ПЗ)_ПЗИП'!$N:$N,"&gt;=01.07.2017",'Отчет РПЗ(ПЗ)_ПЗИП'!$N:$N,"&lt;=31.07.2017",'Отчет РПЗ(ПЗ)_ПЗИП'!$AG:$AG,"&gt;0")</f>
        <v>0</v>
      </c>
      <c r="AS75" s="332">
        <f>SUMIFS('Отчет РПЗ(ПЗ)_ПЗИП'!$AG:$AG,'Отчет РПЗ(ПЗ)_ПЗИП'!$D:$D,Справочно!$E40,'Отчет РПЗ(ПЗ)_ПЗИП'!$AQ:$AQ,7)</f>
        <v>0</v>
      </c>
      <c r="AT75" s="372" t="str">
        <f t="shared" si="55"/>
        <v>НД</v>
      </c>
      <c r="AU75" s="250" t="str">
        <f t="shared" si="31"/>
        <v>НД</v>
      </c>
      <c r="AV75" s="425">
        <f>SUMIFS('Отчет РПЗ(ПЗ)_ПЗИП'!$W:$W,'Отчет РПЗ(ПЗ)_ПЗИП'!$D:$D,Справочно!$E40,'Отчет РПЗ(ПЗ)_ПЗИП'!$N:$N,"&gt;=01.08.2017",'Отчет РПЗ(ПЗ)_ПЗИП'!$N:$N,"&lt;=31.08.2017",'Отчет РПЗ(ПЗ)_ПЗИП'!$AG:$AG,"&gt;0")</f>
        <v>0</v>
      </c>
      <c r="AW75" s="332">
        <f>SUMIFS('Отчет РПЗ(ПЗ)_ПЗИП'!$AG:$AG,'Отчет РПЗ(ПЗ)_ПЗИП'!$D:$D,Справочно!$E40,'Отчет РПЗ(ПЗ)_ПЗИП'!$AQ:$AQ,8)</f>
        <v>0</v>
      </c>
      <c r="AX75" s="372" t="str">
        <f t="shared" si="56"/>
        <v>НД</v>
      </c>
      <c r="AY75" s="250" t="str">
        <f t="shared" si="32"/>
        <v>НД</v>
      </c>
      <c r="AZ75" s="425">
        <f>SUMIFS('Отчет РПЗ(ПЗ)_ПЗИП'!$W:$W,'Отчет РПЗ(ПЗ)_ПЗИП'!$D:$D,Справочно!$E40,'Отчет РПЗ(ПЗ)_ПЗИП'!$N:$N,"&gt;=01.09.2017",'Отчет РПЗ(ПЗ)_ПЗИП'!$N:$N,"&lt;=30.09.2017",'Отчет РПЗ(ПЗ)_ПЗИП'!$AG:$AG,"&gt;0")</f>
        <v>0</v>
      </c>
      <c r="BA75" s="332">
        <f>SUMIFS('Отчет РПЗ(ПЗ)_ПЗИП'!$AG:$AG,'Отчет РПЗ(ПЗ)_ПЗИП'!$D:$D,Справочно!$E40,'Отчет РПЗ(ПЗ)_ПЗИП'!$AQ:$AQ,9)</f>
        <v>0</v>
      </c>
      <c r="BB75" s="372" t="str">
        <f t="shared" si="57"/>
        <v>НД</v>
      </c>
      <c r="BC75" s="250" t="str">
        <f t="shared" si="33"/>
        <v>НД</v>
      </c>
      <c r="BD75" s="424">
        <f t="shared" si="58"/>
        <v>0</v>
      </c>
      <c r="BE75" s="333">
        <f t="shared" si="59"/>
        <v>0</v>
      </c>
      <c r="BF75" s="333">
        <f t="shared" si="34"/>
        <v>0</v>
      </c>
      <c r="BG75" s="252">
        <f t="shared" si="35"/>
        <v>0</v>
      </c>
      <c r="BH75" s="414">
        <f>SUMIFS('Отчет РПЗ(ПЗ)_ПЗИП'!$W:$W,'Отчет РПЗ(ПЗ)_ПЗИП'!$D:$D,Справочно!$E40,'Отчет РПЗ(ПЗ)_ПЗИП'!$N:$N,"&gt;=01.10.2017",'Отчет РПЗ(ПЗ)_ПЗИП'!$N:$N,"&lt;=31.10.2017",'Отчет РПЗ(ПЗ)_ПЗИП'!$AG:$AG,"&gt;0")</f>
        <v>0</v>
      </c>
      <c r="BI75" s="334">
        <f>SUMIFS('Отчет РПЗ(ПЗ)_ПЗИП'!$AG:$AG,'Отчет РПЗ(ПЗ)_ПЗИП'!$D:$D,Справочно!$E40,'Отчет РПЗ(ПЗ)_ПЗИП'!$AQ:$AQ,10)</f>
        <v>0</v>
      </c>
      <c r="BJ75" s="374" t="str">
        <f t="shared" si="60"/>
        <v>НД</v>
      </c>
      <c r="BK75" s="254" t="str">
        <f t="shared" si="36"/>
        <v>НД</v>
      </c>
      <c r="BL75" s="429">
        <f>SUMIFS('Отчет РПЗ(ПЗ)_ПЗИП'!$W:$W,'Отчет РПЗ(ПЗ)_ПЗИП'!$D:$D,Справочно!$E40,'Отчет РПЗ(ПЗ)_ПЗИП'!$N:$N,"&gt;=01.11.2017",'Отчет РПЗ(ПЗ)_ПЗИП'!$N:$N,"&lt;=30.11.2017",'Отчет РПЗ(ПЗ)_ПЗИП'!$AG:$AG,"&gt;0")</f>
        <v>0</v>
      </c>
      <c r="BM75" s="334">
        <f>SUMIFS('Отчет РПЗ(ПЗ)_ПЗИП'!$AG:$AG,'Отчет РПЗ(ПЗ)_ПЗИП'!$D:$D,Справочно!$E40,'Отчет РПЗ(ПЗ)_ПЗИП'!$AQ:$AQ,11)</f>
        <v>0</v>
      </c>
      <c r="BN75" s="374" t="str">
        <f t="shared" si="61"/>
        <v>НД</v>
      </c>
      <c r="BO75" s="254" t="str">
        <f t="shared" si="37"/>
        <v>НД</v>
      </c>
      <c r="BP75" s="429">
        <f>SUMIFS('Отчет РПЗ(ПЗ)_ПЗИП'!$W:$W,'Отчет РПЗ(ПЗ)_ПЗИП'!$D:$D,Справочно!$E40,'Отчет РПЗ(ПЗ)_ПЗИП'!$N:$N,"&gt;=01.12.2017",'Отчет РПЗ(ПЗ)_ПЗИП'!$N:$N,"&lt;=31.12.2017",'Отчет РПЗ(ПЗ)_ПЗИП'!$AG:$AG,"&gt;0")</f>
        <v>0</v>
      </c>
      <c r="BQ75" s="334">
        <f>SUMIFS('Отчет РПЗ(ПЗ)_ПЗИП'!$AG:$AG,'Отчет РПЗ(ПЗ)_ПЗИП'!$D:$D,Справочно!$E40,'Отчет РПЗ(ПЗ)_ПЗИП'!$AQ:$AQ,12)</f>
        <v>0</v>
      </c>
      <c r="BR75" s="374" t="str">
        <f t="shared" si="62"/>
        <v>НД</v>
      </c>
      <c r="BS75" s="256" t="str">
        <f t="shared" si="38"/>
        <v>НД</v>
      </c>
      <c r="BT75" s="424">
        <f t="shared" si="63"/>
        <v>0</v>
      </c>
      <c r="BU75" s="335">
        <f t="shared" si="64"/>
        <v>0</v>
      </c>
      <c r="BV75" s="335">
        <f t="shared" si="39"/>
        <v>0</v>
      </c>
      <c r="BW75" s="257">
        <f t="shared" si="40"/>
        <v>0</v>
      </c>
    </row>
    <row r="76" spans="2:75" ht="13.5" thickBot="1" x14ac:dyDescent="0.25">
      <c r="B76" s="55" t="str">
        <f>Справочно!E41</f>
        <v>АО "РТ-Химические технологии и композиционные материалы"</v>
      </c>
      <c r="C76" s="92">
        <f>ПП!B64</f>
        <v>0</v>
      </c>
      <c r="D76" s="412">
        <f>ПП!C64</f>
        <v>0</v>
      </c>
      <c r="E76" s="437">
        <f>ПП!D64</f>
        <v>0</v>
      </c>
      <c r="F76" s="297">
        <f>COUNTIFS('Отчет РПЗ(ПЗ)_ПЗИП'!$AG:$AG,"&gt;0",'Отчет РПЗ(ПЗ)_ПЗИП'!$D:$D,Справочно!$E40)</f>
        <v>0</v>
      </c>
      <c r="G76" s="438">
        <f t="shared" si="41"/>
        <v>0</v>
      </c>
      <c r="H76" s="439">
        <f>SUMIF('Отчет РПЗ(ПЗ)_ПЗИП'!$D:$D,Справочно!$E40,'Отчет РПЗ(ПЗ)_ПЗИП'!$AG:$AG)</f>
        <v>0</v>
      </c>
      <c r="I76" s="461">
        <f t="shared" si="65"/>
        <v>0</v>
      </c>
      <c r="J76" s="514" t="e">
        <f t="shared" si="42"/>
        <v>#DIV/0!</v>
      </c>
      <c r="L76" s="430">
        <f>SUMIFS('Отчет РПЗ(ПЗ)_ПЗИП'!$W:$W,'Отчет РПЗ(ПЗ)_ПЗИП'!$D:$D,Справочно!$E41,'Отчет РПЗ(ПЗ)_ПЗИП'!$N:$N,"&gt;=01.01.2017",'Отчет РПЗ(ПЗ)_ПЗИП'!$N:$N,"&lt;=31.01.2017",'Отчет РПЗ(ПЗ)_ПЗИП'!$AG:$AG,"&gt;0")</f>
        <v>0</v>
      </c>
      <c r="M76" s="328">
        <f>SUMIFS('Отчет РПЗ(ПЗ)_ПЗИП'!$AG:$AG,'Отчет РПЗ(ПЗ)_ПЗИП'!$D:$D,Справочно!$E41,'Отчет РПЗ(ПЗ)_ПЗИП'!$AQ:$AQ,1)</f>
        <v>0</v>
      </c>
      <c r="N76" s="336" t="str">
        <f t="shared" si="43"/>
        <v>НД</v>
      </c>
      <c r="O76" s="245" t="str">
        <f t="shared" si="44"/>
        <v>НД</v>
      </c>
      <c r="P76" s="425">
        <f>SUMIFS('Отчет РПЗ(ПЗ)_ПЗИП'!$W:$W,'Отчет РПЗ(ПЗ)_ПЗИП'!$D:$D,Справочно!$E41,'Отчет РПЗ(ПЗ)_ПЗИП'!$N:$N,"&gt;=01.02.2017",'Отчет РПЗ(ПЗ)_ПЗИП'!$N:$N,"&lt;=28.02.2017",'Отчет РПЗ(ПЗ)_ПЗИП'!$AG:$AG,"&gt;0")</f>
        <v>0</v>
      </c>
      <c r="Q76" s="328">
        <f>SUMIFS('Отчет РПЗ(ПЗ)_ПЗИП'!$AG:$AG,'Отчет РПЗ(ПЗ)_ПЗИП'!$D:$D,Справочно!$E41,'Отчет РПЗ(ПЗ)_ПЗИП'!$AQ:$AQ,2)</f>
        <v>0</v>
      </c>
      <c r="R76" s="336" t="str">
        <f t="shared" si="45"/>
        <v>НД</v>
      </c>
      <c r="S76" s="245" t="str">
        <f t="shared" si="46"/>
        <v>НД</v>
      </c>
      <c r="T76" s="425">
        <f>SUMIFS('Отчет РПЗ(ПЗ)_ПЗИП'!$W:$W,'Отчет РПЗ(ПЗ)_ПЗИП'!$D:$D,Справочно!$E41,'Отчет РПЗ(ПЗ)_ПЗИП'!$N:$N,"&gt;=01.03.2017",'Отчет РПЗ(ПЗ)_ПЗИП'!$N:$N,"&lt;=31.03.2017",'Отчет РПЗ(ПЗ)_ПЗИП'!$AG:$AG,"&gt;0")</f>
        <v>0</v>
      </c>
      <c r="U76" s="328">
        <f>SUMIFS('Отчет РПЗ(ПЗ)_ПЗИП'!$AG:$AG,'Отчет РПЗ(ПЗ)_ПЗИП'!$D:$D,Справочно!$E41,'Отчет РПЗ(ПЗ)_ПЗИП'!$AQ:$AQ,3)</f>
        <v>0</v>
      </c>
      <c r="V76" s="336" t="str">
        <f t="shared" si="47"/>
        <v>НД</v>
      </c>
      <c r="W76" s="245" t="str">
        <f t="shared" si="23"/>
        <v>НД</v>
      </c>
      <c r="X76" s="424">
        <f t="shared" si="48"/>
        <v>0</v>
      </c>
      <c r="Y76" s="329">
        <f t="shared" si="49"/>
        <v>0</v>
      </c>
      <c r="Z76" s="329">
        <f t="shared" si="24"/>
        <v>0</v>
      </c>
      <c r="AA76" s="247">
        <f t="shared" si="25"/>
        <v>0</v>
      </c>
      <c r="AB76" s="430">
        <f>SUMIFS('Отчет РПЗ(ПЗ)_ПЗИП'!$W:$W,'Отчет РПЗ(ПЗ)_ПЗИП'!$D:$D,Справочно!$E41,'Отчет РПЗ(ПЗ)_ПЗИП'!$N:$N,"&gt;=01.04.2017",'Отчет РПЗ(ПЗ)_ПЗИП'!$N:$N,"&lt;=30.04.2017",'Отчет РПЗ(ПЗ)_ПЗИП'!$AG:$AG,"&gt;0")</f>
        <v>0</v>
      </c>
      <c r="AC76" s="330">
        <f>SUMIFS('Отчет РПЗ(ПЗ)_ПЗИП'!$AG:$AG,'Отчет РПЗ(ПЗ)_ПЗИП'!$D:$D,Справочно!$E41,'Отчет РПЗ(ПЗ)_ПЗИП'!$AQ:$AQ,4)</f>
        <v>0</v>
      </c>
      <c r="AD76" s="330" t="str">
        <f t="shared" si="50"/>
        <v>НД</v>
      </c>
      <c r="AE76" s="246" t="str">
        <f t="shared" si="26"/>
        <v>НД</v>
      </c>
      <c r="AF76" s="429">
        <f>SUMIFS('Отчет РПЗ(ПЗ)_ПЗИП'!$W:$W,'Отчет РПЗ(ПЗ)_ПЗИП'!$D:$D,Справочно!$E41,'Отчет РПЗ(ПЗ)_ПЗИП'!$N:$N,"&gt;=01.05.2017",'Отчет РПЗ(ПЗ)_ПЗИП'!$N:$N,"&lt;=31.05.2017",'Отчет РПЗ(ПЗ)_ПЗИП'!$AG:$AG,"&gt;0")</f>
        <v>0</v>
      </c>
      <c r="AG76" s="330">
        <f>SUMIFS('Отчет РПЗ(ПЗ)_ПЗИП'!$AG:$AG,'Отчет РПЗ(ПЗ)_ПЗИП'!$D:$D,Справочно!$E41,'Отчет РПЗ(ПЗ)_ПЗИП'!$AQ:$AQ,5)</f>
        <v>0</v>
      </c>
      <c r="AH76" s="330" t="str">
        <f t="shared" si="51"/>
        <v>НД</v>
      </c>
      <c r="AI76" s="246" t="str">
        <f t="shared" si="27"/>
        <v>НД</v>
      </c>
      <c r="AJ76" s="429">
        <f>SUMIFS('Отчет РПЗ(ПЗ)_ПЗИП'!$W:$W,'Отчет РПЗ(ПЗ)_ПЗИП'!$D:$D,Справочно!$E41,'Отчет РПЗ(ПЗ)_ПЗИП'!$N:$N,"&gt;=01.06.2017",'Отчет РПЗ(ПЗ)_ПЗИП'!$N:$N,"&lt;=30.06.2017",'Отчет РПЗ(ПЗ)_ПЗИП'!$AG:$AG,"&gt;0")</f>
        <v>0</v>
      </c>
      <c r="AK76" s="330">
        <f>SUMIFS('Отчет РПЗ(ПЗ)_ПЗИП'!$AG:$AG,'Отчет РПЗ(ПЗ)_ПЗИП'!$D:$D,Справочно!$E41,'Отчет РПЗ(ПЗ)_ПЗИП'!$AQ:$AQ,6)</f>
        <v>0</v>
      </c>
      <c r="AL76" s="330" t="str">
        <f t="shared" si="52"/>
        <v>НД</v>
      </c>
      <c r="AM76" s="246" t="str">
        <f t="shared" si="28"/>
        <v>НД</v>
      </c>
      <c r="AN76" s="424">
        <f t="shared" si="53"/>
        <v>0</v>
      </c>
      <c r="AO76" s="331">
        <f t="shared" si="54"/>
        <v>0</v>
      </c>
      <c r="AP76" s="331">
        <f t="shared" si="29"/>
        <v>0</v>
      </c>
      <c r="AQ76" s="248">
        <f t="shared" si="30"/>
        <v>0</v>
      </c>
      <c r="AR76" s="430">
        <f>SUMIFS('Отчет РПЗ(ПЗ)_ПЗИП'!$W:$W,'Отчет РПЗ(ПЗ)_ПЗИП'!$D:$D,Справочно!$E41,'Отчет РПЗ(ПЗ)_ПЗИП'!$N:$N,"&gt;=01.07.2017",'Отчет РПЗ(ПЗ)_ПЗИП'!$N:$N,"&lt;=31.07.2017",'Отчет РПЗ(ПЗ)_ПЗИП'!$AG:$AG,"&gt;0")</f>
        <v>0</v>
      </c>
      <c r="AS76" s="332">
        <f>SUMIFS('Отчет РПЗ(ПЗ)_ПЗИП'!$AG:$AG,'Отчет РПЗ(ПЗ)_ПЗИП'!$D:$D,Справочно!$E41,'Отчет РПЗ(ПЗ)_ПЗИП'!$AQ:$AQ,7)</f>
        <v>0</v>
      </c>
      <c r="AT76" s="372" t="str">
        <f t="shared" si="55"/>
        <v>НД</v>
      </c>
      <c r="AU76" s="250" t="str">
        <f t="shared" si="31"/>
        <v>НД</v>
      </c>
      <c r="AV76" s="425">
        <f>SUMIFS('Отчет РПЗ(ПЗ)_ПЗИП'!$W:$W,'Отчет РПЗ(ПЗ)_ПЗИП'!$D:$D,Справочно!$E41,'Отчет РПЗ(ПЗ)_ПЗИП'!$N:$N,"&gt;=01.08.2017",'Отчет РПЗ(ПЗ)_ПЗИП'!$N:$N,"&lt;=31.08.2017",'Отчет РПЗ(ПЗ)_ПЗИП'!$AG:$AG,"&gt;0")</f>
        <v>0</v>
      </c>
      <c r="AW76" s="332">
        <f>SUMIFS('Отчет РПЗ(ПЗ)_ПЗИП'!$AG:$AG,'Отчет РПЗ(ПЗ)_ПЗИП'!$D:$D,Справочно!$E41,'Отчет РПЗ(ПЗ)_ПЗИП'!$AQ:$AQ,8)</f>
        <v>0</v>
      </c>
      <c r="AX76" s="372" t="str">
        <f t="shared" si="56"/>
        <v>НД</v>
      </c>
      <c r="AY76" s="250" t="str">
        <f t="shared" si="32"/>
        <v>НД</v>
      </c>
      <c r="AZ76" s="425">
        <f>SUMIFS('Отчет РПЗ(ПЗ)_ПЗИП'!$W:$W,'Отчет РПЗ(ПЗ)_ПЗИП'!$D:$D,Справочно!$E41,'Отчет РПЗ(ПЗ)_ПЗИП'!$N:$N,"&gt;=01.09.2017",'Отчет РПЗ(ПЗ)_ПЗИП'!$N:$N,"&lt;=30.09.2017",'Отчет РПЗ(ПЗ)_ПЗИП'!$AG:$AG,"&gt;0")</f>
        <v>0</v>
      </c>
      <c r="BA76" s="332">
        <f>SUMIFS('Отчет РПЗ(ПЗ)_ПЗИП'!$AG:$AG,'Отчет РПЗ(ПЗ)_ПЗИП'!$D:$D,Справочно!$E41,'Отчет РПЗ(ПЗ)_ПЗИП'!$AQ:$AQ,9)</f>
        <v>0</v>
      </c>
      <c r="BB76" s="372" t="str">
        <f t="shared" si="57"/>
        <v>НД</v>
      </c>
      <c r="BC76" s="250" t="str">
        <f t="shared" si="33"/>
        <v>НД</v>
      </c>
      <c r="BD76" s="424">
        <f t="shared" si="58"/>
        <v>0</v>
      </c>
      <c r="BE76" s="333">
        <f t="shared" si="59"/>
        <v>0</v>
      </c>
      <c r="BF76" s="333">
        <f t="shared" si="34"/>
        <v>0</v>
      </c>
      <c r="BG76" s="252">
        <f t="shared" si="35"/>
        <v>0</v>
      </c>
      <c r="BH76" s="414">
        <f>SUMIFS('Отчет РПЗ(ПЗ)_ПЗИП'!$W:$W,'Отчет РПЗ(ПЗ)_ПЗИП'!$D:$D,Справочно!$E41,'Отчет РПЗ(ПЗ)_ПЗИП'!$N:$N,"&gt;=01.10.2017",'Отчет РПЗ(ПЗ)_ПЗИП'!$N:$N,"&lt;=31.10.2017",'Отчет РПЗ(ПЗ)_ПЗИП'!$AG:$AG,"&gt;0")</f>
        <v>0</v>
      </c>
      <c r="BI76" s="334">
        <f>SUMIFS('Отчет РПЗ(ПЗ)_ПЗИП'!$AG:$AG,'Отчет РПЗ(ПЗ)_ПЗИП'!$D:$D,Справочно!$E41,'Отчет РПЗ(ПЗ)_ПЗИП'!$AQ:$AQ,10)</f>
        <v>0</v>
      </c>
      <c r="BJ76" s="374" t="str">
        <f t="shared" si="60"/>
        <v>НД</v>
      </c>
      <c r="BK76" s="254" t="str">
        <f t="shared" si="36"/>
        <v>НД</v>
      </c>
      <c r="BL76" s="429">
        <f>SUMIFS('Отчет РПЗ(ПЗ)_ПЗИП'!$W:$W,'Отчет РПЗ(ПЗ)_ПЗИП'!$D:$D,Справочно!$E41,'Отчет РПЗ(ПЗ)_ПЗИП'!$N:$N,"&gt;=01.11.2017",'Отчет РПЗ(ПЗ)_ПЗИП'!$N:$N,"&lt;=30.11.2017",'Отчет РПЗ(ПЗ)_ПЗИП'!$AG:$AG,"&gt;0")</f>
        <v>0</v>
      </c>
      <c r="BM76" s="334">
        <f>SUMIFS('Отчет РПЗ(ПЗ)_ПЗИП'!$AG:$AG,'Отчет РПЗ(ПЗ)_ПЗИП'!$D:$D,Справочно!$E41,'Отчет РПЗ(ПЗ)_ПЗИП'!$AQ:$AQ,11)</f>
        <v>0</v>
      </c>
      <c r="BN76" s="374" t="str">
        <f t="shared" si="61"/>
        <v>НД</v>
      </c>
      <c r="BO76" s="254" t="str">
        <f t="shared" si="37"/>
        <v>НД</v>
      </c>
      <c r="BP76" s="429">
        <f>SUMIFS('Отчет РПЗ(ПЗ)_ПЗИП'!$W:$W,'Отчет РПЗ(ПЗ)_ПЗИП'!$D:$D,Справочно!$E41,'Отчет РПЗ(ПЗ)_ПЗИП'!$N:$N,"&gt;=01.12.2017",'Отчет РПЗ(ПЗ)_ПЗИП'!$N:$N,"&lt;=31.12.2017",'Отчет РПЗ(ПЗ)_ПЗИП'!$AG:$AG,"&gt;0")</f>
        <v>0</v>
      </c>
      <c r="BQ76" s="334">
        <f>SUMIFS('Отчет РПЗ(ПЗ)_ПЗИП'!$AG:$AG,'Отчет РПЗ(ПЗ)_ПЗИП'!$D:$D,Справочно!$E41,'Отчет РПЗ(ПЗ)_ПЗИП'!$AQ:$AQ,12)</f>
        <v>0</v>
      </c>
      <c r="BR76" s="374" t="str">
        <f t="shared" si="62"/>
        <v>НД</v>
      </c>
      <c r="BS76" s="256" t="str">
        <f t="shared" si="38"/>
        <v>НД</v>
      </c>
      <c r="BT76" s="424">
        <f t="shared" si="63"/>
        <v>0</v>
      </c>
      <c r="BU76" s="335">
        <f t="shared" si="64"/>
        <v>0</v>
      </c>
      <c r="BV76" s="335">
        <f t="shared" si="39"/>
        <v>0</v>
      </c>
      <c r="BW76" s="257">
        <f t="shared" si="40"/>
        <v>0</v>
      </c>
    </row>
    <row r="77" spans="2:75" ht="13.5" thickBot="1" x14ac:dyDescent="0.25">
      <c r="B77" s="55" t="str">
        <f>Справочно!E42</f>
        <v>АО "Технодинамика"</v>
      </c>
      <c r="C77" s="92">
        <f>ПП!B65</f>
        <v>0</v>
      </c>
      <c r="D77" s="412">
        <f>ПП!C65</f>
        <v>0</v>
      </c>
      <c r="E77" s="437">
        <f>ПП!D65</f>
        <v>0</v>
      </c>
      <c r="F77" s="297">
        <f>COUNTIFS('Отчет РПЗ(ПЗ)_ПЗИП'!$AG:$AG,"&gt;0",'Отчет РПЗ(ПЗ)_ПЗИП'!$D:$D,Справочно!$E41)</f>
        <v>0</v>
      </c>
      <c r="G77" s="438">
        <f t="shared" si="41"/>
        <v>0</v>
      </c>
      <c r="H77" s="439">
        <f>SUMIF('Отчет РПЗ(ПЗ)_ПЗИП'!$D:$D,Справочно!$E41,'Отчет РПЗ(ПЗ)_ПЗИП'!$AG:$AG)</f>
        <v>0</v>
      </c>
      <c r="I77" s="461">
        <f t="shared" si="65"/>
        <v>0</v>
      </c>
      <c r="J77" s="514" t="e">
        <f t="shared" si="42"/>
        <v>#DIV/0!</v>
      </c>
      <c r="L77" s="430">
        <f>SUMIFS('Отчет РПЗ(ПЗ)_ПЗИП'!$W:$W,'Отчет РПЗ(ПЗ)_ПЗИП'!$D:$D,Справочно!$E42,'Отчет РПЗ(ПЗ)_ПЗИП'!$N:$N,"&gt;=01.01.2017",'Отчет РПЗ(ПЗ)_ПЗИП'!$N:$N,"&lt;=31.01.2017",'Отчет РПЗ(ПЗ)_ПЗИП'!$AG:$AG,"&gt;0")</f>
        <v>0</v>
      </c>
      <c r="M77" s="328">
        <f>SUMIFS('Отчет РПЗ(ПЗ)_ПЗИП'!$AG:$AG,'Отчет РПЗ(ПЗ)_ПЗИП'!$D:$D,Справочно!$E42,'Отчет РПЗ(ПЗ)_ПЗИП'!$AQ:$AQ,1)</f>
        <v>0</v>
      </c>
      <c r="N77" s="336" t="str">
        <f t="shared" si="43"/>
        <v>НД</v>
      </c>
      <c r="O77" s="245" t="str">
        <f t="shared" si="44"/>
        <v>НД</v>
      </c>
      <c r="P77" s="425">
        <f>SUMIFS('Отчет РПЗ(ПЗ)_ПЗИП'!$W:$W,'Отчет РПЗ(ПЗ)_ПЗИП'!$D:$D,Справочно!$E42,'Отчет РПЗ(ПЗ)_ПЗИП'!$N:$N,"&gt;=01.02.2017",'Отчет РПЗ(ПЗ)_ПЗИП'!$N:$N,"&lt;=28.02.2017",'Отчет РПЗ(ПЗ)_ПЗИП'!$AG:$AG,"&gt;0")</f>
        <v>0</v>
      </c>
      <c r="Q77" s="328">
        <f>SUMIFS('Отчет РПЗ(ПЗ)_ПЗИП'!$AG:$AG,'Отчет РПЗ(ПЗ)_ПЗИП'!$D:$D,Справочно!$E42,'Отчет РПЗ(ПЗ)_ПЗИП'!$AQ:$AQ,2)</f>
        <v>0</v>
      </c>
      <c r="R77" s="336" t="str">
        <f t="shared" si="45"/>
        <v>НД</v>
      </c>
      <c r="S77" s="245" t="str">
        <f t="shared" si="46"/>
        <v>НД</v>
      </c>
      <c r="T77" s="425">
        <f>SUMIFS('Отчет РПЗ(ПЗ)_ПЗИП'!$W:$W,'Отчет РПЗ(ПЗ)_ПЗИП'!$D:$D,Справочно!$E42,'Отчет РПЗ(ПЗ)_ПЗИП'!$N:$N,"&gt;=01.03.2017",'Отчет РПЗ(ПЗ)_ПЗИП'!$N:$N,"&lt;=31.03.2017",'Отчет РПЗ(ПЗ)_ПЗИП'!$AG:$AG,"&gt;0")</f>
        <v>0</v>
      </c>
      <c r="U77" s="328">
        <f>SUMIFS('Отчет РПЗ(ПЗ)_ПЗИП'!$AG:$AG,'Отчет РПЗ(ПЗ)_ПЗИП'!$D:$D,Справочно!$E42,'Отчет РПЗ(ПЗ)_ПЗИП'!$AQ:$AQ,3)</f>
        <v>0</v>
      </c>
      <c r="V77" s="336" t="str">
        <f t="shared" si="47"/>
        <v>НД</v>
      </c>
      <c r="W77" s="245" t="str">
        <f t="shared" si="23"/>
        <v>НД</v>
      </c>
      <c r="X77" s="424">
        <f t="shared" si="48"/>
        <v>0</v>
      </c>
      <c r="Y77" s="329">
        <f t="shared" si="49"/>
        <v>0</v>
      </c>
      <c r="Z77" s="329">
        <f t="shared" si="24"/>
        <v>0</v>
      </c>
      <c r="AA77" s="247">
        <f t="shared" si="25"/>
        <v>0</v>
      </c>
      <c r="AB77" s="430">
        <f>SUMIFS('Отчет РПЗ(ПЗ)_ПЗИП'!$W:$W,'Отчет РПЗ(ПЗ)_ПЗИП'!$D:$D,Справочно!$E42,'Отчет РПЗ(ПЗ)_ПЗИП'!$N:$N,"&gt;=01.04.2017",'Отчет РПЗ(ПЗ)_ПЗИП'!$N:$N,"&lt;=30.04.2017",'Отчет РПЗ(ПЗ)_ПЗИП'!$AG:$AG,"&gt;0")</f>
        <v>0</v>
      </c>
      <c r="AC77" s="330">
        <f>SUMIFS('Отчет РПЗ(ПЗ)_ПЗИП'!$AG:$AG,'Отчет РПЗ(ПЗ)_ПЗИП'!$D:$D,Справочно!$E42,'Отчет РПЗ(ПЗ)_ПЗИП'!$AQ:$AQ,4)</f>
        <v>0</v>
      </c>
      <c r="AD77" s="330" t="str">
        <f t="shared" si="50"/>
        <v>НД</v>
      </c>
      <c r="AE77" s="246" t="str">
        <f t="shared" si="26"/>
        <v>НД</v>
      </c>
      <c r="AF77" s="429">
        <f>SUMIFS('Отчет РПЗ(ПЗ)_ПЗИП'!$W:$W,'Отчет РПЗ(ПЗ)_ПЗИП'!$D:$D,Справочно!$E42,'Отчет РПЗ(ПЗ)_ПЗИП'!$N:$N,"&gt;=01.05.2017",'Отчет РПЗ(ПЗ)_ПЗИП'!$N:$N,"&lt;=31.05.2017",'Отчет РПЗ(ПЗ)_ПЗИП'!$AG:$AG,"&gt;0")</f>
        <v>0</v>
      </c>
      <c r="AG77" s="330">
        <f>SUMIFS('Отчет РПЗ(ПЗ)_ПЗИП'!$AG:$AG,'Отчет РПЗ(ПЗ)_ПЗИП'!$D:$D,Справочно!$E42,'Отчет РПЗ(ПЗ)_ПЗИП'!$AQ:$AQ,5)</f>
        <v>0</v>
      </c>
      <c r="AH77" s="330" t="str">
        <f t="shared" si="51"/>
        <v>НД</v>
      </c>
      <c r="AI77" s="246" t="str">
        <f t="shared" si="27"/>
        <v>НД</v>
      </c>
      <c r="AJ77" s="429">
        <f>SUMIFS('Отчет РПЗ(ПЗ)_ПЗИП'!$W:$W,'Отчет РПЗ(ПЗ)_ПЗИП'!$D:$D,Справочно!$E42,'Отчет РПЗ(ПЗ)_ПЗИП'!$N:$N,"&gt;=01.06.2017",'Отчет РПЗ(ПЗ)_ПЗИП'!$N:$N,"&lt;=30.06.2017",'Отчет РПЗ(ПЗ)_ПЗИП'!$AG:$AG,"&gt;0")</f>
        <v>0</v>
      </c>
      <c r="AK77" s="330">
        <f>SUMIFS('Отчет РПЗ(ПЗ)_ПЗИП'!$AG:$AG,'Отчет РПЗ(ПЗ)_ПЗИП'!$D:$D,Справочно!$E42,'Отчет РПЗ(ПЗ)_ПЗИП'!$AQ:$AQ,6)</f>
        <v>0</v>
      </c>
      <c r="AL77" s="330" t="str">
        <f t="shared" si="52"/>
        <v>НД</v>
      </c>
      <c r="AM77" s="246" t="str">
        <f t="shared" si="28"/>
        <v>НД</v>
      </c>
      <c r="AN77" s="424">
        <f t="shared" si="53"/>
        <v>0</v>
      </c>
      <c r="AO77" s="331">
        <f t="shared" si="54"/>
        <v>0</v>
      </c>
      <c r="AP77" s="331">
        <f t="shared" si="29"/>
        <v>0</v>
      </c>
      <c r="AQ77" s="248">
        <f t="shared" si="30"/>
        <v>0</v>
      </c>
      <c r="AR77" s="430">
        <f>SUMIFS('Отчет РПЗ(ПЗ)_ПЗИП'!$W:$W,'Отчет РПЗ(ПЗ)_ПЗИП'!$D:$D,Справочно!$E42,'Отчет РПЗ(ПЗ)_ПЗИП'!$N:$N,"&gt;=01.07.2017",'Отчет РПЗ(ПЗ)_ПЗИП'!$N:$N,"&lt;=31.07.2017",'Отчет РПЗ(ПЗ)_ПЗИП'!$AG:$AG,"&gt;0")</f>
        <v>0</v>
      </c>
      <c r="AS77" s="332">
        <f>SUMIFS('Отчет РПЗ(ПЗ)_ПЗИП'!$AG:$AG,'Отчет РПЗ(ПЗ)_ПЗИП'!$D:$D,Справочно!$E42,'Отчет РПЗ(ПЗ)_ПЗИП'!$AQ:$AQ,7)</f>
        <v>0</v>
      </c>
      <c r="AT77" s="372" t="str">
        <f t="shared" si="55"/>
        <v>НД</v>
      </c>
      <c r="AU77" s="250" t="str">
        <f t="shared" si="31"/>
        <v>НД</v>
      </c>
      <c r="AV77" s="425">
        <f>SUMIFS('Отчет РПЗ(ПЗ)_ПЗИП'!$W:$W,'Отчет РПЗ(ПЗ)_ПЗИП'!$D:$D,Справочно!$E42,'Отчет РПЗ(ПЗ)_ПЗИП'!$N:$N,"&gt;=01.08.2017",'Отчет РПЗ(ПЗ)_ПЗИП'!$N:$N,"&lt;=31.08.2017",'Отчет РПЗ(ПЗ)_ПЗИП'!$AG:$AG,"&gt;0")</f>
        <v>0</v>
      </c>
      <c r="AW77" s="332">
        <f>SUMIFS('Отчет РПЗ(ПЗ)_ПЗИП'!$AG:$AG,'Отчет РПЗ(ПЗ)_ПЗИП'!$D:$D,Справочно!$E42,'Отчет РПЗ(ПЗ)_ПЗИП'!$AQ:$AQ,8)</f>
        <v>0</v>
      </c>
      <c r="AX77" s="372" t="str">
        <f t="shared" si="56"/>
        <v>НД</v>
      </c>
      <c r="AY77" s="250" t="str">
        <f t="shared" si="32"/>
        <v>НД</v>
      </c>
      <c r="AZ77" s="425">
        <f>SUMIFS('Отчет РПЗ(ПЗ)_ПЗИП'!$W:$W,'Отчет РПЗ(ПЗ)_ПЗИП'!$D:$D,Справочно!$E42,'Отчет РПЗ(ПЗ)_ПЗИП'!$N:$N,"&gt;=01.09.2017",'Отчет РПЗ(ПЗ)_ПЗИП'!$N:$N,"&lt;=30.09.2017",'Отчет РПЗ(ПЗ)_ПЗИП'!$AG:$AG,"&gt;0")</f>
        <v>0</v>
      </c>
      <c r="BA77" s="332">
        <f>SUMIFS('Отчет РПЗ(ПЗ)_ПЗИП'!$AG:$AG,'Отчет РПЗ(ПЗ)_ПЗИП'!$D:$D,Справочно!$E42,'Отчет РПЗ(ПЗ)_ПЗИП'!$AQ:$AQ,9)</f>
        <v>0</v>
      </c>
      <c r="BB77" s="372" t="str">
        <f t="shared" si="57"/>
        <v>НД</v>
      </c>
      <c r="BC77" s="250" t="str">
        <f t="shared" si="33"/>
        <v>НД</v>
      </c>
      <c r="BD77" s="424">
        <f t="shared" si="58"/>
        <v>0</v>
      </c>
      <c r="BE77" s="333">
        <f t="shared" si="59"/>
        <v>0</v>
      </c>
      <c r="BF77" s="333">
        <f t="shared" si="34"/>
        <v>0</v>
      </c>
      <c r="BG77" s="252">
        <f t="shared" si="35"/>
        <v>0</v>
      </c>
      <c r="BH77" s="414">
        <f>SUMIFS('Отчет РПЗ(ПЗ)_ПЗИП'!$W:$W,'Отчет РПЗ(ПЗ)_ПЗИП'!$D:$D,Справочно!$E42,'Отчет РПЗ(ПЗ)_ПЗИП'!$N:$N,"&gt;=01.10.2017",'Отчет РПЗ(ПЗ)_ПЗИП'!$N:$N,"&lt;=31.10.2017",'Отчет РПЗ(ПЗ)_ПЗИП'!$AG:$AG,"&gt;0")</f>
        <v>0</v>
      </c>
      <c r="BI77" s="334">
        <f>SUMIFS('Отчет РПЗ(ПЗ)_ПЗИП'!$AG:$AG,'Отчет РПЗ(ПЗ)_ПЗИП'!$D:$D,Справочно!$E42,'Отчет РПЗ(ПЗ)_ПЗИП'!$AQ:$AQ,10)</f>
        <v>0</v>
      </c>
      <c r="BJ77" s="374" t="str">
        <f t="shared" si="60"/>
        <v>НД</v>
      </c>
      <c r="BK77" s="254" t="str">
        <f t="shared" si="36"/>
        <v>НД</v>
      </c>
      <c r="BL77" s="429">
        <f>SUMIFS('Отчет РПЗ(ПЗ)_ПЗИП'!$W:$W,'Отчет РПЗ(ПЗ)_ПЗИП'!$D:$D,Справочно!$E42,'Отчет РПЗ(ПЗ)_ПЗИП'!$N:$N,"&gt;=01.11.2017",'Отчет РПЗ(ПЗ)_ПЗИП'!$N:$N,"&lt;=30.11.2017",'Отчет РПЗ(ПЗ)_ПЗИП'!$AG:$AG,"&gt;0")</f>
        <v>0</v>
      </c>
      <c r="BM77" s="334">
        <f>SUMIFS('Отчет РПЗ(ПЗ)_ПЗИП'!$AG:$AG,'Отчет РПЗ(ПЗ)_ПЗИП'!$D:$D,Справочно!$E42,'Отчет РПЗ(ПЗ)_ПЗИП'!$AQ:$AQ,11)</f>
        <v>0</v>
      </c>
      <c r="BN77" s="374" t="str">
        <f t="shared" si="61"/>
        <v>НД</v>
      </c>
      <c r="BO77" s="254" t="str">
        <f t="shared" si="37"/>
        <v>НД</v>
      </c>
      <c r="BP77" s="429">
        <f>SUMIFS('Отчет РПЗ(ПЗ)_ПЗИП'!$W:$W,'Отчет РПЗ(ПЗ)_ПЗИП'!$D:$D,Справочно!$E42,'Отчет РПЗ(ПЗ)_ПЗИП'!$N:$N,"&gt;=01.12.2017",'Отчет РПЗ(ПЗ)_ПЗИП'!$N:$N,"&lt;=31.12.2017",'Отчет РПЗ(ПЗ)_ПЗИП'!$AG:$AG,"&gt;0")</f>
        <v>0</v>
      </c>
      <c r="BQ77" s="334">
        <f>SUMIFS('Отчет РПЗ(ПЗ)_ПЗИП'!$AG:$AG,'Отчет РПЗ(ПЗ)_ПЗИП'!$D:$D,Справочно!$E42,'Отчет РПЗ(ПЗ)_ПЗИП'!$AQ:$AQ,12)</f>
        <v>0</v>
      </c>
      <c r="BR77" s="374" t="str">
        <f t="shared" si="62"/>
        <v>НД</v>
      </c>
      <c r="BS77" s="256" t="str">
        <f t="shared" si="38"/>
        <v>НД</v>
      </c>
      <c r="BT77" s="424">
        <f t="shared" si="63"/>
        <v>0</v>
      </c>
      <c r="BU77" s="335">
        <f t="shared" si="64"/>
        <v>0</v>
      </c>
      <c r="BV77" s="335">
        <f t="shared" si="39"/>
        <v>0</v>
      </c>
      <c r="BW77" s="257">
        <f t="shared" si="40"/>
        <v>0</v>
      </c>
    </row>
    <row r="78" spans="2:75" ht="13.5" thickBot="1" x14ac:dyDescent="0.25">
      <c r="B78" s="55" t="str">
        <f>Справочно!E43</f>
        <v>АО "Швабе"</v>
      </c>
      <c r="C78" s="92">
        <f>ПП!B66</f>
        <v>7</v>
      </c>
      <c r="D78" s="412">
        <f>ПП!C66</f>
        <v>4.4472681067344345E-3</v>
      </c>
      <c r="E78" s="437">
        <f>ПП!D66</f>
        <v>10926704.300000001</v>
      </c>
      <c r="F78" s="297">
        <f>COUNTIFS('Отчет РПЗ(ПЗ)_ПЗИП'!$AG:$AG,"&gt;0",'Отчет РПЗ(ПЗ)_ПЗИП'!$D:$D,Справочно!$E42)</f>
        <v>0</v>
      </c>
      <c r="G78" s="438">
        <f t="shared" si="41"/>
        <v>0</v>
      </c>
      <c r="H78" s="439">
        <f>SUMIF('Отчет РПЗ(ПЗ)_ПЗИП'!$D:$D,Справочно!$E42,'Отчет РПЗ(ПЗ)_ПЗИП'!$AG:$AG)</f>
        <v>0</v>
      </c>
      <c r="I78" s="461">
        <f t="shared" si="65"/>
        <v>0</v>
      </c>
      <c r="J78" s="514">
        <f t="shared" si="42"/>
        <v>0</v>
      </c>
      <c r="L78" s="430">
        <f>SUMIFS('Отчет РПЗ(ПЗ)_ПЗИП'!$W:$W,'Отчет РПЗ(ПЗ)_ПЗИП'!$D:$D,Справочно!$E43,'Отчет РПЗ(ПЗ)_ПЗИП'!$N:$N,"&gt;=01.01.2017",'Отчет РПЗ(ПЗ)_ПЗИП'!$N:$N,"&lt;=31.01.2017",'Отчет РПЗ(ПЗ)_ПЗИП'!$AG:$AG,"&gt;0")</f>
        <v>0</v>
      </c>
      <c r="M78" s="328">
        <f>SUMIFS('Отчет РПЗ(ПЗ)_ПЗИП'!$AG:$AG,'Отчет РПЗ(ПЗ)_ПЗИП'!$D:$D,Справочно!$E43,'Отчет РПЗ(ПЗ)_ПЗИП'!$AQ:$AQ,1)</f>
        <v>0</v>
      </c>
      <c r="N78" s="336" t="str">
        <f t="shared" si="43"/>
        <v>НД</v>
      </c>
      <c r="O78" s="245" t="str">
        <f t="shared" si="44"/>
        <v>НД</v>
      </c>
      <c r="P78" s="425">
        <f>SUMIFS('Отчет РПЗ(ПЗ)_ПЗИП'!$W:$W,'Отчет РПЗ(ПЗ)_ПЗИП'!$D:$D,Справочно!$E43,'Отчет РПЗ(ПЗ)_ПЗИП'!$N:$N,"&gt;=01.02.2017",'Отчет РПЗ(ПЗ)_ПЗИП'!$N:$N,"&lt;=28.02.2017",'Отчет РПЗ(ПЗ)_ПЗИП'!$AG:$AG,"&gt;0")</f>
        <v>0</v>
      </c>
      <c r="Q78" s="328">
        <f>SUMIFS('Отчет РПЗ(ПЗ)_ПЗИП'!$AG:$AG,'Отчет РПЗ(ПЗ)_ПЗИП'!$D:$D,Справочно!$E43,'Отчет РПЗ(ПЗ)_ПЗИП'!$AQ:$AQ,2)</f>
        <v>0</v>
      </c>
      <c r="R78" s="336" t="str">
        <f t="shared" si="45"/>
        <v>НД</v>
      </c>
      <c r="S78" s="245" t="str">
        <f t="shared" si="46"/>
        <v>НД</v>
      </c>
      <c r="T78" s="425">
        <f>SUMIFS('Отчет РПЗ(ПЗ)_ПЗИП'!$W:$W,'Отчет РПЗ(ПЗ)_ПЗИП'!$D:$D,Справочно!$E43,'Отчет РПЗ(ПЗ)_ПЗИП'!$N:$N,"&gt;=01.03.2017",'Отчет РПЗ(ПЗ)_ПЗИП'!$N:$N,"&lt;=31.03.2017",'Отчет РПЗ(ПЗ)_ПЗИП'!$AG:$AG,"&gt;0")</f>
        <v>151915</v>
      </c>
      <c r="U78" s="328">
        <f>SUMIFS('Отчет РПЗ(ПЗ)_ПЗИП'!$AG:$AG,'Отчет РПЗ(ПЗ)_ПЗИП'!$D:$D,Справочно!$E43,'Отчет РПЗ(ПЗ)_ПЗИП'!$AQ:$AQ,3)</f>
        <v>151915</v>
      </c>
      <c r="V78" s="336">
        <f t="shared" si="47"/>
        <v>0</v>
      </c>
      <c r="W78" s="245">
        <f t="shared" si="23"/>
        <v>0</v>
      </c>
      <c r="X78" s="424">
        <f t="shared" si="48"/>
        <v>151915</v>
      </c>
      <c r="Y78" s="329">
        <f t="shared" si="49"/>
        <v>151915</v>
      </c>
      <c r="Z78" s="329">
        <f t="shared" si="24"/>
        <v>0</v>
      </c>
      <c r="AA78" s="247">
        <f t="shared" si="25"/>
        <v>0</v>
      </c>
      <c r="AB78" s="430">
        <f>SUMIFS('Отчет РПЗ(ПЗ)_ПЗИП'!$W:$W,'Отчет РПЗ(ПЗ)_ПЗИП'!$D:$D,Справочно!$E43,'Отчет РПЗ(ПЗ)_ПЗИП'!$N:$N,"&gt;=01.04.2017",'Отчет РПЗ(ПЗ)_ПЗИП'!$N:$N,"&lt;=30.04.2017",'Отчет РПЗ(ПЗ)_ПЗИП'!$AG:$AG,"&gt;0")</f>
        <v>153796.4</v>
      </c>
      <c r="AC78" s="330">
        <f>SUMIFS('Отчет РПЗ(ПЗ)_ПЗИП'!$AG:$AG,'Отчет РПЗ(ПЗ)_ПЗИП'!$D:$D,Справочно!$E43,'Отчет РПЗ(ПЗ)_ПЗИП'!$AQ:$AQ,4)</f>
        <v>153796.4</v>
      </c>
      <c r="AD78" s="330">
        <f t="shared" si="50"/>
        <v>0</v>
      </c>
      <c r="AE78" s="246">
        <f t="shared" si="26"/>
        <v>0</v>
      </c>
      <c r="AF78" s="429">
        <f>SUMIFS('Отчет РПЗ(ПЗ)_ПЗИП'!$W:$W,'Отчет РПЗ(ПЗ)_ПЗИП'!$D:$D,Справочно!$E43,'Отчет РПЗ(ПЗ)_ПЗИП'!$N:$N,"&gt;=01.05.2017",'Отчет РПЗ(ПЗ)_ПЗИП'!$N:$N,"&lt;=31.05.2017",'Отчет РПЗ(ПЗ)_ПЗИП'!$AG:$AG,"&gt;0")</f>
        <v>0</v>
      </c>
      <c r="AG78" s="330">
        <f>SUMIFS('Отчет РПЗ(ПЗ)_ПЗИП'!$AG:$AG,'Отчет РПЗ(ПЗ)_ПЗИП'!$D:$D,Справочно!$E43,'Отчет РПЗ(ПЗ)_ПЗИП'!$AQ:$AQ,5)</f>
        <v>0</v>
      </c>
      <c r="AH78" s="330" t="str">
        <f t="shared" si="51"/>
        <v>НД</v>
      </c>
      <c r="AI78" s="246" t="str">
        <f t="shared" si="27"/>
        <v>НД</v>
      </c>
      <c r="AJ78" s="429">
        <f>SUMIFS('Отчет РПЗ(ПЗ)_ПЗИП'!$W:$W,'Отчет РПЗ(ПЗ)_ПЗИП'!$D:$D,Справочно!$E43,'Отчет РПЗ(ПЗ)_ПЗИП'!$N:$N,"&gt;=01.06.2017",'Отчет РПЗ(ПЗ)_ПЗИП'!$N:$N,"&lt;=30.06.2017",'Отчет РПЗ(ПЗ)_ПЗИП'!$AG:$AG,"&gt;0")</f>
        <v>0</v>
      </c>
      <c r="AK78" s="330">
        <f>SUMIFS('Отчет РПЗ(ПЗ)_ПЗИП'!$AG:$AG,'Отчет РПЗ(ПЗ)_ПЗИП'!$D:$D,Справочно!$E43,'Отчет РПЗ(ПЗ)_ПЗИП'!$AQ:$AQ,6)</f>
        <v>0</v>
      </c>
      <c r="AL78" s="330" t="str">
        <f t="shared" si="52"/>
        <v>НД</v>
      </c>
      <c r="AM78" s="246" t="str">
        <f t="shared" si="28"/>
        <v>НД</v>
      </c>
      <c r="AN78" s="424">
        <f t="shared" si="53"/>
        <v>153796.4</v>
      </c>
      <c r="AO78" s="331">
        <f t="shared" si="54"/>
        <v>153796.4</v>
      </c>
      <c r="AP78" s="331">
        <f t="shared" si="29"/>
        <v>0</v>
      </c>
      <c r="AQ78" s="248">
        <f t="shared" si="30"/>
        <v>0</v>
      </c>
      <c r="AR78" s="430">
        <f>SUMIFS('Отчет РПЗ(ПЗ)_ПЗИП'!$W:$W,'Отчет РПЗ(ПЗ)_ПЗИП'!$D:$D,Справочно!$E43,'Отчет РПЗ(ПЗ)_ПЗИП'!$N:$N,"&gt;=01.07.2017",'Отчет РПЗ(ПЗ)_ПЗИП'!$N:$N,"&lt;=31.07.2017",'Отчет РПЗ(ПЗ)_ПЗИП'!$AG:$AG,"&gt;0")</f>
        <v>0</v>
      </c>
      <c r="AS78" s="332">
        <f>SUMIFS('Отчет РПЗ(ПЗ)_ПЗИП'!$AG:$AG,'Отчет РПЗ(ПЗ)_ПЗИП'!$D:$D,Справочно!$E43,'Отчет РПЗ(ПЗ)_ПЗИП'!$AQ:$AQ,7)</f>
        <v>0</v>
      </c>
      <c r="AT78" s="372" t="str">
        <f t="shared" si="55"/>
        <v>НД</v>
      </c>
      <c r="AU78" s="250" t="str">
        <f t="shared" si="31"/>
        <v>НД</v>
      </c>
      <c r="AV78" s="425">
        <f>SUMIFS('Отчет РПЗ(ПЗ)_ПЗИП'!$W:$W,'Отчет РПЗ(ПЗ)_ПЗИП'!$D:$D,Справочно!$E43,'Отчет РПЗ(ПЗ)_ПЗИП'!$N:$N,"&gt;=01.08.2017",'Отчет РПЗ(ПЗ)_ПЗИП'!$N:$N,"&lt;=31.08.2017",'Отчет РПЗ(ПЗ)_ПЗИП'!$AG:$AG,"&gt;0")</f>
        <v>0</v>
      </c>
      <c r="AW78" s="332">
        <f>SUMIFS('Отчет РПЗ(ПЗ)_ПЗИП'!$AG:$AG,'Отчет РПЗ(ПЗ)_ПЗИП'!$D:$D,Справочно!$E43,'Отчет РПЗ(ПЗ)_ПЗИП'!$AQ:$AQ,8)</f>
        <v>0</v>
      </c>
      <c r="AX78" s="372" t="str">
        <f t="shared" si="56"/>
        <v>НД</v>
      </c>
      <c r="AY78" s="250" t="str">
        <f t="shared" si="32"/>
        <v>НД</v>
      </c>
      <c r="AZ78" s="425">
        <f>SUMIFS('Отчет РПЗ(ПЗ)_ПЗИП'!$W:$W,'Отчет РПЗ(ПЗ)_ПЗИП'!$D:$D,Справочно!$E43,'Отчет РПЗ(ПЗ)_ПЗИП'!$N:$N,"&gt;=01.09.2017",'Отчет РПЗ(ПЗ)_ПЗИП'!$N:$N,"&lt;=30.09.2017",'Отчет РПЗ(ПЗ)_ПЗИП'!$AG:$AG,"&gt;0")</f>
        <v>0</v>
      </c>
      <c r="BA78" s="332">
        <f>SUMIFS('Отчет РПЗ(ПЗ)_ПЗИП'!$AG:$AG,'Отчет РПЗ(ПЗ)_ПЗИП'!$D:$D,Справочно!$E43,'Отчет РПЗ(ПЗ)_ПЗИП'!$AQ:$AQ,9)</f>
        <v>0</v>
      </c>
      <c r="BB78" s="372" t="str">
        <f t="shared" si="57"/>
        <v>НД</v>
      </c>
      <c r="BC78" s="250" t="str">
        <f t="shared" si="33"/>
        <v>НД</v>
      </c>
      <c r="BD78" s="424">
        <f t="shared" si="58"/>
        <v>0</v>
      </c>
      <c r="BE78" s="333">
        <f t="shared" si="59"/>
        <v>0</v>
      </c>
      <c r="BF78" s="333">
        <f t="shared" si="34"/>
        <v>0</v>
      </c>
      <c r="BG78" s="252">
        <f t="shared" si="35"/>
        <v>0</v>
      </c>
      <c r="BH78" s="414">
        <f>SUMIFS('Отчет РПЗ(ПЗ)_ПЗИП'!$W:$W,'Отчет РПЗ(ПЗ)_ПЗИП'!$D:$D,Справочно!$E43,'Отчет РПЗ(ПЗ)_ПЗИП'!$N:$N,"&gt;=01.10.2017",'Отчет РПЗ(ПЗ)_ПЗИП'!$N:$N,"&lt;=31.10.2017",'Отчет РПЗ(ПЗ)_ПЗИП'!$AG:$AG,"&gt;0")</f>
        <v>0</v>
      </c>
      <c r="BI78" s="334">
        <f>SUMIFS('Отчет РПЗ(ПЗ)_ПЗИП'!$AG:$AG,'Отчет РПЗ(ПЗ)_ПЗИП'!$D:$D,Справочно!$E43,'Отчет РПЗ(ПЗ)_ПЗИП'!$AQ:$AQ,10)</f>
        <v>0</v>
      </c>
      <c r="BJ78" s="374" t="str">
        <f t="shared" si="60"/>
        <v>НД</v>
      </c>
      <c r="BK78" s="254" t="str">
        <f t="shared" si="36"/>
        <v>НД</v>
      </c>
      <c r="BL78" s="429">
        <f>SUMIFS('Отчет РПЗ(ПЗ)_ПЗИП'!$W:$W,'Отчет РПЗ(ПЗ)_ПЗИП'!$D:$D,Справочно!$E43,'Отчет РПЗ(ПЗ)_ПЗИП'!$N:$N,"&gt;=01.11.2017",'Отчет РПЗ(ПЗ)_ПЗИП'!$N:$N,"&lt;=30.11.2017",'Отчет РПЗ(ПЗ)_ПЗИП'!$AG:$AG,"&gt;0")</f>
        <v>0</v>
      </c>
      <c r="BM78" s="334">
        <f>SUMIFS('Отчет РПЗ(ПЗ)_ПЗИП'!$AG:$AG,'Отчет РПЗ(ПЗ)_ПЗИП'!$D:$D,Справочно!$E43,'Отчет РПЗ(ПЗ)_ПЗИП'!$AQ:$AQ,11)</f>
        <v>0</v>
      </c>
      <c r="BN78" s="374" t="str">
        <f t="shared" si="61"/>
        <v>НД</v>
      </c>
      <c r="BO78" s="254" t="str">
        <f t="shared" si="37"/>
        <v>НД</v>
      </c>
      <c r="BP78" s="429">
        <f>SUMIFS('Отчет РПЗ(ПЗ)_ПЗИП'!$W:$W,'Отчет РПЗ(ПЗ)_ПЗИП'!$D:$D,Справочно!$E43,'Отчет РПЗ(ПЗ)_ПЗИП'!$N:$N,"&gt;=01.12.2017",'Отчет РПЗ(ПЗ)_ПЗИП'!$N:$N,"&lt;=31.12.2017",'Отчет РПЗ(ПЗ)_ПЗИП'!$AG:$AG,"&gt;0")</f>
        <v>0</v>
      </c>
      <c r="BQ78" s="334">
        <f>SUMIFS('Отчет РПЗ(ПЗ)_ПЗИП'!$AG:$AG,'Отчет РПЗ(ПЗ)_ПЗИП'!$D:$D,Справочно!$E43,'Отчет РПЗ(ПЗ)_ПЗИП'!$AQ:$AQ,12)</f>
        <v>0</v>
      </c>
      <c r="BR78" s="374" t="str">
        <f t="shared" si="62"/>
        <v>НД</v>
      </c>
      <c r="BS78" s="256" t="str">
        <f t="shared" si="38"/>
        <v>НД</v>
      </c>
      <c r="BT78" s="424">
        <f t="shared" si="63"/>
        <v>0</v>
      </c>
      <c r="BU78" s="335">
        <f t="shared" si="64"/>
        <v>0</v>
      </c>
      <c r="BV78" s="335">
        <f t="shared" si="39"/>
        <v>0</v>
      </c>
      <c r="BW78" s="257">
        <f t="shared" si="40"/>
        <v>0</v>
      </c>
    </row>
    <row r="79" spans="2:75" ht="13.5" thickBot="1" x14ac:dyDescent="0.25">
      <c r="B79" s="55" t="str">
        <f>Справочно!E44</f>
        <v>АО "Вертолеты России"</v>
      </c>
      <c r="C79" s="92">
        <f>ПП!B67</f>
        <v>0</v>
      </c>
      <c r="D79" s="412">
        <f>ПП!C67</f>
        <v>0</v>
      </c>
      <c r="E79" s="437">
        <f>ПП!D67</f>
        <v>0</v>
      </c>
      <c r="F79" s="297">
        <f>COUNTIFS('Отчет РПЗ(ПЗ)_ПЗИП'!$AG:$AG,"&gt;0",'Отчет РПЗ(ПЗ)_ПЗИП'!$D:$D,Справочно!$E43)</f>
        <v>2</v>
      </c>
      <c r="G79" s="438">
        <f t="shared" si="41"/>
        <v>3.4965034965034965E-3</v>
      </c>
      <c r="H79" s="439">
        <f>SUMIF('Отчет РПЗ(ПЗ)_ПЗИП'!$D:$D,Справочно!$E43,'Отчет РПЗ(ПЗ)_ПЗИП'!$AG:$AG)</f>
        <v>305711.40000000002</v>
      </c>
      <c r="I79" s="461">
        <f t="shared" si="65"/>
        <v>0</v>
      </c>
      <c r="J79" s="514" t="e">
        <f t="shared" si="42"/>
        <v>#DIV/0!</v>
      </c>
      <c r="L79" s="430">
        <f>SUMIFS('Отчет РПЗ(ПЗ)_ПЗИП'!$W:$W,'Отчет РПЗ(ПЗ)_ПЗИП'!$D:$D,Справочно!$E44,'Отчет РПЗ(ПЗ)_ПЗИП'!$N:$N,"&gt;=01.01.2017",'Отчет РПЗ(ПЗ)_ПЗИП'!$N:$N,"&lt;=31.01.2017",'Отчет РПЗ(ПЗ)_ПЗИП'!$AG:$AG,"&gt;0")</f>
        <v>0</v>
      </c>
      <c r="M79" s="328">
        <f>SUMIFS('Отчет РПЗ(ПЗ)_ПЗИП'!$AG:$AG,'Отчет РПЗ(ПЗ)_ПЗИП'!$D:$D,Справочно!$E44,'Отчет РПЗ(ПЗ)_ПЗИП'!$AQ:$AQ,1)</f>
        <v>0</v>
      </c>
      <c r="N79" s="336" t="str">
        <f t="shared" si="43"/>
        <v>НД</v>
      </c>
      <c r="O79" s="245" t="str">
        <f t="shared" si="44"/>
        <v>НД</v>
      </c>
      <c r="P79" s="425">
        <f>SUMIFS('Отчет РПЗ(ПЗ)_ПЗИП'!$W:$W,'Отчет РПЗ(ПЗ)_ПЗИП'!$D:$D,Справочно!$E44,'Отчет РПЗ(ПЗ)_ПЗИП'!$N:$N,"&gt;=01.02.2017",'Отчет РПЗ(ПЗ)_ПЗИП'!$N:$N,"&lt;=28.02.2017",'Отчет РПЗ(ПЗ)_ПЗИП'!$AG:$AG,"&gt;0")</f>
        <v>0</v>
      </c>
      <c r="Q79" s="328">
        <f>SUMIFS('Отчет РПЗ(ПЗ)_ПЗИП'!$AG:$AG,'Отчет РПЗ(ПЗ)_ПЗИП'!$D:$D,Справочно!$E44,'Отчет РПЗ(ПЗ)_ПЗИП'!$AQ:$AQ,2)</f>
        <v>0</v>
      </c>
      <c r="R79" s="336" t="str">
        <f t="shared" si="45"/>
        <v>НД</v>
      </c>
      <c r="S79" s="245" t="str">
        <f t="shared" si="46"/>
        <v>НД</v>
      </c>
      <c r="T79" s="425">
        <f>SUMIFS('Отчет РПЗ(ПЗ)_ПЗИП'!$W:$W,'Отчет РПЗ(ПЗ)_ПЗИП'!$D:$D,Справочно!$E44,'Отчет РПЗ(ПЗ)_ПЗИП'!$N:$N,"&gt;=01.03.2017",'Отчет РПЗ(ПЗ)_ПЗИП'!$N:$N,"&lt;=31.03.2017",'Отчет РПЗ(ПЗ)_ПЗИП'!$AG:$AG,"&gt;0")</f>
        <v>0</v>
      </c>
      <c r="U79" s="328">
        <f>SUMIFS('Отчет РПЗ(ПЗ)_ПЗИП'!$AG:$AG,'Отчет РПЗ(ПЗ)_ПЗИП'!$D:$D,Справочно!$E44,'Отчет РПЗ(ПЗ)_ПЗИП'!$AQ:$AQ,3)</f>
        <v>0</v>
      </c>
      <c r="V79" s="336" t="str">
        <f t="shared" si="47"/>
        <v>НД</v>
      </c>
      <c r="W79" s="245" t="str">
        <f t="shared" si="23"/>
        <v>НД</v>
      </c>
      <c r="X79" s="424">
        <f t="shared" si="48"/>
        <v>0</v>
      </c>
      <c r="Y79" s="329">
        <f t="shared" si="49"/>
        <v>0</v>
      </c>
      <c r="Z79" s="329">
        <f t="shared" si="24"/>
        <v>0</v>
      </c>
      <c r="AA79" s="247">
        <f>IF(Y79=0,0, IF((Z79="НД"),"НД",Z79/X79))</f>
        <v>0</v>
      </c>
      <c r="AB79" s="430">
        <f>SUMIFS('Отчет РПЗ(ПЗ)_ПЗИП'!$W:$W,'Отчет РПЗ(ПЗ)_ПЗИП'!$D:$D,Справочно!$E44,'Отчет РПЗ(ПЗ)_ПЗИП'!$N:$N,"&gt;=01.04.2017",'Отчет РПЗ(ПЗ)_ПЗИП'!$N:$N,"&lt;=30.04.2017",'Отчет РПЗ(ПЗ)_ПЗИП'!$AG:$AG,"&gt;0")</f>
        <v>0</v>
      </c>
      <c r="AC79" s="330">
        <f>SUMIFS('Отчет РПЗ(ПЗ)_ПЗИП'!$AG:$AG,'Отчет РПЗ(ПЗ)_ПЗИП'!$D:$D,Справочно!$E44,'Отчет РПЗ(ПЗ)_ПЗИП'!$AQ:$AQ,4)</f>
        <v>0</v>
      </c>
      <c r="AD79" s="330" t="str">
        <f t="shared" si="50"/>
        <v>НД</v>
      </c>
      <c r="AE79" s="246" t="str">
        <f t="shared" si="26"/>
        <v>НД</v>
      </c>
      <c r="AF79" s="429">
        <f>SUMIFS('Отчет РПЗ(ПЗ)_ПЗИП'!$W:$W,'Отчет РПЗ(ПЗ)_ПЗИП'!$D:$D,Справочно!$E44,'Отчет РПЗ(ПЗ)_ПЗИП'!$N:$N,"&gt;=01.05.2017",'Отчет РПЗ(ПЗ)_ПЗИП'!$N:$N,"&lt;=31.05.2017",'Отчет РПЗ(ПЗ)_ПЗИП'!$AG:$AG,"&gt;0")</f>
        <v>0</v>
      </c>
      <c r="AG79" s="330">
        <f>SUMIFS('Отчет РПЗ(ПЗ)_ПЗИП'!$AG:$AG,'Отчет РПЗ(ПЗ)_ПЗИП'!$D:$D,Справочно!$E44,'Отчет РПЗ(ПЗ)_ПЗИП'!$AQ:$AQ,5)</f>
        <v>0</v>
      </c>
      <c r="AH79" s="330" t="str">
        <f t="shared" si="51"/>
        <v>НД</v>
      </c>
      <c r="AI79" s="246" t="str">
        <f t="shared" si="27"/>
        <v>НД</v>
      </c>
      <c r="AJ79" s="429">
        <f>SUMIFS('Отчет РПЗ(ПЗ)_ПЗИП'!$W:$W,'Отчет РПЗ(ПЗ)_ПЗИП'!$D:$D,Справочно!$E44,'Отчет РПЗ(ПЗ)_ПЗИП'!$N:$N,"&gt;=01.06.2017",'Отчет РПЗ(ПЗ)_ПЗИП'!$N:$N,"&lt;=30.06.2017",'Отчет РПЗ(ПЗ)_ПЗИП'!$AG:$AG,"&gt;0")</f>
        <v>0</v>
      </c>
      <c r="AK79" s="330">
        <f>SUMIFS('Отчет РПЗ(ПЗ)_ПЗИП'!$AG:$AG,'Отчет РПЗ(ПЗ)_ПЗИП'!$D:$D,Справочно!$E44,'Отчет РПЗ(ПЗ)_ПЗИП'!$AQ:$AQ,6)</f>
        <v>0</v>
      </c>
      <c r="AL79" s="330" t="str">
        <f t="shared" si="52"/>
        <v>НД</v>
      </c>
      <c r="AM79" s="246" t="str">
        <f t="shared" si="28"/>
        <v>НД</v>
      </c>
      <c r="AN79" s="424">
        <f t="shared" si="53"/>
        <v>0</v>
      </c>
      <c r="AO79" s="331">
        <f t="shared" si="54"/>
        <v>0</v>
      </c>
      <c r="AP79" s="331">
        <f t="shared" si="29"/>
        <v>0</v>
      </c>
      <c r="AQ79" s="248">
        <f t="shared" si="30"/>
        <v>0</v>
      </c>
      <c r="AR79" s="430">
        <f>SUMIFS('Отчет РПЗ(ПЗ)_ПЗИП'!$W:$W,'Отчет РПЗ(ПЗ)_ПЗИП'!$D:$D,Справочно!$E44,'Отчет РПЗ(ПЗ)_ПЗИП'!$N:$N,"&gt;=01.07.2017",'Отчет РПЗ(ПЗ)_ПЗИП'!$N:$N,"&lt;=31.07.2017",'Отчет РПЗ(ПЗ)_ПЗИП'!$AG:$AG,"&gt;0")</f>
        <v>0</v>
      </c>
      <c r="AS79" s="332">
        <f>SUMIFS('Отчет РПЗ(ПЗ)_ПЗИП'!$AG:$AG,'Отчет РПЗ(ПЗ)_ПЗИП'!$D:$D,Справочно!$E44,'Отчет РПЗ(ПЗ)_ПЗИП'!$AQ:$AQ,7)</f>
        <v>0</v>
      </c>
      <c r="AT79" s="372" t="str">
        <f t="shared" si="55"/>
        <v>НД</v>
      </c>
      <c r="AU79" s="250" t="str">
        <f t="shared" si="31"/>
        <v>НД</v>
      </c>
      <c r="AV79" s="425">
        <f>SUMIFS('Отчет РПЗ(ПЗ)_ПЗИП'!$W:$W,'Отчет РПЗ(ПЗ)_ПЗИП'!$D:$D,Справочно!$E44,'Отчет РПЗ(ПЗ)_ПЗИП'!$N:$N,"&gt;=01.08.2017",'Отчет РПЗ(ПЗ)_ПЗИП'!$N:$N,"&lt;=31.08.2017",'Отчет РПЗ(ПЗ)_ПЗИП'!$AG:$AG,"&gt;0")</f>
        <v>0</v>
      </c>
      <c r="AW79" s="332">
        <f>SUMIFS('Отчет РПЗ(ПЗ)_ПЗИП'!$AG:$AG,'Отчет РПЗ(ПЗ)_ПЗИП'!$D:$D,Справочно!$E44,'Отчет РПЗ(ПЗ)_ПЗИП'!$AQ:$AQ,8)</f>
        <v>0</v>
      </c>
      <c r="AX79" s="372" t="str">
        <f t="shared" si="56"/>
        <v>НД</v>
      </c>
      <c r="AY79" s="250" t="str">
        <f t="shared" si="32"/>
        <v>НД</v>
      </c>
      <c r="AZ79" s="425">
        <f>SUMIFS('Отчет РПЗ(ПЗ)_ПЗИП'!$W:$W,'Отчет РПЗ(ПЗ)_ПЗИП'!$D:$D,Справочно!$E44,'Отчет РПЗ(ПЗ)_ПЗИП'!$N:$N,"&gt;=01.09.2017",'Отчет РПЗ(ПЗ)_ПЗИП'!$N:$N,"&lt;=30.09.2017",'Отчет РПЗ(ПЗ)_ПЗИП'!$AG:$AG,"&gt;0")</f>
        <v>0</v>
      </c>
      <c r="BA79" s="332">
        <f>SUMIFS('Отчет РПЗ(ПЗ)_ПЗИП'!$AG:$AG,'Отчет РПЗ(ПЗ)_ПЗИП'!$D:$D,Справочно!$E44,'Отчет РПЗ(ПЗ)_ПЗИП'!$AQ:$AQ,9)</f>
        <v>0</v>
      </c>
      <c r="BB79" s="372" t="str">
        <f t="shared" si="57"/>
        <v>НД</v>
      </c>
      <c r="BC79" s="250" t="str">
        <f t="shared" si="33"/>
        <v>НД</v>
      </c>
      <c r="BD79" s="424">
        <f t="shared" si="58"/>
        <v>0</v>
      </c>
      <c r="BE79" s="333">
        <f t="shared" si="59"/>
        <v>0</v>
      </c>
      <c r="BF79" s="333">
        <f t="shared" si="34"/>
        <v>0</v>
      </c>
      <c r="BG79" s="252">
        <f t="shared" si="35"/>
        <v>0</v>
      </c>
      <c r="BH79" s="414">
        <f>SUMIFS('Отчет РПЗ(ПЗ)_ПЗИП'!$W:$W,'Отчет РПЗ(ПЗ)_ПЗИП'!$D:$D,Справочно!$E44,'Отчет РПЗ(ПЗ)_ПЗИП'!$N:$N,"&gt;=01.10.2017",'Отчет РПЗ(ПЗ)_ПЗИП'!$N:$N,"&lt;=31.10.2017",'Отчет РПЗ(ПЗ)_ПЗИП'!$AG:$AG,"&gt;0")</f>
        <v>0</v>
      </c>
      <c r="BI79" s="334">
        <f>SUMIFS('Отчет РПЗ(ПЗ)_ПЗИП'!$AG:$AG,'Отчет РПЗ(ПЗ)_ПЗИП'!$D:$D,Справочно!$E44,'Отчет РПЗ(ПЗ)_ПЗИП'!$AQ:$AQ,10)</f>
        <v>0</v>
      </c>
      <c r="BJ79" s="374" t="str">
        <f t="shared" si="60"/>
        <v>НД</v>
      </c>
      <c r="BK79" s="254" t="str">
        <f t="shared" si="36"/>
        <v>НД</v>
      </c>
      <c r="BL79" s="429">
        <f>SUMIFS('Отчет РПЗ(ПЗ)_ПЗИП'!$W:$W,'Отчет РПЗ(ПЗ)_ПЗИП'!$D:$D,Справочно!$E44,'Отчет РПЗ(ПЗ)_ПЗИП'!$N:$N,"&gt;=01.11.2017",'Отчет РПЗ(ПЗ)_ПЗИП'!$N:$N,"&lt;=30.11.2017",'Отчет РПЗ(ПЗ)_ПЗИП'!$AG:$AG,"&gt;0")</f>
        <v>0</v>
      </c>
      <c r="BM79" s="334">
        <f>SUMIFS('Отчет РПЗ(ПЗ)_ПЗИП'!$AG:$AG,'Отчет РПЗ(ПЗ)_ПЗИП'!$D:$D,Справочно!$E44,'Отчет РПЗ(ПЗ)_ПЗИП'!$AQ:$AQ,11)</f>
        <v>0</v>
      </c>
      <c r="BN79" s="374" t="str">
        <f t="shared" si="61"/>
        <v>НД</v>
      </c>
      <c r="BO79" s="254" t="str">
        <f t="shared" si="37"/>
        <v>НД</v>
      </c>
      <c r="BP79" s="429">
        <f>SUMIFS('Отчет РПЗ(ПЗ)_ПЗИП'!$W:$W,'Отчет РПЗ(ПЗ)_ПЗИП'!$D:$D,Справочно!$E44,'Отчет РПЗ(ПЗ)_ПЗИП'!$N:$N,"&gt;=01.12.2017",'Отчет РПЗ(ПЗ)_ПЗИП'!$N:$N,"&lt;=31.12.2017",'Отчет РПЗ(ПЗ)_ПЗИП'!$AG:$AG,"&gt;0")</f>
        <v>0</v>
      </c>
      <c r="BQ79" s="334">
        <f>SUMIFS('Отчет РПЗ(ПЗ)_ПЗИП'!$AG:$AG,'Отчет РПЗ(ПЗ)_ПЗИП'!$D:$D,Справочно!$E44,'Отчет РПЗ(ПЗ)_ПЗИП'!$AQ:$AQ,12)</f>
        <v>0</v>
      </c>
      <c r="BR79" s="374" t="str">
        <f t="shared" si="62"/>
        <v>НД</v>
      </c>
      <c r="BS79" s="256" t="str">
        <f t="shared" si="38"/>
        <v>НД</v>
      </c>
      <c r="BT79" s="424">
        <f t="shared" si="63"/>
        <v>0</v>
      </c>
      <c r="BU79" s="335">
        <f t="shared" si="64"/>
        <v>0</v>
      </c>
      <c r="BV79" s="335">
        <f t="shared" si="39"/>
        <v>0</v>
      </c>
      <c r="BW79" s="257">
        <f t="shared" si="40"/>
        <v>0</v>
      </c>
    </row>
    <row r="80" spans="2:75" ht="13.5" thickBot="1" x14ac:dyDescent="0.25">
      <c r="B80" s="55" t="str">
        <f>Справочно!E45</f>
        <v>Заказчик</v>
      </c>
      <c r="C80" s="92">
        <f>ПП!B68</f>
        <v>1558</v>
      </c>
      <c r="D80" s="412">
        <f>ПП!C68</f>
        <v>0.9898348157560356</v>
      </c>
      <c r="E80" s="437">
        <f>ПП!D68</f>
        <v>4866616343.5099888</v>
      </c>
      <c r="F80" s="297">
        <f>COUNTIFS('Отчет РПЗ(ПЗ)_ПЗИП'!$AG:$AG,"&gt;0",'Отчет РПЗ(ПЗ)_ПЗИП'!$D:$D,Справочно!$E44)</f>
        <v>0</v>
      </c>
      <c r="G80" s="438">
        <f t="shared" si="41"/>
        <v>0</v>
      </c>
      <c r="H80" s="439">
        <f>SUMIF('Отчет РПЗ(ПЗ)_ПЗИП'!$D:$D,Справочно!$E44,'Отчет РПЗ(ПЗ)_ПЗИП'!$AG:$AG)</f>
        <v>0</v>
      </c>
      <c r="I80" s="461">
        <f>(IF($D$3=1,Z80,0)+IF($D$3=2,Z80+AP80,0)+IF($D$3=3,Z80+AP80+BF80,0)+IF($D$3=4,Z80+AP80+BF80+BV80,0))</f>
        <v>0</v>
      </c>
      <c r="J80" s="514">
        <f>I80/(X80+AN80+BD80+BT80)</f>
        <v>0</v>
      </c>
      <c r="L80" s="430">
        <f>SUMIFS('Отчет РПЗ(ПЗ)_ПЗИП'!$W:$W,'Отчет РПЗ(ПЗ)_ПЗИП'!$D:$D,Справочно!$E45,'Отчет РПЗ(ПЗ)_ПЗИП'!$N:$N,"&gt;=01.01.2017",'Отчет РПЗ(ПЗ)_ПЗИП'!$N:$N,"&lt;=31.01.2017",'Отчет РПЗ(ПЗ)_ПЗИП'!$AG:$AG,"&gt;0")</f>
        <v>63332183.829999998</v>
      </c>
      <c r="M80" s="328">
        <f>SUMIFS('Отчет РПЗ(ПЗ)_ПЗИП'!$AG:$AG,'Отчет РПЗ(ПЗ)_ПЗИП'!$D:$D,Справочно!$E45,'Отчет РПЗ(ПЗ)_ПЗИП'!$AQ:$AQ,1)</f>
        <v>62970835.93</v>
      </c>
      <c r="N80" s="336">
        <f t="shared" si="43"/>
        <v>361347.89999999851</v>
      </c>
      <c r="O80" s="245">
        <f t="shared" si="44"/>
        <v>5.7055967147753815E-3</v>
      </c>
      <c r="P80" s="426">
        <f>SUMIFS('Отчет РПЗ(ПЗ)_ПЗИП'!$W:$W,'Отчет РПЗ(ПЗ)_ПЗИП'!$D:$D,Справочно!$E45,'Отчет РПЗ(ПЗ)_ПЗИП'!$N:$N,"&gt;=01.02.2017",'Отчет РПЗ(ПЗ)_ПЗИП'!$N:$N,"&lt;=28.02.2017",'Отчет РПЗ(ПЗ)_ПЗИП'!$AG:$AG,"&gt;0")</f>
        <v>205281556.06</v>
      </c>
      <c r="Q80" s="328">
        <f>SUMIFS('Отчет РПЗ(ПЗ)_ПЗИП'!$AG:$AG,'Отчет РПЗ(ПЗ)_ПЗИП'!$D:$D,Справочно!$E45,'Отчет РПЗ(ПЗ)_ПЗИП'!$AQ:$AQ,2)</f>
        <v>201258800.44</v>
      </c>
      <c r="R80" s="336">
        <f t="shared" si="45"/>
        <v>4022755.6200000048</v>
      </c>
      <c r="S80" s="245">
        <f t="shared" si="46"/>
        <v>1.9596283744187069E-2</v>
      </c>
      <c r="T80" s="431">
        <f>SUMIFS('Отчет РПЗ(ПЗ)_ПЗИП'!$W:$W,'Отчет РПЗ(ПЗ)_ПЗИП'!$D:$D,Справочно!$E45,'Отчет РПЗ(ПЗ)_ПЗИП'!$N:$N,"&gt;=01.03.2017",'Отчет РПЗ(ПЗ)_ПЗИП'!$N:$N,"&lt;=31.03.2017",'Отчет РПЗ(ПЗ)_ПЗИП'!$AG:$AG,"&gt;0")</f>
        <v>155368314.97999999</v>
      </c>
      <c r="U80" s="328">
        <f>SUMIFS('Отчет РПЗ(ПЗ)_ПЗИП'!$AG:$AG,'Отчет РПЗ(ПЗ)_ПЗИП'!$D:$D,Справочно!$E45,'Отчет РПЗ(ПЗ)_ПЗИП'!$AQ:$AQ,3)</f>
        <v>153479775.60999998</v>
      </c>
      <c r="V80" s="336">
        <f t="shared" si="47"/>
        <v>1888539.3700000048</v>
      </c>
      <c r="W80" s="245">
        <f t="shared" si="23"/>
        <v>1.2155241371080774E-2</v>
      </c>
      <c r="X80" s="424">
        <f t="shared" si="48"/>
        <v>423982054.87</v>
      </c>
      <c r="Y80" s="329">
        <f t="shared" si="49"/>
        <v>417709411.98000002</v>
      </c>
      <c r="Z80" s="329">
        <f t="shared" si="24"/>
        <v>6272642.8899999857</v>
      </c>
      <c r="AA80" s="247">
        <f>IF(Y80=0,0, IF((Z80="НД"),"НД",Z80/X80))</f>
        <v>1.4794595238053845E-2</v>
      </c>
      <c r="AB80" s="432">
        <f>SUMIFS('Отчет РПЗ(ПЗ)_ПЗИП'!$W:$W,'Отчет РПЗ(ПЗ)_ПЗИП'!$D:$D,Справочно!$E45,'Отчет РПЗ(ПЗ)_ПЗИП'!$N:$N,"&gt;=01.04.2017",'Отчет РПЗ(ПЗ)_ПЗИП'!$N:$N,"&lt;=30.04.2017",'Отчет РПЗ(ПЗ)_ПЗИП'!$AG:$AG,"&gt;0")</f>
        <v>44361701.580000006</v>
      </c>
      <c r="AC80" s="330">
        <f>SUMIFS('Отчет РПЗ(ПЗ)_ПЗИП'!$AG:$AG,'Отчет РПЗ(ПЗ)_ПЗИП'!$D:$D,Справочно!$E45,'Отчет РПЗ(ПЗ)_ПЗИП'!$AQ:$AQ,4)</f>
        <v>42492674.370000005</v>
      </c>
      <c r="AD80" s="330">
        <f t="shared" si="50"/>
        <v>1869027.2100000009</v>
      </c>
      <c r="AE80" s="246">
        <f t="shared" si="26"/>
        <v>4.2131549138832665E-2</v>
      </c>
      <c r="AF80" s="429">
        <f>SUMIFS('Отчет РПЗ(ПЗ)_ПЗИП'!$W:$W,'Отчет РПЗ(ПЗ)_ПЗИП'!$D:$D,Справочно!$E45,'Отчет РПЗ(ПЗ)_ПЗИП'!$N:$N,"&gt;=01.05.2017",'Отчет РПЗ(ПЗ)_ПЗИП'!$N:$N,"&lt;=31.05.2017",'Отчет РПЗ(ПЗ)_ПЗИП'!$AG:$AG,"&gt;0")</f>
        <v>187342179.42999995</v>
      </c>
      <c r="AG80" s="330">
        <f>SUMIFS('Отчет РПЗ(ПЗ)_ПЗИП'!$AG:$AG,'Отчет РПЗ(ПЗ)_ПЗИП'!$D:$D,Справочно!$E45,'Отчет РПЗ(ПЗ)_ПЗИП'!$AQ:$AQ,5)</f>
        <v>185397172.18999997</v>
      </c>
      <c r="AH80" s="330">
        <f t="shared" si="51"/>
        <v>1945007.2399999797</v>
      </c>
      <c r="AI80" s="246">
        <f t="shared" si="27"/>
        <v>1.0382110669993182E-2</v>
      </c>
      <c r="AJ80" s="429">
        <f>SUMIFS('Отчет РПЗ(ПЗ)_ПЗИП'!$W:$W,'Отчет РПЗ(ПЗ)_ПЗИП'!$D:$D,Справочно!$E45,'Отчет РПЗ(ПЗ)_ПЗИП'!$N:$N,"&gt;=01.06.2017",'Отчет РПЗ(ПЗ)_ПЗИП'!$N:$N,"&lt;=30.06.2017",'Отчет РПЗ(ПЗ)_ПЗИП'!$AG:$AG,"&gt;0")</f>
        <v>389188425.39999998</v>
      </c>
      <c r="AK80" s="330">
        <f>SUMIFS('Отчет РПЗ(ПЗ)_ПЗИП'!$AG:$AG,'Отчет РПЗ(ПЗ)_ПЗИП'!$D:$D,Справочно!$E45,'Отчет РПЗ(ПЗ)_ПЗИП'!$AQ:$AQ,6)</f>
        <v>338792323.74000007</v>
      </c>
      <c r="AL80" s="330">
        <f t="shared" si="52"/>
        <v>50396101.659999907</v>
      </c>
      <c r="AM80" s="246">
        <f t="shared" si="28"/>
        <v>0.12949023755833389</v>
      </c>
      <c r="AN80" s="424">
        <f t="shared" si="53"/>
        <v>620892306.40999997</v>
      </c>
      <c r="AO80" s="331">
        <f t="shared" si="54"/>
        <v>566682170.30000007</v>
      </c>
      <c r="AP80" s="331">
        <f t="shared" si="29"/>
        <v>54210136.109999895</v>
      </c>
      <c r="AQ80" s="248">
        <f t="shared" si="30"/>
        <v>8.7310046444999401E-2</v>
      </c>
      <c r="AR80" s="432">
        <f>SUMIFS('Отчет РПЗ(ПЗ)_ПЗИП'!$W:$W,'Отчет РПЗ(ПЗ)_ПЗИП'!$D:$D,Справочно!$E45,'Отчет РПЗ(ПЗ)_ПЗИП'!$N:$N,"&gt;=01.07.2017",'Отчет РПЗ(ПЗ)_ПЗИП'!$N:$N,"&lt;=31.07.2017",'Отчет РПЗ(ПЗ)_ПЗИП'!$AG:$AG,"&gt;0")</f>
        <v>21944183.579999998</v>
      </c>
      <c r="AS80" s="332">
        <f>SUMIFS('Отчет РПЗ(ПЗ)_ПЗИП'!$AG:$AG,'Отчет РПЗ(ПЗ)_ПЗИП'!$D:$D,Справочно!$E45,'Отчет РПЗ(ПЗ)_ПЗИП'!$AQ:$AQ,7)</f>
        <v>20863576.640000001</v>
      </c>
      <c r="AT80" s="372">
        <f t="shared" si="55"/>
        <v>1080606.9399999976</v>
      </c>
      <c r="AU80" s="250">
        <f t="shared" si="31"/>
        <v>4.9243433279735516E-2</v>
      </c>
      <c r="AV80" s="426">
        <f>SUMIFS('Отчет РПЗ(ПЗ)_ПЗИП'!$W:$W,'Отчет РПЗ(ПЗ)_ПЗИП'!$D:$D,Справочно!$E45,'Отчет РПЗ(ПЗ)_ПЗИП'!$N:$N,"&gt;=01.08.2017",'Отчет РПЗ(ПЗ)_ПЗИП'!$N:$N,"&lt;=31.08.2017",'Отчет РПЗ(ПЗ)_ПЗИП'!$AG:$AG,"&gt;0")</f>
        <v>136872490.96999997</v>
      </c>
      <c r="AW80" s="332">
        <f>SUMIFS('Отчет РПЗ(ПЗ)_ПЗИП'!$AG:$AG,'Отчет РПЗ(ПЗ)_ПЗИП'!$D:$D,Справочно!$E45,'Отчет РПЗ(ПЗ)_ПЗИП'!$AQ:$AQ,8)</f>
        <v>124406246.37</v>
      </c>
      <c r="AX80" s="372">
        <f t="shared" si="56"/>
        <v>12466244.599999964</v>
      </c>
      <c r="AY80" s="250">
        <f t="shared" si="32"/>
        <v>9.1079255675505635E-2</v>
      </c>
      <c r="AZ80" s="426">
        <f>SUMIFS('Отчет РПЗ(ПЗ)_ПЗИП'!$W:$W,'Отчет РПЗ(ПЗ)_ПЗИП'!$D:$D,Справочно!$E45,'Отчет РПЗ(ПЗ)_ПЗИП'!$N:$N,"&gt;=01.09.2017",'Отчет РПЗ(ПЗ)_ПЗИП'!$N:$N,"&lt;=30.09.2017",'Отчет РПЗ(ПЗ)_ПЗИП'!$AG:$AG,"&gt;0")</f>
        <v>84450300.300000012</v>
      </c>
      <c r="BA80" s="332">
        <f>SUMIFS('Отчет РПЗ(ПЗ)_ПЗИП'!$AG:$AG,'Отчет РПЗ(ПЗ)_ПЗИП'!$D:$D,Справочно!$E45,'Отчет РПЗ(ПЗ)_ПЗИП'!$AQ:$AQ,9)</f>
        <v>82587880.409999996</v>
      </c>
      <c r="BB80" s="372">
        <f t="shared" si="57"/>
        <v>1862419.8900000155</v>
      </c>
      <c r="BC80" s="250">
        <f t="shared" si="33"/>
        <v>2.2053443071060521E-2</v>
      </c>
      <c r="BD80" s="424">
        <f t="shared" si="58"/>
        <v>243266974.84999996</v>
      </c>
      <c r="BE80" s="333">
        <f t="shared" si="59"/>
        <v>227857703.41999999</v>
      </c>
      <c r="BF80" s="333">
        <f t="shared" si="34"/>
        <v>15409271.429999977</v>
      </c>
      <c r="BG80" s="252">
        <f t="shared" si="35"/>
        <v>6.334304703505865E-2</v>
      </c>
      <c r="BH80" s="414">
        <f>SUMIFS('Отчет РПЗ(ПЗ)_ПЗИП'!$W:$W,'Отчет РПЗ(ПЗ)_ПЗИП'!$D:$D,Справочно!$E45,'Отчет РПЗ(ПЗ)_ПЗИП'!$N:$N,"&gt;=01.10.2017",'Отчет РПЗ(ПЗ)_ПЗИП'!$N:$N,"&lt;=31.10.2017",'Отчет РПЗ(ПЗ)_ПЗИП'!$AG:$AG,"&gt;0")</f>
        <v>83246868.620000005</v>
      </c>
      <c r="BI80" s="334">
        <f>SUMIFS('Отчет РПЗ(ПЗ)_ПЗИП'!$AG:$AG,'Отчет РПЗ(ПЗ)_ПЗИП'!$D:$D,Справочно!$E45,'Отчет РПЗ(ПЗ)_ПЗИП'!$AQ:$AQ,10)</f>
        <v>77587278.489999995</v>
      </c>
      <c r="BJ80" s="374">
        <f t="shared" si="60"/>
        <v>5659590.1300000101</v>
      </c>
      <c r="BK80" s="254">
        <f t="shared" si="36"/>
        <v>6.7985621847646255E-2</v>
      </c>
      <c r="BL80" s="429">
        <f>SUMIFS('Отчет РПЗ(ПЗ)_ПЗИП'!$W:$W,'Отчет РПЗ(ПЗ)_ПЗИП'!$D:$D,Справочно!$E45,'Отчет РПЗ(ПЗ)_ПЗИП'!$N:$N,"&gt;=01.11.2017",'Отчет РПЗ(ПЗ)_ПЗИП'!$N:$N,"&lt;=30.11.2017",'Отчет РПЗ(ПЗ)_ПЗИП'!$AG:$AG,"&gt;0")</f>
        <v>106106314.15000001</v>
      </c>
      <c r="BM80" s="334">
        <f>SUMIFS('Отчет РПЗ(ПЗ)_ПЗИП'!$AG:$AG,'Отчет РПЗ(ПЗ)_ПЗИП'!$D:$D,Справочно!$E45,'Отчет РПЗ(ПЗ)_ПЗИП'!$AQ:$AQ,11)</f>
        <v>103163257.39999998</v>
      </c>
      <c r="BN80" s="374">
        <f t="shared" si="61"/>
        <v>2943056.7500000298</v>
      </c>
      <c r="BO80" s="254">
        <f t="shared" si="37"/>
        <v>2.7736867250326872E-2</v>
      </c>
      <c r="BP80" s="429">
        <f>SUMIFS('Отчет РПЗ(ПЗ)_ПЗИП'!$W:$W,'Отчет РПЗ(ПЗ)_ПЗИП'!$D:$D,Справочно!$E45,'Отчет РПЗ(ПЗ)_ПЗИП'!$N:$N,"&gt;=01.12.2017",'Отчет РПЗ(ПЗ)_ПЗИП'!$N:$N,"&lt;=31.12.2017",'Отчет РПЗ(ПЗ)_ПЗИП'!$AG:$AG,"&gt;0")</f>
        <v>90482023.950000003</v>
      </c>
      <c r="BQ80" s="334">
        <f>SUMIFS('Отчет РПЗ(ПЗ)_ПЗИП'!$AG:$AG,'Отчет РПЗ(ПЗ)_ПЗИП'!$D:$D,Справочно!$E45,'Отчет РПЗ(ПЗ)_ПЗИП'!$AQ:$AQ,12)</f>
        <v>87919111.13000001</v>
      </c>
      <c r="BR80" s="374">
        <f t="shared" si="62"/>
        <v>2562912.8199999928</v>
      </c>
      <c r="BS80" s="256">
        <f t="shared" si="38"/>
        <v>2.8325104900573932E-2</v>
      </c>
      <c r="BT80" s="424">
        <f t="shared" si="63"/>
        <v>279835206.72000003</v>
      </c>
      <c r="BU80" s="335">
        <f t="shared" si="64"/>
        <v>268669647.01999998</v>
      </c>
      <c r="BV80" s="335">
        <f t="shared" si="39"/>
        <v>11165559.700000048</v>
      </c>
      <c r="BW80" s="257">
        <f t="shared" si="40"/>
        <v>3.9900482254801417E-2</v>
      </c>
    </row>
    <row r="81" spans="2:75" ht="13.5" thickBot="1" x14ac:dyDescent="0.25">
      <c r="B81" s="70" t="s">
        <v>242</v>
      </c>
      <c r="C81" s="315">
        <f t="shared" ref="C81:H81" si="66">SUM(C56:C80)</f>
        <v>1568</v>
      </c>
      <c r="D81" s="417">
        <f t="shared" si="66"/>
        <v>0.99618805590851334</v>
      </c>
      <c r="E81" s="440">
        <f t="shared" si="66"/>
        <v>4878515253.809989</v>
      </c>
      <c r="F81" s="411">
        <f t="shared" si="66"/>
        <v>4</v>
      </c>
      <c r="G81" s="441">
        <f t="shared" si="41"/>
        <v>6.993006993006993E-3</v>
      </c>
      <c r="H81" s="442">
        <f t="shared" si="66"/>
        <v>838726.04</v>
      </c>
      <c r="I81" s="442">
        <f>(IF($D$3=1,Z81,0)+IF($D$3=2,Z81+AP81,0)+IF($D$3=3,Z81+AP81+BF81,0)+IF($D$3=4,Z81+AP81+BF81+BV81,0))</f>
        <v>0</v>
      </c>
      <c r="J81" s="270">
        <f>I81/(X81+AN81+BD81+BT81)</f>
        <v>0</v>
      </c>
      <c r="L81" s="433">
        <f t="shared" ref="L81:AO81" si="67">SUM(L56:L80)</f>
        <v>63332183.829999998</v>
      </c>
      <c r="M81" s="434">
        <f t="shared" si="67"/>
        <v>62970835.93</v>
      </c>
      <c r="N81" s="434">
        <f t="shared" si="43"/>
        <v>361347.89999999851</v>
      </c>
      <c r="O81" s="284">
        <f t="shared" si="44"/>
        <v>5.7055967147753815E-3</v>
      </c>
      <c r="P81" s="435">
        <f t="shared" si="67"/>
        <v>205281556.06</v>
      </c>
      <c r="Q81" s="434">
        <f>SUM(Q56:Q80)</f>
        <v>201258800.44</v>
      </c>
      <c r="R81" s="434">
        <f t="shared" si="45"/>
        <v>4022755.6200000048</v>
      </c>
      <c r="S81" s="284">
        <f t="shared" si="46"/>
        <v>1.9596283744187069E-2</v>
      </c>
      <c r="T81" s="435">
        <f t="shared" si="67"/>
        <v>155520229.97999999</v>
      </c>
      <c r="U81" s="434">
        <f t="shared" si="67"/>
        <v>153631690.60999998</v>
      </c>
      <c r="V81" s="434">
        <f t="shared" si="47"/>
        <v>1888539.3700000048</v>
      </c>
      <c r="W81" s="285">
        <f t="shared" si="23"/>
        <v>1.2143367909389488E-2</v>
      </c>
      <c r="X81" s="436">
        <f t="shared" si="67"/>
        <v>424133969.87</v>
      </c>
      <c r="Y81" s="401">
        <f t="shared" si="67"/>
        <v>417861326.98000002</v>
      </c>
      <c r="Z81" s="434">
        <f t="shared" si="24"/>
        <v>6272642.8899999857</v>
      </c>
      <c r="AA81" s="270">
        <f>IF(Y81=0, 0, IF((Z81="НД"),"НД",Z81/X81))</f>
        <v>1.478929615546379E-2</v>
      </c>
      <c r="AB81" s="433">
        <f t="shared" si="67"/>
        <v>44515497.980000004</v>
      </c>
      <c r="AC81" s="434">
        <f t="shared" si="67"/>
        <v>42646470.770000003</v>
      </c>
      <c r="AD81" s="434">
        <f t="shared" si="50"/>
        <v>1869027.2100000009</v>
      </c>
      <c r="AE81" s="271">
        <f t="shared" si="26"/>
        <v>4.1985989033296235E-2</v>
      </c>
      <c r="AF81" s="435">
        <f t="shared" si="67"/>
        <v>187342179.42999995</v>
      </c>
      <c r="AG81" s="434">
        <f t="shared" si="67"/>
        <v>185397172.18999997</v>
      </c>
      <c r="AH81" s="434">
        <f>IF(AG81=0,"НД",AF81-AG81)</f>
        <v>1945007.2399999797</v>
      </c>
      <c r="AI81" s="271">
        <f t="shared" si="27"/>
        <v>1.0382110669993182E-2</v>
      </c>
      <c r="AJ81" s="435">
        <f t="shared" si="67"/>
        <v>389188425.39999998</v>
      </c>
      <c r="AK81" s="434">
        <f t="shared" si="67"/>
        <v>338792323.74000007</v>
      </c>
      <c r="AL81" s="434">
        <f>IF(AK81=0,"НД",AJ81-AK81)</f>
        <v>50396101.659999907</v>
      </c>
      <c r="AM81" s="272">
        <f t="shared" si="28"/>
        <v>0.12949023755833389</v>
      </c>
      <c r="AN81" s="436">
        <f t="shared" si="67"/>
        <v>621046102.80999994</v>
      </c>
      <c r="AO81" s="401">
        <f t="shared" si="67"/>
        <v>566835966.70000005</v>
      </c>
      <c r="AP81" s="401">
        <f t="shared" si="29"/>
        <v>54210136.109999895</v>
      </c>
      <c r="AQ81" s="273">
        <f t="shared" si="30"/>
        <v>8.728842490874579E-2</v>
      </c>
      <c r="AR81" s="433">
        <f t="shared" ref="AR81:BU81" si="68">SUM(AR56:AR80)</f>
        <v>21944183.579999998</v>
      </c>
      <c r="AS81" s="434">
        <f t="shared" si="68"/>
        <v>20863576.640000001</v>
      </c>
      <c r="AT81" s="434">
        <f>IF(AS81=0,"НД",AR81-AS81)</f>
        <v>1080606.9399999976</v>
      </c>
      <c r="AU81" s="274">
        <f t="shared" si="31"/>
        <v>4.9243433279735516E-2</v>
      </c>
      <c r="AV81" s="435">
        <f t="shared" si="68"/>
        <v>136872490.96999997</v>
      </c>
      <c r="AW81" s="434">
        <f t="shared" si="68"/>
        <v>124406246.37</v>
      </c>
      <c r="AX81" s="434">
        <f>IF(AW81=0,"НД",AV81-AW81)</f>
        <v>12466244.599999964</v>
      </c>
      <c r="AY81" s="274">
        <f t="shared" si="32"/>
        <v>9.1079255675505635E-2</v>
      </c>
      <c r="AZ81" s="435">
        <f t="shared" si="68"/>
        <v>84833153.300000012</v>
      </c>
      <c r="BA81" s="434">
        <f t="shared" si="68"/>
        <v>82915843.36999999</v>
      </c>
      <c r="BB81" s="434">
        <f>IF(BA81=0,"НД",AZ81-BA81)</f>
        <v>1917309.9300000221</v>
      </c>
      <c r="BC81" s="274">
        <f t="shared" si="33"/>
        <v>2.2600950871409158E-2</v>
      </c>
      <c r="BD81" s="436">
        <f t="shared" si="68"/>
        <v>243649827.84999996</v>
      </c>
      <c r="BE81" s="401">
        <f>SUM(BE56:BE80)</f>
        <v>228185666.38</v>
      </c>
      <c r="BF81" s="401">
        <f t="shared" si="34"/>
        <v>15464161.469999969</v>
      </c>
      <c r="BG81" s="273">
        <f>IF(BE81=0, "НД", IF((BF81="НД"),0,BF81/BD81))</f>
        <v>6.3468797029154034E-2</v>
      </c>
      <c r="BH81" s="433">
        <f t="shared" si="68"/>
        <v>83453368.620000005</v>
      </c>
      <c r="BI81" s="434">
        <f t="shared" si="68"/>
        <v>77792330.170000002</v>
      </c>
      <c r="BJ81" s="434">
        <f>IF(BI81=0,"НД",BH81-BI81)</f>
        <v>5661038.450000003</v>
      </c>
      <c r="BK81" s="274">
        <f t="shared" si="36"/>
        <v>6.7834750635138621E-2</v>
      </c>
      <c r="BL81" s="435">
        <f t="shared" si="68"/>
        <v>106106314.15000001</v>
      </c>
      <c r="BM81" s="434">
        <f t="shared" si="68"/>
        <v>103163257.39999998</v>
      </c>
      <c r="BN81" s="434">
        <f>IF(BM81=0,"НД",BL81-BM81)</f>
        <v>2943056.7500000298</v>
      </c>
      <c r="BO81" s="274">
        <f t="shared" si="37"/>
        <v>2.7736867250326872E-2</v>
      </c>
      <c r="BP81" s="435">
        <f t="shared" si="68"/>
        <v>90482023.950000003</v>
      </c>
      <c r="BQ81" s="434">
        <f t="shared" si="68"/>
        <v>87919111.13000001</v>
      </c>
      <c r="BR81" s="434">
        <f>IF(BQ81=0,"НД",BP81-BQ81)</f>
        <v>2562912.8199999928</v>
      </c>
      <c r="BS81" s="272">
        <f t="shared" si="38"/>
        <v>2.8325104900573932E-2</v>
      </c>
      <c r="BT81" s="436">
        <f t="shared" si="68"/>
        <v>280041706.72000003</v>
      </c>
      <c r="BU81" s="401">
        <f t="shared" si="68"/>
        <v>268874698.69999999</v>
      </c>
      <c r="BV81" s="434">
        <f t="shared" si="39"/>
        <v>11167008.020000041</v>
      </c>
      <c r="BW81" s="273">
        <f t="shared" si="40"/>
        <v>3.9876231832729772E-2</v>
      </c>
    </row>
    <row r="82" spans="2:75" ht="36.75" customHeight="1" thickBot="1" x14ac:dyDescent="0.3">
      <c r="B82" s="1162" t="s">
        <v>994</v>
      </c>
      <c r="C82" s="1162"/>
      <c r="D82" s="1162"/>
      <c r="E82" s="1162"/>
      <c r="F82" s="1162"/>
      <c r="G82" s="1166"/>
      <c r="H82" s="1166"/>
      <c r="I82" s="1166"/>
      <c r="J82" s="1166"/>
      <c r="L82" s="27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277"/>
      <c r="AQ82" s="278"/>
      <c r="BG82" s="278"/>
      <c r="BW82" s="278"/>
    </row>
    <row r="83" spans="2:75" ht="27.75" customHeight="1" thickBot="1" x14ac:dyDescent="0.25">
      <c r="B83" s="1219" t="s">
        <v>245</v>
      </c>
      <c r="C83" s="267" t="s">
        <v>290</v>
      </c>
      <c r="D83" s="267" t="s">
        <v>240</v>
      </c>
      <c r="E83" s="268" t="s">
        <v>290</v>
      </c>
      <c r="F83" s="275" t="s">
        <v>241</v>
      </c>
      <c r="G83" s="267" t="s">
        <v>289</v>
      </c>
      <c r="H83" s="267" t="s">
        <v>243</v>
      </c>
      <c r="I83" s="267" t="s">
        <v>26</v>
      </c>
      <c r="J83" s="267" t="s">
        <v>939</v>
      </c>
      <c r="L83" s="1165" t="s">
        <v>290</v>
      </c>
      <c r="M83" s="1157"/>
      <c r="N83" s="1157" t="s">
        <v>289</v>
      </c>
      <c r="O83" s="1157"/>
      <c r="P83" s="1157" t="s">
        <v>290</v>
      </c>
      <c r="Q83" s="1157"/>
      <c r="R83" s="1157" t="s">
        <v>289</v>
      </c>
      <c r="S83" s="1157"/>
      <c r="T83" s="1157" t="s">
        <v>290</v>
      </c>
      <c r="U83" s="1157"/>
      <c r="V83" s="1157" t="s">
        <v>289</v>
      </c>
      <c r="W83" s="1164"/>
      <c r="X83" s="1156" t="s">
        <v>290</v>
      </c>
      <c r="Y83" s="1156"/>
      <c r="Z83" s="1156" t="s">
        <v>289</v>
      </c>
      <c r="AA83" s="1156"/>
      <c r="AB83" s="1165" t="s">
        <v>290</v>
      </c>
      <c r="AC83" s="1157"/>
      <c r="AD83" s="1157" t="s">
        <v>289</v>
      </c>
      <c r="AE83" s="1157"/>
      <c r="AF83" s="1157" t="s">
        <v>290</v>
      </c>
      <c r="AG83" s="1157"/>
      <c r="AH83" s="1157" t="s">
        <v>289</v>
      </c>
      <c r="AI83" s="1157"/>
      <c r="AJ83" s="1157" t="s">
        <v>290</v>
      </c>
      <c r="AK83" s="1157"/>
      <c r="AL83" s="1157" t="s">
        <v>289</v>
      </c>
      <c r="AM83" s="1164"/>
      <c r="AN83" s="1156" t="s">
        <v>290</v>
      </c>
      <c r="AO83" s="1156"/>
      <c r="AP83" s="1156" t="s">
        <v>289</v>
      </c>
      <c r="AQ83" s="1156"/>
      <c r="AR83" s="1165" t="s">
        <v>290</v>
      </c>
      <c r="AS83" s="1157"/>
      <c r="AT83" s="1157" t="s">
        <v>289</v>
      </c>
      <c r="AU83" s="1157"/>
      <c r="AV83" s="1157" t="s">
        <v>290</v>
      </c>
      <c r="AW83" s="1157"/>
      <c r="AX83" s="1157" t="s">
        <v>289</v>
      </c>
      <c r="AY83" s="1157"/>
      <c r="AZ83" s="1157" t="s">
        <v>290</v>
      </c>
      <c r="BA83" s="1157"/>
      <c r="BB83" s="1157" t="s">
        <v>289</v>
      </c>
      <c r="BC83" s="1164"/>
      <c r="BD83" s="1156" t="s">
        <v>290</v>
      </c>
      <c r="BE83" s="1156"/>
      <c r="BF83" s="1156" t="s">
        <v>289</v>
      </c>
      <c r="BG83" s="1156"/>
      <c r="BH83" s="1165" t="s">
        <v>290</v>
      </c>
      <c r="BI83" s="1157"/>
      <c r="BJ83" s="1157" t="s">
        <v>289</v>
      </c>
      <c r="BK83" s="1157"/>
      <c r="BL83" s="1157" t="s">
        <v>290</v>
      </c>
      <c r="BM83" s="1157"/>
      <c r="BN83" s="1157" t="s">
        <v>289</v>
      </c>
      <c r="BO83" s="1157"/>
      <c r="BP83" s="1157" t="s">
        <v>290</v>
      </c>
      <c r="BQ83" s="1157"/>
      <c r="BR83" s="1157" t="s">
        <v>289</v>
      </c>
      <c r="BS83" s="1164"/>
      <c r="BT83" s="1156" t="s">
        <v>290</v>
      </c>
      <c r="BU83" s="1156"/>
      <c r="BV83" s="1156" t="s">
        <v>289</v>
      </c>
      <c r="BW83" s="1156"/>
    </row>
    <row r="84" spans="2:75" ht="13.5" customHeight="1" thickBot="1" x14ac:dyDescent="0.25">
      <c r="B84" s="1220"/>
      <c r="C84" s="1201" t="s">
        <v>40</v>
      </c>
      <c r="D84" s="1216"/>
      <c r="E84" s="1221" t="s">
        <v>247</v>
      </c>
      <c r="F84" s="1215"/>
      <c r="G84" s="1221" t="s">
        <v>40</v>
      </c>
      <c r="H84" s="1222"/>
      <c r="I84" s="1223" t="s">
        <v>247</v>
      </c>
      <c r="J84" s="1222"/>
      <c r="L84" s="264" t="s">
        <v>40</v>
      </c>
      <c r="M84" s="261" t="s">
        <v>247</v>
      </c>
      <c r="N84" s="261" t="s">
        <v>40</v>
      </c>
      <c r="O84" s="261" t="s">
        <v>247</v>
      </c>
      <c r="P84" s="261" t="s">
        <v>40</v>
      </c>
      <c r="Q84" s="261" t="s">
        <v>247</v>
      </c>
      <c r="R84" s="261" t="s">
        <v>40</v>
      </c>
      <c r="S84" s="261" t="s">
        <v>247</v>
      </c>
      <c r="T84" s="261" t="s">
        <v>40</v>
      </c>
      <c r="U84" s="261" t="s">
        <v>247</v>
      </c>
      <c r="V84" s="261" t="s">
        <v>40</v>
      </c>
      <c r="W84" s="262" t="s">
        <v>247</v>
      </c>
      <c r="X84" s="265" t="s">
        <v>40</v>
      </c>
      <c r="Y84" s="265" t="s">
        <v>247</v>
      </c>
      <c r="Z84" s="265" t="s">
        <v>40</v>
      </c>
      <c r="AA84" s="265" t="s">
        <v>247</v>
      </c>
      <c r="AB84" s="264" t="s">
        <v>40</v>
      </c>
      <c r="AC84" s="261" t="s">
        <v>247</v>
      </c>
      <c r="AD84" s="261" t="s">
        <v>40</v>
      </c>
      <c r="AE84" s="261" t="s">
        <v>247</v>
      </c>
      <c r="AF84" s="261" t="s">
        <v>40</v>
      </c>
      <c r="AG84" s="261" t="s">
        <v>247</v>
      </c>
      <c r="AH84" s="261" t="s">
        <v>40</v>
      </c>
      <c r="AI84" s="261" t="s">
        <v>247</v>
      </c>
      <c r="AJ84" s="261" t="s">
        <v>40</v>
      </c>
      <c r="AK84" s="261" t="s">
        <v>247</v>
      </c>
      <c r="AL84" s="261" t="s">
        <v>40</v>
      </c>
      <c r="AM84" s="262" t="s">
        <v>247</v>
      </c>
      <c r="AN84" s="265" t="s">
        <v>40</v>
      </c>
      <c r="AO84" s="265" t="s">
        <v>247</v>
      </c>
      <c r="AP84" s="265" t="s">
        <v>40</v>
      </c>
      <c r="AQ84" s="265" t="s">
        <v>247</v>
      </c>
      <c r="AR84" s="264" t="s">
        <v>40</v>
      </c>
      <c r="AS84" s="261" t="s">
        <v>247</v>
      </c>
      <c r="AT84" s="261" t="s">
        <v>40</v>
      </c>
      <c r="AU84" s="261" t="s">
        <v>247</v>
      </c>
      <c r="AV84" s="261" t="s">
        <v>40</v>
      </c>
      <c r="AW84" s="261" t="s">
        <v>247</v>
      </c>
      <c r="AX84" s="261" t="s">
        <v>40</v>
      </c>
      <c r="AY84" s="261" t="s">
        <v>247</v>
      </c>
      <c r="AZ84" s="261" t="s">
        <v>40</v>
      </c>
      <c r="BA84" s="261" t="s">
        <v>247</v>
      </c>
      <c r="BB84" s="261" t="s">
        <v>40</v>
      </c>
      <c r="BC84" s="262" t="s">
        <v>247</v>
      </c>
      <c r="BD84" s="265" t="s">
        <v>40</v>
      </c>
      <c r="BE84" s="265" t="s">
        <v>247</v>
      </c>
      <c r="BF84" s="265" t="s">
        <v>40</v>
      </c>
      <c r="BG84" s="265" t="s">
        <v>247</v>
      </c>
      <c r="BH84" s="264" t="s">
        <v>40</v>
      </c>
      <c r="BI84" s="261" t="s">
        <v>247</v>
      </c>
      <c r="BJ84" s="261" t="s">
        <v>40</v>
      </c>
      <c r="BK84" s="261" t="s">
        <v>247</v>
      </c>
      <c r="BL84" s="261" t="s">
        <v>40</v>
      </c>
      <c r="BM84" s="261" t="s">
        <v>247</v>
      </c>
      <c r="BN84" s="261" t="s">
        <v>40</v>
      </c>
      <c r="BO84" s="261" t="s">
        <v>247</v>
      </c>
      <c r="BP84" s="261" t="s">
        <v>40</v>
      </c>
      <c r="BQ84" s="261" t="s">
        <v>247</v>
      </c>
      <c r="BR84" s="261" t="s">
        <v>40</v>
      </c>
      <c r="BS84" s="262" t="s">
        <v>247</v>
      </c>
      <c r="BT84" s="265" t="s">
        <v>40</v>
      </c>
      <c r="BU84" s="265" t="s">
        <v>247</v>
      </c>
      <c r="BV84" s="265" t="s">
        <v>40</v>
      </c>
      <c r="BW84" s="265" t="s">
        <v>247</v>
      </c>
    </row>
    <row r="85" spans="2:75" ht="13.5" thickBot="1" x14ac:dyDescent="0.25">
      <c r="B85" s="87" t="s">
        <v>246</v>
      </c>
      <c r="C85" s="101">
        <f>ПП!B73</f>
        <v>966</v>
      </c>
      <c r="D85" s="443">
        <f>ПП!C73</f>
        <v>0.61372299872935199</v>
      </c>
      <c r="E85" s="63">
        <f>COUNTIFS('Отчет РПЗ(ПЗ)_ПЗИП'!H:H,Справочно!$E16,'Отчет РПЗ(ПЗ)_ПЗИП'!AG:AG, "&gt;0")</f>
        <v>239</v>
      </c>
      <c r="F85" s="413">
        <f>E85/$E$52</f>
        <v>0.41783216783216781</v>
      </c>
      <c r="G85" s="428">
        <f>ПП!D73</f>
        <v>3471273893.8199973</v>
      </c>
      <c r="H85" s="444">
        <f>ПП!E73</f>
        <v>0.70969060988245347</v>
      </c>
      <c r="I85" s="416">
        <f>SUMIF(РПЗ!$R:$R,Справочно!$E16,'Отчет РПЗ(ПЗ)_ПЗИП'!$AG:$AG)</f>
        <v>619525288.30000019</v>
      </c>
      <c r="J85" s="413">
        <f>I85/$I$52</f>
        <v>0.41498891788470904</v>
      </c>
      <c r="L85" s="161">
        <f>ПП!G73</f>
        <v>208</v>
      </c>
      <c r="M85" s="147">
        <f>COUNTIFS(РПЗ!$R:$R,Справочно!$E16,'Отчет РПЗ(ПЗ)_ПЗИП'!$AQ:$AQ,1,'Отчет РПЗ(ПЗ)_ПЗИП'!$AG:$AG,"&gt;0")</f>
        <v>6</v>
      </c>
      <c r="N85" s="423">
        <f>ПП!H73</f>
        <v>1099955193.4300005</v>
      </c>
      <c r="O85" s="336">
        <f>SUMIFS('Отчет РПЗ(ПЗ)_ПЗИП'!$AG:$AG,РПЗ!$R:$R,Справочно!$E16,'Отчет РПЗ(ПЗ)_ПЗИП'!$AQ:$AQ,1,'Отчет РПЗ(ПЗ)_ПЗИП'!$AG:$AG,"&gt;0")</f>
        <v>5184363</v>
      </c>
      <c r="P85" s="163">
        <f>ПП!I73</f>
        <v>113</v>
      </c>
      <c r="Q85" s="147">
        <f>COUNTIFS(РПЗ!$R:$R,Справочно!$E16,'Отчет РПЗ(ПЗ)_ПЗИП'!$AQ:$AQ,2,'Отчет РПЗ(ПЗ)_ПЗИП'!$AG:$AG,"&gt;0")</f>
        <v>14</v>
      </c>
      <c r="R85" s="423">
        <f>ПП!J73</f>
        <v>516884112.44000006</v>
      </c>
      <c r="S85" s="336">
        <f>SUMIFS('Отчет РПЗ(ПЗ)_ПЗИП'!$AG:$AG,РПЗ!$R:$R,Справочно!$E16,'Отчет РПЗ(ПЗ)_ПЗИП'!$AQ:$AQ,2,'Отчет РПЗ(ПЗ)_ПЗИП'!$AG:$AG,"&gt;0")</f>
        <v>10150958.619999999</v>
      </c>
      <c r="T85" s="163">
        <f>ПП!K73</f>
        <v>84</v>
      </c>
      <c r="U85" s="147">
        <f>COUNTIFS(РПЗ!$R:$R,Справочно!$E16,'Отчет РПЗ(ПЗ)_ПЗИП'!$AQ:$AQ,3,'Отчет РПЗ(ПЗ)_ПЗИП'!$AG:$AG,"&gt;0")</f>
        <v>20</v>
      </c>
      <c r="V85" s="423">
        <f>ПП!L73</f>
        <v>151653427.64999998</v>
      </c>
      <c r="W85" s="369">
        <f>SUMIFS('Отчет РПЗ(ПЗ)_ПЗИП'!$AG:$AG,РПЗ!$R:$R,Справочно!$E16,'Отчет РПЗ(ПЗ)_ПЗИП'!$AQ:$AQ,3,'Отчет РПЗ(ПЗ)_ПЗИП'!$AG:$AG,"&gt;0")</f>
        <v>22546549.830000002</v>
      </c>
      <c r="X85" s="171">
        <f>ПП!M73</f>
        <v>405</v>
      </c>
      <c r="Y85" s="172">
        <f>SUM(M85,Q85,U85)</f>
        <v>40</v>
      </c>
      <c r="Z85" s="424">
        <f>ПП!N73</f>
        <v>1768492733.5200005</v>
      </c>
      <c r="AA85" s="329">
        <f>SUM(O85,S85,W85)</f>
        <v>37881871.450000003</v>
      </c>
      <c r="AB85" s="163">
        <f>ПП!O73</f>
        <v>50</v>
      </c>
      <c r="AC85" s="183">
        <f>COUNTIFS(РПЗ!$R:$R,Справочно!$E16,'Отчет РПЗ(ПЗ)_ПЗИП'!$AQ:$AQ,4,'Отчет РПЗ(ПЗ)_ПЗИП'!$AG:$AG,"&gt;0")</f>
        <v>14</v>
      </c>
      <c r="AD85" s="423">
        <f>ПП!P73</f>
        <v>60222067.910000004</v>
      </c>
      <c r="AE85" s="370">
        <f>SUMIFS('Отчет РПЗ(ПЗ)_ПЗИП'!$AG:$AG,РПЗ!$R:$R,Справочно!$E16,'Отчет РПЗ(ПЗ)_ПЗИП'!$AQ:$AQ,4,'Отчет РПЗ(ПЗ)_ПЗИП'!$AG:$AG,"&gt;0")</f>
        <v>16176049.209999999</v>
      </c>
      <c r="AF85" s="163">
        <f>ПП!Q73</f>
        <v>61</v>
      </c>
      <c r="AG85" s="183">
        <f>COUNTIFS(РПЗ!$R:$R,Справочно!$E16,'Отчет РПЗ(ПЗ)_ПЗИП'!$AQ:$AQ,5,'Отчет РПЗ(ПЗ)_ПЗИП'!$AG:$AG,"&gt;0")</f>
        <v>21</v>
      </c>
      <c r="AH85" s="423">
        <f>ПП!R73</f>
        <v>147038252.79999995</v>
      </c>
      <c r="AI85" s="370">
        <f>SUMIFS('Отчет РПЗ(ПЗ)_ПЗИП'!$AG:$AG,РПЗ!$R:$R,Справочно!$E16,'Отчет РПЗ(ПЗ)_ПЗИП'!$AQ:$AQ,5,'Отчет РПЗ(ПЗ)_ПЗИП'!$AG:$AG,"&gt;0")</f>
        <v>83053594.439999998</v>
      </c>
      <c r="AJ85" s="163">
        <f>ПП!S73</f>
        <v>108</v>
      </c>
      <c r="AK85" s="183">
        <f>COUNTIFS(РПЗ!$R:$R,Справочно!$E16,'Отчет РПЗ(ПЗ)_ПЗИП'!$AQ:$AQ,6,'Отчет РПЗ(ПЗ)_ПЗИП'!$AG:$AG,"&gt;0")</f>
        <v>31</v>
      </c>
      <c r="AL85" s="423">
        <f>ПП!T73</f>
        <v>1008069067.6399999</v>
      </c>
      <c r="AM85" s="371">
        <f>SUMIFS('Отчет РПЗ(ПЗ)_ПЗИП'!$AG:$AG,РПЗ!$R:$R,Справочно!$E16,'Отчет РПЗ(ПЗ)_ПЗИП'!$AQ:$AQ,6,'Отчет РПЗ(ПЗ)_ПЗИП'!$AG:$AG,"&gt;0")</f>
        <v>256115786.16000003</v>
      </c>
      <c r="AN85" s="171">
        <f>ПП!U73</f>
        <v>219</v>
      </c>
      <c r="AO85" s="185">
        <f>SUM(AC85,AG85,AK85)</f>
        <v>66</v>
      </c>
      <c r="AP85" s="424">
        <f>ПП!V73</f>
        <v>1215329388.3499999</v>
      </c>
      <c r="AQ85" s="331">
        <f>SUM(AE85,AI85,AM85)</f>
        <v>355345429.81</v>
      </c>
      <c r="AR85" s="279">
        <f>ПП!W73</f>
        <v>70</v>
      </c>
      <c r="AS85" s="144">
        <f>COUNTIFS(РПЗ!$R:$R,Справочно!$E16,'Отчет РПЗ(ПЗ)_ПЗИП'!$AQ:$AQ,7,'Отчет РПЗ(ПЗ)_ПЗИП'!$AG:$AG,"&gt;0")</f>
        <v>22</v>
      </c>
      <c r="AT85" s="423">
        <f>ПП!X73</f>
        <v>81039669.350000009</v>
      </c>
      <c r="AU85" s="372">
        <f>SUMIFS('Отчет РПЗ(ПЗ)_ПЗИП'!$AG:$AG,РПЗ!$R:$R,Справочно!$E16,'Отчет РПЗ(ПЗ)_ПЗИП'!$AQ:$AQ,7,'Отчет РПЗ(ПЗ)_ПЗИП'!$AG:$AG,"&gt;0")</f>
        <v>13185807.649999999</v>
      </c>
      <c r="AV85" s="163">
        <f>ПП!Y73</f>
        <v>51</v>
      </c>
      <c r="AW85" s="144">
        <f>COUNTIFS(РПЗ!$R:$R,Справочно!$E16,'Отчет РПЗ(ПЗ)_ПЗИП'!$AQ:$AQ,8,'Отчет РПЗ(ПЗ)_ПЗИП'!$AG:$AG,"&gt;0")</f>
        <v>13</v>
      </c>
      <c r="AX85" s="423">
        <f>ПП!Z73</f>
        <v>150350890.07999998</v>
      </c>
      <c r="AY85" s="372">
        <f>SUMIFS('Отчет РПЗ(ПЗ)_ПЗИП'!$AG:$AG,РПЗ!$R:$R,Справочно!$E16,'Отчет РПЗ(ПЗ)_ПЗИП'!$AQ:$AQ,8,'Отчет РПЗ(ПЗ)_ПЗИП'!$AG:$AG,"&gt;0")</f>
        <v>78033149.579999998</v>
      </c>
      <c r="AZ85" s="163">
        <f>ПП!AA73</f>
        <v>50</v>
      </c>
      <c r="BA85" s="144">
        <f>COUNTIFS(РПЗ!$R:$R,Справочно!$E16,'Отчет РПЗ(ПЗ)_ПЗИП'!$AQ:$AQ,9,'Отчет РПЗ(ПЗ)_ПЗИП'!$AG:$AG,"&gt;0")</f>
        <v>15</v>
      </c>
      <c r="BB85" s="423">
        <f>ПП!AB73</f>
        <v>40686355.030000009</v>
      </c>
      <c r="BC85" s="373">
        <f>SUMIFS('Отчет РПЗ(ПЗ)_ПЗИП'!$AG:$AG,РПЗ!$R:$R,Справочно!$E16,'Отчет РПЗ(ПЗ)_ПЗИП'!$AQ:$AQ,9,'Отчет РПЗ(ПЗ)_ПЗИП'!$AG:$AG,"&gt;0")</f>
        <v>7268600.2300000004</v>
      </c>
      <c r="BD85" s="171">
        <f>ПП!AC73</f>
        <v>171</v>
      </c>
      <c r="BE85" s="180">
        <f>SUM(AS85,AW85,BA85)</f>
        <v>50</v>
      </c>
      <c r="BF85" s="424">
        <f>ПП!AD73</f>
        <v>272076914.46000004</v>
      </c>
      <c r="BG85" s="333">
        <f>SUM(AU85,AY85,BC85)</f>
        <v>98487557.459999993</v>
      </c>
      <c r="BH85" s="279">
        <f>ПП!AE73</f>
        <v>53</v>
      </c>
      <c r="BI85" s="177">
        <f>COUNTIFS(РПЗ!$R:$R,Справочно!$E16,'Отчет РПЗ(ПЗ)_ПЗИП'!$AQ:$AQ,10,'Отчет РПЗ(ПЗ)_ПЗИП'!$AG:$AG,"&gt;0")</f>
        <v>21</v>
      </c>
      <c r="BJ85" s="423">
        <f>ПП!AF73</f>
        <v>75725891.710000008</v>
      </c>
      <c r="BK85" s="374">
        <f>SUMIFS('Отчет РПЗ(ПЗ)_ПЗИП'!$AG:$AG,РПЗ!$R:$R,Справочно!$E16,'Отчет РПЗ(ПЗ)_ПЗИП'!$AQ:$AQ,10,'Отчет РПЗ(ПЗ)_ПЗИП'!$AG:$AG,"&gt;0")</f>
        <v>51227790.690000005</v>
      </c>
      <c r="BL85" s="163">
        <f>ПП!AG73</f>
        <v>69</v>
      </c>
      <c r="BM85" s="177">
        <f>COUNTIFS(РПЗ!$R:$R,Справочно!$E16,'Отчет РПЗ(ПЗ)_ПЗИП'!$AQ:$AQ,11,'Отчет РПЗ(ПЗ)_ПЗИП'!$AG:$AG,"&gt;0")</f>
        <v>39</v>
      </c>
      <c r="BN85" s="423">
        <f>ПП!AH73</f>
        <v>79198068.029999986</v>
      </c>
      <c r="BO85" s="374">
        <f>SUMIFS('Отчет РПЗ(ПЗ)_ПЗИП'!$AG:$AG,РПЗ!$R:$R,Справочно!$E16,'Отчет РПЗ(ПЗ)_ПЗИП'!$AQ:$AQ,11,'Отчет РПЗ(ПЗ)_ПЗИП'!$AG:$AG,"&gt;0")</f>
        <v>55599028.969999991</v>
      </c>
      <c r="BP85" s="163">
        <f>ПП!AI73</f>
        <v>49</v>
      </c>
      <c r="BQ85" s="177">
        <f>COUNTIFS(РПЗ!$R:$R,Справочно!$E16,'Отчет РПЗ(ПЗ)_ПЗИП'!$AQ:$AQ,12,'Отчет РПЗ(ПЗ)_ПЗИП'!$AG:$AG,"&gt;0")</f>
        <v>22</v>
      </c>
      <c r="BR85" s="423">
        <f>ПП!AJ73</f>
        <v>60450897.75</v>
      </c>
      <c r="BS85" s="375">
        <f>SUMIFS('Отчет РПЗ(ПЗ)_ПЗИП'!$AG:$AG,РПЗ!$R:$R,Справочно!$E16,'Отчет РПЗ(ПЗ)_ПЗИП'!$AQ:$AQ,12,'Отчет РПЗ(ПЗ)_ПЗИП'!$AG:$AG,"&gt;0")</f>
        <v>18281364.120000001</v>
      </c>
      <c r="BT85" s="171">
        <f>ПП!AK73</f>
        <v>171</v>
      </c>
      <c r="BU85" s="179">
        <f>SUM(BI85,BM85,BQ85)</f>
        <v>82</v>
      </c>
      <c r="BV85" s="424">
        <f>ПП!AL73</f>
        <v>215374857.49000001</v>
      </c>
      <c r="BW85" s="335">
        <f>SUM(BK85,BO85,BS85)</f>
        <v>125108183.78</v>
      </c>
    </row>
    <row r="86" spans="2:75" ht="13.5" thickBot="1" x14ac:dyDescent="0.25">
      <c r="B86" s="88" t="s">
        <v>978</v>
      </c>
      <c r="C86" s="101">
        <f>ПП!B74</f>
        <v>605</v>
      </c>
      <c r="D86" s="443">
        <f>ПП!C74</f>
        <v>0.38437102922490468</v>
      </c>
      <c r="E86" s="63">
        <f>COUNTIFS('Отчет РПЗ(ПЗ)_ПЗИП'!H:H,Справочно!$E17,'Отчет РПЗ(ПЗ)_ПЗИП'!AG:AG, "&gt;0")</f>
        <v>331</v>
      </c>
      <c r="F86" s="413">
        <f>E86/$E$52</f>
        <v>0.57867132867132864</v>
      </c>
      <c r="G86" s="445">
        <f>ПП!D74</f>
        <v>1383352791.8099999</v>
      </c>
      <c r="H86" s="446">
        <f>ПП!E74</f>
        <v>0.28282196004471843</v>
      </c>
      <c r="I86" s="416">
        <f>SUMIF(РПЗ!$R:$R,Справочно!$E17,'Отчет РПЗ(ПЗ)_ПЗИП'!$AG:$AG)</f>
        <v>872621597.18999946</v>
      </c>
      <c r="J86" s="413">
        <f>I86/$I$52</f>
        <v>0.58452544097820036</v>
      </c>
      <c r="L86" s="164">
        <f>ПП!G74</f>
        <v>26</v>
      </c>
      <c r="M86" s="147">
        <f>COUNTIFS(РПЗ!$R:$R,Справочно!$E17,'Отчет РПЗ(ПЗ)_ПЗИП'!$AQ:$AQ,1,'Отчет РПЗ(ПЗ)_ПЗИП'!$AG:$AG,"&gt;0")</f>
        <v>8</v>
      </c>
      <c r="N86" s="426">
        <f>ПП!H74</f>
        <v>70658317.910000011</v>
      </c>
      <c r="O86" s="336">
        <f>SUMIFS('Отчет РПЗ(ПЗ)_ПЗИП'!$AG:$AG,РПЗ!$R:$R,Справочно!$E17,'Отчет РПЗ(ПЗ)_ПЗИП'!$AQ:$AQ,1,'Отчет РПЗ(ПЗ)_ПЗИП'!$AG:$AG,"&gt;0")</f>
        <v>57786472.93</v>
      </c>
      <c r="P86" s="166">
        <f>ПП!I74</f>
        <v>75</v>
      </c>
      <c r="Q86" s="147">
        <f>COUNTIFS(РПЗ!$R:$R,Справочно!$E17,'Отчет РПЗ(ПЗ)_ПЗИП'!$AQ:$AQ,2,'Отчет РПЗ(ПЗ)_ПЗИП'!$AG:$AG,"&gt;0")</f>
        <v>26</v>
      </c>
      <c r="R86" s="426">
        <f>ПП!J74</f>
        <v>286697836.33000004</v>
      </c>
      <c r="S86" s="336">
        <f>SUMIFS('Отчет РПЗ(ПЗ)_ПЗИП'!$AG:$AG,РПЗ!$R:$R,Справочно!$E17,'Отчет РПЗ(ПЗ)_ПЗИП'!$AQ:$AQ,2,'Отчет РПЗ(ПЗ)_ПЗИП'!$AG:$AG,"&gt;0")</f>
        <v>191107841.81999999</v>
      </c>
      <c r="T86" s="166">
        <f>ПП!K74</f>
        <v>84</v>
      </c>
      <c r="U86" s="147">
        <f>COUNTIFS(РПЗ!$R:$R,Справочно!$E17,'Отчет РПЗ(ПЗ)_ПЗИП'!$AQ:$AQ,3,'Отчет РПЗ(ПЗ)_ПЗИП'!$AG:$AG,"&gt;0")</f>
        <v>41</v>
      </c>
      <c r="V86" s="426">
        <f>ПП!L74</f>
        <v>191079168.62999997</v>
      </c>
      <c r="W86" s="369">
        <f>SUMIFS('Отчет РПЗ(ПЗ)_ПЗИП'!$AG:$AG,РПЗ!$R:$R,Справочно!$E17,'Отчет РПЗ(ПЗ)_ПЗИП'!$AQ:$AQ,3,'Отчет РПЗ(ПЗ)_ПЗИП'!$AG:$AG,"&gt;0")</f>
        <v>131085140.78</v>
      </c>
      <c r="X86" s="171">
        <f>ПП!M74</f>
        <v>185</v>
      </c>
      <c r="Y86" s="172">
        <f>SUM(M86,Q86,U86)</f>
        <v>75</v>
      </c>
      <c r="Z86" s="424">
        <f>ПП!N74</f>
        <v>548435322.87</v>
      </c>
      <c r="AA86" s="329">
        <f>SUM(O86,S86,W86)</f>
        <v>379979455.52999997</v>
      </c>
      <c r="AB86" s="166">
        <f>ПП!O74</f>
        <v>45</v>
      </c>
      <c r="AC86" s="183">
        <f>COUNTIFS(РПЗ!$R:$R,Справочно!$E17,'Отчет РПЗ(ПЗ)_ПЗИП'!$AQ:$AQ,4,'Отчет РПЗ(ПЗ)_ПЗИП'!$AG:$AG,"&gt;0")</f>
        <v>25</v>
      </c>
      <c r="AD86" s="426">
        <f>ПП!P74</f>
        <v>48421878.649999999</v>
      </c>
      <c r="AE86" s="370">
        <f>SUMIFS('Отчет РПЗ(ПЗ)_ПЗИП'!$AG:$AG,РПЗ!$R:$R,Справочно!$E17,'Отчет РПЗ(ПЗ)_ПЗИП'!$AQ:$AQ,4,'Отчет РПЗ(ПЗ)_ПЗИП'!$AG:$AG,"&gt;0")</f>
        <v>30020663.559999999</v>
      </c>
      <c r="AF86" s="166">
        <f>ПП!Q74</f>
        <v>30</v>
      </c>
      <c r="AG86" s="183">
        <f>COUNTIFS(РПЗ!$R:$R,Справочно!$E17,'Отчет РПЗ(ПЗ)_ПЗИП'!$AQ:$AQ,5,'Отчет РПЗ(ПЗ)_ПЗИП'!$AG:$AG,"&gt;0")</f>
        <v>19</v>
      </c>
      <c r="AH86" s="426">
        <f>ПП!R74</f>
        <v>112594193.35000001</v>
      </c>
      <c r="AI86" s="370">
        <f>SUMIFS('Отчет РПЗ(ПЗ)_ПЗИП'!$AG:$AG,РПЗ!$R:$R,Справочно!$E17,'Отчет РПЗ(ПЗ)_ПЗИП'!$AQ:$AQ,5,'Отчет РПЗ(ПЗ)_ПЗИП'!$AG:$AG,"&gt;0")</f>
        <v>102343577.75</v>
      </c>
      <c r="AJ86" s="166">
        <f>ПП!S74</f>
        <v>80</v>
      </c>
      <c r="AK86" s="183">
        <f>COUNTIFS(РПЗ!$R:$R,Справочно!$E17,'Отчет РПЗ(ПЗ)_ПЗИП'!$AQ:$AQ,6,'Отчет РПЗ(ПЗ)_ПЗИП'!$AG:$AG,"&gt;0")</f>
        <v>54</v>
      </c>
      <c r="AL86" s="426">
        <f>ПП!T74</f>
        <v>134459440.38</v>
      </c>
      <c r="AM86" s="371">
        <f>SUMIFS('Отчет РПЗ(ПЗ)_ПЗИП'!$AG:$AG,РПЗ!$R:$R,Справочно!$E17,'Отчет РПЗ(ПЗ)_ПЗИП'!$AQ:$AQ,6,'Отчет РПЗ(ПЗ)_ПЗИП'!$AG:$AG,"&gt;0")</f>
        <v>82676537.580000013</v>
      </c>
      <c r="AN86" s="171">
        <f>ПП!U74</f>
        <v>155</v>
      </c>
      <c r="AO86" s="185">
        <f>SUM(AC86,AG86,AK86)</f>
        <v>98</v>
      </c>
      <c r="AP86" s="424">
        <f>ПП!V74</f>
        <v>295475512.38</v>
      </c>
      <c r="AQ86" s="331">
        <f>SUM(AE86,AI86,AM86)</f>
        <v>215040778.89000002</v>
      </c>
      <c r="AR86" s="280">
        <f>ПП!W74</f>
        <v>33</v>
      </c>
      <c r="AS86" s="144">
        <f>COUNTIFS(РПЗ!$R:$R,Справочно!$E17,'Отчет РПЗ(ПЗ)_ПЗИП'!$AQ:$AQ,7,'Отчет РПЗ(ПЗ)_ПЗИП'!$AG:$AG,"&gt;0")</f>
        <v>18</v>
      </c>
      <c r="AT86" s="426">
        <f>ПП!X74</f>
        <v>15773535.23</v>
      </c>
      <c r="AU86" s="372">
        <f>SUMIFS('Отчет РПЗ(ПЗ)_ПЗИП'!$AG:$AG,РПЗ!$R:$R,Справочно!$E17,'Отчет РПЗ(ПЗ)_ПЗИП'!$AQ:$AQ,7,'Отчет РПЗ(ПЗ)_ПЗИП'!$AG:$AG,"&gt;0")</f>
        <v>11106090.25</v>
      </c>
      <c r="AV86" s="166">
        <f>ПП!Y74</f>
        <v>35</v>
      </c>
      <c r="AW86" s="144">
        <f>COUNTIFS(РПЗ!$R:$R,Справочно!$E17,'Отчет РПЗ(ПЗ)_ПЗИП'!$AQ:$AQ,8,'Отчет РПЗ(ПЗ)_ПЗИП'!$AG:$AG,"&gt;0")</f>
        <v>23</v>
      </c>
      <c r="AX86" s="426">
        <f>ПП!Z74</f>
        <v>93213453.160000011</v>
      </c>
      <c r="AY86" s="372">
        <f>SUMIFS('Отчет РПЗ(ПЗ)_ПЗИП'!$AG:$AG,РПЗ!$R:$R,Справочно!$E17,'Отчет РПЗ(ПЗ)_ПЗИП'!$AQ:$AQ,8,'Отчет РПЗ(ПЗ)_ПЗИП'!$AG:$AG,"&gt;0")</f>
        <v>47263238.790000007</v>
      </c>
      <c r="AZ86" s="166">
        <f>ПП!AA74</f>
        <v>42</v>
      </c>
      <c r="BA86" s="144">
        <f>COUNTIFS(РПЗ!$R:$R,Справочно!$E17,'Отчет РПЗ(ПЗ)_ПЗИП'!$AQ:$AQ,9,'Отчет РПЗ(ПЗ)_ПЗИП'!$AG:$AG,"&gt;0")</f>
        <v>27</v>
      </c>
      <c r="BB86" s="426">
        <f>ПП!AB74</f>
        <v>103297774.81</v>
      </c>
      <c r="BC86" s="373">
        <f>SUMIFS('Отчет РПЗ(ПЗ)_ПЗИП'!$AG:$AG,РПЗ!$R:$R,Справочно!$E17,'Отчет РПЗ(ПЗ)_ПЗИП'!$AQ:$AQ,9,'Отчет РПЗ(ПЗ)_ПЗИП'!$AG:$AG,"&gt;0")</f>
        <v>75647243.140000015</v>
      </c>
      <c r="BD86" s="171">
        <f>ПП!AC74</f>
        <v>110</v>
      </c>
      <c r="BE86" s="180">
        <f>SUM(AS86,AW86,BA86)</f>
        <v>68</v>
      </c>
      <c r="BF86" s="424">
        <f>ПП!AD74</f>
        <v>212284763.20000002</v>
      </c>
      <c r="BG86" s="333">
        <f>SUM(AU86,AY86,BC86)</f>
        <v>134016572.18000002</v>
      </c>
      <c r="BH86" s="280">
        <f>ПП!AE74</f>
        <v>57</v>
      </c>
      <c r="BI86" s="177">
        <f>COUNTIFS(РПЗ!$R:$R,Справочно!$E17,'Отчет РПЗ(ПЗ)_ПЗИП'!$AQ:$AQ,10,'Отчет РПЗ(ПЗ)_ПЗИП'!$AG:$AG,"&gt;0")</f>
        <v>38</v>
      </c>
      <c r="BJ86" s="426">
        <f>ПП!AF74</f>
        <v>42412796.359999985</v>
      </c>
      <c r="BK86" s="374">
        <f>SUMIFS('Отчет РПЗ(ПЗ)_ПЗИП'!$AG:$AG,РПЗ!$R:$R,Справочно!$E17,'Отчет РПЗ(ПЗ)_ПЗИП'!$AQ:$AQ,10,'Отчет РПЗ(ПЗ)_ПЗИП'!$AG:$AG,"&gt;0")</f>
        <v>26564539.48</v>
      </c>
      <c r="BL86" s="166">
        <f>ПП!AG74</f>
        <v>44</v>
      </c>
      <c r="BM86" s="177">
        <f>COUNTIFS(РПЗ!$R:$R,Справочно!$E17,'Отчет РПЗ(ПЗ)_ПЗИП'!$AQ:$AQ,11,'Отчет РПЗ(ПЗ)_ПЗИП'!$AG:$AG,"&gt;0")</f>
        <v>32</v>
      </c>
      <c r="BN86" s="426">
        <f>ПП!AH74</f>
        <v>68273097</v>
      </c>
      <c r="BO86" s="374">
        <f>SUMIFS('Отчет РПЗ(ПЗ)_ПЗИП'!$AG:$AG,РПЗ!$R:$R,Справочно!$E17,'Отчет РПЗ(ПЗ)_ПЗИП'!$AQ:$AQ,11,'Отчет РПЗ(ПЗ)_ПЗИП'!$AG:$AG,"&gt;0")</f>
        <v>46839228.430000007</v>
      </c>
      <c r="BP86" s="166">
        <f>ПП!AI74</f>
        <v>54</v>
      </c>
      <c r="BQ86" s="177">
        <f>COUNTIFS(РПЗ!$R:$R,Справочно!$E17,'Отчет РПЗ(ПЗ)_ПЗИП'!$AQ:$AQ,12,'Отчет РПЗ(ПЗ)_ПЗИП'!$AG:$AG,"&gt;0")</f>
        <v>19</v>
      </c>
      <c r="BR86" s="426">
        <f>ПП!AJ74</f>
        <v>216471299.99999994</v>
      </c>
      <c r="BS86" s="375">
        <f>SUMIFS('Отчет РПЗ(ПЗ)_ПЗИП'!$AG:$AG,РПЗ!$R:$R,Справочно!$E17,'Отчет РПЗ(ПЗ)_ПЗИП'!$AQ:$AQ,12,'Отчет РПЗ(ПЗ)_ПЗИП'!$AG:$AG,"&gt;0")</f>
        <v>69637747.00999999</v>
      </c>
      <c r="BT86" s="171">
        <f>ПП!AK74</f>
        <v>155</v>
      </c>
      <c r="BU86" s="179">
        <f>SUM(BI86,BM86,BQ86)</f>
        <v>89</v>
      </c>
      <c r="BV86" s="424">
        <f>ПП!AL74</f>
        <v>327157193.3599999</v>
      </c>
      <c r="BW86" s="335">
        <f>SUM(BK86,BO86,BS86)</f>
        <v>143041514.92000002</v>
      </c>
    </row>
    <row r="87" spans="2:75" ht="13.5" thickBot="1" x14ac:dyDescent="0.25">
      <c r="B87" s="70" t="s">
        <v>260</v>
      </c>
      <c r="C87" s="316">
        <f>ПП!B75</f>
        <v>1571</v>
      </c>
      <c r="D87" s="447">
        <f>ПП!C75</f>
        <v>0.99809402795425672</v>
      </c>
      <c r="E87" s="93">
        <f>SUM(E85:E86)</f>
        <v>570</v>
      </c>
      <c r="F87" s="395">
        <f>SUM(F85:F86)</f>
        <v>0.99650349650349646</v>
      </c>
      <c r="G87" s="448">
        <f>ПП!D75</f>
        <v>4854626685.6299973</v>
      </c>
      <c r="H87" s="447">
        <f>ПП!E75</f>
        <v>0.99251256992717196</v>
      </c>
      <c r="I87" s="419">
        <f>SUM(I85:I86)</f>
        <v>1492146885.4899998</v>
      </c>
      <c r="J87" s="395">
        <f>SUM(J85:J86)</f>
        <v>0.9995143588629094</v>
      </c>
      <c r="L87" s="153">
        <f>ПП!G75</f>
        <v>234</v>
      </c>
      <c r="M87" s="139">
        <f>SUM(M85:M86)</f>
        <v>14</v>
      </c>
      <c r="N87" s="427">
        <f>ПП!H75</f>
        <v>1170613511.3400006</v>
      </c>
      <c r="O87" s="338">
        <f>SUM(O85:O86)</f>
        <v>62970835.93</v>
      </c>
      <c r="P87" s="156">
        <f>ПП!I75</f>
        <v>188</v>
      </c>
      <c r="Q87" s="139">
        <f>SUM(Q85:Q86)</f>
        <v>40</v>
      </c>
      <c r="R87" s="427">
        <f>ПП!J75</f>
        <v>803581948.7700001</v>
      </c>
      <c r="S87" s="338">
        <f>SUM(S85:S86)</f>
        <v>201258800.44</v>
      </c>
      <c r="T87" s="156">
        <f>ПП!K75</f>
        <v>168</v>
      </c>
      <c r="U87" s="139">
        <f>SUM(U85:U86)</f>
        <v>61</v>
      </c>
      <c r="V87" s="427">
        <f>ПП!L75</f>
        <v>342732596.27999997</v>
      </c>
      <c r="W87" s="339">
        <f>SUM(W85:W86)</f>
        <v>153631690.61000001</v>
      </c>
      <c r="X87" s="171">
        <f>ПП!M75</f>
        <v>590</v>
      </c>
      <c r="Y87" s="175">
        <f>SUM(M87,Q87,U87)</f>
        <v>115</v>
      </c>
      <c r="Z87" s="424">
        <f>ПП!N75</f>
        <v>2316928056.3900003</v>
      </c>
      <c r="AA87" s="340">
        <f>SUM(O87,S87,W87)</f>
        <v>417861326.98000002</v>
      </c>
      <c r="AB87" s="281">
        <f>ПП!O75</f>
        <v>95</v>
      </c>
      <c r="AC87" s="139">
        <f>SUM(AC85:AC86)</f>
        <v>39</v>
      </c>
      <c r="AD87" s="427">
        <f>ПП!P75</f>
        <v>108643946.56</v>
      </c>
      <c r="AE87" s="338">
        <f>SUM(AE85:AE86)</f>
        <v>46196712.769999996</v>
      </c>
      <c r="AF87" s="156">
        <f>ПП!Q75</f>
        <v>91</v>
      </c>
      <c r="AG87" s="139">
        <f>SUM(AG85:AG86)</f>
        <v>40</v>
      </c>
      <c r="AH87" s="427">
        <f>ПП!R75</f>
        <v>259632446.14999998</v>
      </c>
      <c r="AI87" s="338">
        <f>SUM(AI85:AI86)</f>
        <v>185397172.19</v>
      </c>
      <c r="AJ87" s="156">
        <f>ПП!S75</f>
        <v>188</v>
      </c>
      <c r="AK87" s="139">
        <f>SUM(AK85:AK86)</f>
        <v>85</v>
      </c>
      <c r="AL87" s="427">
        <f>ПП!T75</f>
        <v>1142528508.02</v>
      </c>
      <c r="AM87" s="338">
        <f>SUM(AM85:AM86)</f>
        <v>338792323.74000001</v>
      </c>
      <c r="AN87" s="171">
        <f>ПП!U75</f>
        <v>374</v>
      </c>
      <c r="AO87" s="175">
        <f>SUM(AC87,AG87,AK87)</f>
        <v>164</v>
      </c>
      <c r="AP87" s="424">
        <f>ПП!V75</f>
        <v>1510804900.73</v>
      </c>
      <c r="AQ87" s="340">
        <f>SUM(AE87,AI87,AM87)</f>
        <v>570386208.70000005</v>
      </c>
      <c r="AR87" s="281">
        <f>ПП!W75</f>
        <v>103</v>
      </c>
      <c r="AS87" s="139">
        <f>SUM(AS85:AS86)</f>
        <v>40</v>
      </c>
      <c r="AT87" s="427">
        <f>ПП!X75</f>
        <v>96813204.580000013</v>
      </c>
      <c r="AU87" s="338">
        <f>SUM(AU85:AU86)</f>
        <v>24291897.899999999</v>
      </c>
      <c r="AV87" s="156">
        <f>ПП!Y75</f>
        <v>86</v>
      </c>
      <c r="AW87" s="139">
        <f>SUM(AW85:AW86)</f>
        <v>36</v>
      </c>
      <c r="AX87" s="427">
        <f>ПП!Z75</f>
        <v>243564343.24000001</v>
      </c>
      <c r="AY87" s="338">
        <f>SUM(AY85:AY86)</f>
        <v>125296388.37</v>
      </c>
      <c r="AZ87" s="156">
        <f>ПП!AA75</f>
        <v>92</v>
      </c>
      <c r="BA87" s="139">
        <f>SUM(BA85:BA86)</f>
        <v>42</v>
      </c>
      <c r="BB87" s="427">
        <f>ПП!AB75</f>
        <v>143984129.84</v>
      </c>
      <c r="BC87" s="338">
        <f>SUM(BC85:BC86)</f>
        <v>82915843.37000002</v>
      </c>
      <c r="BD87" s="171">
        <f>ПП!AC75</f>
        <v>281</v>
      </c>
      <c r="BE87" s="175">
        <f>SUM(AS87,AW87,BA87)</f>
        <v>118</v>
      </c>
      <c r="BF87" s="424">
        <f>ПП!AD75</f>
        <v>484361677.66000009</v>
      </c>
      <c r="BG87" s="340">
        <f>SUM(AU87,AY87,BC87)</f>
        <v>232504129.64000005</v>
      </c>
      <c r="BH87" s="281">
        <f>ПП!AE75</f>
        <v>110</v>
      </c>
      <c r="BI87" s="139">
        <f>SUM(BI85:BI86)</f>
        <v>59</v>
      </c>
      <c r="BJ87" s="427">
        <f>ПП!AF75</f>
        <v>118138688.06999999</v>
      </c>
      <c r="BK87" s="338">
        <f>SUM(BK85:BK86)</f>
        <v>77792330.170000002</v>
      </c>
      <c r="BL87" s="156">
        <f>ПП!AG75</f>
        <v>113</v>
      </c>
      <c r="BM87" s="139">
        <f>SUM(BM85:BM86)</f>
        <v>71</v>
      </c>
      <c r="BN87" s="427">
        <f>ПП!AH75</f>
        <v>147471165.02999997</v>
      </c>
      <c r="BO87" s="338">
        <f>SUM(BO85:BO86)</f>
        <v>102438257.40000001</v>
      </c>
      <c r="BP87" s="156">
        <f>ПП!AI75</f>
        <v>103</v>
      </c>
      <c r="BQ87" s="139">
        <f>SUM(BQ85:BQ86)</f>
        <v>41</v>
      </c>
      <c r="BR87" s="427">
        <f>ПП!AJ75</f>
        <v>276922197.74999994</v>
      </c>
      <c r="BS87" s="338">
        <f>SUM(BS85:BS86)</f>
        <v>87919111.129999995</v>
      </c>
      <c r="BT87" s="171">
        <f>ПП!AK75</f>
        <v>326</v>
      </c>
      <c r="BU87" s="175">
        <f>SUM(BI87,BM87,BQ87)</f>
        <v>171</v>
      </c>
      <c r="BV87" s="424">
        <f>ПП!AL75</f>
        <v>542532050.8499999</v>
      </c>
      <c r="BW87" s="340">
        <f>SUM(BK87,BO87,BS87)</f>
        <v>268149698.69999999</v>
      </c>
    </row>
    <row r="88" spans="2:75" ht="13.5" thickBot="1" x14ac:dyDescent="0.25"/>
    <row r="89" spans="2:75" ht="13.5" customHeight="1" thickBot="1" x14ac:dyDescent="0.25">
      <c r="B89" s="1115" t="s">
        <v>980</v>
      </c>
      <c r="C89" s="1155"/>
      <c r="D89" s="1116"/>
    </row>
    <row r="90" spans="2:75" ht="15.75" customHeight="1" thickBot="1" x14ac:dyDescent="0.25">
      <c r="B90" s="1153" t="s">
        <v>258</v>
      </c>
      <c r="C90" s="304" t="s">
        <v>40</v>
      </c>
      <c r="D90" s="304" t="s">
        <v>981</v>
      </c>
    </row>
    <row r="91" spans="2:75" ht="13.5" thickBot="1" x14ac:dyDescent="0.25">
      <c r="B91" s="1154"/>
      <c r="C91" s="305">
        <f>ПП!B79</f>
        <v>0</v>
      </c>
      <c r="D91" s="306">
        <f>COUNTIF('Отчет РПЗ(ПЗ)_ПЗИП'!G:G,Справочно!$C32)</f>
        <v>0</v>
      </c>
    </row>
    <row r="92" spans="2:75" ht="13.5" thickBot="1" x14ac:dyDescent="0.25"/>
    <row r="93" spans="2:75" ht="13.5" thickBot="1" x14ac:dyDescent="0.25">
      <c r="B93" s="57" t="s">
        <v>154</v>
      </c>
      <c r="C93" s="97" t="s">
        <v>115</v>
      </c>
    </row>
    <row r="94" spans="2:75" x14ac:dyDescent="0.2">
      <c r="B94" s="67" t="s">
        <v>47</v>
      </c>
      <c r="C94" s="98">
        <f>COUNTIF('Отчет РПЗ(ПЗ)_ПЗИП'!$E:$E,Справочно!$E3)</f>
        <v>0</v>
      </c>
    </row>
    <row r="95" spans="2:75" ht="13.5" customHeight="1" x14ac:dyDescent="0.2">
      <c r="B95" s="67" t="s">
        <v>46</v>
      </c>
      <c r="C95" s="99">
        <f>COUNTIF('Отчет РПЗ(ПЗ)_ПЗИП'!$E:$E,Справочно!$E4)</f>
        <v>920</v>
      </c>
    </row>
    <row r="96" spans="2:75" x14ac:dyDescent="0.2">
      <c r="B96" s="67" t="s">
        <v>935</v>
      </c>
      <c r="C96" s="99">
        <f>COUNTIF('Отчет РПЗ(ПЗ)_ПЗИП'!$E:$E,Справочно!$E5)</f>
        <v>0</v>
      </c>
    </row>
    <row r="97" spans="2:75" x14ac:dyDescent="0.2">
      <c r="B97" s="67" t="s">
        <v>52</v>
      </c>
      <c r="C97" s="99">
        <f>COUNTIF('Отчет РПЗ(ПЗ)_ПЗИП'!$E:$E,Справочно!$E6)</f>
        <v>5</v>
      </c>
    </row>
    <row r="98" spans="2:75" x14ac:dyDescent="0.2">
      <c r="B98" s="67" t="s">
        <v>62</v>
      </c>
      <c r="C98" s="99">
        <f>COUNTIF('Отчет РПЗ(ПЗ)_ПЗИП'!$E:$E,Справочно!$E7)</f>
        <v>572</v>
      </c>
    </row>
    <row r="99" spans="2:75" x14ac:dyDescent="0.2">
      <c r="B99" s="67" t="s">
        <v>59</v>
      </c>
      <c r="C99" s="99">
        <f>COUNTIF('Отчет РПЗ(ПЗ)_ПЗИП'!$E:$E,Справочно!$E8)</f>
        <v>73</v>
      </c>
    </row>
    <row r="100" spans="2:75" x14ac:dyDescent="0.2">
      <c r="B100" s="67" t="s">
        <v>60</v>
      </c>
      <c r="C100" s="99">
        <f>COUNTIF('Отчет РПЗ(ПЗ)_ПЗИП'!$E:$E,Справочно!$E9)</f>
        <v>4</v>
      </c>
    </row>
    <row r="101" spans="2:75" ht="13.5" thickBot="1" x14ac:dyDescent="0.25">
      <c r="B101" s="68" t="s">
        <v>61</v>
      </c>
      <c r="C101" s="100">
        <f>COUNTIF('Отчет РПЗ(ПЗ)_ПЗИП'!$E:$E,Справочно!$E10)</f>
        <v>0</v>
      </c>
    </row>
    <row r="102" spans="2:75" ht="15.75" customHeight="1" thickBot="1" x14ac:dyDescent="0.25">
      <c r="B102" s="409" t="s">
        <v>979</v>
      </c>
      <c r="C102" s="410">
        <f>SUM(C94:C101)</f>
        <v>1574</v>
      </c>
    </row>
    <row r="104" spans="2:75" ht="15.75" thickBot="1" x14ac:dyDescent="0.3">
      <c r="B104" s="1113" t="s">
        <v>1282</v>
      </c>
      <c r="C104" s="1113"/>
      <c r="D104" s="1113"/>
      <c r="E104" s="1113"/>
      <c r="F104" s="1113"/>
      <c r="G104" s="1113"/>
      <c r="H104" s="1113"/>
      <c r="I104" s="1224"/>
      <c r="J104" s="1224"/>
      <c r="L104" s="1113" t="s">
        <v>1282</v>
      </c>
      <c r="M104" s="1113"/>
      <c r="N104" s="1113"/>
      <c r="O104" s="1113"/>
      <c r="P104" s="1113"/>
      <c r="Q104" s="1113"/>
      <c r="R104" s="1113"/>
      <c r="S104" s="1113"/>
      <c r="T104" s="1113"/>
      <c r="U104" s="1113"/>
      <c r="V104" s="1113"/>
      <c r="W104" s="1113"/>
      <c r="X104" s="1113"/>
      <c r="Y104" s="1113"/>
      <c r="Z104" s="1113"/>
      <c r="AA104" s="1113"/>
      <c r="AB104" s="1113" t="s">
        <v>1282</v>
      </c>
      <c r="AC104" s="1113"/>
      <c r="AD104" s="1113"/>
      <c r="AE104" s="1113"/>
      <c r="AF104" s="1113"/>
      <c r="AG104" s="1113"/>
      <c r="AH104" s="1113"/>
      <c r="AI104" s="1113"/>
      <c r="AJ104" s="1113"/>
      <c r="AK104" s="1113"/>
      <c r="AL104" s="1113"/>
      <c r="AM104" s="1113"/>
      <c r="AN104" s="1113"/>
      <c r="AO104" s="1113"/>
      <c r="AP104" s="1113"/>
      <c r="AQ104" s="1113"/>
      <c r="AR104" s="1113" t="s">
        <v>1282</v>
      </c>
      <c r="AS104" s="1113"/>
      <c r="AT104" s="1113"/>
      <c r="AU104" s="1113"/>
      <c r="AV104" s="1113"/>
      <c r="AW104" s="1113"/>
      <c r="AX104" s="1113"/>
      <c r="AY104" s="1113"/>
      <c r="AZ104" s="1113"/>
      <c r="BA104" s="1113"/>
      <c r="BB104" s="1113"/>
      <c r="BC104" s="1113"/>
      <c r="BD104" s="1113"/>
      <c r="BE104" s="1113"/>
      <c r="BF104" s="1113"/>
      <c r="BG104" s="1113"/>
      <c r="BH104" s="1113" t="s">
        <v>1282</v>
      </c>
      <c r="BI104" s="1113"/>
      <c r="BJ104" s="1113"/>
      <c r="BK104" s="1113"/>
      <c r="BL104" s="1113"/>
      <c r="BM104" s="1113"/>
      <c r="BN104" s="1113"/>
      <c r="BO104" s="1113"/>
      <c r="BP104" s="1113"/>
      <c r="BQ104" s="1113"/>
      <c r="BR104" s="1113"/>
      <c r="BS104" s="1113"/>
      <c r="BT104" s="1113"/>
      <c r="BU104" s="1113"/>
      <c r="BV104" s="1113"/>
      <c r="BW104" s="1113"/>
    </row>
    <row r="105" spans="2:75" ht="77.25" thickBot="1" x14ac:dyDescent="0.25">
      <c r="B105" s="478" t="s">
        <v>1273</v>
      </c>
      <c r="C105" s="483" t="s">
        <v>290</v>
      </c>
      <c r="D105" s="62" t="s">
        <v>1283</v>
      </c>
      <c r="E105" s="484" t="s">
        <v>289</v>
      </c>
      <c r="F105" s="483" t="s">
        <v>974</v>
      </c>
      <c r="G105" s="62" t="s">
        <v>1284</v>
      </c>
      <c r="H105" s="478" t="s">
        <v>976</v>
      </c>
      <c r="I105" s="1201" t="s">
        <v>1285</v>
      </c>
      <c r="J105" s="1216"/>
      <c r="L105" s="480" t="s">
        <v>289</v>
      </c>
      <c r="M105" s="481" t="s">
        <v>225</v>
      </c>
      <c r="N105" s="1201" t="s">
        <v>1285</v>
      </c>
      <c r="O105" s="1216"/>
      <c r="P105" s="481" t="s">
        <v>289</v>
      </c>
      <c r="Q105" s="481" t="s">
        <v>225</v>
      </c>
      <c r="R105" s="1201" t="s">
        <v>1285</v>
      </c>
      <c r="S105" s="1216"/>
      <c r="T105" s="481" t="s">
        <v>289</v>
      </c>
      <c r="U105" s="481" t="s">
        <v>225</v>
      </c>
      <c r="V105" s="1201" t="s">
        <v>1285</v>
      </c>
      <c r="W105" s="1216"/>
      <c r="X105" s="482" t="s">
        <v>289</v>
      </c>
      <c r="Y105" s="482" t="s">
        <v>225</v>
      </c>
      <c r="Z105" s="1201" t="s">
        <v>1285</v>
      </c>
      <c r="AA105" s="1216"/>
      <c r="AB105" s="480" t="s">
        <v>289</v>
      </c>
      <c r="AC105" s="481" t="s">
        <v>225</v>
      </c>
      <c r="AD105" s="1201" t="s">
        <v>1285</v>
      </c>
      <c r="AE105" s="1216"/>
      <c r="AF105" s="481" t="s">
        <v>289</v>
      </c>
      <c r="AG105" s="481" t="s">
        <v>225</v>
      </c>
      <c r="AH105" s="1201" t="s">
        <v>1285</v>
      </c>
      <c r="AI105" s="1216"/>
      <c r="AJ105" s="481" t="s">
        <v>289</v>
      </c>
      <c r="AK105" s="481" t="s">
        <v>225</v>
      </c>
      <c r="AL105" s="1201" t="s">
        <v>1285</v>
      </c>
      <c r="AM105" s="1216"/>
      <c r="AN105" s="482" t="s">
        <v>289</v>
      </c>
      <c r="AO105" s="482" t="s">
        <v>225</v>
      </c>
      <c r="AP105" s="1201" t="s">
        <v>1285</v>
      </c>
      <c r="AQ105" s="1216"/>
      <c r="AR105" s="480" t="s">
        <v>289</v>
      </c>
      <c r="AS105" s="481" t="s">
        <v>225</v>
      </c>
      <c r="AT105" s="1201" t="s">
        <v>1285</v>
      </c>
      <c r="AU105" s="1216"/>
      <c r="AV105" s="481" t="s">
        <v>289</v>
      </c>
      <c r="AW105" s="481" t="s">
        <v>225</v>
      </c>
      <c r="AX105" s="1201" t="s">
        <v>1285</v>
      </c>
      <c r="AY105" s="1216"/>
      <c r="AZ105" s="481" t="s">
        <v>289</v>
      </c>
      <c r="BA105" s="481" t="s">
        <v>225</v>
      </c>
      <c r="BB105" s="1201" t="s">
        <v>1285</v>
      </c>
      <c r="BC105" s="1216"/>
      <c r="BD105" s="482" t="s">
        <v>289</v>
      </c>
      <c r="BE105" s="482" t="s">
        <v>225</v>
      </c>
      <c r="BF105" s="1201" t="s">
        <v>1285</v>
      </c>
      <c r="BG105" s="1216"/>
      <c r="BH105" s="480" t="s">
        <v>289</v>
      </c>
      <c r="BI105" s="481" t="s">
        <v>225</v>
      </c>
      <c r="BJ105" s="1201" t="s">
        <v>1285</v>
      </c>
      <c r="BK105" s="1216"/>
      <c r="BL105" s="481" t="s">
        <v>289</v>
      </c>
      <c r="BM105" s="481" t="s">
        <v>225</v>
      </c>
      <c r="BN105" s="1157" t="s">
        <v>261</v>
      </c>
      <c r="BO105" s="1157"/>
      <c r="BP105" s="481" t="s">
        <v>289</v>
      </c>
      <c r="BQ105" s="481" t="s">
        <v>225</v>
      </c>
      <c r="BR105" s="1201" t="s">
        <v>1285</v>
      </c>
      <c r="BS105" s="1216"/>
      <c r="BT105" s="482" t="s">
        <v>289</v>
      </c>
      <c r="BU105" s="482" t="s">
        <v>225</v>
      </c>
      <c r="BV105" s="1201" t="s">
        <v>1285</v>
      </c>
      <c r="BW105" s="1216"/>
    </row>
    <row r="106" spans="2:75" ht="13.5" thickBot="1" x14ac:dyDescent="0.25">
      <c r="B106" s="479"/>
      <c r="C106" s="1203" t="s">
        <v>40</v>
      </c>
      <c r="D106" s="1203"/>
      <c r="E106" s="302"/>
      <c r="F106" s="1201" t="s">
        <v>247</v>
      </c>
      <c r="G106" s="1216"/>
      <c r="H106" s="303"/>
      <c r="I106" s="476" t="s">
        <v>222</v>
      </c>
      <c r="J106" s="484" t="s">
        <v>116</v>
      </c>
      <c r="L106" s="487" t="s">
        <v>40</v>
      </c>
      <c r="M106" s="477" t="s">
        <v>247</v>
      </c>
      <c r="N106" s="477" t="s">
        <v>222</v>
      </c>
      <c r="O106" s="477" t="s">
        <v>116</v>
      </c>
      <c r="P106" s="477" t="s">
        <v>40</v>
      </c>
      <c r="Q106" s="477" t="s">
        <v>247</v>
      </c>
      <c r="R106" s="477" t="s">
        <v>222</v>
      </c>
      <c r="S106" s="477" t="s">
        <v>116</v>
      </c>
      <c r="T106" s="477" t="s">
        <v>40</v>
      </c>
      <c r="U106" s="477" t="s">
        <v>247</v>
      </c>
      <c r="V106" s="477" t="s">
        <v>222</v>
      </c>
      <c r="W106" s="486" t="s">
        <v>116</v>
      </c>
      <c r="X106" s="482" t="s">
        <v>40</v>
      </c>
      <c r="Y106" s="482" t="s">
        <v>247</v>
      </c>
      <c r="Z106" s="482" t="s">
        <v>222</v>
      </c>
      <c r="AA106" s="482" t="s">
        <v>116</v>
      </c>
      <c r="AB106" s="487" t="s">
        <v>40</v>
      </c>
      <c r="AC106" s="477" t="s">
        <v>247</v>
      </c>
      <c r="AD106" s="477" t="s">
        <v>222</v>
      </c>
      <c r="AE106" s="477" t="s">
        <v>116</v>
      </c>
      <c r="AF106" s="477" t="s">
        <v>40</v>
      </c>
      <c r="AG106" s="477" t="s">
        <v>247</v>
      </c>
      <c r="AH106" s="477" t="s">
        <v>222</v>
      </c>
      <c r="AI106" s="477" t="s">
        <v>116</v>
      </c>
      <c r="AJ106" s="477" t="s">
        <v>40</v>
      </c>
      <c r="AK106" s="477" t="s">
        <v>247</v>
      </c>
      <c r="AL106" s="477" t="s">
        <v>222</v>
      </c>
      <c r="AM106" s="486" t="s">
        <v>116</v>
      </c>
      <c r="AN106" s="482" t="s">
        <v>40</v>
      </c>
      <c r="AO106" s="482" t="s">
        <v>247</v>
      </c>
      <c r="AP106" s="482" t="s">
        <v>222</v>
      </c>
      <c r="AQ106" s="482" t="s">
        <v>116</v>
      </c>
      <c r="AR106" s="487" t="s">
        <v>40</v>
      </c>
      <c r="AS106" s="477" t="s">
        <v>247</v>
      </c>
      <c r="AT106" s="477" t="s">
        <v>222</v>
      </c>
      <c r="AU106" s="477" t="s">
        <v>116</v>
      </c>
      <c r="AV106" s="477" t="s">
        <v>40</v>
      </c>
      <c r="AW106" s="477" t="s">
        <v>247</v>
      </c>
      <c r="AX106" s="477" t="s">
        <v>222</v>
      </c>
      <c r="AY106" s="477" t="s">
        <v>116</v>
      </c>
      <c r="AZ106" s="477" t="s">
        <v>40</v>
      </c>
      <c r="BA106" s="477" t="s">
        <v>247</v>
      </c>
      <c r="BB106" s="477" t="s">
        <v>222</v>
      </c>
      <c r="BC106" s="486" t="s">
        <v>116</v>
      </c>
      <c r="BD106" s="482" t="s">
        <v>40</v>
      </c>
      <c r="BE106" s="482" t="s">
        <v>247</v>
      </c>
      <c r="BF106" s="482" t="s">
        <v>222</v>
      </c>
      <c r="BG106" s="482" t="s">
        <v>116</v>
      </c>
      <c r="BH106" s="487" t="s">
        <v>40</v>
      </c>
      <c r="BI106" s="477" t="s">
        <v>247</v>
      </c>
      <c r="BJ106" s="477" t="s">
        <v>222</v>
      </c>
      <c r="BK106" s="477" t="s">
        <v>116</v>
      </c>
      <c r="BL106" s="477" t="s">
        <v>40</v>
      </c>
      <c r="BM106" s="477" t="s">
        <v>247</v>
      </c>
      <c r="BN106" s="477" t="s">
        <v>222</v>
      </c>
      <c r="BO106" s="477" t="s">
        <v>116</v>
      </c>
      <c r="BP106" s="477" t="s">
        <v>40</v>
      </c>
      <c r="BQ106" s="477" t="s">
        <v>247</v>
      </c>
      <c r="BR106" s="477" t="s">
        <v>222</v>
      </c>
      <c r="BS106" s="486" t="s">
        <v>116</v>
      </c>
      <c r="BT106" s="482" t="s">
        <v>40</v>
      </c>
      <c r="BU106" s="482" t="s">
        <v>247</v>
      </c>
      <c r="BV106" s="482" t="s">
        <v>222</v>
      </c>
      <c r="BW106" s="482" t="s">
        <v>116</v>
      </c>
    </row>
    <row r="107" spans="2:75" ht="13.5" thickBot="1" x14ac:dyDescent="0.25">
      <c r="B107" s="89" t="s">
        <v>1279</v>
      </c>
      <c r="C107" s="92">
        <f>ПП!B84</f>
        <v>5</v>
      </c>
      <c r="D107" s="412">
        <f>ПП!C84</f>
        <v>5.1813471502590676E-3</v>
      </c>
      <c r="E107" s="437">
        <f>ПП!D84</f>
        <v>10620992.9</v>
      </c>
      <c r="F107" s="297">
        <f>COUNTIFS('Отчет РПЗ(ПЗ)_ПЗИП'!$AG:$AG,"&gt;0",'Отчет РПЗ(ПЗ)_ПЗИП'!$AO:$AO,Справочно!$E16,'Отчет РПЗ(ПЗ)_ПЗИП'!$G:$G,"&lt;&gt;ЕП",'Отчет РПЗ(ПЗ)_ПЗИП'!$W:$W,"&lt;50000000")</f>
        <v>0</v>
      </c>
      <c r="G107" s="438">
        <f>F107/$E$48</f>
        <v>0</v>
      </c>
      <c r="H107" s="439">
        <f>SUMIFS('Отчет РПЗ(ПЗ)_ПЗИП'!$AG:$AG,'Отчет РПЗ(ПЗ)_ПЗИП'!$AO:$AO,Справочно!$E16,'Отчет РПЗ(ПЗ)_ПЗИП'!$G:$G,"&lt;&gt;ЕП",'Отчет РПЗ(ПЗ)_ПЗИП'!$W:$W,"&lt;50000000")</f>
        <v>0</v>
      </c>
      <c r="I107" s="508">
        <f>(IF($D$3=1,Z107,0)+IF($D$3=2,Z107+AP107,0)+IF($D$3=3,Z107+AP107+BF107,0)+IF($D$3=4,Z107+AP107+BF107+BV107,0))</f>
        <v>0</v>
      </c>
      <c r="J107" s="509" t="e">
        <f>I107/(X107+AN107+BD107+BT107)</f>
        <v>#DIV/0!</v>
      </c>
      <c r="L107" s="414">
        <f>SUMIFS('Отчет РПЗ(ПЗ)_ПЗИП'!$W:$W,'Отчет РПЗ(ПЗ)_ПЗИП'!$AO:$AO,Справочно!$E16,'Отчет РПЗ(ПЗ)_ПЗИП'!$N:$N,"&gt;=01.01.2017",'Отчет РПЗ(ПЗ)_ПЗИП'!$N:$N,"&lt;=31.01.2017",'Отчет РПЗ(ПЗ)_ПЗИП'!$AG:$AG,"&gt;0",'Отчет РПЗ(ПЗ)_ПЗИП'!$G:$G,"&lt;&gt;ЕП",'Отчет РПЗ(ПЗ)_ПЗИП'!$W:$W,"&lt;50000000")</f>
        <v>0</v>
      </c>
      <c r="M107" s="328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РПЗ(ПЗ)_ПЗИП'!$AQ:$AQ,1)</f>
        <v>0</v>
      </c>
      <c r="N107" s="328" t="str">
        <f>IF(M107=0,"НД",L107-M107)</f>
        <v>НД</v>
      </c>
      <c r="O107" s="533" t="str">
        <f>IF(M107=0, "НД", IF((N107="НД"),"НД",N107/L107))</f>
        <v>НД</v>
      </c>
      <c r="P107" s="429">
        <f>SUMIFS('Отчет РПЗ(ПЗ)_ПЗИП'!$W:$W,'Отчет РПЗ(ПЗ)_ПЗИП'!$AO:$AO,Справочно!$E16,'Отчет РПЗ(ПЗ)_ПЗИП'!$N:$N,"&gt;=01.02.2017",'Отчет РПЗ(ПЗ)_ПЗИП'!$N:$N,"&lt;=28.02.2017",'Отчет РПЗ(ПЗ)_ПЗИП'!$AG:$AG,"&gt;0",'Отчет РПЗ(ПЗ)_ПЗИП'!$G:$G,"&lt;&gt;ЕП",'Отчет РПЗ(ПЗ)_ПЗИП'!$W:$W,"&lt;50000000")</f>
        <v>0</v>
      </c>
      <c r="Q107" s="328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РПЗ(ПЗ)_ПЗИП'!$AQ:$AQ,2)</f>
        <v>0</v>
      </c>
      <c r="R107" s="328" t="str">
        <f>IF(Q107=0,"НД",P107-Q107)</f>
        <v>НД</v>
      </c>
      <c r="S107" s="533" t="str">
        <f>IF(Q107=0, "НД", IF((R107="НД"),"НД",R107/P107))</f>
        <v>НД</v>
      </c>
      <c r="T107" s="429">
        <f>SUMIFS('Отчет РПЗ(ПЗ)_ПЗИП'!$W:$W,'Отчет РПЗ(ПЗ)_ПЗИП'!$AO:$AO,Справочно!$E16,'Отчет РПЗ(ПЗ)_ПЗИП'!$N:$N,"&gt;=01.03.2017",'Отчет РПЗ(ПЗ)_ПЗИП'!$N:$N,"&lt;=31.03.2017",'Отчет РПЗ(ПЗ)_ПЗИП'!$AG:$AG,"&gt;0",'Отчет РПЗ(ПЗ)_ПЗИП'!$G:$G,"&lt;&gt;ЕП",'Отчет РПЗ(ПЗ)_ПЗИП'!$W:$W,"&lt;50000000")</f>
        <v>0</v>
      </c>
      <c r="U107" s="328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РПЗ(ПЗ)_ПЗИП'!$AQ:$AQ,3)</f>
        <v>0</v>
      </c>
      <c r="V107" s="328" t="str">
        <f>IF(U107=0,"НД",T107-U107)</f>
        <v>НД</v>
      </c>
      <c r="W107" s="533" t="str">
        <f>IF(U107=0, "НД", IF((V107="НД"),"НД",V107/T107))</f>
        <v>НД</v>
      </c>
      <c r="X107" s="534">
        <f t="shared" ref="X107:Y110" si="69">SUM(L107,P107,T107)</f>
        <v>0</v>
      </c>
      <c r="Y107" s="535">
        <f t="shared" si="69"/>
        <v>0</v>
      </c>
      <c r="Z107" s="535">
        <f>IF(Y107=0,0,X107-Y107)</f>
        <v>0</v>
      </c>
      <c r="AA107" s="536">
        <f>IF(Y107=0, 0, IF((Z107="НД"),"НД",Z107/X107))</f>
        <v>0</v>
      </c>
      <c r="AB107" s="429">
        <f>SUMIFS('Отчет РПЗ(ПЗ)_ПЗИП'!$W:$W,'Отчет РПЗ(ПЗ)_ПЗИП'!$AO:$AO,Справочно!$E16,'Отчет РПЗ(ПЗ)_ПЗИП'!$N:$N,"&gt;=01.04.2017",'Отчет РПЗ(ПЗ)_ПЗИП'!$N:$N,"&lt;=30.04.2017",'Отчет РПЗ(ПЗ)_ПЗИП'!$AG:$AG,"&gt;0",'Отчет РПЗ(ПЗ)_ПЗИП'!$G:$G,"&lt;&gt;ЕП",'Отчет РПЗ(ПЗ)_ПЗИП'!$W:$W,"&lt;50000000")</f>
        <v>0</v>
      </c>
      <c r="AC107" s="330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РПЗ(ПЗ)_ПЗИП'!$AQ:$AQ,4)</f>
        <v>0</v>
      </c>
      <c r="AD107" s="330" t="str">
        <f>IF(AC107=0,"НД",AB107-AC107)</f>
        <v>НД</v>
      </c>
      <c r="AE107" s="537" t="str">
        <f>IF(AC107=0, "НД", IF((AD107="НД"),"НД",AD107/AB107))</f>
        <v>НД</v>
      </c>
      <c r="AF107" s="429">
        <f>SUMIFS('Отчет РПЗ(ПЗ)_ПЗИП'!$W:$W,'Отчет РПЗ(ПЗ)_ПЗИП'!$AO:$AO,Справочно!$E16,'Отчет РПЗ(ПЗ)_ПЗИП'!$N:$N,"&gt;=01.05.2017",'Отчет РПЗ(ПЗ)_ПЗИП'!$N:$N,"&lt;=31.05.2017",'Отчет РПЗ(ПЗ)_ПЗИП'!$AG:$AG,"&gt;0",'Отчет РПЗ(ПЗ)_ПЗИП'!$G:$G,"&lt;&gt;ЕП",'Отчет РПЗ(ПЗ)_ПЗИП'!$W:$W,"&lt;50000000")</f>
        <v>0</v>
      </c>
      <c r="AG107" s="330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РПЗ(ПЗ)_ПЗИП'!$AQ:$AQ,5)</f>
        <v>0</v>
      </c>
      <c r="AH107" s="330" t="str">
        <f>IF(AG107=0,"НД",AF107-AG107)</f>
        <v>НД</v>
      </c>
      <c r="AI107" s="537" t="str">
        <f>IF(AG107=0, "НД", IF((AH107="НД"),"НД",AH107/AF107))</f>
        <v>НД</v>
      </c>
      <c r="AJ107" s="429">
        <f>SUMIFS('Отчет РПЗ(ПЗ)_ПЗИП'!$W:$W,'Отчет РПЗ(ПЗ)_ПЗИП'!$AO:$AO,Справочно!$E16,'Отчет РПЗ(ПЗ)_ПЗИП'!$N:$N,"&gt;=01.06.2017",'Отчет РПЗ(ПЗ)_ПЗИП'!$N:$N,"&lt;=30.06.2017",'Отчет РПЗ(ПЗ)_ПЗИП'!$AG:$AG,"&gt;0",'Отчет РПЗ(ПЗ)_ПЗИП'!$G:$G,"&lt;&gt;ЕП",'Отчет РПЗ(ПЗ)_ПЗИП'!$W:$W,"&lt;50000000")</f>
        <v>0</v>
      </c>
      <c r="AK107" s="330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РПЗ(ПЗ)_ПЗИП'!$AQ:$AQ,6)</f>
        <v>0</v>
      </c>
      <c r="AL107" s="330" t="str">
        <f>IF(AK107=0,"НД",AJ107-AK107)</f>
        <v>НД</v>
      </c>
      <c r="AM107" s="537" t="str">
        <f>IF(AK107=0, "НД", IF((AL107="НД"),"НД",AL107/AJ107))</f>
        <v>НД</v>
      </c>
      <c r="AN107" s="534">
        <f t="shared" ref="AN107:AO110" si="70">SUM(AB107,AF107,AJ107)</f>
        <v>0</v>
      </c>
      <c r="AO107" s="538">
        <f t="shared" si="70"/>
        <v>0</v>
      </c>
      <c r="AP107" s="538">
        <f>IF(AO107=0,0,AN107-AO107)</f>
        <v>0</v>
      </c>
      <c r="AQ107" s="539">
        <f>IF(AO107=0, 0, IF((AP107="НД"),"НД",AP107/AN107))</f>
        <v>0</v>
      </c>
      <c r="AR107" s="429">
        <f>SUMIFS('Отчет РПЗ(ПЗ)_ПЗИП'!$W:$W,'Отчет РПЗ(ПЗ)_ПЗИП'!$AO:$AO,Справочно!$E16,'Отчет РПЗ(ПЗ)_ПЗИП'!$N:$N,"&gt;=01.07.2017",'Отчет РПЗ(ПЗ)_ПЗИП'!$N:$N,"&lt;=31.07.2017",'Отчет РПЗ(ПЗ)_ПЗИП'!$AG:$AG,"&gt;0",'Отчет РПЗ(ПЗ)_ПЗИП'!$G:$G,"&lt;&gt;ЕП",'Отчет РПЗ(ПЗ)_ПЗИП'!$W:$W,"&lt;50000000")</f>
        <v>0</v>
      </c>
      <c r="AS107" s="332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РПЗ(ПЗ)_ПЗИП'!$AQ:$AQ,7)</f>
        <v>0</v>
      </c>
      <c r="AT107" s="332" t="str">
        <f>IF(AS107=0,"НД",AR107-AS107)</f>
        <v>НД</v>
      </c>
      <c r="AU107" s="249" t="str">
        <f>IF(AS107=0, "НД", IF((AT107="НД"),"НД",AT107/AR107))</f>
        <v>НД</v>
      </c>
      <c r="AV107" s="429">
        <f>SUMIFS('Отчет РПЗ(ПЗ)_ПЗИП'!$W:$W,'Отчет РПЗ(ПЗ)_ПЗИП'!$AO:$AO,Справочно!$E16,'Отчет РПЗ(ПЗ)_ПЗИП'!$N:$N,"&gt;=01.08.2017",'Отчет РПЗ(ПЗ)_ПЗИП'!$N:$N,"&lt;=31.08.2017",'Отчет РПЗ(ПЗ)_ПЗИП'!$AG:$AG,"&gt;0",'Отчет РПЗ(ПЗ)_ПЗИП'!$G:$G,"&lt;&gt;ЕП",'Отчет РПЗ(ПЗ)_ПЗИП'!$W:$W,"&lt;50000000")</f>
        <v>0</v>
      </c>
      <c r="AW107" s="332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РПЗ(ПЗ)_ПЗИП'!$AQ:$AQ,8)</f>
        <v>0</v>
      </c>
      <c r="AX107" s="332" t="str">
        <f>IF(AW107=0,"НД",AV107-AW107)</f>
        <v>НД</v>
      </c>
      <c r="AY107" s="251" t="str">
        <f>IF(AW107=0, "НД", IF((AX107="НД"),"НД",AX107/AV107))</f>
        <v>НД</v>
      </c>
      <c r="AZ107" s="429">
        <f>SUMIFS('Отчет РПЗ(ПЗ)_ПЗИП'!$W:$W,'Отчет РПЗ(ПЗ)_ПЗИП'!$AO:$AO,Справочно!$E16,'Отчет РПЗ(ПЗ)_ПЗИП'!$N:$N,"&gt;=01.09.2017",'Отчет РПЗ(ПЗ)_ПЗИП'!$N:$N,"&lt;=30.09.2017",'Отчет РПЗ(ПЗ)_ПЗИП'!$AG:$AG,"&gt;0",'Отчет РПЗ(ПЗ)_ПЗИП'!$G:$G,"&lt;&gt;ЕП",'Отчет РПЗ(ПЗ)_ПЗИП'!$W:$W,"&lt;50000000")</f>
        <v>0</v>
      </c>
      <c r="BA107" s="332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РПЗ(ПЗ)_ПЗИП'!$AQ:$AQ,9)</f>
        <v>0</v>
      </c>
      <c r="BB107" s="332" t="str">
        <f>IF(BA107=0,"НД",AZ107-BA107)</f>
        <v>НД</v>
      </c>
      <c r="BC107" s="251" t="str">
        <f>IF(BA107=0, "НД", IF((BB107="НД"),"НД",BB107/AZ107))</f>
        <v>НД</v>
      </c>
      <c r="BD107" s="534">
        <f t="shared" ref="BD107:BE110" si="71">SUM(AR107,AV107,AZ107)</f>
        <v>0</v>
      </c>
      <c r="BE107" s="540">
        <f t="shared" si="71"/>
        <v>0</v>
      </c>
      <c r="BF107" s="540">
        <f>IF(BE107=0,0,BD107-BE107)</f>
        <v>0</v>
      </c>
      <c r="BG107" s="541">
        <f>IF(BE107=0, 0, IF((BF107="НД"),"НД",BF107/BD107))</f>
        <v>0</v>
      </c>
      <c r="BH107" s="429">
        <f>SUMIFS('Отчет РПЗ(ПЗ)_ПЗИП'!$W:$W,'Отчет РПЗ(ПЗ)_ПЗИП'!$AO:$AO,Справочно!$E16,'Отчет РПЗ(ПЗ)_ПЗИП'!$N:$N,"&gt;=01.10.2017",'Отчет РПЗ(ПЗ)_ПЗИП'!$N:$N,"&lt;=30.10.2017",'Отчет РПЗ(ПЗ)_ПЗИП'!$AG:$AG,"&gt;0",'Отчет РПЗ(ПЗ)_ПЗИП'!$G:$G,"&lt;&gt;ЕП",'Отчет РПЗ(ПЗ)_ПЗИП'!$W:$W,"&lt;50000000")</f>
        <v>0</v>
      </c>
      <c r="BI107" s="334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РПЗ(ПЗ)_ПЗИП'!$AQ:$AQ,10)</f>
        <v>0</v>
      </c>
      <c r="BJ107" s="334" t="str">
        <f>IF(BI107=0,"НД",BH107-BI107)</f>
        <v>НД</v>
      </c>
      <c r="BK107" s="253" t="str">
        <f>IF(BI107=0, "НД", IF((BJ107="НД"),"НД",BJ107/BH107))</f>
        <v>НД</v>
      </c>
      <c r="BL107" s="429">
        <f>SUMIFS('Отчет РПЗ(ПЗ)_ПЗИП'!$W:$W,'Отчет РПЗ(ПЗ)_ПЗИП'!$AO:$AO,Справочно!$E16,'Отчет РПЗ(ПЗ)_ПЗИП'!$N:$N,"&gt;=01.11.2017",'Отчет РПЗ(ПЗ)_ПЗИП'!$N:$N,"&lt;=30.11.2017",'Отчет РПЗ(ПЗ)_ПЗИП'!$AG:$AG,"&gt;0",'Отчет РПЗ(ПЗ)_ПЗИП'!$G:$G,"&lt;&gt;ЕП",'Отчет РПЗ(ПЗ)_ПЗИП'!$W:$W,"&lt;50000000")</f>
        <v>0</v>
      </c>
      <c r="BM107" s="334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РПЗ(ПЗ)_ПЗИП'!$AQ:$AQ,11)</f>
        <v>0</v>
      </c>
      <c r="BN107" s="334" t="str">
        <f>IF(BM107=0,"НД",BL107-BM107)</f>
        <v>НД</v>
      </c>
      <c r="BO107" s="253" t="str">
        <f>IF(BM107=0, "НД", IF((BN107="НД"),"НД",BN107/BL107))</f>
        <v>НД</v>
      </c>
      <c r="BP107" s="429">
        <f>SUMIFS('Отчет РПЗ(ПЗ)_ПЗИП'!$W:$W,'Отчет РПЗ(ПЗ)_ПЗИП'!$AO:$AO,Справочно!$E16,'Отчет РПЗ(ПЗ)_ПЗИП'!$N:$N,"&gt;=01.12.2017",'Отчет РПЗ(ПЗ)_ПЗИП'!$N:$N,"&lt;=31.12.2017",'Отчет РПЗ(ПЗ)_ПЗИП'!$AG:$AG,"&gt;0",'Отчет РПЗ(ПЗ)_ПЗИП'!$G:$G,"&lt;&gt;ЕП",'Отчет РПЗ(ПЗ)_ПЗИП'!$W:$W,"&lt;50000000")</f>
        <v>0</v>
      </c>
      <c r="BQ107" s="334">
        <f>SUMIFS('Отчет РПЗ(ПЗ)_ПЗИП'!$AG:$AG,'Отчет РПЗ(ПЗ)_ПЗИП'!$AO:$AO,Справочно!$E16,'Отчет РПЗ(ПЗ)_ПЗИП'!$G:$G,"&lt;&gt;ЕП",'Отчет РПЗ(ПЗ)_ПЗИП'!$W:$W,"&lt;50000000",'Отчет РПЗ(ПЗ)_ПЗИП'!$AQ:$AQ,12)</f>
        <v>0</v>
      </c>
      <c r="BR107" s="334" t="str">
        <f>IF(BQ107=0,"НД",BP107-BQ107)</f>
        <v>НД</v>
      </c>
      <c r="BS107" s="255" t="str">
        <f>IF(BQ107=0, "НД", IF((BR107="НД"),"НД",BR107/BP107))</f>
        <v>НД</v>
      </c>
      <c r="BT107" s="534">
        <f t="shared" ref="BT107:BU110" si="72">SUM(BH107,BL107,BP107)</f>
        <v>0</v>
      </c>
      <c r="BU107" s="542">
        <f t="shared" si="72"/>
        <v>0</v>
      </c>
      <c r="BV107" s="542">
        <f>IF(BU107=0,0,BT107-BU107)</f>
        <v>0</v>
      </c>
      <c r="BW107" s="543">
        <f>IF(BU107=0, 0, IF((BV107="НД"),"НД",BV107/BT107))</f>
        <v>0</v>
      </c>
    </row>
    <row r="108" spans="2:75" ht="13.5" thickBot="1" x14ac:dyDescent="0.25">
      <c r="B108" s="488" t="s">
        <v>1274</v>
      </c>
      <c r="C108" s="92">
        <f>ПП!B85</f>
        <v>0</v>
      </c>
      <c r="D108" s="412">
        <f>ПП!C85</f>
        <v>0</v>
      </c>
      <c r="E108" s="437">
        <f>ПП!D85</f>
        <v>0</v>
      </c>
      <c r="F108" s="297">
        <f>COUNTIFS('Отчет РПЗ(ПЗ)_ПЗИП'!$AG:$AG,"&gt;0",'Отчет РПЗ(ПЗ)_ПЗИП'!$AO:$AO,Справочно!$E16,'Отчет РПЗ(ПЗ)_ПЗИП'!$G:$G,"&lt;&gt;ЕП",'Отчет РПЗ(ПЗ)_ПЗИП'!$W:$W,"&gt;=50000000")</f>
        <v>0</v>
      </c>
      <c r="G108" s="438">
        <f>F108/$E$48</f>
        <v>0</v>
      </c>
      <c r="H108" s="439">
        <f>SUMIFS('Отчет РПЗ(ПЗ)_ПЗИП'!$AG:$AG,'Отчет РПЗ(ПЗ)_ПЗИП'!$AO:$AO,Справочно!$E16,'Отчет РПЗ(ПЗ)_ПЗИП'!$G:$G,"&lt;&gt;ЕП",'Отчет РПЗ(ПЗ)_ПЗИП'!$W:$W,"&gt;=50000000")</f>
        <v>0</v>
      </c>
      <c r="I108" s="507">
        <f>(IF($D$3=1,Z108,0)+IF($D$3=2,Z108+AP108,0)+IF($D$3=3,Z108+AP108+BF108,0)+IF($D$3=4,Z108+AP108+BF108+BV108,0))</f>
        <v>0</v>
      </c>
      <c r="J108" s="509" t="e">
        <f>I108/(X108+AN108+BD108+BT108)</f>
        <v>#DIV/0!</v>
      </c>
      <c r="L108" s="547">
        <f>SUMIFS('Отчет РПЗ(ПЗ)_ПЗИП'!$W:$W,'Отчет РПЗ(ПЗ)_ПЗИП'!$AO:$AO,Справочно!$E16,'Отчет РПЗ(ПЗ)_ПЗИП'!$N:$N,"&gt;=01.01.2017",'Отчет РПЗ(ПЗ)_ПЗИП'!$N:$N,"&lt;=31.01.2017",'Отчет РПЗ(ПЗ)_ПЗИП'!$AG:$AG,"&gt;0",'Отчет РПЗ(ПЗ)_ПЗИП'!$G:$G,"&lt;&gt;ЕП",'Отчет РПЗ(ПЗ)_ПЗИП'!$W:$W,"&gt;=50000000")</f>
        <v>0</v>
      </c>
      <c r="M108" s="515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РПЗ(ПЗ)_ПЗИП'!$AQ:$AQ,1)</f>
        <v>0</v>
      </c>
      <c r="N108" s="337" t="str">
        <f>IF(M108=0,"НД",L108-M108)</f>
        <v>НД</v>
      </c>
      <c r="O108" s="516" t="str">
        <f>IF(M108=0, "НД", IF((N108="НД"),"НД",N108/L108))</f>
        <v>НД</v>
      </c>
      <c r="P108" s="431">
        <f>SUMIFS('Отчет РПЗ(ПЗ)_ПЗИП'!$W:$W,'Отчет РПЗ(ПЗ)_ПЗИП'!$AO:$AO,Справочно!$E16,'Отчет РПЗ(ПЗ)_ПЗИП'!$N:$N,"&gt;=01.02.2017",'Отчет РПЗ(ПЗ)_ПЗИП'!$N:$N,"&lt;=28.02.2017",'Отчет РПЗ(ПЗ)_ПЗИП'!$AG:$AG,"&gt;0",'Отчет РПЗ(ПЗ)_ПЗИП'!$G:$G,"&lt;&gt;ЕП",'Отчет РПЗ(ПЗ)_ПЗИП'!$W:$W,"&gt;=50000000")</f>
        <v>0</v>
      </c>
      <c r="Q108" s="515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РПЗ(ПЗ)_ПЗИП'!$AQ:$AQ,2)</f>
        <v>0</v>
      </c>
      <c r="R108" s="337" t="str">
        <f>IF(Q108=0,"НД",P108-Q108)</f>
        <v>НД</v>
      </c>
      <c r="S108" s="516" t="str">
        <f>IF(Q108=0, "НД", IF((R108="НД"),"НД",R108/P108))</f>
        <v>НД</v>
      </c>
      <c r="T108" s="431">
        <f>SUMIFS('Отчет РПЗ(ПЗ)_ПЗИП'!$W:$W,'Отчет РПЗ(ПЗ)_ПЗИП'!$AO:$AO,Справочно!$E16,'Отчет РПЗ(ПЗ)_ПЗИП'!$N:$N,"&gt;=01.03.2017",'Отчет РПЗ(ПЗ)_ПЗИП'!$N:$N,"&lt;=31.03.2017",'Отчет РПЗ(ПЗ)_ПЗИП'!$AG:$AG,"&gt;0",'Отчет РПЗ(ПЗ)_ПЗИП'!$G:$G,"&lt;&gt;ЕП",'Отчет РПЗ(ПЗ)_ПЗИП'!$W:$W,"&gt;=50000000")</f>
        <v>0</v>
      </c>
      <c r="U108" s="515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РПЗ(ПЗ)_ПЗИП'!$AQ:$AQ,3)</f>
        <v>0</v>
      </c>
      <c r="V108" s="337" t="str">
        <f>IF(U108=0,"НД",T108-U108)</f>
        <v>НД</v>
      </c>
      <c r="W108" s="516" t="str">
        <f>IF(U108=0, "НД", IF((V108="НД"),"НД",V108/T108))</f>
        <v>НД</v>
      </c>
      <c r="X108" s="517">
        <f t="shared" si="69"/>
        <v>0</v>
      </c>
      <c r="Y108" s="518">
        <f t="shared" si="69"/>
        <v>0</v>
      </c>
      <c r="Z108" s="518">
        <f>IF(Y108=0,0,X108-Y108)</f>
        <v>0</v>
      </c>
      <c r="AA108" s="519">
        <f>IF(Y108=0, 0, IF((Z108="НД"),"НД",Z108/X108))</f>
        <v>0</v>
      </c>
      <c r="AB108" s="431">
        <f>SUMIFS('Отчет РПЗ(ПЗ)_ПЗИП'!$W:$W,'Отчет РПЗ(ПЗ)_ПЗИП'!$AO:$AO,Справочно!$E16,'Отчет РПЗ(ПЗ)_ПЗИП'!$N:$N,"&gt;=01.04.2017",'Отчет РПЗ(ПЗ)_ПЗИП'!$N:$N,"&lt;=30.04.2017",'Отчет РПЗ(ПЗ)_ПЗИП'!$AG:$AG,"&gt;0",'Отчет РПЗ(ПЗ)_ПЗИП'!$G:$G,"&lt;&gt;ЕП",'Отчет РПЗ(ПЗ)_ПЗИП'!$W:$W,"&gt;=50000000")</f>
        <v>0</v>
      </c>
      <c r="AC108" s="520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РПЗ(ПЗ)_ПЗИП'!$AQ:$AQ,4)</f>
        <v>0</v>
      </c>
      <c r="AD108" s="520" t="str">
        <f>IF(AC108=0,"НД",AB108-AC108)</f>
        <v>НД</v>
      </c>
      <c r="AE108" s="521" t="str">
        <f>IF(AC108=0, "НД", IF((AD108="НД"),"НД",AD108/AB108))</f>
        <v>НД</v>
      </c>
      <c r="AF108" s="431">
        <f>SUMIFS('Отчет РПЗ(ПЗ)_ПЗИП'!$W:$W,'Отчет РПЗ(ПЗ)_ПЗИП'!$AO:$AO,Справочно!$E16,'Отчет РПЗ(ПЗ)_ПЗИП'!$N:$N,"&gt;=01.05.2017",'Отчет РПЗ(ПЗ)_ПЗИП'!$N:$N,"&lt;=31.05.2017",'Отчет РПЗ(ПЗ)_ПЗИП'!$AG:$AG,"&gt;0",'Отчет РПЗ(ПЗ)_ПЗИП'!$G:$G,"&lt;&gt;ЕП",'Отчет РПЗ(ПЗ)_ПЗИП'!$W:$W,"&gt;=50000000")</f>
        <v>0</v>
      </c>
      <c r="AG108" s="520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РПЗ(ПЗ)_ПЗИП'!$AQ:$AQ,5)</f>
        <v>0</v>
      </c>
      <c r="AH108" s="520" t="str">
        <f>IF(AG108=0,"НД",AF108-AG108)</f>
        <v>НД</v>
      </c>
      <c r="AI108" s="521" t="str">
        <f>IF(AG108=0, "НД", IF((AH108="НД"),"НД",AH108/AF108))</f>
        <v>НД</v>
      </c>
      <c r="AJ108" s="431">
        <f>SUMIFS('Отчет РПЗ(ПЗ)_ПЗИП'!$W:$W,'Отчет РПЗ(ПЗ)_ПЗИП'!$AO:$AO,Справочно!$E16,'Отчет РПЗ(ПЗ)_ПЗИП'!$N:$N,"&gt;=01.06.2017",'Отчет РПЗ(ПЗ)_ПЗИП'!$N:$N,"&lt;=30.06.2017",'Отчет РПЗ(ПЗ)_ПЗИП'!$AG:$AG,"&gt;0",'Отчет РПЗ(ПЗ)_ПЗИП'!$G:$G,"&lt;&gt;ЕП",'Отчет РПЗ(ПЗ)_ПЗИП'!$W:$W,"&gt;=50000000")</f>
        <v>0</v>
      </c>
      <c r="AK108" s="520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РПЗ(ПЗ)_ПЗИП'!$AQ:$AQ,6)</f>
        <v>0</v>
      </c>
      <c r="AL108" s="520" t="str">
        <f>IF(AK108=0,"НД",AJ108-AK108)</f>
        <v>НД</v>
      </c>
      <c r="AM108" s="521" t="str">
        <f>IF(AK108=0, "НД", IF((AL108="НД"),"НД",AL108/AJ108))</f>
        <v>НД</v>
      </c>
      <c r="AN108" s="517">
        <f t="shared" si="70"/>
        <v>0</v>
      </c>
      <c r="AO108" s="522">
        <f t="shared" si="70"/>
        <v>0</v>
      </c>
      <c r="AP108" s="522">
        <f>IF(AO108=0,0,AN108-AO108)</f>
        <v>0</v>
      </c>
      <c r="AQ108" s="523">
        <f>IF(AO108=0, 0, IF((AP108="НД"),"НД",AP108/AN108))</f>
        <v>0</v>
      </c>
      <c r="AR108" s="431">
        <f>SUMIFS('Отчет РПЗ(ПЗ)_ПЗИП'!$W:$W,'Отчет РПЗ(ПЗ)_ПЗИП'!$AO:$AO,Справочно!$E16,'Отчет РПЗ(ПЗ)_ПЗИП'!$N:$N,"&gt;=01.07.2017",'Отчет РПЗ(ПЗ)_ПЗИП'!$N:$N,"&lt;=31.07.2017",'Отчет РПЗ(ПЗ)_ПЗИП'!$AG:$AG,"&gt;0",'Отчет РПЗ(ПЗ)_ПЗИП'!$G:$G,"&lt;&gt;ЕП",'Отчет РПЗ(ПЗ)_ПЗИП'!$W:$W,"&gt;=50000000")</f>
        <v>0</v>
      </c>
      <c r="AS108" s="524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РПЗ(ПЗ)_ПЗИП'!$AQ:$AQ,7)</f>
        <v>0</v>
      </c>
      <c r="AT108" s="377" t="str">
        <f>IF(AS108=0,"НД",AR108-AS108)</f>
        <v>НД</v>
      </c>
      <c r="AU108" s="525" t="str">
        <f>IF(AS108=0, "НД", IF((AT108="НД"),"НД",AT108/AR108))</f>
        <v>НД</v>
      </c>
      <c r="AV108" s="431">
        <f>SUMIFS('Отчет РПЗ(ПЗ)_ПЗИП'!$W:$W,'Отчет РПЗ(ПЗ)_ПЗИП'!$AO:$AO,Справочно!$E16,'Отчет РПЗ(ПЗ)_ПЗИП'!$N:$N,"&gt;=01.08.2017",'Отчет РПЗ(ПЗ)_ПЗИП'!$N:$N,"&lt;=31.08.2017",'Отчет РПЗ(ПЗ)_ПЗИП'!$AG:$AG,"&gt;0",'Отчет РПЗ(ПЗ)_ПЗИП'!$G:$G,"&lt;&gt;ЕП",'Отчет РПЗ(ПЗ)_ПЗИП'!$W:$W,"&gt;=50000000")</f>
        <v>0</v>
      </c>
      <c r="AW108" s="524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РПЗ(ПЗ)_ПЗИП'!$AQ:$AQ,8)</f>
        <v>0</v>
      </c>
      <c r="AX108" s="377" t="str">
        <f>IF(AW108=0,"НД",AV108-AW108)</f>
        <v>НД</v>
      </c>
      <c r="AY108" s="525" t="str">
        <f>IF(AW108=0, "НД", IF((AX108="НД"),"НД",AX108/AV108))</f>
        <v>НД</v>
      </c>
      <c r="AZ108" s="431">
        <f>SUMIFS('Отчет РПЗ(ПЗ)_ПЗИП'!$W:$W,'Отчет РПЗ(ПЗ)_ПЗИП'!$AO:$AO,Справочно!$E16,'Отчет РПЗ(ПЗ)_ПЗИП'!$N:$N,"&gt;=01.09.2017",'Отчет РПЗ(ПЗ)_ПЗИП'!$N:$N,"&lt;=30.09.2017",'Отчет РПЗ(ПЗ)_ПЗИП'!$AG:$AG,"&gt;0",'Отчет РПЗ(ПЗ)_ПЗИП'!$G:$G,"&lt;&gt;ЕП",'Отчет РПЗ(ПЗ)_ПЗИП'!$W:$W,"&gt;=50000000")</f>
        <v>0</v>
      </c>
      <c r="BA108" s="524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РПЗ(ПЗ)_ПЗИП'!$AQ:$AQ,9)</f>
        <v>0</v>
      </c>
      <c r="BB108" s="377" t="str">
        <f>IF(BA108=0,"НД",AZ108-BA108)</f>
        <v>НД</v>
      </c>
      <c r="BC108" s="525" t="str">
        <f>IF(BA108=0, "НД", IF((BB108="НД"),"НД",BB108/AZ108))</f>
        <v>НД</v>
      </c>
      <c r="BD108" s="517">
        <f t="shared" si="71"/>
        <v>0</v>
      </c>
      <c r="BE108" s="526">
        <f t="shared" si="71"/>
        <v>0</v>
      </c>
      <c r="BF108" s="526">
        <f>IF(BE108=0,0,BD108-BE108)</f>
        <v>0</v>
      </c>
      <c r="BG108" s="527">
        <f>IF(BE108=0, 0, IF((BF108="НД"),"НД",BF108/BD108))</f>
        <v>0</v>
      </c>
      <c r="BH108" s="431">
        <f>SUMIFS('Отчет РПЗ(ПЗ)_ПЗИП'!$W:$W,'Отчет РПЗ(ПЗ)_ПЗИП'!$AO:$AO,Справочно!$E16,'Отчет РПЗ(ПЗ)_ПЗИП'!$N:$N,"&gt;=01.10.2017",'Отчет РПЗ(ПЗ)_ПЗИП'!$N:$N,"&lt;=30.10.2017",'Отчет РПЗ(ПЗ)_ПЗИП'!$AG:$AG,"&gt;0",'Отчет РПЗ(ПЗ)_ПЗИП'!$G:$G,"&lt;&gt;ЕП",'Отчет РПЗ(ПЗ)_ПЗИП'!$W:$W,"&gt;=50000000")</f>
        <v>0</v>
      </c>
      <c r="BI108" s="528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РПЗ(ПЗ)_ПЗИП'!$AQ:$AQ,10)</f>
        <v>0</v>
      </c>
      <c r="BJ108" s="378" t="str">
        <f>IF(BI108=0,"НД",BH108-BI108)</f>
        <v>НД</v>
      </c>
      <c r="BK108" s="529" t="str">
        <f>IF(BI108=0, "НД", IF((BJ108="НД"),"НД",BJ108/BH108))</f>
        <v>НД</v>
      </c>
      <c r="BL108" s="431">
        <f>SUMIFS('Отчет РПЗ(ПЗ)_ПЗИП'!$W:$W,'Отчет РПЗ(ПЗ)_ПЗИП'!$AO:$AO,Справочно!$E16,'Отчет РПЗ(ПЗ)_ПЗИП'!$N:$N,"&gt;=01.11.2017",'Отчет РПЗ(ПЗ)_ПЗИП'!$N:$N,"&lt;=30.11.2017",'Отчет РПЗ(ПЗ)_ПЗИП'!$AG:$AG,"&gt;0",'Отчет РПЗ(ПЗ)_ПЗИП'!$G:$G,"&lt;&gt;ЕП",'Отчет РПЗ(ПЗ)_ПЗИП'!$W:$W,"&gt;=50000000")</f>
        <v>0</v>
      </c>
      <c r="BM108" s="528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РПЗ(ПЗ)_ПЗИП'!$AQ:$AQ,11)</f>
        <v>0</v>
      </c>
      <c r="BN108" s="378" t="str">
        <f>IF(BM108=0,"НД",BL108-BM108)</f>
        <v>НД</v>
      </c>
      <c r="BO108" s="529" t="str">
        <f>IF(BM108=0, "НД", IF((BN108="НД"),"НД",BN108/BL108))</f>
        <v>НД</v>
      </c>
      <c r="BP108" s="431">
        <f>SUMIFS('Отчет РПЗ(ПЗ)_ПЗИП'!$W:$W,'Отчет РПЗ(ПЗ)_ПЗИП'!$AO:$AO,Справочно!$E16,'Отчет РПЗ(ПЗ)_ПЗИП'!$N:$N,"&gt;=01.12.2017",'Отчет РПЗ(ПЗ)_ПЗИП'!$N:$N,"&lt;=31.12.2017",'Отчет РПЗ(ПЗ)_ПЗИП'!$AG:$AG,"&gt;0",'Отчет РПЗ(ПЗ)_ПЗИП'!$G:$G,"&lt;&gt;ЕП",'Отчет РПЗ(ПЗ)_ПЗИП'!$W:$W,"&gt;=50000000")</f>
        <v>0</v>
      </c>
      <c r="BQ108" s="528">
        <f>SUMIFS('Отчет РПЗ(ПЗ)_ПЗИП'!$AG:$AG,'Отчет РПЗ(ПЗ)_ПЗИП'!$AO:$AO,Справочно!$E16,'Отчет РПЗ(ПЗ)_ПЗИП'!$G:$G,"&lt;&gt;ЕП",'Отчет РПЗ(ПЗ)_ПЗИП'!$W:$W,"&gt;=50000000",'Отчет РПЗ(ПЗ)_ПЗИП'!$AQ:$AQ,12)</f>
        <v>0</v>
      </c>
      <c r="BR108" s="378" t="str">
        <f>IF(BQ108=0,"НД",BP108-BQ108)</f>
        <v>НД</v>
      </c>
      <c r="BS108" s="530" t="str">
        <f>IF(BQ108=0, "НД", IF((BR108="НД"),"НД",BR108/BP108))</f>
        <v>НД</v>
      </c>
      <c r="BT108" s="517">
        <f t="shared" si="72"/>
        <v>0</v>
      </c>
      <c r="BU108" s="531">
        <f t="shared" si="72"/>
        <v>0</v>
      </c>
      <c r="BV108" s="531">
        <f>IF(BU108=0,0,BT108-BU108)</f>
        <v>0</v>
      </c>
      <c r="BW108" s="532">
        <f>IF(BU108=0, 0, IF((BV108="НД"),"НД",BV108/BT108))</f>
        <v>0</v>
      </c>
    </row>
    <row r="109" spans="2:75" ht="13.5" thickBot="1" x14ac:dyDescent="0.25">
      <c r="B109" s="70" t="s">
        <v>1275</v>
      </c>
      <c r="C109" s="92">
        <f>ПП!B86</f>
        <v>5</v>
      </c>
      <c r="D109" s="412">
        <f>ПП!C86</f>
        <v>5.1813471502590676E-3</v>
      </c>
      <c r="E109" s="437">
        <f>ПП!D86</f>
        <v>10620992.9</v>
      </c>
      <c r="F109" s="139">
        <f>SUM(F107:F108)</f>
        <v>0</v>
      </c>
      <c r="G109" s="503">
        <f>SUM(G107:G108)</f>
        <v>0</v>
      </c>
      <c r="H109" s="339">
        <f>SUM(H107:H108)</f>
        <v>0</v>
      </c>
      <c r="I109" s="504">
        <f>SUM(I107:I108)</f>
        <v>0</v>
      </c>
      <c r="J109" s="270" t="e">
        <f>I109/(X109+AN109+BD109+BT109)</f>
        <v>#DIV/0!</v>
      </c>
      <c r="L109" s="396">
        <f>SUM(L107:L108)</f>
        <v>0</v>
      </c>
      <c r="M109" s="434">
        <f>SUM(M107:M108)</f>
        <v>0</v>
      </c>
      <c r="N109" s="434">
        <f>SUM(N107:N108)</f>
        <v>0</v>
      </c>
      <c r="O109" s="544" t="str">
        <f>IF(M109=0, "НД", IF((N109="НД"),"НД",N109/L109))</f>
        <v>НД</v>
      </c>
      <c r="P109" s="434">
        <f>SUM(P107:P108)</f>
        <v>0</v>
      </c>
      <c r="Q109" s="434">
        <f>SUM(Q107:Q108)</f>
        <v>0</v>
      </c>
      <c r="R109" s="338" t="str">
        <f>IF(Q109=0,"НД",P109-Q109)</f>
        <v>НД</v>
      </c>
      <c r="S109" s="544" t="str">
        <f>IF(Q109=0, "НД", IF((R109="НД"),"НД",R109/P109))</f>
        <v>НД</v>
      </c>
      <c r="T109" s="434">
        <f>SUM(T107:T108)</f>
        <v>0</v>
      </c>
      <c r="U109" s="434">
        <f>SUM(U107:U108)</f>
        <v>0</v>
      </c>
      <c r="V109" s="338" t="str">
        <f>IF(U109=0,"НД",T109-U109)</f>
        <v>НД</v>
      </c>
      <c r="W109" s="544" t="str">
        <f>IF(U109=0, "НД", IF((V109="НД"),"НД",V109/T109))</f>
        <v>НД</v>
      </c>
      <c r="X109" s="340">
        <f t="shared" si="69"/>
        <v>0</v>
      </c>
      <c r="Y109" s="340">
        <f t="shared" si="69"/>
        <v>0</v>
      </c>
      <c r="Z109" s="340">
        <f>IF(Y109=0,0,X109-Y109)</f>
        <v>0</v>
      </c>
      <c r="AA109" s="505">
        <f>IF(Y109=0, 0, IF((Z109="НД"),"НД",Z109/X109))</f>
        <v>0</v>
      </c>
      <c r="AB109" s="434">
        <f>SUM(AB107:AB108)</f>
        <v>0</v>
      </c>
      <c r="AC109" s="434">
        <f>SUM(AC107:AC108)</f>
        <v>0</v>
      </c>
      <c r="AD109" s="338" t="str">
        <f>IF(AC109=0,"НД",AB109-AC109)</f>
        <v>НД</v>
      </c>
      <c r="AE109" s="545" t="str">
        <f>IF(AC109=0, "НД", IF((AD109="НД"),"НД",AD109/AB109))</f>
        <v>НД</v>
      </c>
      <c r="AF109" s="434">
        <f>SUM(AF107:AF108)</f>
        <v>0</v>
      </c>
      <c r="AG109" s="434">
        <f>SUM(AG107:AG108)</f>
        <v>0</v>
      </c>
      <c r="AH109" s="338" t="str">
        <f>IF(AG109=0,"НД",AF109-AG109)</f>
        <v>НД</v>
      </c>
      <c r="AI109" s="545" t="str">
        <f>IF(AG109=0, "НД", IF((AH109="НД"),"НД",AH109/AF109))</f>
        <v>НД</v>
      </c>
      <c r="AJ109" s="434">
        <f>SUM(AJ107:AJ108)</f>
        <v>0</v>
      </c>
      <c r="AK109" s="434">
        <f>SUM(AK107:AK108)</f>
        <v>0</v>
      </c>
      <c r="AL109" s="338" t="str">
        <f>IF(AK109=0,"НД",AJ109-AK109)</f>
        <v>НД</v>
      </c>
      <c r="AM109" s="545" t="str">
        <f>IF(AK109=0, "НД", IF((AL109="НД"),"НД",AL109/AJ109))</f>
        <v>НД</v>
      </c>
      <c r="AN109" s="340">
        <f t="shared" si="70"/>
        <v>0</v>
      </c>
      <c r="AO109" s="340">
        <f t="shared" si="70"/>
        <v>0</v>
      </c>
      <c r="AP109" s="340">
        <f>IF(AO109=0,0,AN109-AO109)</f>
        <v>0</v>
      </c>
      <c r="AQ109" s="506">
        <f>IF(AO109=0, 0, IF((AP109="НД"),"НД",AP109/AN109))</f>
        <v>0</v>
      </c>
      <c r="AR109" s="434">
        <f>SUM(AR107:AR108)</f>
        <v>0</v>
      </c>
      <c r="AS109" s="434">
        <f>SUM(AS107:AS108)</f>
        <v>0</v>
      </c>
      <c r="AT109" s="338" t="str">
        <f>IF(AS109=0,"НД",AR109-AS109)</f>
        <v>НД</v>
      </c>
      <c r="AU109" s="545" t="str">
        <f>IF(AS109=0, "НД", IF((AT109="НД"),"НД",AT109/AR109))</f>
        <v>НД</v>
      </c>
      <c r="AV109" s="434">
        <f>SUM(AV107:AV108)</f>
        <v>0</v>
      </c>
      <c r="AW109" s="434">
        <f>SUM(AW107:AW108)</f>
        <v>0</v>
      </c>
      <c r="AX109" s="338" t="str">
        <f>IF(AW109=0,"НД",AV109-AW109)</f>
        <v>НД</v>
      </c>
      <c r="AY109" s="545" t="str">
        <f>IF(AW109=0, "НД", IF((AX109="НД"),"НД",AX109/AV109))</f>
        <v>НД</v>
      </c>
      <c r="AZ109" s="434">
        <f>SUM(AZ107:AZ108)</f>
        <v>0</v>
      </c>
      <c r="BA109" s="434">
        <f>SUM(BA107:BA108)</f>
        <v>0</v>
      </c>
      <c r="BB109" s="338" t="str">
        <f>IF(BA109=0,"НД",AZ109-BA109)</f>
        <v>НД</v>
      </c>
      <c r="BC109" s="545" t="str">
        <f>IF(BA109=0, "НД", IF((BB109="НД"),"НД",BB109/AZ109))</f>
        <v>НД</v>
      </c>
      <c r="BD109" s="340">
        <f t="shared" si="71"/>
        <v>0</v>
      </c>
      <c r="BE109" s="340">
        <f t="shared" si="71"/>
        <v>0</v>
      </c>
      <c r="BF109" s="340">
        <f>IF(BE109=0,0,BD109-BE109)</f>
        <v>0</v>
      </c>
      <c r="BG109" s="506">
        <f>IF(BE109=0, 0, IF((BF109="НД"),"НД",BF109/BD109))</f>
        <v>0</v>
      </c>
      <c r="BH109" s="434">
        <f>SUM(BH107:BH108)</f>
        <v>0</v>
      </c>
      <c r="BI109" s="434">
        <f>SUM(BI107:BI108)</f>
        <v>0</v>
      </c>
      <c r="BJ109" s="338" t="str">
        <f>IF(BI109=0,"НД",BH109-BI109)</f>
        <v>НД</v>
      </c>
      <c r="BK109" s="545" t="str">
        <f>IF(BI109=0, "НД", IF((BJ109="НД"),"НД",BJ109/BH109))</f>
        <v>НД</v>
      </c>
      <c r="BL109" s="434">
        <f>SUM(BL107:BL108)</f>
        <v>0</v>
      </c>
      <c r="BM109" s="434">
        <f>SUM(BM107:BM108)</f>
        <v>0</v>
      </c>
      <c r="BN109" s="338" t="str">
        <f>IF(BM109=0,"НД",BL109-BM109)</f>
        <v>НД</v>
      </c>
      <c r="BO109" s="545" t="str">
        <f>IF(BM109=0, "НД", IF((BN109="НД"),"НД",BN109/BL109))</f>
        <v>НД</v>
      </c>
      <c r="BP109" s="434">
        <f>SUM(BP107:BP108)</f>
        <v>0</v>
      </c>
      <c r="BQ109" s="434">
        <f>SUM(BQ107:BQ108)</f>
        <v>0</v>
      </c>
      <c r="BR109" s="338" t="str">
        <f>IF(BQ109=0,"НД",BP109-BQ109)</f>
        <v>НД</v>
      </c>
      <c r="BS109" s="546" t="str">
        <f>IF(BQ109=0, "НД", IF((BR109="НД"),"НД",BR109/BP109))</f>
        <v>НД</v>
      </c>
      <c r="BT109" s="340">
        <f t="shared" si="72"/>
        <v>0</v>
      </c>
      <c r="BU109" s="340">
        <f t="shared" si="72"/>
        <v>0</v>
      </c>
      <c r="BV109" s="340">
        <f>IF(BU109=0,0,BT109-BU109)</f>
        <v>0</v>
      </c>
      <c r="BW109" s="506">
        <f>IF(BU109=0, 0, IF((BV109="НД"),"НД",BV109/BT109))</f>
        <v>0</v>
      </c>
    </row>
    <row r="110" spans="2:75" ht="13.5" thickBot="1" x14ac:dyDescent="0.25">
      <c r="B110" s="562" t="s">
        <v>1276</v>
      </c>
      <c r="C110" s="92">
        <f>ПП!B87</f>
        <v>11</v>
      </c>
      <c r="D110" s="412">
        <f>ПП!C87</f>
        <v>1.1398963730569948E-2</v>
      </c>
      <c r="E110" s="437">
        <f>ПП!D87</f>
        <v>968103603.67000008</v>
      </c>
      <c r="F110" s="297">
        <f>COUNTIFS('Отчет РПЗ(ПЗ)_ПЗИП'!$AG:$AG,"&gt;0",'Отчет РПЗ(ПЗ)_ПЗИП'!$AO:$AO,Справочно!$E17,'Отчет РПЗ(ПЗ)_ПЗИП'!$G:$G,"&lt;&gt;ЕП",'Отчет РПЗ(ПЗ)_ПЗИП'!$W:$W,"&gt;=50000000")</f>
        <v>0</v>
      </c>
      <c r="G110" s="438">
        <f>F110/$E$48</f>
        <v>0</v>
      </c>
      <c r="H110" s="439">
        <f>SUMIFS('Отчет РПЗ(ПЗ)_ПЗИП'!$AG:$AG,'Отчет РПЗ(ПЗ)_ПЗИП'!$AO:$AO,Справочно!$E17,'Отчет РПЗ(ПЗ)_ПЗИП'!$G:$G,"&lt;&gt;ЕП",'Отчет РПЗ(ПЗ)_ПЗИП'!$W:$W,"&gt;=50000000")</f>
        <v>0</v>
      </c>
      <c r="I110" s="563">
        <f>(IF($D$3=1,Z110,0)+IF($D$3=2,Z110+AP110,0)+IF($D$3=3,Z110+AP110+BF110,0)+IF($D$3=4,Z110+AP110+BF110+BV110,0))</f>
        <v>0</v>
      </c>
      <c r="J110" s="564" t="e">
        <f>I110/(X110+AN110+BD110+BT110)</f>
        <v>#DIV/0!</v>
      </c>
      <c r="L110" s="445">
        <f>SUMIFS('Отчет РПЗ(ПЗ)_ПЗИП'!$W:$W,'Отчет РПЗ(ПЗ)_ПЗИП'!$AO:$AO,Справочно!$E17,'Отчет РПЗ(ПЗ)_ПЗИП'!$N:$N,"&gt;=01.01.2017",'Отчет РПЗ(ПЗ)_ПЗИП'!$N:$N,"&lt;=31.01.2017",'Отчет РПЗ(ПЗ)_ПЗИП'!$AG:$AG,"&gt;0",'Отчет РПЗ(ПЗ)_ПЗИП'!$G:$G,"&lt;&gt;ЕП",'Отчет РПЗ(ПЗ)_ПЗИП'!$W:$W,"&gt;=50000000")</f>
        <v>0</v>
      </c>
      <c r="M110" s="548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РПЗ(ПЗ)_ПЗИП'!$AQ:$AQ,1)</f>
        <v>0</v>
      </c>
      <c r="N110" s="548" t="str">
        <f>IF(M110=0,"НД",L110-M110)</f>
        <v>НД</v>
      </c>
      <c r="O110" s="549" t="str">
        <f>IF(M110=0, "НД", IF((N110="НД"),"НД",N110/L110))</f>
        <v>НД</v>
      </c>
      <c r="P110" s="550">
        <f>SUMIFS('Отчет РПЗ(ПЗ)_ПЗИП'!$W:$W,'Отчет РПЗ(ПЗ)_ПЗИП'!$AO:$AO,Справочно!$E17,'Отчет РПЗ(ПЗ)_ПЗИП'!$N:$N,"&gt;=01.02.2017",'Отчет РПЗ(ПЗ)_ПЗИП'!$N:$N,"&lt;=28.02.2017",'Отчет РПЗ(ПЗ)_ПЗИП'!$AG:$AG,"&gt;0",'Отчет РПЗ(ПЗ)_ПЗИП'!$G:$G,"&lt;&gt;ЕП",'Отчет РПЗ(ПЗ)_ПЗИП'!$W:$W,"&gt;=50000000")</f>
        <v>0</v>
      </c>
      <c r="Q110" s="548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РПЗ(ПЗ)_ПЗИП'!$AQ:$AQ,2)</f>
        <v>0</v>
      </c>
      <c r="R110" s="548" t="str">
        <f>IF(Q110=0,"НД",P110-Q110)</f>
        <v>НД</v>
      </c>
      <c r="S110" s="549" t="str">
        <f>IF(Q110=0, "НД", IF((R110="НД"),"НД",R110/P110))</f>
        <v>НД</v>
      </c>
      <c r="T110" s="550">
        <f>SUMIFS('Отчет РПЗ(ПЗ)_ПЗИП'!$W:$W,'Отчет РПЗ(ПЗ)_ПЗИП'!$AO:$AO,Справочно!$E17,'Отчет РПЗ(ПЗ)_ПЗИП'!$N:$N,"&gt;=01.03.2017",'Отчет РПЗ(ПЗ)_ПЗИП'!$N:$N,"&lt;=31.03.2017",'Отчет РПЗ(ПЗ)_ПЗИП'!$AG:$AG,"&gt;0",'Отчет РПЗ(ПЗ)_ПЗИП'!$G:$G,"&lt;&gt;ЕП",'Отчет РПЗ(ПЗ)_ПЗИП'!$W:$W,"&gt;=50000000")</f>
        <v>0</v>
      </c>
      <c r="U110" s="548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РПЗ(ПЗ)_ПЗИП'!$AQ:$AQ,3)</f>
        <v>0</v>
      </c>
      <c r="V110" s="548" t="str">
        <f>IF(U110=0,"НД",T110-U110)</f>
        <v>НД</v>
      </c>
      <c r="W110" s="549" t="str">
        <f>IF(U110=0, "НД", IF((V110="НД"),"НД",V110/T110))</f>
        <v>НД</v>
      </c>
      <c r="X110" s="534">
        <f t="shared" si="69"/>
        <v>0</v>
      </c>
      <c r="Y110" s="535">
        <f t="shared" si="69"/>
        <v>0</v>
      </c>
      <c r="Z110" s="535">
        <f>IF(Y110=0,0,X110-Y110)</f>
        <v>0</v>
      </c>
      <c r="AA110" s="536">
        <f>IF(Y110=0, 0, IF((Z110="НД"),"НД",Z110/X110))</f>
        <v>0</v>
      </c>
      <c r="AB110" s="550">
        <f>SUMIFS('Отчет РПЗ(ПЗ)_ПЗИП'!$W:$W,'Отчет РПЗ(ПЗ)_ПЗИП'!$AO:$AO,Справочно!$E17,'Отчет РПЗ(ПЗ)_ПЗИП'!$N:$N,"&gt;=01.04.2017",'Отчет РПЗ(ПЗ)_ПЗИП'!$N:$N,"&lt;=30.04.2017",'Отчет РПЗ(ПЗ)_ПЗИП'!$AG:$AG,"&gt;0",'Отчет РПЗ(ПЗ)_ПЗИП'!$G:$G,"&lt;&gt;ЕП",'Отчет РПЗ(ПЗ)_ПЗИП'!$W:$W,"&gt;=50000000")</f>
        <v>0</v>
      </c>
      <c r="AC110" s="551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РПЗ(ПЗ)_ПЗИП'!$AQ:$AQ,4)</f>
        <v>0</v>
      </c>
      <c r="AD110" s="551" t="str">
        <f>IF(AC110=0,"НД",AB110-AC110)</f>
        <v>НД</v>
      </c>
      <c r="AE110" s="552" t="str">
        <f>IF(AC110=0, "НД", IF((AD110="НД"),"НД",AD110/AB110))</f>
        <v>НД</v>
      </c>
      <c r="AF110" s="550">
        <f>SUMIFS('Отчет РПЗ(ПЗ)_ПЗИП'!$W:$W,'Отчет РПЗ(ПЗ)_ПЗИП'!$AO:$AO,Справочно!$E17,'Отчет РПЗ(ПЗ)_ПЗИП'!$N:$N,"&gt;=01.05.2017",'Отчет РПЗ(ПЗ)_ПЗИП'!$N:$N,"&lt;=31.05.2017",'Отчет РПЗ(ПЗ)_ПЗИП'!$AG:$AG,"&gt;0",'Отчет РПЗ(ПЗ)_ПЗИП'!$G:$G,"&lt;&gt;ЕП",'Отчет РПЗ(ПЗ)_ПЗИП'!$W:$W,"&gt;=50000000")</f>
        <v>0</v>
      </c>
      <c r="AG110" s="551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РПЗ(ПЗ)_ПЗИП'!$AQ:$AQ,5)</f>
        <v>0</v>
      </c>
      <c r="AH110" s="551" t="str">
        <f>IF(AG110=0,"НД",AF110-AG110)</f>
        <v>НД</v>
      </c>
      <c r="AI110" s="552" t="str">
        <f>IF(AG110=0, "НД", IF((AH110="НД"),"НД",AH110/AF110))</f>
        <v>НД</v>
      </c>
      <c r="AJ110" s="550">
        <f>SUMIFS('Отчет РПЗ(ПЗ)_ПЗИП'!$W:$W,'Отчет РПЗ(ПЗ)_ПЗИП'!$AO:$AO,Справочно!$E17,'Отчет РПЗ(ПЗ)_ПЗИП'!$N:$N,"&gt;=01.06.2017",'Отчет РПЗ(ПЗ)_ПЗИП'!$N:$N,"&lt;=30.06.2017",'Отчет РПЗ(ПЗ)_ПЗИП'!$AG:$AG,"&gt;0",'Отчет РПЗ(ПЗ)_ПЗИП'!$G:$G,"&lt;&gt;ЕП",'Отчет РПЗ(ПЗ)_ПЗИП'!$W:$W,"&gt;=50000000")</f>
        <v>0</v>
      </c>
      <c r="AK110" s="551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РПЗ(ПЗ)_ПЗИП'!$AQ:$AQ,6)</f>
        <v>0</v>
      </c>
      <c r="AL110" s="551" t="str">
        <f>IF(AK110=0,"НД",AJ110-AK110)</f>
        <v>НД</v>
      </c>
      <c r="AM110" s="552" t="str">
        <f>IF(AK110=0, "НД", IF((AL110="НД"),"НД",AL110/AJ110))</f>
        <v>НД</v>
      </c>
      <c r="AN110" s="534">
        <f t="shared" si="70"/>
        <v>0</v>
      </c>
      <c r="AO110" s="538">
        <f t="shared" si="70"/>
        <v>0</v>
      </c>
      <c r="AP110" s="538">
        <f>IF(AO110=0,0,AN110-AO110)</f>
        <v>0</v>
      </c>
      <c r="AQ110" s="539">
        <f>IF(AO110=0, 0, IF((AP110="НД"),"НД",AP110/AN110))</f>
        <v>0</v>
      </c>
      <c r="AR110" s="550">
        <f>SUMIFS('Отчет РПЗ(ПЗ)_ПЗИП'!$W:$W,'Отчет РПЗ(ПЗ)_ПЗИП'!$AO:$AO,Справочно!$E17,'Отчет РПЗ(ПЗ)_ПЗИП'!$N:$N,"&gt;=01.07.2017",'Отчет РПЗ(ПЗ)_ПЗИП'!$N:$N,"&lt;=31.07.2017",'Отчет РПЗ(ПЗ)_ПЗИП'!$AG:$AG,"&gt;0",'Отчет РПЗ(ПЗ)_ПЗИП'!$G:$G,"&lt;&gt;ЕП",'Отчет РПЗ(ПЗ)_ПЗИП'!$W:$W,"&gt;=50000000")</f>
        <v>0</v>
      </c>
      <c r="AS110" s="553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РПЗ(ПЗ)_ПЗИП'!$AQ:$AQ,7)</f>
        <v>0</v>
      </c>
      <c r="AT110" s="553" t="str">
        <f>IF(AS110=0,"НД",AR110-AS110)</f>
        <v>НД</v>
      </c>
      <c r="AU110" s="554" t="str">
        <f>IF(AS110=0, "НД", IF((AT110="НД"),"НД",AT110/AR110))</f>
        <v>НД</v>
      </c>
      <c r="AV110" s="550">
        <f>SUMIFS('Отчет РПЗ(ПЗ)_ПЗИП'!$W:$W,'Отчет РПЗ(ПЗ)_ПЗИП'!$AO:$AO,Справочно!$E17,'Отчет РПЗ(ПЗ)_ПЗИП'!$N:$N,"&gt;=01.08.2017",'Отчет РПЗ(ПЗ)_ПЗИП'!$N:$N,"&lt;=31.08.2017",'Отчет РПЗ(ПЗ)_ПЗИП'!$AG:$AG,"&gt;0",'Отчет РПЗ(ПЗ)_ПЗИП'!$G:$G,"&lt;&gt;ЕП",'Отчет РПЗ(ПЗ)_ПЗИП'!$W:$W,"&gt;=50000000")</f>
        <v>0</v>
      </c>
      <c r="AW110" s="553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РПЗ(ПЗ)_ПЗИП'!$AQ:$AQ,8)</f>
        <v>0</v>
      </c>
      <c r="AX110" s="553" t="str">
        <f>IF(AW110=0,"НД",AV110-AW110)</f>
        <v>НД</v>
      </c>
      <c r="AY110" s="554" t="str">
        <f>IF(AW110=0, "НД", IF((AX110="НД"),"НД",AX110/AV110))</f>
        <v>НД</v>
      </c>
      <c r="AZ110" s="550">
        <f>SUMIFS('Отчет РПЗ(ПЗ)_ПЗИП'!$W:$W,'Отчет РПЗ(ПЗ)_ПЗИП'!$AO:$AO,Справочно!$E17,'Отчет РПЗ(ПЗ)_ПЗИП'!$N:$N,"&gt;=01.09.2017",'Отчет РПЗ(ПЗ)_ПЗИП'!$N:$N,"&lt;=30.09.2017",'Отчет РПЗ(ПЗ)_ПЗИП'!$AG:$AG,"&gt;0",'Отчет РПЗ(ПЗ)_ПЗИП'!$G:$G,"&lt;&gt;ЕП",'Отчет РПЗ(ПЗ)_ПЗИП'!$W:$W,"&gt;=50000000")</f>
        <v>0</v>
      </c>
      <c r="BA110" s="553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РПЗ(ПЗ)_ПЗИП'!$AQ:$AQ,9)</f>
        <v>0</v>
      </c>
      <c r="BB110" s="553" t="str">
        <f>IF(BA110=0,"НД",AZ110-BA110)</f>
        <v>НД</v>
      </c>
      <c r="BC110" s="554" t="str">
        <f>IF(BA110=0, "НД", IF((BB110="НД"),"НД",BB110/AZ110))</f>
        <v>НД</v>
      </c>
      <c r="BD110" s="534">
        <f t="shared" si="71"/>
        <v>0</v>
      </c>
      <c r="BE110" s="540">
        <f t="shared" si="71"/>
        <v>0</v>
      </c>
      <c r="BF110" s="540">
        <f>IF(BE110=0,0,BD110-BE110)</f>
        <v>0</v>
      </c>
      <c r="BG110" s="541">
        <f>IF(BE110=0, 0, IF((BF110="НД"),"НД",BF110/BD110))</f>
        <v>0</v>
      </c>
      <c r="BH110" s="550">
        <f>SUMIFS('Отчет РПЗ(ПЗ)_ПЗИП'!$W:$W,'Отчет РПЗ(ПЗ)_ПЗИП'!$AO:$AO,Справочно!$E17,'Отчет РПЗ(ПЗ)_ПЗИП'!$N:$N,"&gt;=01.10.2017",'Отчет РПЗ(ПЗ)_ПЗИП'!$N:$N,"&lt;=30.10.2017",'Отчет РПЗ(ПЗ)_ПЗИП'!$AG:$AG,"&gt;0",'Отчет РПЗ(ПЗ)_ПЗИП'!$G:$G,"&lt;&gt;ЕП",'Отчет РПЗ(ПЗ)_ПЗИП'!$W:$W,"&gt;=50000000")</f>
        <v>0</v>
      </c>
      <c r="BI110" s="555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РПЗ(ПЗ)_ПЗИП'!$AQ:$AQ,10)</f>
        <v>0</v>
      </c>
      <c r="BJ110" s="555" t="str">
        <f>IF(BI110=0,"НД",BH110-BI110)</f>
        <v>НД</v>
      </c>
      <c r="BK110" s="556" t="str">
        <f>IF(BI110=0, "НД", IF((BJ110="НД"),"НД",BJ110/BH110))</f>
        <v>НД</v>
      </c>
      <c r="BL110" s="550">
        <f>SUMIFS('Отчет РПЗ(ПЗ)_ПЗИП'!$W:$W,'Отчет РПЗ(ПЗ)_ПЗИП'!$AO:$AO,Справочно!$E17,'Отчет РПЗ(ПЗ)_ПЗИП'!$N:$N,"&gt;=01.11.2017",'Отчет РПЗ(ПЗ)_ПЗИП'!$N:$N,"&lt;=30.11.2017",'Отчет РПЗ(ПЗ)_ПЗИП'!$AG:$AG,"&gt;0",'Отчет РПЗ(ПЗ)_ПЗИП'!$G:$G,"&lt;&gt;ЕП",'Отчет РПЗ(ПЗ)_ПЗИП'!$W:$W,"&gt;=50000000")</f>
        <v>0</v>
      </c>
      <c r="BM110" s="555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РПЗ(ПЗ)_ПЗИП'!$AQ:$AQ,11)</f>
        <v>0</v>
      </c>
      <c r="BN110" s="555" t="str">
        <f>IF(BM110=0,"НД",BL110-BM110)</f>
        <v>НД</v>
      </c>
      <c r="BO110" s="556" t="str">
        <f>IF(BM110=0, "НД", IF((BN110="НД"),"НД",BN110/BL110))</f>
        <v>НД</v>
      </c>
      <c r="BP110" s="550">
        <f>SUMIFS('Отчет РПЗ(ПЗ)_ПЗИП'!$W:$W,'Отчет РПЗ(ПЗ)_ПЗИП'!$AO:$AO,Справочно!$E17,'Отчет РПЗ(ПЗ)_ПЗИП'!$N:$N,"&gt;=01.12.2017",'Отчет РПЗ(ПЗ)_ПЗИП'!$N:$N,"&lt;=31.12.2017",'Отчет РПЗ(ПЗ)_ПЗИП'!$AG:$AG,"&gt;0",'Отчет РПЗ(ПЗ)_ПЗИП'!$G:$G,"&lt;&gt;ЕП",'Отчет РПЗ(ПЗ)_ПЗИП'!$W:$W,"&gt;=50000000")</f>
        <v>0</v>
      </c>
      <c r="BQ110" s="555">
        <f>SUMIFS('Отчет РПЗ(ПЗ)_ПЗИП'!$AG:$AG,'Отчет РПЗ(ПЗ)_ПЗИП'!$AO:$AO,Справочно!$E17,'Отчет РПЗ(ПЗ)_ПЗИП'!$G:$G,"&lt;&gt;ЕП",'Отчет РПЗ(ПЗ)_ПЗИП'!$W:$W,"&gt;=50000000",'Отчет РПЗ(ПЗ)_ПЗИП'!$AQ:$AQ,12)</f>
        <v>0</v>
      </c>
      <c r="BR110" s="555" t="str">
        <f>IF(BQ110=0,"НД",BP110-BQ110)</f>
        <v>НД</v>
      </c>
      <c r="BS110" s="557" t="str">
        <f>IF(BQ110=0, "НД", IF((BR110="НД"),"НД",BR110/BP110))</f>
        <v>НД</v>
      </c>
      <c r="BT110" s="534">
        <f t="shared" si="72"/>
        <v>0</v>
      </c>
      <c r="BU110" s="542">
        <f t="shared" si="72"/>
        <v>0</v>
      </c>
      <c r="BV110" s="542">
        <f>IF(BU110=0,0,BT110-BU110)</f>
        <v>0</v>
      </c>
      <c r="BW110" s="543">
        <f>IF(BU110=0, 0, IF((BV110="НД"),"НД",BV110/BT110))</f>
        <v>0</v>
      </c>
    </row>
  </sheetData>
  <mergeCells count="215">
    <mergeCell ref="B104:J104"/>
    <mergeCell ref="I105:J105"/>
    <mergeCell ref="C106:D106"/>
    <mergeCell ref="F106:G106"/>
    <mergeCell ref="L104:AA104"/>
    <mergeCell ref="AB104:AQ104"/>
    <mergeCell ref="AR104:BG104"/>
    <mergeCell ref="BH104:BW104"/>
    <mergeCell ref="N105:O105"/>
    <mergeCell ref="R105:S105"/>
    <mergeCell ref="V105:W105"/>
    <mergeCell ref="Z105:AA105"/>
    <mergeCell ref="AD105:AE105"/>
    <mergeCell ref="AH105:AI105"/>
    <mergeCell ref="AL105:AM105"/>
    <mergeCell ref="AP105:AQ105"/>
    <mergeCell ref="AT105:AU105"/>
    <mergeCell ref="AX105:AY105"/>
    <mergeCell ref="BB105:BC105"/>
    <mergeCell ref="BF105:BG105"/>
    <mergeCell ref="BJ105:BK105"/>
    <mergeCell ref="BN105:BO105"/>
    <mergeCell ref="BR105:BS105"/>
    <mergeCell ref="BV105:BW105"/>
    <mergeCell ref="H15:I15"/>
    <mergeCell ref="E15:E16"/>
    <mergeCell ref="C55:D55"/>
    <mergeCell ref="I54:J54"/>
    <mergeCell ref="F55:G55"/>
    <mergeCell ref="B83:B84"/>
    <mergeCell ref="AR83:AS83"/>
    <mergeCell ref="AT83:AU83"/>
    <mergeCell ref="AV83:AW83"/>
    <mergeCell ref="N83:O83"/>
    <mergeCell ref="P83:Q83"/>
    <mergeCell ref="R83:S83"/>
    <mergeCell ref="T83:U83"/>
    <mergeCell ref="V83:W83"/>
    <mergeCell ref="X83:Y83"/>
    <mergeCell ref="Z83:AA83"/>
    <mergeCell ref="AP83:AQ83"/>
    <mergeCell ref="N54:O54"/>
    <mergeCell ref="AL83:AM83"/>
    <mergeCell ref="AN83:AO83"/>
    <mergeCell ref="C84:D84"/>
    <mergeCell ref="E84:F84"/>
    <mergeCell ref="G84:H84"/>
    <mergeCell ref="I84:J84"/>
    <mergeCell ref="D15:D16"/>
    <mergeCell ref="C5:D5"/>
    <mergeCell ref="C6:D6"/>
    <mergeCell ref="C7:D7"/>
    <mergeCell ref="C8:D8"/>
    <mergeCell ref="C9:D9"/>
    <mergeCell ref="C10:D10"/>
    <mergeCell ref="C11:D11"/>
    <mergeCell ref="C12:D12"/>
    <mergeCell ref="AA17:AA19"/>
    <mergeCell ref="M17:M19"/>
    <mergeCell ref="N17:N19"/>
    <mergeCell ref="O17:O19"/>
    <mergeCell ref="P17:P19"/>
    <mergeCell ref="U17:U19"/>
    <mergeCell ref="B51:J51"/>
    <mergeCell ref="C19:E19"/>
    <mergeCell ref="G27:H27"/>
    <mergeCell ref="I27:J27"/>
    <mergeCell ref="C27:D27"/>
    <mergeCell ref="E27:F27"/>
    <mergeCell ref="G24:G26"/>
    <mergeCell ref="H24:H26"/>
    <mergeCell ref="I24:I26"/>
    <mergeCell ref="J24:J26"/>
    <mergeCell ref="B24:B27"/>
    <mergeCell ref="B2:J2"/>
    <mergeCell ref="B49:J49"/>
    <mergeCell ref="L15:O15"/>
    <mergeCell ref="L17:L19"/>
    <mergeCell ref="K15:K19"/>
    <mergeCell ref="B15:B16"/>
    <mergeCell ref="C15:C16"/>
    <mergeCell ref="C24:C26"/>
    <mergeCell ref="D24:D26"/>
    <mergeCell ref="E24:E26"/>
    <mergeCell ref="F24:F26"/>
    <mergeCell ref="L25:O25"/>
    <mergeCell ref="L24:AA24"/>
    <mergeCell ref="P25:S25"/>
    <mergeCell ref="X25:AA25"/>
    <mergeCell ref="T25:W25"/>
    <mergeCell ref="R26:S26"/>
    <mergeCell ref="V26:W26"/>
    <mergeCell ref="X26:Y26"/>
    <mergeCell ref="W17:W19"/>
    <mergeCell ref="T26:U26"/>
    <mergeCell ref="X17:X19"/>
    <mergeCell ref="Y17:Y19"/>
    <mergeCell ref="Z17:Z19"/>
    <mergeCell ref="AB16:AC16"/>
    <mergeCell ref="AD16:AE16"/>
    <mergeCell ref="AB17:AB19"/>
    <mergeCell ref="AC17:AC19"/>
    <mergeCell ref="AD17:AD19"/>
    <mergeCell ref="AE17:AE19"/>
    <mergeCell ref="K14:AA14"/>
    <mergeCell ref="X15:AA15"/>
    <mergeCell ref="L16:M16"/>
    <mergeCell ref="N16:O16"/>
    <mergeCell ref="P16:Q16"/>
    <mergeCell ref="R16:S16"/>
    <mergeCell ref="T16:U16"/>
    <mergeCell ref="V16:W16"/>
    <mergeCell ref="X16:Y16"/>
    <mergeCell ref="Z16:AA16"/>
    <mergeCell ref="AC15:AD15"/>
    <mergeCell ref="Q17:Q19"/>
    <mergeCell ref="R17:R19"/>
    <mergeCell ref="S17:S19"/>
    <mergeCell ref="T17:T19"/>
    <mergeCell ref="P15:S15"/>
    <mergeCell ref="T15:W15"/>
    <mergeCell ref="V17:V19"/>
    <mergeCell ref="AB24:AQ24"/>
    <mergeCell ref="AB25:AE25"/>
    <mergeCell ref="AF25:AI25"/>
    <mergeCell ref="AJ25:AM25"/>
    <mergeCell ref="AN25:AQ25"/>
    <mergeCell ref="AB49:AQ49"/>
    <mergeCell ref="AB51:AQ51"/>
    <mergeCell ref="BH24:BW24"/>
    <mergeCell ref="BH25:BK25"/>
    <mergeCell ref="BP26:BQ26"/>
    <mergeCell ref="AR24:BG24"/>
    <mergeCell ref="AR25:AU25"/>
    <mergeCell ref="AV25:AY25"/>
    <mergeCell ref="AZ25:BC25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BL25:BO25"/>
    <mergeCell ref="BP25:BS25"/>
    <mergeCell ref="BT25:BW25"/>
    <mergeCell ref="AR53:BG53"/>
    <mergeCell ref="AT54:AU54"/>
    <mergeCell ref="AX54:AY54"/>
    <mergeCell ref="BB54:BC54"/>
    <mergeCell ref="BF54:BG54"/>
    <mergeCell ref="BB26:BC26"/>
    <mergeCell ref="BD26:BE26"/>
    <mergeCell ref="BF26:BG26"/>
    <mergeCell ref="AR49:BG49"/>
    <mergeCell ref="AR51:BG51"/>
    <mergeCell ref="AR26:AS26"/>
    <mergeCell ref="AT26:AU26"/>
    <mergeCell ref="AV26:AW26"/>
    <mergeCell ref="AX26:AY26"/>
    <mergeCell ref="AZ26:BA26"/>
    <mergeCell ref="BD25:BG25"/>
    <mergeCell ref="BR26:BS26"/>
    <mergeCell ref="BT26:BU26"/>
    <mergeCell ref="BH26:BI26"/>
    <mergeCell ref="BN26:BO26"/>
    <mergeCell ref="BJ26:BK26"/>
    <mergeCell ref="L83:M83"/>
    <mergeCell ref="Z26:AA26"/>
    <mergeCell ref="BH49:BW49"/>
    <mergeCell ref="BV26:BW26"/>
    <mergeCell ref="BH51:BW51"/>
    <mergeCell ref="B53:J53"/>
    <mergeCell ref="B82:J82"/>
    <mergeCell ref="BH53:BW53"/>
    <mergeCell ref="BJ54:BK54"/>
    <mergeCell ref="BN54:BO54"/>
    <mergeCell ref="BR54:BS54"/>
    <mergeCell ref="BV54:BW54"/>
    <mergeCell ref="AD54:AE54"/>
    <mergeCell ref="AH54:AI54"/>
    <mergeCell ref="AL54:AM54"/>
    <mergeCell ref="AP54:AQ54"/>
    <mergeCell ref="L49:AA49"/>
    <mergeCell ref="BL26:BM26"/>
    <mergeCell ref="AB53:AQ53"/>
    <mergeCell ref="L26:M26"/>
    <mergeCell ref="N26:O26"/>
    <mergeCell ref="P26:Q26"/>
    <mergeCell ref="AX83:AY83"/>
    <mergeCell ref="B90:B91"/>
    <mergeCell ref="B89:D89"/>
    <mergeCell ref="BT83:BU83"/>
    <mergeCell ref="BV83:BW83"/>
    <mergeCell ref="BJ83:BK83"/>
    <mergeCell ref="L51:AA51"/>
    <mergeCell ref="L53:AA53"/>
    <mergeCell ref="R54:S54"/>
    <mergeCell ref="V54:W54"/>
    <mergeCell ref="Z54:AA54"/>
    <mergeCell ref="BL83:BM83"/>
    <mergeCell ref="BN83:BO83"/>
    <mergeCell ref="BP83:BQ83"/>
    <mergeCell ref="BR83:BS83"/>
    <mergeCell ref="AZ83:BA83"/>
    <mergeCell ref="BB83:BC83"/>
    <mergeCell ref="BD83:BE83"/>
    <mergeCell ref="AB83:AC83"/>
    <mergeCell ref="AD83:AE83"/>
    <mergeCell ref="AF83:AG83"/>
    <mergeCell ref="AH83:AI83"/>
    <mergeCell ref="AJ83:AK83"/>
    <mergeCell ref="BF83:BG83"/>
    <mergeCell ref="BH83:BI83"/>
  </mergeCells>
  <conditionalFormatting sqref="E17:F17">
    <cfRule type="cellIs" dxfId="9" priority="258" operator="equal">
      <formula>#REF!</formula>
    </cfRule>
    <cfRule type="cellIs" dxfId="8" priority="259" operator="lessThan">
      <formula>#REF!</formula>
    </cfRule>
  </conditionalFormatting>
  <conditionalFormatting sqref="G17:H17">
    <cfRule type="iconSet" priority="254">
      <iconSet iconSet="3Symbols">
        <cfvo type="percent" val="0"/>
        <cfvo type="percent" val="33"/>
        <cfvo type="num" val="&quot;сумм($D$4:$D$9)&quot;"/>
      </iconSet>
    </cfRule>
  </conditionalFormatting>
  <conditionalFormatting sqref="G17">
    <cfRule type="cellIs" dxfId="7" priority="243" operator="lessThan">
      <formula>$I$52</formula>
    </cfRule>
    <cfRule type="cellIs" dxfId="6" priority="244" operator="greaterThan">
      <formula>$I$52</formula>
    </cfRule>
    <cfRule type="cellIs" dxfId="5" priority="248" operator="equal">
      <formula>$I$52</formula>
    </cfRule>
  </conditionalFormatting>
  <conditionalFormatting sqref="I56:J80">
    <cfRule type="containsErrors" dxfId="4" priority="329">
      <formula>ISERROR(I56)</formula>
    </cfRule>
  </conditionalFormatting>
  <conditionalFormatting sqref="I107:J107">
    <cfRule type="containsErrors" dxfId="3" priority="4">
      <formula>ISERROR(I107)</formula>
    </cfRule>
  </conditionalFormatting>
  <conditionalFormatting sqref="I108:J108">
    <cfRule type="containsErrors" dxfId="2" priority="3">
      <formula>ISERROR(I108)</formula>
    </cfRule>
  </conditionalFormatting>
  <conditionalFormatting sqref="I110:J110">
    <cfRule type="containsErrors" dxfId="1" priority="2">
      <formula>ISERROR(I110)</formula>
    </cfRule>
  </conditionalFormatting>
  <conditionalFormatting sqref="I109">
    <cfRule type="containsErrors" dxfId="0" priority="1">
      <formula>ISERROR(I109)</formula>
    </cfRule>
  </conditionalFormatting>
  <pageMargins left="0.51181102362204722" right="0.51181102362204722" top="0.55118110236220474" bottom="0.55118110236220474" header="0.31496062992125984" footer="0.31496062992125984"/>
  <pageSetup paperSize="8" scale="44" fitToWidth="2" fitToHeight="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7" id="{A40F470C-591E-4C05-A0E4-CE794992D6D5}">
            <x14:iconSet iconSet="5Boxes">
              <x14:cfvo type="percent">
                <xm:f>0</xm:f>
              </x14:cfvo>
              <x14:cfvo type="num">
                <xm:f>20</xm:f>
              </x14:cfvo>
              <x14:cfvo type="num">
                <xm:f>40</xm:f>
              </x14:cfvo>
              <x14:cfvo type="num">
                <xm:f>60</xm:f>
              </x14:cfvo>
              <x14:cfvo type="num">
                <xm:f>80</xm:f>
              </x14:cfvo>
            </x14:iconSet>
          </x14:cfRule>
          <xm:sqref>F19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53"/>
  <sheetViews>
    <sheetView zoomScaleNormal="100" workbookViewId="0">
      <selection activeCell="J9" sqref="J9"/>
    </sheetView>
  </sheetViews>
  <sheetFormatPr defaultRowHeight="15" x14ac:dyDescent="0.25"/>
  <cols>
    <col min="1" max="1" width="3.85546875" style="208" customWidth="1"/>
    <col min="2" max="2" width="29.7109375" style="208" customWidth="1"/>
    <col min="3" max="3" width="5.5703125" style="209" customWidth="1"/>
    <col min="4" max="4" width="27.85546875" style="208" customWidth="1"/>
    <col min="5" max="5" width="5.5703125" style="208" customWidth="1"/>
    <col min="6" max="6" width="27.85546875" style="208" customWidth="1"/>
    <col min="7" max="7" width="5.5703125" style="208" customWidth="1"/>
    <col min="8" max="8" width="27.85546875" style="208" customWidth="1"/>
    <col min="9" max="9" width="5.5703125" style="208" customWidth="1"/>
    <col min="10" max="10" width="27.85546875" style="208" customWidth="1"/>
    <col min="11" max="11" width="5.5703125" style="208" customWidth="1"/>
    <col min="12" max="12" width="27.85546875" style="208" customWidth="1"/>
    <col min="13" max="13" width="5.5703125" style="208" customWidth="1"/>
    <col min="14" max="14" width="27.85546875" style="208" customWidth="1"/>
    <col min="15" max="15" width="5.5703125" style="208" customWidth="1"/>
    <col min="16" max="16" width="27.85546875" style="208" customWidth="1"/>
    <col min="17" max="17" width="5.5703125" style="208" customWidth="1"/>
    <col min="18" max="18" width="27.85546875" style="208" customWidth="1"/>
    <col min="19" max="19" width="5.5703125" style="208" customWidth="1"/>
    <col min="20" max="20" width="27.85546875" style="208" customWidth="1"/>
    <col min="21" max="21" width="5.5703125" style="208" customWidth="1"/>
    <col min="22" max="22" width="27.85546875" style="208" customWidth="1"/>
    <col min="23" max="23" width="5.5703125" style="208" customWidth="1"/>
    <col min="24" max="24" width="27.85546875" style="208" customWidth="1"/>
    <col min="25" max="25" width="5.5703125" style="208" customWidth="1"/>
    <col min="26" max="26" width="29.5703125" style="208" customWidth="1"/>
    <col min="27" max="27" width="5.5703125" style="208" customWidth="1"/>
    <col min="28" max="28" width="27.85546875" style="208" customWidth="1"/>
    <col min="29" max="29" width="5.5703125" style="208" customWidth="1"/>
    <col min="30" max="30" width="27.85546875" style="208" customWidth="1"/>
    <col min="31" max="31" width="5.5703125" style="208" customWidth="1"/>
    <col min="32" max="32" width="27.85546875" style="208" customWidth="1"/>
    <col min="33" max="33" width="6.85546875" style="208" customWidth="1"/>
    <col min="34" max="34" width="27.85546875" style="208" customWidth="1"/>
    <col min="35" max="35" width="5.5703125" style="208" customWidth="1"/>
    <col min="36" max="36" width="27.85546875" style="208" customWidth="1"/>
    <col min="37" max="37" width="6.85546875" style="208" customWidth="1"/>
    <col min="38" max="16384" width="9.140625" style="208"/>
  </cols>
  <sheetData>
    <row r="1" spans="1:37" ht="15.75" thickBot="1" x14ac:dyDescent="0.3">
      <c r="A1" s="286"/>
      <c r="B1" s="598">
        <f>SUM(B6:AJ6)</f>
        <v>463</v>
      </c>
      <c r="C1" s="287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H1" s="286"/>
      <c r="AI1" s="286"/>
      <c r="AJ1" s="286"/>
    </row>
    <row r="2" spans="1:37" ht="15.75" customHeight="1" thickBot="1" x14ac:dyDescent="0.3">
      <c r="A2" s="286"/>
      <c r="B2" s="210" t="s">
        <v>323</v>
      </c>
      <c r="C2" s="288"/>
      <c r="D2" s="1225" t="s">
        <v>619</v>
      </c>
      <c r="E2" s="1225"/>
      <c r="F2" s="1225"/>
      <c r="G2" s="1225"/>
      <c r="H2" s="1225"/>
      <c r="I2" s="1225"/>
      <c r="J2" s="1225"/>
      <c r="K2" s="1225"/>
      <c r="L2" s="1225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H2" s="286"/>
      <c r="AI2" s="286"/>
      <c r="AJ2" s="286"/>
    </row>
    <row r="3" spans="1:37" ht="15.75" thickBot="1" x14ac:dyDescent="0.3">
      <c r="A3" s="286"/>
      <c r="B3" s="211" t="s">
        <v>324</v>
      </c>
      <c r="C3" s="287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H3" s="286"/>
      <c r="AI3" s="286"/>
      <c r="AJ3" s="286"/>
    </row>
    <row r="4" spans="1:37" ht="15.75" thickBot="1" x14ac:dyDescent="0.3">
      <c r="A4" s="286"/>
      <c r="B4" s="212" t="s">
        <v>325</v>
      </c>
      <c r="C4" s="287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H4" s="286"/>
      <c r="AI4" s="286"/>
      <c r="AJ4" s="286"/>
    </row>
    <row r="5" spans="1:37" ht="15.75" thickBot="1" x14ac:dyDescent="0.3">
      <c r="A5" s="286"/>
      <c r="B5" s="289" t="s">
        <v>610</v>
      </c>
      <c r="C5" s="287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H5" s="286"/>
      <c r="AI5" s="286"/>
      <c r="AJ5" s="286"/>
    </row>
    <row r="6" spans="1:37" ht="15.75" thickBot="1" x14ac:dyDescent="0.3">
      <c r="A6" s="286"/>
      <c r="B6" s="452">
        <v>67</v>
      </c>
      <c r="C6" s="453"/>
      <c r="D6" s="452">
        <v>12</v>
      </c>
      <c r="E6" s="452"/>
      <c r="F6" s="452">
        <v>8</v>
      </c>
      <c r="G6" s="452"/>
      <c r="H6" s="452">
        <v>15</v>
      </c>
      <c r="I6" s="452"/>
      <c r="J6" s="452">
        <v>74</v>
      </c>
      <c r="K6" s="452"/>
      <c r="L6" s="452">
        <v>57</v>
      </c>
      <c r="M6" s="452"/>
      <c r="N6" s="452">
        <v>5</v>
      </c>
      <c r="O6" s="452"/>
      <c r="P6" s="452">
        <v>47</v>
      </c>
      <c r="Q6" s="452"/>
      <c r="R6" s="452">
        <v>7</v>
      </c>
      <c r="S6" s="452"/>
      <c r="T6" s="452">
        <v>42</v>
      </c>
      <c r="U6" s="452"/>
      <c r="V6" s="452">
        <v>19</v>
      </c>
      <c r="W6" s="452"/>
      <c r="X6" s="452">
        <v>46</v>
      </c>
      <c r="Y6" s="452"/>
      <c r="Z6" s="452">
        <v>4</v>
      </c>
      <c r="AA6" s="452"/>
      <c r="AB6" s="452">
        <v>20</v>
      </c>
      <c r="AC6" s="452"/>
      <c r="AD6" s="452">
        <v>18</v>
      </c>
      <c r="AE6" s="452"/>
      <c r="AF6" s="452">
        <v>8</v>
      </c>
      <c r="AG6" s="454"/>
      <c r="AH6" s="452">
        <v>11</v>
      </c>
      <c r="AI6" s="452"/>
      <c r="AJ6" s="452">
        <v>3</v>
      </c>
    </row>
    <row r="7" spans="1:37" ht="51.75" thickBot="1" x14ac:dyDescent="0.3">
      <c r="A7" s="286"/>
      <c r="B7" s="560" t="s">
        <v>681</v>
      </c>
      <c r="C7" s="559" t="s">
        <v>326</v>
      </c>
      <c r="D7" s="451" t="s">
        <v>1163</v>
      </c>
      <c r="E7" s="232" t="s">
        <v>327</v>
      </c>
      <c r="F7" s="290" t="s">
        <v>1164</v>
      </c>
      <c r="G7" s="213" t="s">
        <v>328</v>
      </c>
      <c r="H7" s="290" t="s">
        <v>1165</v>
      </c>
      <c r="I7" s="318" t="s">
        <v>329</v>
      </c>
      <c r="J7" s="290" t="s">
        <v>1166</v>
      </c>
      <c r="K7" s="213" t="s">
        <v>330</v>
      </c>
      <c r="L7" s="290" t="s">
        <v>1168</v>
      </c>
      <c r="M7" s="318" t="s">
        <v>331</v>
      </c>
      <c r="N7" s="319" t="s">
        <v>1167</v>
      </c>
      <c r="O7" s="320" t="s">
        <v>332</v>
      </c>
      <c r="P7" s="566" t="s">
        <v>1169</v>
      </c>
      <c r="Q7" s="320" t="s">
        <v>333</v>
      </c>
      <c r="R7" s="290" t="s">
        <v>1170</v>
      </c>
      <c r="S7" s="588" t="s">
        <v>334</v>
      </c>
      <c r="T7" s="589" t="s">
        <v>1171</v>
      </c>
      <c r="U7" s="590" t="s">
        <v>335</v>
      </c>
      <c r="V7" s="317" t="s">
        <v>1172</v>
      </c>
      <c r="W7" s="318" t="s">
        <v>336</v>
      </c>
      <c r="X7" s="290" t="s">
        <v>1173</v>
      </c>
      <c r="Y7" s="213" t="s">
        <v>337</v>
      </c>
      <c r="Z7" s="317" t="s">
        <v>1174</v>
      </c>
      <c r="AA7" s="318" t="s">
        <v>338</v>
      </c>
      <c r="AB7" s="578" t="s">
        <v>1191</v>
      </c>
      <c r="AC7" s="567" t="s">
        <v>339</v>
      </c>
      <c r="AD7" s="589" t="s">
        <v>1175</v>
      </c>
      <c r="AE7" s="590">
        <v>1700</v>
      </c>
      <c r="AF7" s="596" t="s">
        <v>1131</v>
      </c>
      <c r="AG7" s="565">
        <v>1800</v>
      </c>
      <c r="AH7" s="589" t="s">
        <v>1192</v>
      </c>
      <c r="AI7" s="590">
        <v>1900</v>
      </c>
      <c r="AJ7" s="317" t="s">
        <v>832</v>
      </c>
      <c r="AK7" s="213">
        <v>2000</v>
      </c>
    </row>
    <row r="8" spans="1:37" ht="78.75" customHeight="1" x14ac:dyDescent="0.25">
      <c r="A8" s="286"/>
      <c r="B8" s="597" t="s">
        <v>1392</v>
      </c>
      <c r="C8" s="575">
        <v>1101</v>
      </c>
      <c r="D8" s="291" t="s">
        <v>1162</v>
      </c>
      <c r="E8" s="214" t="s">
        <v>340</v>
      </c>
      <c r="F8" s="292" t="s">
        <v>682</v>
      </c>
      <c r="G8" s="214" t="s">
        <v>341</v>
      </c>
      <c r="H8" s="292" t="s">
        <v>683</v>
      </c>
      <c r="I8" s="215" t="s">
        <v>342</v>
      </c>
      <c r="J8" s="292" t="s">
        <v>684</v>
      </c>
      <c r="K8" s="321" t="s">
        <v>343</v>
      </c>
      <c r="L8" s="292" t="s">
        <v>1193</v>
      </c>
      <c r="M8" s="215" t="s">
        <v>344</v>
      </c>
      <c r="N8" s="294" t="s">
        <v>685</v>
      </c>
      <c r="O8" s="216" t="s">
        <v>345</v>
      </c>
      <c r="P8" s="293" t="s">
        <v>686</v>
      </c>
      <c r="Q8" s="216" t="s">
        <v>346</v>
      </c>
      <c r="R8" s="292" t="s">
        <v>687</v>
      </c>
      <c r="S8" s="569" t="s">
        <v>347</v>
      </c>
      <c r="T8" s="582" t="s">
        <v>688</v>
      </c>
      <c r="U8" s="570" t="s">
        <v>348</v>
      </c>
      <c r="V8" s="291" t="s">
        <v>689</v>
      </c>
      <c r="W8" s="215" t="s">
        <v>349</v>
      </c>
      <c r="X8" s="292" t="s">
        <v>690</v>
      </c>
      <c r="Y8" s="214" t="s">
        <v>350</v>
      </c>
      <c r="Z8" s="291" t="s">
        <v>691</v>
      </c>
      <c r="AA8" s="215" t="s">
        <v>351</v>
      </c>
      <c r="AB8" s="579" t="s">
        <v>1176</v>
      </c>
      <c r="AC8" s="568" t="s">
        <v>352</v>
      </c>
      <c r="AD8" s="582" t="s">
        <v>1248</v>
      </c>
      <c r="AE8" s="575">
        <v>1701</v>
      </c>
      <c r="AF8" s="581" t="s">
        <v>703</v>
      </c>
      <c r="AG8" s="571" t="s">
        <v>674</v>
      </c>
      <c r="AH8" s="582" t="s">
        <v>1115</v>
      </c>
      <c r="AI8" s="570" t="s">
        <v>1247</v>
      </c>
      <c r="AJ8" s="291" t="s">
        <v>843</v>
      </c>
      <c r="AK8" s="214" t="s">
        <v>1129</v>
      </c>
    </row>
    <row r="9" spans="1:37" ht="99.75" customHeight="1" thickBot="1" x14ac:dyDescent="0.3">
      <c r="A9" s="286"/>
      <c r="B9" s="580" t="s">
        <v>1393</v>
      </c>
      <c r="C9" s="575">
        <v>1102</v>
      </c>
      <c r="D9" s="293" t="s">
        <v>1161</v>
      </c>
      <c r="E9" s="216" t="s">
        <v>353</v>
      </c>
      <c r="F9" s="294" t="s">
        <v>693</v>
      </c>
      <c r="G9" s="216" t="s">
        <v>354</v>
      </c>
      <c r="H9" s="294" t="s">
        <v>694</v>
      </c>
      <c r="I9" s="217" t="s">
        <v>355</v>
      </c>
      <c r="J9" s="294" t="s">
        <v>695</v>
      </c>
      <c r="K9" s="216" t="s">
        <v>356</v>
      </c>
      <c r="L9" s="294" t="s">
        <v>1194</v>
      </c>
      <c r="M9" s="217" t="s">
        <v>357</v>
      </c>
      <c r="N9" s="294" t="s">
        <v>696</v>
      </c>
      <c r="O9" s="216" t="s">
        <v>358</v>
      </c>
      <c r="P9" s="293" t="s">
        <v>697</v>
      </c>
      <c r="Q9" s="216" t="s">
        <v>359</v>
      </c>
      <c r="R9" s="294" t="s">
        <v>698</v>
      </c>
      <c r="S9" s="571" t="s">
        <v>360</v>
      </c>
      <c r="T9" s="582" t="s">
        <v>699</v>
      </c>
      <c r="U9" s="570" t="s">
        <v>361</v>
      </c>
      <c r="V9" s="293" t="s">
        <v>701</v>
      </c>
      <c r="W9" s="217" t="s">
        <v>362</v>
      </c>
      <c r="X9" s="294" t="s">
        <v>702</v>
      </c>
      <c r="Y9" s="216" t="s">
        <v>363</v>
      </c>
      <c r="Z9" s="293" t="s">
        <v>1151</v>
      </c>
      <c r="AA9" s="217" t="s">
        <v>364</v>
      </c>
      <c r="AB9" s="582" t="s">
        <v>1177</v>
      </c>
      <c r="AC9" s="570" t="s">
        <v>365</v>
      </c>
      <c r="AD9" s="582" t="s">
        <v>1261</v>
      </c>
      <c r="AE9" s="577">
        <v>1702</v>
      </c>
      <c r="AF9" s="581" t="s">
        <v>845</v>
      </c>
      <c r="AG9" s="571">
        <v>1804</v>
      </c>
      <c r="AH9" s="591" t="s">
        <v>700</v>
      </c>
      <c r="AI9" s="570" t="s">
        <v>1120</v>
      </c>
      <c r="AJ9" s="295" t="s">
        <v>864</v>
      </c>
      <c r="AK9" s="218" t="s">
        <v>1130</v>
      </c>
    </row>
    <row r="10" spans="1:37" ht="153.75" thickBot="1" x14ac:dyDescent="0.3">
      <c r="A10" s="286"/>
      <c r="B10" s="583" t="s">
        <v>1388</v>
      </c>
      <c r="C10" s="575">
        <v>1103</v>
      </c>
      <c r="D10" s="293" t="s">
        <v>1160</v>
      </c>
      <c r="E10" s="216" t="s">
        <v>366</v>
      </c>
      <c r="F10" s="294" t="s">
        <v>704</v>
      </c>
      <c r="G10" s="216" t="s">
        <v>367</v>
      </c>
      <c r="H10" s="294" t="s">
        <v>705</v>
      </c>
      <c r="I10" s="217" t="s">
        <v>368</v>
      </c>
      <c r="J10" s="294" t="s">
        <v>1384</v>
      </c>
      <c r="K10" s="216" t="s">
        <v>1383</v>
      </c>
      <c r="L10" s="294" t="s">
        <v>1195</v>
      </c>
      <c r="M10" s="217" t="s">
        <v>369</v>
      </c>
      <c r="N10" s="294" t="s">
        <v>706</v>
      </c>
      <c r="O10" s="216" t="s">
        <v>370</v>
      </c>
      <c r="P10" s="293" t="s">
        <v>717</v>
      </c>
      <c r="Q10" s="216" t="s">
        <v>380</v>
      </c>
      <c r="R10" s="294" t="s">
        <v>707</v>
      </c>
      <c r="S10" s="571" t="s">
        <v>371</v>
      </c>
      <c r="T10" s="582" t="s">
        <v>708</v>
      </c>
      <c r="U10" s="570" t="s">
        <v>372</v>
      </c>
      <c r="V10" s="293" t="s">
        <v>710</v>
      </c>
      <c r="W10" s="217" t="s">
        <v>373</v>
      </c>
      <c r="X10" s="294" t="s">
        <v>712</v>
      </c>
      <c r="Y10" s="216" t="s">
        <v>374</v>
      </c>
      <c r="Z10" s="295" t="s">
        <v>986</v>
      </c>
      <c r="AA10" s="220" t="s">
        <v>385</v>
      </c>
      <c r="AB10" s="582" t="s">
        <v>1178</v>
      </c>
      <c r="AC10" s="570" t="s">
        <v>375</v>
      </c>
      <c r="AD10" s="582" t="s">
        <v>1249</v>
      </c>
      <c r="AE10" s="570" t="s">
        <v>676</v>
      </c>
      <c r="AF10" s="581" t="s">
        <v>894</v>
      </c>
      <c r="AG10" s="571">
        <v>1805</v>
      </c>
      <c r="AH10" s="582" t="s">
        <v>709</v>
      </c>
      <c r="AI10" s="570" t="s">
        <v>1121</v>
      </c>
      <c r="AJ10" s="229"/>
      <c r="AK10" s="231"/>
    </row>
    <row r="11" spans="1:37" ht="64.5" thickBot="1" x14ac:dyDescent="0.3">
      <c r="A11" s="286"/>
      <c r="B11" s="582" t="s">
        <v>1389</v>
      </c>
      <c r="C11" s="575">
        <v>1104</v>
      </c>
      <c r="D11" s="293" t="s">
        <v>1159</v>
      </c>
      <c r="E11" s="216" t="s">
        <v>376</v>
      </c>
      <c r="F11" s="294" t="s">
        <v>714</v>
      </c>
      <c r="G11" s="216" t="s">
        <v>670</v>
      </c>
      <c r="H11" s="294" t="s">
        <v>715</v>
      </c>
      <c r="I11" s="217" t="s">
        <v>377</v>
      </c>
      <c r="J11" s="294" t="s">
        <v>716</v>
      </c>
      <c r="K11" s="216" t="s">
        <v>378</v>
      </c>
      <c r="L11" s="294" t="s">
        <v>1196</v>
      </c>
      <c r="M11" s="217" t="s">
        <v>379</v>
      </c>
      <c r="N11" s="296" t="s">
        <v>1387</v>
      </c>
      <c r="O11" s="218" t="s">
        <v>1386</v>
      </c>
      <c r="P11" s="293" t="s">
        <v>726</v>
      </c>
      <c r="Q11" s="216" t="s">
        <v>391</v>
      </c>
      <c r="R11" s="294" t="s">
        <v>727</v>
      </c>
      <c r="S11" s="571" t="s">
        <v>392</v>
      </c>
      <c r="T11" s="582" t="s">
        <v>719</v>
      </c>
      <c r="U11" s="570" t="s">
        <v>382</v>
      </c>
      <c r="V11" s="293" t="s">
        <v>721</v>
      </c>
      <c r="W11" s="217" t="s">
        <v>383</v>
      </c>
      <c r="X11" s="294" t="s">
        <v>722</v>
      </c>
      <c r="Y11" s="216" t="s">
        <v>384</v>
      </c>
      <c r="Z11" s="229"/>
      <c r="AA11" s="231"/>
      <c r="AB11" s="582" t="s">
        <v>1179</v>
      </c>
      <c r="AC11" s="570" t="s">
        <v>386</v>
      </c>
      <c r="AD11" s="582" t="s">
        <v>1250</v>
      </c>
      <c r="AE11" s="570" t="s">
        <v>677</v>
      </c>
      <c r="AF11" s="581" t="s">
        <v>971</v>
      </c>
      <c r="AG11" s="571">
        <v>1806</v>
      </c>
      <c r="AH11" s="582" t="s">
        <v>720</v>
      </c>
      <c r="AI11" s="570" t="s">
        <v>1122</v>
      </c>
      <c r="AJ11" s="286"/>
    </row>
    <row r="12" spans="1:37" ht="102" x14ac:dyDescent="0.25">
      <c r="A12" s="286"/>
      <c r="B12" s="582" t="s">
        <v>1390</v>
      </c>
      <c r="C12" s="575">
        <v>1105</v>
      </c>
      <c r="D12" s="293" t="s">
        <v>1158</v>
      </c>
      <c r="E12" s="216" t="s">
        <v>387</v>
      </c>
      <c r="F12" s="294" t="s">
        <v>723</v>
      </c>
      <c r="G12" s="216" t="s">
        <v>671</v>
      </c>
      <c r="H12" s="294" t="s">
        <v>724</v>
      </c>
      <c r="I12" s="217" t="s">
        <v>388</v>
      </c>
      <c r="J12" s="294" t="s">
        <v>725</v>
      </c>
      <c r="K12" s="216" t="s">
        <v>389</v>
      </c>
      <c r="L12" s="294" t="s">
        <v>1197</v>
      </c>
      <c r="M12" s="216" t="s">
        <v>390</v>
      </c>
      <c r="N12" s="229"/>
      <c r="O12" s="231"/>
      <c r="P12" s="294" t="s">
        <v>735</v>
      </c>
      <c r="Q12" s="216" t="s">
        <v>401</v>
      </c>
      <c r="R12" s="294" t="s">
        <v>736</v>
      </c>
      <c r="S12" s="571" t="s">
        <v>402</v>
      </c>
      <c r="T12" s="582" t="s">
        <v>728</v>
      </c>
      <c r="U12" s="570" t="s">
        <v>393</v>
      </c>
      <c r="V12" s="293" t="s">
        <v>730</v>
      </c>
      <c r="W12" s="217" t="s">
        <v>394</v>
      </c>
      <c r="X12" s="322" t="s">
        <v>731</v>
      </c>
      <c r="Y12" s="323" t="s">
        <v>395</v>
      </c>
      <c r="Z12" s="219"/>
      <c r="AA12" s="219"/>
      <c r="AB12" s="591" t="s">
        <v>1180</v>
      </c>
      <c r="AC12" s="592" t="s">
        <v>396</v>
      </c>
      <c r="AD12" s="582" t="s">
        <v>1262</v>
      </c>
      <c r="AE12" s="577">
        <v>1705</v>
      </c>
      <c r="AF12" s="581" t="s">
        <v>1132</v>
      </c>
      <c r="AG12" s="571">
        <v>1807</v>
      </c>
      <c r="AH12" s="582" t="s">
        <v>729</v>
      </c>
      <c r="AI12" s="570" t="s">
        <v>1123</v>
      </c>
      <c r="AJ12" s="286"/>
    </row>
    <row r="13" spans="1:37" ht="90" thickBot="1" x14ac:dyDescent="0.3">
      <c r="A13" s="286"/>
      <c r="B13" s="582" t="s">
        <v>1391</v>
      </c>
      <c r="C13" s="575">
        <v>1106</v>
      </c>
      <c r="D13" s="293" t="s">
        <v>1157</v>
      </c>
      <c r="E13" s="216" t="s">
        <v>397</v>
      </c>
      <c r="F13" s="294" t="s">
        <v>732</v>
      </c>
      <c r="G13" s="216" t="s">
        <v>672</v>
      </c>
      <c r="H13" s="294" t="s">
        <v>733</v>
      </c>
      <c r="I13" s="217" t="s">
        <v>398</v>
      </c>
      <c r="J13" s="294" t="s">
        <v>734</v>
      </c>
      <c r="K13" s="216" t="s">
        <v>399</v>
      </c>
      <c r="L13" s="294" t="s">
        <v>1198</v>
      </c>
      <c r="M13" s="216" t="s">
        <v>400</v>
      </c>
      <c r="N13" s="229"/>
      <c r="O13" s="231"/>
      <c r="P13" s="294" t="s">
        <v>745</v>
      </c>
      <c r="Q13" s="216" t="s">
        <v>411</v>
      </c>
      <c r="R13" s="296" t="s">
        <v>942</v>
      </c>
      <c r="S13" s="573" t="s">
        <v>943</v>
      </c>
      <c r="T13" s="582" t="s">
        <v>737</v>
      </c>
      <c r="U13" s="570" t="s">
        <v>403</v>
      </c>
      <c r="V13" s="293" t="s">
        <v>739</v>
      </c>
      <c r="W13" s="217" t="s">
        <v>404</v>
      </c>
      <c r="X13" s="294" t="s">
        <v>740</v>
      </c>
      <c r="Y13" s="216" t="s">
        <v>405</v>
      </c>
      <c r="Z13" s="219"/>
      <c r="AA13" s="219"/>
      <c r="AB13" s="582" t="s">
        <v>1181</v>
      </c>
      <c r="AC13" s="570" t="s">
        <v>406</v>
      </c>
      <c r="AD13" s="582" t="s">
        <v>1251</v>
      </c>
      <c r="AE13" s="575">
        <v>1706</v>
      </c>
      <c r="AF13" s="581" t="s">
        <v>1133</v>
      </c>
      <c r="AG13" s="571">
        <v>1808</v>
      </c>
      <c r="AH13" s="582" t="s">
        <v>738</v>
      </c>
      <c r="AI13" s="570" t="s">
        <v>1124</v>
      </c>
      <c r="AJ13" s="286"/>
    </row>
    <row r="14" spans="1:37" ht="64.5" thickBot="1" x14ac:dyDescent="0.3">
      <c r="A14" s="286"/>
      <c r="B14" s="582" t="s">
        <v>741</v>
      </c>
      <c r="C14" s="575">
        <v>1107</v>
      </c>
      <c r="D14" s="293" t="s">
        <v>1156</v>
      </c>
      <c r="E14" s="216" t="s">
        <v>407</v>
      </c>
      <c r="F14" s="296" t="s">
        <v>742</v>
      </c>
      <c r="G14" s="218" t="s">
        <v>673</v>
      </c>
      <c r="H14" s="294" t="s">
        <v>743</v>
      </c>
      <c r="I14" s="217" t="s">
        <v>408</v>
      </c>
      <c r="J14" s="294" t="s">
        <v>744</v>
      </c>
      <c r="K14" s="216" t="s">
        <v>409</v>
      </c>
      <c r="L14" s="294" t="s">
        <v>1199</v>
      </c>
      <c r="M14" s="216" t="s">
        <v>410</v>
      </c>
      <c r="N14" s="219"/>
      <c r="O14" s="219"/>
      <c r="P14" s="294" t="s">
        <v>753</v>
      </c>
      <c r="Q14" s="216" t="s">
        <v>420</v>
      </c>
      <c r="R14" s="229"/>
      <c r="S14" s="231"/>
      <c r="T14" s="582" t="s">
        <v>746</v>
      </c>
      <c r="U14" s="570" t="s">
        <v>412</v>
      </c>
      <c r="V14" s="293" t="s">
        <v>748</v>
      </c>
      <c r="W14" s="217" t="s">
        <v>413</v>
      </c>
      <c r="X14" s="294" t="s">
        <v>749</v>
      </c>
      <c r="Y14" s="216" t="s">
        <v>414</v>
      </c>
      <c r="Z14" s="219"/>
      <c r="AA14" s="219"/>
      <c r="AB14" s="582" t="s">
        <v>1152</v>
      </c>
      <c r="AC14" s="570" t="s">
        <v>415</v>
      </c>
      <c r="AD14" s="582" t="s">
        <v>1252</v>
      </c>
      <c r="AE14" s="577">
        <v>1707</v>
      </c>
      <c r="AF14" s="584" t="s">
        <v>1134</v>
      </c>
      <c r="AG14" s="573">
        <v>1809</v>
      </c>
      <c r="AH14" s="582" t="s">
        <v>747</v>
      </c>
      <c r="AI14" s="570" t="s">
        <v>1125</v>
      </c>
      <c r="AJ14" s="286"/>
    </row>
    <row r="15" spans="1:37" ht="63.75" x14ac:dyDescent="0.25">
      <c r="A15" s="286"/>
      <c r="B15" s="583" t="s">
        <v>750</v>
      </c>
      <c r="C15" s="575">
        <v>1108</v>
      </c>
      <c r="D15" s="293" t="s">
        <v>1098</v>
      </c>
      <c r="E15" s="216" t="s">
        <v>416</v>
      </c>
      <c r="F15" s="219"/>
      <c r="G15" s="219"/>
      <c r="H15" s="294" t="s">
        <v>751</v>
      </c>
      <c r="I15" s="217" t="s">
        <v>417</v>
      </c>
      <c r="J15" s="294" t="s">
        <v>752</v>
      </c>
      <c r="K15" s="216" t="s">
        <v>418</v>
      </c>
      <c r="L15" s="294" t="s">
        <v>1200</v>
      </c>
      <c r="M15" s="216" t="s">
        <v>419</v>
      </c>
      <c r="N15" s="219"/>
      <c r="O15" s="219"/>
      <c r="P15" s="294" t="s">
        <v>759</v>
      </c>
      <c r="Q15" s="216" t="s">
        <v>428</v>
      </c>
      <c r="R15" s="229"/>
      <c r="S15" s="231"/>
      <c r="T15" s="582" t="s">
        <v>754</v>
      </c>
      <c r="U15" s="570" t="s">
        <v>421</v>
      </c>
      <c r="V15" s="293" t="s">
        <v>756</v>
      </c>
      <c r="W15" s="217" t="s">
        <v>422</v>
      </c>
      <c r="X15" s="294" t="s">
        <v>757</v>
      </c>
      <c r="Y15" s="216" t="s">
        <v>423</v>
      </c>
      <c r="Z15" s="219"/>
      <c r="AA15" s="219"/>
      <c r="AB15" s="582" t="s">
        <v>1182</v>
      </c>
      <c r="AC15" s="570" t="s">
        <v>424</v>
      </c>
      <c r="AD15" s="582" t="s">
        <v>1253</v>
      </c>
      <c r="AE15" s="570" t="s">
        <v>678</v>
      </c>
      <c r="AF15" s="574"/>
      <c r="AG15" s="576"/>
      <c r="AH15" s="582" t="s">
        <v>755</v>
      </c>
      <c r="AI15" s="570" t="s">
        <v>1126</v>
      </c>
      <c r="AJ15" s="286"/>
    </row>
    <row r="16" spans="1:37" ht="63.75" x14ac:dyDescent="0.25">
      <c r="A16" s="286"/>
      <c r="B16" s="582" t="s">
        <v>1394</v>
      </c>
      <c r="C16" s="575">
        <v>1109</v>
      </c>
      <c r="D16" s="293" t="s">
        <v>1099</v>
      </c>
      <c r="E16" s="216" t="s">
        <v>425</v>
      </c>
      <c r="F16" s="219"/>
      <c r="G16" s="219"/>
      <c r="H16" s="294" t="s">
        <v>758</v>
      </c>
      <c r="I16" s="217" t="s">
        <v>426</v>
      </c>
      <c r="J16" s="294" t="s">
        <v>771</v>
      </c>
      <c r="K16" s="216" t="s">
        <v>443</v>
      </c>
      <c r="L16" s="294" t="s">
        <v>1201</v>
      </c>
      <c r="M16" s="216" t="s">
        <v>427</v>
      </c>
      <c r="N16" s="219"/>
      <c r="O16" s="219"/>
      <c r="P16" s="294" t="s">
        <v>765</v>
      </c>
      <c r="Q16" s="216" t="s">
        <v>436</v>
      </c>
      <c r="R16" s="229"/>
      <c r="S16" s="231"/>
      <c r="T16" s="582" t="s">
        <v>760</v>
      </c>
      <c r="U16" s="570" t="s">
        <v>429</v>
      </c>
      <c r="V16" s="293" t="s">
        <v>762</v>
      </c>
      <c r="W16" s="217" t="s">
        <v>430</v>
      </c>
      <c r="X16" s="294" t="s">
        <v>763</v>
      </c>
      <c r="Y16" s="216" t="s">
        <v>431</v>
      </c>
      <c r="Z16" s="219"/>
      <c r="AA16" s="219"/>
      <c r="AB16" s="582" t="s">
        <v>1183</v>
      </c>
      <c r="AC16" s="570" t="s">
        <v>432</v>
      </c>
      <c r="AD16" s="582" t="s">
        <v>1254</v>
      </c>
      <c r="AE16" s="575">
        <v>1712</v>
      </c>
      <c r="AF16" s="574"/>
      <c r="AG16" s="576"/>
      <c r="AH16" s="582" t="s">
        <v>761</v>
      </c>
      <c r="AI16" s="570" t="s">
        <v>1127</v>
      </c>
      <c r="AJ16" s="286"/>
    </row>
    <row r="17" spans="1:36" ht="51.75" thickBot="1" x14ac:dyDescent="0.3">
      <c r="A17" s="286"/>
      <c r="B17" s="582" t="s">
        <v>1395</v>
      </c>
      <c r="C17" s="575">
        <v>1110</v>
      </c>
      <c r="D17" s="293" t="s">
        <v>1100</v>
      </c>
      <c r="E17" s="216" t="s">
        <v>433</v>
      </c>
      <c r="F17" s="219"/>
      <c r="G17" s="219"/>
      <c r="H17" s="294" t="s">
        <v>764</v>
      </c>
      <c r="I17" s="217" t="s">
        <v>434</v>
      </c>
      <c r="J17" s="294" t="s">
        <v>777</v>
      </c>
      <c r="K17" s="216" t="s">
        <v>451</v>
      </c>
      <c r="L17" s="294" t="s">
        <v>1202</v>
      </c>
      <c r="M17" s="216" t="s">
        <v>435</v>
      </c>
      <c r="N17" s="219"/>
      <c r="O17" s="219"/>
      <c r="P17" s="294" t="s">
        <v>772</v>
      </c>
      <c r="Q17" s="216" t="s">
        <v>445</v>
      </c>
      <c r="R17" s="219"/>
      <c r="S17" s="219"/>
      <c r="T17" s="582" t="s">
        <v>766</v>
      </c>
      <c r="U17" s="570" t="s">
        <v>437</v>
      </c>
      <c r="V17" s="293" t="s">
        <v>767</v>
      </c>
      <c r="W17" s="217" t="s">
        <v>438</v>
      </c>
      <c r="X17" s="294" t="s">
        <v>768</v>
      </c>
      <c r="Y17" s="216" t="s">
        <v>439</v>
      </c>
      <c r="Z17" s="219"/>
      <c r="AA17" s="219"/>
      <c r="AB17" s="582" t="s">
        <v>1185</v>
      </c>
      <c r="AC17" s="570" t="s">
        <v>440</v>
      </c>
      <c r="AD17" s="582" t="s">
        <v>1255</v>
      </c>
      <c r="AE17" s="577" t="s">
        <v>679</v>
      </c>
      <c r="AF17" s="229"/>
      <c r="AG17" s="231"/>
      <c r="AH17" s="585" t="s">
        <v>1114</v>
      </c>
      <c r="AI17" s="572" t="s">
        <v>1128</v>
      </c>
      <c r="AJ17" s="286"/>
    </row>
    <row r="18" spans="1:36" ht="77.25" thickBot="1" x14ac:dyDescent="0.3">
      <c r="A18" s="286"/>
      <c r="B18" s="582" t="s">
        <v>769</v>
      </c>
      <c r="C18" s="575">
        <v>1111</v>
      </c>
      <c r="D18" s="295" t="s">
        <v>1102</v>
      </c>
      <c r="E18" s="218" t="s">
        <v>465</v>
      </c>
      <c r="F18" s="219"/>
      <c r="G18" s="219"/>
      <c r="H18" s="294" t="s">
        <v>770</v>
      </c>
      <c r="I18" s="217" t="s">
        <v>442</v>
      </c>
      <c r="J18" s="294" t="s">
        <v>789</v>
      </c>
      <c r="K18" s="216" t="s">
        <v>467</v>
      </c>
      <c r="L18" s="294" t="s">
        <v>1203</v>
      </c>
      <c r="M18" s="216" t="s">
        <v>444</v>
      </c>
      <c r="N18" s="219"/>
      <c r="O18" s="219"/>
      <c r="P18" s="294" t="s">
        <v>778</v>
      </c>
      <c r="Q18" s="216" t="s">
        <v>453</v>
      </c>
      <c r="R18" s="219"/>
      <c r="S18" s="219"/>
      <c r="T18" s="582" t="s">
        <v>773</v>
      </c>
      <c r="U18" s="570" t="s">
        <v>446</v>
      </c>
      <c r="V18" s="293" t="s">
        <v>774</v>
      </c>
      <c r="W18" s="217" t="s">
        <v>447</v>
      </c>
      <c r="X18" s="294" t="s">
        <v>775</v>
      </c>
      <c r="Y18" s="216" t="s">
        <v>448</v>
      </c>
      <c r="Z18" s="219"/>
      <c r="AA18" s="219"/>
      <c r="AB18" s="582" t="s">
        <v>1184</v>
      </c>
      <c r="AC18" s="570" t="s">
        <v>449</v>
      </c>
      <c r="AD18" s="582" t="s">
        <v>1257</v>
      </c>
      <c r="AE18" s="570">
        <v>1716</v>
      </c>
      <c r="AF18" s="286"/>
      <c r="AH18" s="229"/>
      <c r="AI18" s="231"/>
      <c r="AJ18" s="286"/>
    </row>
    <row r="19" spans="1:36" ht="51" x14ac:dyDescent="0.25">
      <c r="A19" s="286"/>
      <c r="B19" s="583" t="s">
        <v>1396</v>
      </c>
      <c r="C19" s="575">
        <v>1113</v>
      </c>
      <c r="F19" s="219"/>
      <c r="G19" s="219"/>
      <c r="H19" s="294" t="s">
        <v>776</v>
      </c>
      <c r="I19" s="217" t="s">
        <v>450</v>
      </c>
      <c r="J19" s="294" t="s">
        <v>794</v>
      </c>
      <c r="K19" s="216" t="s">
        <v>474</v>
      </c>
      <c r="L19" s="294" t="s">
        <v>1204</v>
      </c>
      <c r="M19" s="216" t="s">
        <v>452</v>
      </c>
      <c r="N19" s="219"/>
      <c r="O19" s="219"/>
      <c r="P19" s="294" t="s">
        <v>783</v>
      </c>
      <c r="Q19" s="216" t="s">
        <v>460</v>
      </c>
      <c r="R19" s="219"/>
      <c r="S19" s="219"/>
      <c r="T19" s="582" t="s">
        <v>779</v>
      </c>
      <c r="U19" s="570" t="s">
        <v>454</v>
      </c>
      <c r="V19" s="293" t="s">
        <v>780</v>
      </c>
      <c r="W19" s="217" t="s">
        <v>455</v>
      </c>
      <c r="X19" s="294" t="s">
        <v>781</v>
      </c>
      <c r="Y19" s="216" t="s">
        <v>456</v>
      </c>
      <c r="Z19" s="219"/>
      <c r="AA19" s="219"/>
      <c r="AB19" s="582" t="s">
        <v>1186</v>
      </c>
      <c r="AC19" s="570" t="s">
        <v>457</v>
      </c>
      <c r="AD19" s="582" t="s">
        <v>1256</v>
      </c>
      <c r="AE19" s="570">
        <v>1717</v>
      </c>
      <c r="AF19" s="286"/>
      <c r="AH19" s="229"/>
      <c r="AI19" s="231"/>
      <c r="AJ19" s="286"/>
    </row>
    <row r="20" spans="1:36" ht="63.75" x14ac:dyDescent="0.25">
      <c r="A20" s="286"/>
      <c r="B20" s="582" t="s">
        <v>787</v>
      </c>
      <c r="C20" s="575">
        <v>1114</v>
      </c>
      <c r="D20" s="229"/>
      <c r="E20" s="231"/>
      <c r="F20" s="219"/>
      <c r="G20" s="219"/>
      <c r="H20" s="294" t="s">
        <v>782</v>
      </c>
      <c r="I20" s="217" t="s">
        <v>458</v>
      </c>
      <c r="J20" s="294" t="s">
        <v>801</v>
      </c>
      <c r="K20" s="216" t="s">
        <v>483</v>
      </c>
      <c r="L20" s="294" t="s">
        <v>1205</v>
      </c>
      <c r="M20" s="216" t="s">
        <v>459</v>
      </c>
      <c r="N20" s="219"/>
      <c r="O20" s="219"/>
      <c r="P20" s="294" t="s">
        <v>790</v>
      </c>
      <c r="Q20" s="216" t="s">
        <v>469</v>
      </c>
      <c r="R20" s="219"/>
      <c r="S20" s="219"/>
      <c r="T20" s="582" t="s">
        <v>784</v>
      </c>
      <c r="U20" s="570" t="s">
        <v>461</v>
      </c>
      <c r="V20" s="293" t="s">
        <v>785</v>
      </c>
      <c r="W20" s="217" t="s">
        <v>462</v>
      </c>
      <c r="X20" s="294" t="s">
        <v>786</v>
      </c>
      <c r="Y20" s="216" t="s">
        <v>463</v>
      </c>
      <c r="Z20" s="219"/>
      <c r="AA20" s="219"/>
      <c r="AB20" s="582" t="s">
        <v>1187</v>
      </c>
      <c r="AC20" s="570" t="s">
        <v>464</v>
      </c>
      <c r="AD20" s="582" t="s">
        <v>1258</v>
      </c>
      <c r="AE20" s="577" t="s">
        <v>680</v>
      </c>
      <c r="AF20" s="286"/>
      <c r="AH20" s="229"/>
      <c r="AI20" s="231"/>
      <c r="AJ20" s="286"/>
    </row>
    <row r="21" spans="1:36" ht="64.5" thickBot="1" x14ac:dyDescent="0.3">
      <c r="A21" s="286"/>
      <c r="B21" s="583" t="s">
        <v>1397</v>
      </c>
      <c r="C21" s="575">
        <v>1116</v>
      </c>
      <c r="D21" s="229"/>
      <c r="E21" s="231"/>
      <c r="F21" s="219"/>
      <c r="G21" s="219"/>
      <c r="H21" s="296" t="s">
        <v>788</v>
      </c>
      <c r="I21" s="220" t="s">
        <v>466</v>
      </c>
      <c r="J21" s="294" t="s">
        <v>806</v>
      </c>
      <c r="K21" s="216" t="s">
        <v>490</v>
      </c>
      <c r="L21" s="294" t="s">
        <v>1206</v>
      </c>
      <c r="M21" s="216" t="s">
        <v>468</v>
      </c>
      <c r="N21" s="219"/>
      <c r="O21" s="219"/>
      <c r="P21" s="294" t="s">
        <v>795</v>
      </c>
      <c r="Q21" s="216" t="s">
        <v>476</v>
      </c>
      <c r="R21" s="219"/>
      <c r="S21" s="219"/>
      <c r="T21" s="582" t="s">
        <v>791</v>
      </c>
      <c r="U21" s="570" t="s">
        <v>470</v>
      </c>
      <c r="V21" s="293" t="s">
        <v>792</v>
      </c>
      <c r="W21" s="217" t="s">
        <v>471</v>
      </c>
      <c r="X21" s="294" t="s">
        <v>793</v>
      </c>
      <c r="Y21" s="216" t="s">
        <v>472</v>
      </c>
      <c r="Z21" s="219"/>
      <c r="AA21" s="219"/>
      <c r="AB21" s="582" t="s">
        <v>1188</v>
      </c>
      <c r="AC21" s="570" t="s">
        <v>473</v>
      </c>
      <c r="AD21" s="582" t="s">
        <v>1259</v>
      </c>
      <c r="AE21" s="575" t="s">
        <v>957</v>
      </c>
      <c r="AF21" s="286"/>
      <c r="AH21" s="229"/>
      <c r="AI21" s="231"/>
      <c r="AJ21" s="286"/>
    </row>
    <row r="22" spans="1:36" ht="51" x14ac:dyDescent="0.25">
      <c r="A22" s="286"/>
      <c r="B22" s="582" t="s">
        <v>1398</v>
      </c>
      <c r="C22" s="575">
        <v>1117</v>
      </c>
      <c r="D22" s="229"/>
      <c r="E22" s="231"/>
      <c r="F22" s="219"/>
      <c r="G22" s="219"/>
      <c r="H22" s="229"/>
      <c r="I22" s="231"/>
      <c r="J22" s="294" t="s">
        <v>812</v>
      </c>
      <c r="K22" s="216" t="s">
        <v>498</v>
      </c>
      <c r="L22" s="294" t="s">
        <v>1207</v>
      </c>
      <c r="M22" s="216" t="s">
        <v>475</v>
      </c>
      <c r="N22" s="219"/>
      <c r="O22" s="219"/>
      <c r="P22" s="294" t="s">
        <v>798</v>
      </c>
      <c r="Q22" s="216" t="s">
        <v>480</v>
      </c>
      <c r="R22" s="219"/>
      <c r="S22" s="219"/>
      <c r="T22" s="582" t="s">
        <v>947</v>
      </c>
      <c r="U22" s="570" t="s">
        <v>948</v>
      </c>
      <c r="V22" s="293" t="s">
        <v>796</v>
      </c>
      <c r="W22" s="217" t="s">
        <v>477</v>
      </c>
      <c r="X22" s="294" t="s">
        <v>797</v>
      </c>
      <c r="Y22" s="216" t="s">
        <v>478</v>
      </c>
      <c r="Z22" s="219"/>
      <c r="AA22" s="219"/>
      <c r="AB22" s="582" t="s">
        <v>1189</v>
      </c>
      <c r="AC22" s="570" t="s">
        <v>606</v>
      </c>
      <c r="AD22" s="582" t="s">
        <v>1260</v>
      </c>
      <c r="AE22" s="577" t="s">
        <v>987</v>
      </c>
      <c r="AF22" s="286"/>
      <c r="AH22" s="229"/>
      <c r="AI22" s="231"/>
      <c r="AJ22" s="286"/>
    </row>
    <row r="23" spans="1:36" ht="51" x14ac:dyDescent="0.25">
      <c r="A23" s="286"/>
      <c r="B23" s="583" t="s">
        <v>1149</v>
      </c>
      <c r="C23" s="575">
        <v>1121</v>
      </c>
      <c r="D23" s="229"/>
      <c r="E23" s="231"/>
      <c r="F23" s="219"/>
      <c r="G23" s="219"/>
      <c r="H23" s="229"/>
      <c r="I23" s="231"/>
      <c r="J23" s="294" t="s">
        <v>816</v>
      </c>
      <c r="K23" s="216" t="s">
        <v>502</v>
      </c>
      <c r="L23" s="294" t="s">
        <v>1208</v>
      </c>
      <c r="M23" s="216" t="s">
        <v>479</v>
      </c>
      <c r="N23" s="219"/>
      <c r="O23" s="219"/>
      <c r="P23" s="294" t="s">
        <v>802</v>
      </c>
      <c r="Q23" s="216" t="s">
        <v>485</v>
      </c>
      <c r="R23" s="219"/>
      <c r="S23" s="219"/>
      <c r="T23" s="582" t="s">
        <v>949</v>
      </c>
      <c r="U23" s="570" t="s">
        <v>950</v>
      </c>
      <c r="V23" s="293" t="s">
        <v>799</v>
      </c>
      <c r="W23" s="217" t="s">
        <v>481</v>
      </c>
      <c r="X23" s="294" t="s">
        <v>800</v>
      </c>
      <c r="Y23" s="216" t="s">
        <v>482</v>
      </c>
      <c r="Z23" s="219"/>
      <c r="AA23" s="219"/>
      <c r="AB23" s="582" t="s">
        <v>1153</v>
      </c>
      <c r="AC23" s="570" t="s">
        <v>607</v>
      </c>
      <c r="AD23" s="582" t="s">
        <v>1264</v>
      </c>
      <c r="AE23" s="577">
        <v>1721</v>
      </c>
      <c r="AF23" s="286"/>
      <c r="AH23" s="229"/>
      <c r="AI23" s="231"/>
      <c r="AJ23" s="286"/>
    </row>
    <row r="24" spans="1:36" ht="79.5" customHeight="1" thickBot="1" x14ac:dyDescent="0.3">
      <c r="A24" s="286"/>
      <c r="B24" s="582" t="s">
        <v>815</v>
      </c>
      <c r="C24" s="575">
        <v>1122</v>
      </c>
      <c r="D24" s="229"/>
      <c r="E24" s="231"/>
      <c r="F24" s="219"/>
      <c r="G24" s="219"/>
      <c r="H24" s="219"/>
      <c r="I24" s="219"/>
      <c r="J24" s="294" t="s">
        <v>820</v>
      </c>
      <c r="K24" s="216" t="s">
        <v>506</v>
      </c>
      <c r="L24" s="294" t="s">
        <v>1209</v>
      </c>
      <c r="M24" s="216" t="s">
        <v>484</v>
      </c>
      <c r="N24" s="219"/>
      <c r="O24" s="219"/>
      <c r="P24" s="294" t="s">
        <v>804</v>
      </c>
      <c r="Q24" s="216" t="s">
        <v>488</v>
      </c>
      <c r="R24" s="219"/>
      <c r="S24" s="219"/>
      <c r="T24" s="582" t="s">
        <v>951</v>
      </c>
      <c r="U24" s="570" t="s">
        <v>952</v>
      </c>
      <c r="V24" s="293" t="s">
        <v>803</v>
      </c>
      <c r="W24" s="217" t="s">
        <v>486</v>
      </c>
      <c r="X24" s="294" t="s">
        <v>805</v>
      </c>
      <c r="Y24" s="216" t="s">
        <v>489</v>
      </c>
      <c r="Z24" s="219"/>
      <c r="AA24" s="219"/>
      <c r="AB24" s="582" t="s">
        <v>1190</v>
      </c>
      <c r="AC24" s="570" t="s">
        <v>608</v>
      </c>
      <c r="AD24" s="585" t="s">
        <v>1287</v>
      </c>
      <c r="AE24" s="572" t="s">
        <v>1286</v>
      </c>
      <c r="AF24" s="286"/>
      <c r="AH24" s="229"/>
      <c r="AI24" s="231"/>
      <c r="AJ24" s="286"/>
    </row>
    <row r="25" spans="1:36" ht="64.5" thickBot="1" x14ac:dyDescent="0.3">
      <c r="A25" s="286"/>
      <c r="B25" s="582" t="s">
        <v>819</v>
      </c>
      <c r="C25" s="575">
        <v>1123</v>
      </c>
      <c r="D25" s="229"/>
      <c r="E25" s="231"/>
      <c r="F25" s="219"/>
      <c r="G25" s="219"/>
      <c r="H25" s="219"/>
      <c r="I25" s="219"/>
      <c r="J25" s="294" t="s">
        <v>823</v>
      </c>
      <c r="K25" s="216" t="s">
        <v>510</v>
      </c>
      <c r="L25" s="294" t="s">
        <v>1210</v>
      </c>
      <c r="M25" s="216" t="s">
        <v>487</v>
      </c>
      <c r="N25" s="219"/>
      <c r="O25" s="219"/>
      <c r="P25" s="294" t="s">
        <v>807</v>
      </c>
      <c r="Q25" s="216" t="s">
        <v>492</v>
      </c>
      <c r="R25" s="219"/>
      <c r="S25" s="219"/>
      <c r="T25" s="582" t="s">
        <v>953</v>
      </c>
      <c r="U25" s="570" t="s">
        <v>954</v>
      </c>
      <c r="V25" s="295" t="s">
        <v>808</v>
      </c>
      <c r="W25" s="220" t="s">
        <v>493</v>
      </c>
      <c r="X25" s="294" t="s">
        <v>809</v>
      </c>
      <c r="Y25" s="216" t="s">
        <v>494</v>
      </c>
      <c r="Z25" s="219"/>
      <c r="AA25" s="219"/>
      <c r="AB25" s="586" t="s">
        <v>1154</v>
      </c>
      <c r="AC25" s="595" t="s">
        <v>609</v>
      </c>
      <c r="AD25" s="574"/>
      <c r="AE25" s="574"/>
      <c r="AF25" s="286"/>
      <c r="AH25" s="219"/>
      <c r="AI25" s="219"/>
      <c r="AJ25" s="286"/>
    </row>
    <row r="26" spans="1:36" ht="62.25" customHeight="1" thickBot="1" x14ac:dyDescent="0.3">
      <c r="A26" s="286"/>
      <c r="B26" s="587" t="s">
        <v>1399</v>
      </c>
      <c r="C26" s="575">
        <v>1129</v>
      </c>
      <c r="D26" s="229"/>
      <c r="E26" s="231"/>
      <c r="F26" s="219"/>
      <c r="G26" s="219"/>
      <c r="H26" s="219"/>
      <c r="I26" s="219"/>
      <c r="J26" s="294" t="s">
        <v>826</v>
      </c>
      <c r="K26" s="216" t="s">
        <v>514</v>
      </c>
      <c r="L26" s="294" t="s">
        <v>1211</v>
      </c>
      <c r="M26" s="216" t="s">
        <v>491</v>
      </c>
      <c r="N26" s="219"/>
      <c r="O26" s="219"/>
      <c r="P26" s="294" t="s">
        <v>810</v>
      </c>
      <c r="Q26" s="216" t="s">
        <v>496</v>
      </c>
      <c r="R26" s="219"/>
      <c r="S26" s="219"/>
      <c r="T26" s="582" t="s">
        <v>955</v>
      </c>
      <c r="U26" s="570" t="s">
        <v>956</v>
      </c>
      <c r="V26" s="229"/>
      <c r="W26" s="231"/>
      <c r="X26" s="294" t="s">
        <v>811</v>
      </c>
      <c r="Y26" s="216" t="s">
        <v>497</v>
      </c>
      <c r="Z26" s="219"/>
      <c r="AA26" s="219"/>
      <c r="AB26" s="585" t="s">
        <v>1155</v>
      </c>
      <c r="AC26" s="572" t="s">
        <v>643</v>
      </c>
      <c r="AD26" s="574"/>
      <c r="AE26" s="576"/>
      <c r="AF26" s="286"/>
      <c r="AH26" s="219"/>
      <c r="AI26" s="219"/>
      <c r="AJ26" s="286"/>
    </row>
    <row r="27" spans="1:36" ht="51" x14ac:dyDescent="0.25">
      <c r="A27" s="286"/>
      <c r="B27" s="587" t="s">
        <v>1400</v>
      </c>
      <c r="C27" s="575">
        <v>1130</v>
      </c>
      <c r="D27" s="229"/>
      <c r="E27" s="231"/>
      <c r="F27" s="219"/>
      <c r="G27" s="219"/>
      <c r="H27" s="219"/>
      <c r="I27" s="219"/>
      <c r="J27" s="294" t="s">
        <v>828</v>
      </c>
      <c r="K27" s="216" t="s">
        <v>517</v>
      </c>
      <c r="L27" s="294" t="s">
        <v>1212</v>
      </c>
      <c r="M27" s="216" t="s">
        <v>495</v>
      </c>
      <c r="N27" s="219"/>
      <c r="O27" s="219"/>
      <c r="P27" s="294" t="s">
        <v>813</v>
      </c>
      <c r="Q27" s="216" t="s">
        <v>500</v>
      </c>
      <c r="R27" s="219"/>
      <c r="S27" s="219"/>
      <c r="T27" s="582" t="s">
        <v>958</v>
      </c>
      <c r="U27" s="570" t="s">
        <v>959</v>
      </c>
      <c r="V27" s="229"/>
      <c r="W27" s="231"/>
      <c r="X27" s="294" t="s">
        <v>814</v>
      </c>
      <c r="Y27" s="216" t="s">
        <v>501</v>
      </c>
      <c r="Z27" s="219"/>
      <c r="AA27" s="219"/>
      <c r="AB27" s="219"/>
      <c r="AC27" s="219"/>
      <c r="AD27" s="229"/>
      <c r="AE27" s="231"/>
      <c r="AF27" s="286"/>
      <c r="AH27" s="219"/>
      <c r="AI27" s="219"/>
      <c r="AJ27" s="286"/>
    </row>
    <row r="28" spans="1:36" ht="49.5" customHeight="1" x14ac:dyDescent="0.25">
      <c r="A28" s="286"/>
      <c r="B28" s="587" t="s">
        <v>1401</v>
      </c>
      <c r="C28" s="575">
        <v>1131</v>
      </c>
      <c r="D28" s="219"/>
      <c r="E28" s="219"/>
      <c r="F28" s="219"/>
      <c r="G28" s="219"/>
      <c r="H28" s="219"/>
      <c r="I28" s="219"/>
      <c r="J28" s="294" t="s">
        <v>831</v>
      </c>
      <c r="K28" s="216" t="s">
        <v>521</v>
      </c>
      <c r="L28" s="294" t="s">
        <v>1213</v>
      </c>
      <c r="M28" s="216" t="s">
        <v>499</v>
      </c>
      <c r="N28" s="219"/>
      <c r="O28" s="219"/>
      <c r="P28" s="294" t="s">
        <v>817</v>
      </c>
      <c r="Q28" s="216" t="s">
        <v>504</v>
      </c>
      <c r="R28" s="219"/>
      <c r="S28" s="219"/>
      <c r="T28" s="582" t="s">
        <v>960</v>
      </c>
      <c r="U28" s="570" t="s">
        <v>961</v>
      </c>
      <c r="V28" s="229"/>
      <c r="W28" s="231"/>
      <c r="X28" s="294" t="s">
        <v>818</v>
      </c>
      <c r="Y28" s="216" t="s">
        <v>505</v>
      </c>
      <c r="Z28" s="219"/>
      <c r="AA28" s="219"/>
      <c r="AB28" s="219"/>
      <c r="AC28" s="219"/>
      <c r="AD28" s="229"/>
      <c r="AE28" s="231"/>
      <c r="AF28" s="286"/>
      <c r="AH28" s="219"/>
      <c r="AI28" s="219"/>
      <c r="AJ28" s="286"/>
    </row>
    <row r="29" spans="1:36" ht="35.25" customHeight="1" x14ac:dyDescent="0.25">
      <c r="A29" s="286"/>
      <c r="B29" s="587" t="s">
        <v>849</v>
      </c>
      <c r="C29" s="575">
        <v>1133</v>
      </c>
      <c r="D29" s="219"/>
      <c r="E29" s="219"/>
      <c r="F29" s="219"/>
      <c r="G29" s="219"/>
      <c r="H29" s="219"/>
      <c r="I29" s="219"/>
      <c r="J29" s="294" t="s">
        <v>833</v>
      </c>
      <c r="K29" s="216" t="s">
        <v>523</v>
      </c>
      <c r="L29" s="294" t="s">
        <v>1214</v>
      </c>
      <c r="M29" s="216" t="s">
        <v>503</v>
      </c>
      <c r="N29" s="219"/>
      <c r="O29" s="219"/>
      <c r="P29" s="294" t="s">
        <v>821</v>
      </c>
      <c r="Q29" s="216" t="s">
        <v>508</v>
      </c>
      <c r="R29" s="219"/>
      <c r="S29" s="219"/>
      <c r="T29" s="582" t="s">
        <v>962</v>
      </c>
      <c r="U29" s="570" t="s">
        <v>963</v>
      </c>
      <c r="V29" s="229"/>
      <c r="W29" s="231"/>
      <c r="X29" s="294" t="s">
        <v>822</v>
      </c>
      <c r="Y29" s="216" t="s">
        <v>509</v>
      </c>
      <c r="Z29" s="219"/>
      <c r="AA29" s="219"/>
      <c r="AB29" s="219"/>
      <c r="AC29" s="219"/>
      <c r="AD29" s="229"/>
      <c r="AE29" s="231"/>
      <c r="AF29" s="286"/>
      <c r="AH29" s="219"/>
      <c r="AI29" s="219"/>
      <c r="AJ29" s="286"/>
    </row>
    <row r="30" spans="1:36" ht="38.25" x14ac:dyDescent="0.25">
      <c r="A30" s="286"/>
      <c r="B30" s="587" t="s">
        <v>1402</v>
      </c>
      <c r="C30" s="575">
        <v>1134</v>
      </c>
      <c r="D30" s="219"/>
      <c r="E30" s="219"/>
      <c r="F30" s="219"/>
      <c r="G30" s="219"/>
      <c r="H30" s="219"/>
      <c r="I30" s="219"/>
      <c r="J30" s="294" t="s">
        <v>836</v>
      </c>
      <c r="K30" s="216" t="s">
        <v>527</v>
      </c>
      <c r="L30" s="294" t="s">
        <v>1215</v>
      </c>
      <c r="M30" s="216" t="s">
        <v>507</v>
      </c>
      <c r="N30" s="219"/>
      <c r="O30" s="219"/>
      <c r="P30" s="294" t="s">
        <v>824</v>
      </c>
      <c r="Q30" s="216" t="s">
        <v>512</v>
      </c>
      <c r="R30" s="219"/>
      <c r="S30" s="219"/>
      <c r="T30" s="582" t="s">
        <v>964</v>
      </c>
      <c r="U30" s="570" t="s">
        <v>965</v>
      </c>
      <c r="V30" s="229"/>
      <c r="W30" s="231"/>
      <c r="X30" s="294" t="s">
        <v>825</v>
      </c>
      <c r="Y30" s="216" t="s">
        <v>513</v>
      </c>
      <c r="Z30" s="219"/>
      <c r="AA30" s="219"/>
      <c r="AB30" s="219"/>
      <c r="AC30" s="219"/>
      <c r="AD30" s="229"/>
      <c r="AE30" s="231"/>
      <c r="AF30" s="286"/>
      <c r="AH30" s="219"/>
      <c r="AI30" s="219"/>
      <c r="AJ30" s="286"/>
    </row>
    <row r="31" spans="1:36" ht="51" x14ac:dyDescent="0.25">
      <c r="A31" s="286"/>
      <c r="B31" s="587" t="s">
        <v>1403</v>
      </c>
      <c r="C31" s="575">
        <v>1135</v>
      </c>
      <c r="D31" s="219"/>
      <c r="E31" s="219"/>
      <c r="F31" s="219"/>
      <c r="G31" s="219"/>
      <c r="H31" s="219"/>
      <c r="I31" s="219"/>
      <c r="J31" s="294" t="s">
        <v>839</v>
      </c>
      <c r="K31" s="216" t="s">
        <v>531</v>
      </c>
      <c r="L31" s="294" t="s">
        <v>1216</v>
      </c>
      <c r="M31" s="216" t="s">
        <v>511</v>
      </c>
      <c r="N31" s="219"/>
      <c r="O31" s="219"/>
      <c r="P31" s="294" t="s">
        <v>827</v>
      </c>
      <c r="Q31" s="216" t="s">
        <v>516</v>
      </c>
      <c r="R31" s="219"/>
      <c r="S31" s="219"/>
      <c r="T31" s="582" t="s">
        <v>966</v>
      </c>
      <c r="U31" s="570" t="s">
        <v>967</v>
      </c>
      <c r="V31" s="229"/>
      <c r="W31" s="231"/>
      <c r="X31" s="294" t="s">
        <v>830</v>
      </c>
      <c r="Y31" s="216" t="s">
        <v>520</v>
      </c>
      <c r="Z31" s="219"/>
      <c r="AA31" s="219"/>
      <c r="AB31" s="219"/>
      <c r="AC31" s="219"/>
      <c r="AD31" s="229"/>
      <c r="AE31" s="231"/>
      <c r="AF31" s="286"/>
      <c r="AH31" s="219"/>
      <c r="AI31" s="219"/>
      <c r="AJ31" s="286"/>
    </row>
    <row r="32" spans="1:36" ht="38.25" x14ac:dyDescent="0.25">
      <c r="A32" s="286"/>
      <c r="B32" s="587" t="s">
        <v>862</v>
      </c>
      <c r="C32" s="575">
        <v>1137</v>
      </c>
      <c r="D32" s="219"/>
      <c r="E32" s="219"/>
      <c r="F32" s="219"/>
      <c r="G32" s="219"/>
      <c r="H32" s="219"/>
      <c r="I32" s="219"/>
      <c r="J32" s="294" t="s">
        <v>842</v>
      </c>
      <c r="K32" s="216" t="s">
        <v>535</v>
      </c>
      <c r="L32" s="294" t="s">
        <v>1217</v>
      </c>
      <c r="M32" s="216" t="s">
        <v>515</v>
      </c>
      <c r="N32" s="219"/>
      <c r="O32" s="219"/>
      <c r="P32" s="294" t="s">
        <v>829</v>
      </c>
      <c r="Q32" s="216" t="s">
        <v>519</v>
      </c>
      <c r="R32" s="219"/>
      <c r="S32" s="219"/>
      <c r="T32" s="582" t="s">
        <v>1417</v>
      </c>
      <c r="U32" s="570" t="s">
        <v>1433</v>
      </c>
      <c r="V32" s="229"/>
      <c r="W32" s="231"/>
      <c r="X32" s="294" t="s">
        <v>835</v>
      </c>
      <c r="Y32" s="216" t="s">
        <v>526</v>
      </c>
      <c r="Z32" s="219"/>
      <c r="AA32" s="219"/>
      <c r="AB32" s="219"/>
      <c r="AC32" s="219"/>
      <c r="AD32" s="229"/>
      <c r="AE32" s="231"/>
      <c r="AF32" s="286"/>
      <c r="AH32" s="219"/>
      <c r="AI32" s="219"/>
      <c r="AJ32" s="286"/>
    </row>
    <row r="33" spans="1:36" ht="63.75" x14ac:dyDescent="0.25">
      <c r="A33" s="286"/>
      <c r="B33" s="587" t="s">
        <v>1404</v>
      </c>
      <c r="C33" s="575">
        <v>1138</v>
      </c>
      <c r="D33" s="219"/>
      <c r="E33" s="219"/>
      <c r="F33" s="219"/>
      <c r="G33" s="219"/>
      <c r="H33" s="219"/>
      <c r="I33" s="219"/>
      <c r="J33" s="294" t="s">
        <v>846</v>
      </c>
      <c r="K33" s="216" t="s">
        <v>538</v>
      </c>
      <c r="L33" s="294" t="s">
        <v>1218</v>
      </c>
      <c r="M33" s="216" t="s">
        <v>518</v>
      </c>
      <c r="N33" s="219"/>
      <c r="O33" s="219"/>
      <c r="P33" s="294" t="s">
        <v>834</v>
      </c>
      <c r="Q33" s="216" t="s">
        <v>525</v>
      </c>
      <c r="R33" s="219"/>
      <c r="S33" s="219"/>
      <c r="T33" s="582" t="s">
        <v>1418</v>
      </c>
      <c r="U33" s="570" t="s">
        <v>1434</v>
      </c>
      <c r="V33" s="229"/>
      <c r="W33" s="231"/>
      <c r="X33" s="294" t="s">
        <v>838</v>
      </c>
      <c r="Y33" s="216" t="s">
        <v>530</v>
      </c>
      <c r="Z33" s="219"/>
      <c r="AA33" s="219"/>
      <c r="AB33" s="219"/>
      <c r="AC33" s="219"/>
      <c r="AD33" s="229"/>
      <c r="AE33" s="231"/>
      <c r="AF33" s="286"/>
      <c r="AH33" s="219"/>
      <c r="AI33" s="219"/>
      <c r="AJ33" s="286"/>
    </row>
    <row r="34" spans="1:36" ht="51" x14ac:dyDescent="0.25">
      <c r="A34" s="286"/>
      <c r="B34" s="587" t="s">
        <v>1405</v>
      </c>
      <c r="C34" s="593">
        <v>1139</v>
      </c>
      <c r="D34" s="219"/>
      <c r="E34" s="219"/>
      <c r="F34" s="219"/>
      <c r="G34" s="219"/>
      <c r="H34" s="219"/>
      <c r="I34" s="219"/>
      <c r="J34" s="294" t="s">
        <v>850</v>
      </c>
      <c r="K34" s="216" t="s">
        <v>542</v>
      </c>
      <c r="L34" s="294" t="s">
        <v>1219</v>
      </c>
      <c r="M34" s="216" t="s">
        <v>522</v>
      </c>
      <c r="N34" s="219"/>
      <c r="O34" s="219"/>
      <c r="P34" s="294" t="s">
        <v>837</v>
      </c>
      <c r="Q34" s="216" t="s">
        <v>529</v>
      </c>
      <c r="R34" s="219"/>
      <c r="S34" s="219"/>
      <c r="T34" s="582" t="s">
        <v>1419</v>
      </c>
      <c r="U34" s="570" t="s">
        <v>1435</v>
      </c>
      <c r="V34" s="229"/>
      <c r="W34" s="231"/>
      <c r="X34" s="294" t="s">
        <v>841</v>
      </c>
      <c r="Y34" s="216" t="s">
        <v>534</v>
      </c>
      <c r="Z34" s="219"/>
      <c r="AA34" s="219"/>
      <c r="AB34" s="219"/>
      <c r="AC34" s="219"/>
      <c r="AD34" s="229"/>
      <c r="AE34" s="231"/>
      <c r="AF34" s="286"/>
      <c r="AH34" s="219"/>
      <c r="AI34" s="219"/>
      <c r="AJ34" s="286"/>
    </row>
    <row r="35" spans="1:36" ht="51" x14ac:dyDescent="0.25">
      <c r="A35" s="286"/>
      <c r="B35" s="587" t="s">
        <v>1406</v>
      </c>
      <c r="C35" s="575">
        <v>1141</v>
      </c>
      <c r="D35" s="219"/>
      <c r="E35" s="219"/>
      <c r="F35" s="219"/>
      <c r="G35" s="219"/>
      <c r="H35" s="219"/>
      <c r="I35" s="219"/>
      <c r="J35" s="294" t="s">
        <v>853</v>
      </c>
      <c r="K35" s="216" t="s">
        <v>546</v>
      </c>
      <c r="L35" s="294" t="s">
        <v>1220</v>
      </c>
      <c r="M35" s="216" t="s">
        <v>524</v>
      </c>
      <c r="N35" s="219"/>
      <c r="O35" s="219"/>
      <c r="P35" s="294" t="s">
        <v>840</v>
      </c>
      <c r="Q35" s="216" t="s">
        <v>533</v>
      </c>
      <c r="R35" s="219"/>
      <c r="S35" s="219"/>
      <c r="T35" s="582" t="s">
        <v>1420</v>
      </c>
      <c r="U35" s="570" t="s">
        <v>1436</v>
      </c>
      <c r="V35" s="229"/>
      <c r="W35" s="231"/>
      <c r="X35" s="294" t="s">
        <v>844</v>
      </c>
      <c r="Y35" s="216" t="s">
        <v>537</v>
      </c>
      <c r="Z35" s="219"/>
      <c r="AA35" s="219"/>
      <c r="AB35" s="219"/>
      <c r="AC35" s="219"/>
      <c r="AD35" s="229"/>
      <c r="AE35" s="231"/>
      <c r="AF35" s="286"/>
      <c r="AH35" s="219"/>
      <c r="AI35" s="219"/>
      <c r="AJ35" s="286"/>
    </row>
    <row r="36" spans="1:36" ht="89.25" customHeight="1" x14ac:dyDescent="0.25">
      <c r="A36" s="286"/>
      <c r="B36" s="587" t="s">
        <v>885</v>
      </c>
      <c r="C36" s="575">
        <v>1145</v>
      </c>
      <c r="D36" s="219"/>
      <c r="E36" s="219"/>
      <c r="F36" s="219"/>
      <c r="G36" s="219"/>
      <c r="H36" s="219"/>
      <c r="I36" s="219"/>
      <c r="J36" s="294" t="s">
        <v>856</v>
      </c>
      <c r="K36" s="216" t="s">
        <v>550</v>
      </c>
      <c r="L36" s="294" t="s">
        <v>1221</v>
      </c>
      <c r="M36" s="216" t="s">
        <v>528</v>
      </c>
      <c r="N36" s="219"/>
      <c r="O36" s="219"/>
      <c r="P36" s="294" t="s">
        <v>847</v>
      </c>
      <c r="Q36" s="216" t="s">
        <v>540</v>
      </c>
      <c r="R36" s="219"/>
      <c r="S36" s="219"/>
      <c r="T36" s="582" t="s">
        <v>1421</v>
      </c>
      <c r="U36" s="570" t="s">
        <v>1437</v>
      </c>
      <c r="V36" s="229"/>
      <c r="W36" s="231"/>
      <c r="X36" s="294" t="s">
        <v>848</v>
      </c>
      <c r="Y36" s="216" t="s">
        <v>541</v>
      </c>
      <c r="Z36" s="219"/>
      <c r="AA36" s="219"/>
      <c r="AB36" s="219"/>
      <c r="AC36" s="219"/>
      <c r="AD36" s="229"/>
      <c r="AE36" s="231"/>
      <c r="AF36" s="286"/>
      <c r="AH36" s="219"/>
      <c r="AI36" s="219"/>
      <c r="AJ36" s="286"/>
    </row>
    <row r="37" spans="1:36" ht="51" x14ac:dyDescent="0.25">
      <c r="A37" s="286"/>
      <c r="B37" s="587" t="s">
        <v>887</v>
      </c>
      <c r="C37" s="575">
        <v>1146</v>
      </c>
      <c r="D37" s="219"/>
      <c r="E37" s="219"/>
      <c r="F37" s="219"/>
      <c r="G37" s="219"/>
      <c r="H37" s="219"/>
      <c r="I37" s="219"/>
      <c r="J37" s="294" t="s">
        <v>859</v>
      </c>
      <c r="K37" s="216" t="s">
        <v>554</v>
      </c>
      <c r="L37" s="294" t="s">
        <v>1222</v>
      </c>
      <c r="M37" s="216" t="s">
        <v>532</v>
      </c>
      <c r="N37" s="219"/>
      <c r="O37" s="219"/>
      <c r="P37" s="294" t="s">
        <v>851</v>
      </c>
      <c r="Q37" s="216" t="s">
        <v>544</v>
      </c>
      <c r="R37" s="219"/>
      <c r="S37" s="219"/>
      <c r="T37" s="582" t="s">
        <v>1422</v>
      </c>
      <c r="U37" s="570" t="s">
        <v>1438</v>
      </c>
      <c r="V37" s="229"/>
      <c r="W37" s="231"/>
      <c r="X37" s="294" t="s">
        <v>852</v>
      </c>
      <c r="Y37" s="216" t="s">
        <v>545</v>
      </c>
      <c r="Z37" s="219"/>
      <c r="AA37" s="219"/>
      <c r="AB37" s="219"/>
      <c r="AC37" s="219"/>
      <c r="AD37" s="229"/>
      <c r="AE37" s="231"/>
      <c r="AF37" s="286"/>
      <c r="AH37" s="219"/>
      <c r="AI37" s="219"/>
      <c r="AJ37" s="286"/>
    </row>
    <row r="38" spans="1:36" ht="63.75" x14ac:dyDescent="0.25">
      <c r="A38" s="286"/>
      <c r="B38" s="587" t="s">
        <v>890</v>
      </c>
      <c r="C38" s="575">
        <v>1148</v>
      </c>
      <c r="D38" s="219"/>
      <c r="E38" s="219"/>
      <c r="F38" s="219"/>
      <c r="G38" s="219"/>
      <c r="H38" s="219"/>
      <c r="I38" s="219"/>
      <c r="J38" s="294" t="s">
        <v>863</v>
      </c>
      <c r="K38" s="216" t="s">
        <v>558</v>
      </c>
      <c r="L38" s="294" t="s">
        <v>1223</v>
      </c>
      <c r="M38" s="216" t="s">
        <v>536</v>
      </c>
      <c r="N38" s="219"/>
      <c r="O38" s="219"/>
      <c r="P38" s="294" t="s">
        <v>854</v>
      </c>
      <c r="Q38" s="216" t="s">
        <v>548</v>
      </c>
      <c r="R38" s="219"/>
      <c r="S38" s="219"/>
      <c r="T38" s="582" t="s">
        <v>1423</v>
      </c>
      <c r="U38" s="570" t="s">
        <v>1439</v>
      </c>
      <c r="V38" s="229"/>
      <c r="W38" s="231"/>
      <c r="X38" s="294" t="s">
        <v>855</v>
      </c>
      <c r="Y38" s="216" t="s">
        <v>549</v>
      </c>
      <c r="Z38" s="219"/>
      <c r="AA38" s="219"/>
      <c r="AB38" s="219"/>
      <c r="AC38" s="219"/>
      <c r="AD38" s="229"/>
      <c r="AE38" s="231"/>
      <c r="AF38" s="286"/>
      <c r="AH38" s="219"/>
      <c r="AI38" s="219"/>
      <c r="AJ38" s="286"/>
    </row>
    <row r="39" spans="1:36" ht="51" x14ac:dyDescent="0.25">
      <c r="A39" s="286"/>
      <c r="B39" s="587" t="s">
        <v>1407</v>
      </c>
      <c r="C39" s="575">
        <v>1149</v>
      </c>
      <c r="D39" s="219"/>
      <c r="E39" s="219"/>
      <c r="F39" s="219"/>
      <c r="G39" s="219"/>
      <c r="H39" s="219"/>
      <c r="I39" s="219"/>
      <c r="J39" s="294" t="s">
        <v>866</v>
      </c>
      <c r="K39" s="216" t="s">
        <v>561</v>
      </c>
      <c r="L39" s="294" t="s">
        <v>1224</v>
      </c>
      <c r="M39" s="216" t="s">
        <v>539</v>
      </c>
      <c r="N39" s="219"/>
      <c r="O39" s="219"/>
      <c r="P39" s="294" t="s">
        <v>857</v>
      </c>
      <c r="Q39" s="216" t="s">
        <v>552</v>
      </c>
      <c r="R39" s="219"/>
      <c r="S39" s="219"/>
      <c r="T39" s="582" t="s">
        <v>1424</v>
      </c>
      <c r="U39" s="570" t="s">
        <v>1440</v>
      </c>
      <c r="V39" s="229"/>
      <c r="W39" s="231"/>
      <c r="X39" s="294" t="s">
        <v>858</v>
      </c>
      <c r="Y39" s="216" t="s">
        <v>553</v>
      </c>
      <c r="Z39" s="219"/>
      <c r="AA39" s="219"/>
      <c r="AB39" s="219"/>
      <c r="AC39" s="219"/>
      <c r="AD39" s="229"/>
      <c r="AE39" s="231"/>
      <c r="AF39" s="286"/>
      <c r="AH39" s="219"/>
      <c r="AI39" s="219"/>
      <c r="AJ39" s="286"/>
    </row>
    <row r="40" spans="1:36" ht="51" x14ac:dyDescent="0.25">
      <c r="A40" s="286"/>
      <c r="B40" s="587" t="s">
        <v>896</v>
      </c>
      <c r="C40" s="575">
        <v>1151</v>
      </c>
      <c r="D40" s="219"/>
      <c r="E40" s="219"/>
      <c r="F40" s="219"/>
      <c r="G40" s="219"/>
      <c r="H40" s="219"/>
      <c r="I40" s="219"/>
      <c r="J40" s="294" t="s">
        <v>869</v>
      </c>
      <c r="K40" s="216" t="s">
        <v>565</v>
      </c>
      <c r="L40" s="294" t="s">
        <v>1225</v>
      </c>
      <c r="M40" s="216" t="s">
        <v>543</v>
      </c>
      <c r="N40" s="219"/>
      <c r="O40" s="219"/>
      <c r="P40" s="294" t="s">
        <v>860</v>
      </c>
      <c r="Q40" s="216" t="s">
        <v>556</v>
      </c>
      <c r="R40" s="219"/>
      <c r="S40" s="219"/>
      <c r="T40" s="582" t="s">
        <v>1425</v>
      </c>
      <c r="U40" s="570" t="s">
        <v>1441</v>
      </c>
      <c r="V40" s="229"/>
      <c r="W40" s="231"/>
      <c r="X40" s="294" t="s">
        <v>861</v>
      </c>
      <c r="Y40" s="216" t="s">
        <v>557</v>
      </c>
      <c r="Z40" s="219"/>
      <c r="AA40" s="219"/>
      <c r="AB40" s="219"/>
      <c r="AC40" s="219"/>
      <c r="AD40" s="229"/>
      <c r="AE40" s="231"/>
      <c r="AF40" s="286"/>
      <c r="AH40" s="219"/>
      <c r="AI40" s="219"/>
      <c r="AJ40" s="286"/>
    </row>
    <row r="41" spans="1:36" ht="63.75" x14ac:dyDescent="0.25">
      <c r="A41" s="286"/>
      <c r="B41" s="587" t="s">
        <v>898</v>
      </c>
      <c r="C41" s="575">
        <v>1152</v>
      </c>
      <c r="D41" s="219"/>
      <c r="E41" s="219"/>
      <c r="F41" s="219"/>
      <c r="G41" s="219"/>
      <c r="H41" s="219"/>
      <c r="I41" s="219"/>
      <c r="J41" s="294" t="s">
        <v>872</v>
      </c>
      <c r="K41" s="216" t="s">
        <v>569</v>
      </c>
      <c r="L41" s="294" t="s">
        <v>1226</v>
      </c>
      <c r="M41" s="216" t="s">
        <v>547</v>
      </c>
      <c r="N41" s="219"/>
      <c r="O41" s="219"/>
      <c r="P41" s="294" t="s">
        <v>867</v>
      </c>
      <c r="Q41" s="216" t="s">
        <v>563</v>
      </c>
      <c r="R41" s="219"/>
      <c r="S41" s="219"/>
      <c r="T41" s="582" t="s">
        <v>1426</v>
      </c>
      <c r="U41" s="570" t="s">
        <v>1442</v>
      </c>
      <c r="V41" s="229"/>
      <c r="W41" s="231"/>
      <c r="X41" s="294" t="s">
        <v>865</v>
      </c>
      <c r="Y41" s="216" t="s">
        <v>560</v>
      </c>
      <c r="Z41" s="219"/>
      <c r="AA41" s="219"/>
      <c r="AB41" s="219"/>
      <c r="AC41" s="219"/>
      <c r="AD41" s="286"/>
      <c r="AE41" s="286"/>
      <c r="AF41" s="286"/>
      <c r="AH41" s="219"/>
      <c r="AI41" s="219"/>
      <c r="AJ41" s="286"/>
    </row>
    <row r="42" spans="1:36" ht="38.25" x14ac:dyDescent="0.25">
      <c r="A42" s="286"/>
      <c r="B42" s="587" t="s">
        <v>1408</v>
      </c>
      <c r="C42" s="575">
        <v>1153</v>
      </c>
      <c r="D42" s="219"/>
      <c r="E42" s="219"/>
      <c r="F42" s="219"/>
      <c r="G42" s="219"/>
      <c r="H42" s="219"/>
      <c r="I42" s="219"/>
      <c r="J42" s="294" t="s">
        <v>875</v>
      </c>
      <c r="K42" s="216" t="s">
        <v>573</v>
      </c>
      <c r="L42" s="294" t="s">
        <v>1227</v>
      </c>
      <c r="M42" s="216" t="s">
        <v>551</v>
      </c>
      <c r="N42" s="219"/>
      <c r="O42" s="219"/>
      <c r="P42" s="294" t="s">
        <v>870</v>
      </c>
      <c r="Q42" s="216" t="s">
        <v>567</v>
      </c>
      <c r="R42" s="219"/>
      <c r="S42" s="219"/>
      <c r="T42" s="582" t="s">
        <v>1427</v>
      </c>
      <c r="U42" s="570" t="s">
        <v>1443</v>
      </c>
      <c r="V42" s="229"/>
      <c r="W42" s="231"/>
      <c r="X42" s="294" t="s">
        <v>868</v>
      </c>
      <c r="Y42" s="216" t="s">
        <v>564</v>
      </c>
      <c r="Z42" s="219"/>
      <c r="AA42" s="219"/>
      <c r="AB42" s="219"/>
      <c r="AC42" s="219"/>
      <c r="AD42" s="286"/>
      <c r="AE42" s="286"/>
      <c r="AF42" s="286"/>
      <c r="AH42" s="219"/>
      <c r="AI42" s="219"/>
      <c r="AJ42" s="286"/>
    </row>
    <row r="43" spans="1:36" ht="38.25" x14ac:dyDescent="0.25">
      <c r="A43" s="286"/>
      <c r="B43" s="587" t="s">
        <v>1409</v>
      </c>
      <c r="C43" s="575">
        <v>1154</v>
      </c>
      <c r="D43" s="219"/>
      <c r="E43" s="219"/>
      <c r="F43" s="219"/>
      <c r="G43" s="219"/>
      <c r="H43" s="219"/>
      <c r="I43" s="219"/>
      <c r="J43" s="294" t="s">
        <v>878</v>
      </c>
      <c r="K43" s="216" t="s">
        <v>577</v>
      </c>
      <c r="L43" s="294" t="s">
        <v>1228</v>
      </c>
      <c r="M43" s="216" t="s">
        <v>555</v>
      </c>
      <c r="N43" s="219"/>
      <c r="O43" s="219"/>
      <c r="P43" s="294" t="s">
        <v>873</v>
      </c>
      <c r="Q43" s="216" t="s">
        <v>571</v>
      </c>
      <c r="R43" s="219"/>
      <c r="S43" s="219"/>
      <c r="T43" s="582" t="s">
        <v>1427</v>
      </c>
      <c r="U43" s="570" t="s">
        <v>1444</v>
      </c>
      <c r="V43" s="229"/>
      <c r="W43" s="231"/>
      <c r="X43" s="294" t="s">
        <v>871</v>
      </c>
      <c r="Y43" s="216" t="s">
        <v>568</v>
      </c>
      <c r="Z43" s="219"/>
      <c r="AA43" s="219"/>
      <c r="AB43" s="219"/>
      <c r="AC43" s="219"/>
      <c r="AD43" s="286"/>
      <c r="AE43" s="286"/>
      <c r="AF43" s="286"/>
      <c r="AH43" s="219"/>
      <c r="AI43" s="219"/>
      <c r="AJ43" s="286"/>
    </row>
    <row r="44" spans="1:36" ht="51" x14ac:dyDescent="0.25">
      <c r="A44" s="286"/>
      <c r="B44" s="587" t="s">
        <v>1410</v>
      </c>
      <c r="C44" s="575">
        <v>1155</v>
      </c>
      <c r="D44" s="219"/>
      <c r="E44" s="219"/>
      <c r="F44" s="219"/>
      <c r="G44" s="219"/>
      <c r="H44" s="219"/>
      <c r="I44" s="219"/>
      <c r="J44" s="294" t="s">
        <v>883</v>
      </c>
      <c r="K44" s="216" t="s">
        <v>584</v>
      </c>
      <c r="L44" s="294" t="s">
        <v>1229</v>
      </c>
      <c r="M44" s="216" t="s">
        <v>559</v>
      </c>
      <c r="N44" s="219"/>
      <c r="O44" s="219"/>
      <c r="P44" s="294" t="s">
        <v>876</v>
      </c>
      <c r="Q44" s="216" t="s">
        <v>575</v>
      </c>
      <c r="R44" s="219"/>
      <c r="S44" s="219"/>
      <c r="T44" s="582" t="s">
        <v>1428</v>
      </c>
      <c r="U44" s="570" t="s">
        <v>1445</v>
      </c>
      <c r="V44" s="229"/>
      <c r="W44" s="231"/>
      <c r="X44" s="294" t="s">
        <v>874</v>
      </c>
      <c r="Y44" s="216" t="s">
        <v>572</v>
      </c>
      <c r="Z44" s="219"/>
      <c r="AA44" s="219"/>
      <c r="AB44" s="219"/>
      <c r="AC44" s="219"/>
      <c r="AD44" s="286"/>
      <c r="AE44" s="286"/>
      <c r="AF44" s="286"/>
      <c r="AH44" s="219"/>
      <c r="AI44" s="219"/>
      <c r="AJ44" s="286"/>
    </row>
    <row r="45" spans="1:36" ht="76.5" x14ac:dyDescent="0.25">
      <c r="A45" s="286"/>
      <c r="B45" s="587" t="s">
        <v>1411</v>
      </c>
      <c r="C45" s="575">
        <v>1156</v>
      </c>
      <c r="D45" s="219"/>
      <c r="E45" s="219"/>
      <c r="F45" s="219"/>
      <c r="G45" s="219"/>
      <c r="H45" s="219"/>
      <c r="I45" s="219"/>
      <c r="J45" s="294" t="s">
        <v>886</v>
      </c>
      <c r="K45" s="216" t="s">
        <v>587</v>
      </c>
      <c r="L45" s="294" t="s">
        <v>1230</v>
      </c>
      <c r="M45" s="216" t="s">
        <v>562</v>
      </c>
      <c r="N45" s="219"/>
      <c r="O45" s="219"/>
      <c r="P45" s="294" t="s">
        <v>879</v>
      </c>
      <c r="Q45" s="216" t="s">
        <v>579</v>
      </c>
      <c r="R45" s="219"/>
      <c r="S45" s="219"/>
      <c r="T45" s="582" t="s">
        <v>1429</v>
      </c>
      <c r="U45" s="570" t="s">
        <v>1446</v>
      </c>
      <c r="V45" s="229"/>
      <c r="W45" s="231"/>
      <c r="X45" s="294" t="s">
        <v>877</v>
      </c>
      <c r="Y45" s="216" t="s">
        <v>576</v>
      </c>
      <c r="Z45" s="219"/>
      <c r="AA45" s="219"/>
      <c r="AB45" s="219"/>
      <c r="AC45" s="219"/>
      <c r="AD45" s="286"/>
      <c r="AE45" s="286"/>
      <c r="AF45" s="286"/>
      <c r="AH45" s="219"/>
      <c r="AI45" s="219"/>
      <c r="AJ45" s="286"/>
    </row>
    <row r="46" spans="1:36" ht="51" x14ac:dyDescent="0.25">
      <c r="A46" s="286"/>
      <c r="B46" s="587" t="s">
        <v>1412</v>
      </c>
      <c r="C46" s="575">
        <v>1166</v>
      </c>
      <c r="D46" s="219"/>
      <c r="E46" s="219"/>
      <c r="F46" s="219"/>
      <c r="G46" s="219"/>
      <c r="H46" s="219"/>
      <c r="I46" s="219"/>
      <c r="J46" s="294" t="s">
        <v>891</v>
      </c>
      <c r="K46" s="216" t="s">
        <v>593</v>
      </c>
      <c r="L46" s="294" t="s">
        <v>1231</v>
      </c>
      <c r="M46" s="216" t="s">
        <v>566</v>
      </c>
      <c r="N46" s="219"/>
      <c r="O46" s="219"/>
      <c r="P46" s="294" t="s">
        <v>881</v>
      </c>
      <c r="Q46" s="216" t="s">
        <v>582</v>
      </c>
      <c r="R46" s="219"/>
      <c r="S46" s="219"/>
      <c r="T46" s="582" t="s">
        <v>1430</v>
      </c>
      <c r="U46" s="570" t="s">
        <v>1447</v>
      </c>
      <c r="V46" s="229"/>
      <c r="W46" s="231"/>
      <c r="X46" s="294" t="s">
        <v>880</v>
      </c>
      <c r="Y46" s="216" t="s">
        <v>580</v>
      </c>
      <c r="Z46" s="219"/>
      <c r="AA46" s="219"/>
      <c r="AB46" s="219"/>
      <c r="AC46" s="219"/>
      <c r="AD46" s="286"/>
      <c r="AE46" s="286"/>
      <c r="AF46" s="286"/>
      <c r="AH46" s="219"/>
      <c r="AI46" s="219"/>
      <c r="AJ46" s="286"/>
    </row>
    <row r="47" spans="1:36" ht="51" x14ac:dyDescent="0.25">
      <c r="A47" s="286"/>
      <c r="B47" s="587" t="s">
        <v>1413</v>
      </c>
      <c r="C47" s="575">
        <v>1169</v>
      </c>
      <c r="D47" s="219"/>
      <c r="E47" s="219"/>
      <c r="F47" s="219"/>
      <c r="G47" s="219"/>
      <c r="H47" s="219"/>
      <c r="I47" s="219"/>
      <c r="J47" s="294" t="s">
        <v>893</v>
      </c>
      <c r="K47" s="216" t="s">
        <v>596</v>
      </c>
      <c r="L47" s="294" t="s">
        <v>1232</v>
      </c>
      <c r="M47" s="216" t="s">
        <v>570</v>
      </c>
      <c r="N47" s="219"/>
      <c r="O47" s="219"/>
      <c r="P47" s="294" t="s">
        <v>884</v>
      </c>
      <c r="Q47" s="216" t="s">
        <v>586</v>
      </c>
      <c r="R47" s="219"/>
      <c r="S47" s="219"/>
      <c r="T47" s="582" t="s">
        <v>1431</v>
      </c>
      <c r="U47" s="570" t="s">
        <v>1448</v>
      </c>
      <c r="V47" s="219"/>
      <c r="W47" s="219"/>
      <c r="X47" s="294" t="s">
        <v>882</v>
      </c>
      <c r="Y47" s="216" t="s">
        <v>583</v>
      </c>
      <c r="Z47" s="219"/>
      <c r="AA47" s="219"/>
      <c r="AB47" s="219"/>
      <c r="AC47" s="219"/>
      <c r="AD47" s="286"/>
      <c r="AE47" s="286"/>
      <c r="AF47" s="286"/>
      <c r="AH47" s="219"/>
      <c r="AI47" s="219"/>
      <c r="AJ47" s="286"/>
    </row>
    <row r="48" spans="1:36" ht="51.75" thickBot="1" x14ac:dyDescent="0.3">
      <c r="A48" s="286"/>
      <c r="B48" s="587" t="s">
        <v>908</v>
      </c>
      <c r="C48" s="575">
        <v>1170</v>
      </c>
      <c r="D48" s="219"/>
      <c r="E48" s="219"/>
      <c r="F48" s="219"/>
      <c r="G48" s="219"/>
      <c r="H48" s="219"/>
      <c r="I48" s="219"/>
      <c r="J48" s="294" t="s">
        <v>895</v>
      </c>
      <c r="K48" s="216" t="s">
        <v>644</v>
      </c>
      <c r="L48" s="294" t="s">
        <v>1233</v>
      </c>
      <c r="M48" s="216" t="s">
        <v>574</v>
      </c>
      <c r="N48" s="219"/>
      <c r="O48" s="219"/>
      <c r="P48" s="294" t="s">
        <v>888</v>
      </c>
      <c r="Q48" s="216" t="s">
        <v>590</v>
      </c>
      <c r="R48" s="219"/>
      <c r="S48" s="219"/>
      <c r="T48" s="585" t="s">
        <v>1432</v>
      </c>
      <c r="U48" s="572" t="s">
        <v>1449</v>
      </c>
      <c r="V48" s="219"/>
      <c r="W48" s="219"/>
      <c r="X48" s="294" t="s">
        <v>1143</v>
      </c>
      <c r="Y48" s="216" t="s">
        <v>1138</v>
      </c>
      <c r="Z48" s="219"/>
      <c r="AA48" s="219"/>
      <c r="AB48" s="219"/>
      <c r="AC48" s="219"/>
      <c r="AD48" s="286"/>
      <c r="AE48" s="286"/>
      <c r="AF48" s="286"/>
      <c r="AH48" s="219"/>
      <c r="AI48" s="219"/>
      <c r="AJ48" s="286"/>
    </row>
    <row r="49" spans="1:36" ht="38.25" x14ac:dyDescent="0.25">
      <c r="A49" s="286"/>
      <c r="B49" s="587" t="s">
        <v>910</v>
      </c>
      <c r="C49" s="575">
        <v>1171</v>
      </c>
      <c r="D49" s="219"/>
      <c r="E49" s="219"/>
      <c r="F49" s="219"/>
      <c r="G49" s="219"/>
      <c r="H49" s="219"/>
      <c r="I49" s="219"/>
      <c r="J49" s="294" t="s">
        <v>897</v>
      </c>
      <c r="K49" s="216" t="s">
        <v>645</v>
      </c>
      <c r="L49" s="294" t="s">
        <v>1234</v>
      </c>
      <c r="M49" s="216" t="s">
        <v>578</v>
      </c>
      <c r="N49" s="219"/>
      <c r="O49" s="219"/>
      <c r="P49" s="294" t="s">
        <v>889</v>
      </c>
      <c r="Q49" s="216" t="s">
        <v>592</v>
      </c>
      <c r="R49" s="219"/>
      <c r="S49" s="219"/>
      <c r="T49" s="219"/>
      <c r="U49" s="219"/>
      <c r="V49" s="219"/>
      <c r="W49" s="219"/>
      <c r="X49" s="294" t="s">
        <v>1144</v>
      </c>
      <c r="Y49" s="216" t="s">
        <v>1139</v>
      </c>
      <c r="Z49" s="219"/>
      <c r="AA49" s="219"/>
      <c r="AB49" s="219"/>
      <c r="AC49" s="219"/>
      <c r="AD49" s="286"/>
      <c r="AE49" s="286"/>
      <c r="AF49" s="286"/>
      <c r="AH49" s="219"/>
      <c r="AI49" s="219"/>
      <c r="AJ49" s="286"/>
    </row>
    <row r="50" spans="1:36" ht="64.5" customHeight="1" x14ac:dyDescent="0.25">
      <c r="A50" s="286"/>
      <c r="B50" s="587" t="s">
        <v>913</v>
      </c>
      <c r="C50" s="575">
        <v>1174</v>
      </c>
      <c r="D50" s="219"/>
      <c r="E50" s="219"/>
      <c r="F50" s="219"/>
      <c r="G50" s="219"/>
      <c r="H50" s="219"/>
      <c r="I50" s="219"/>
      <c r="J50" s="294" t="s">
        <v>899</v>
      </c>
      <c r="K50" s="216" t="s">
        <v>646</v>
      </c>
      <c r="L50" s="294" t="s">
        <v>1235</v>
      </c>
      <c r="M50" s="216" t="s">
        <v>581</v>
      </c>
      <c r="N50" s="219"/>
      <c r="O50" s="219"/>
      <c r="P50" s="294" t="s">
        <v>892</v>
      </c>
      <c r="Q50" s="216" t="s">
        <v>595</v>
      </c>
      <c r="R50" s="219"/>
      <c r="S50" s="219"/>
      <c r="T50" s="219"/>
      <c r="U50" s="219"/>
      <c r="V50" s="219"/>
      <c r="W50" s="219"/>
      <c r="X50" s="294" t="s">
        <v>1136</v>
      </c>
      <c r="Y50" s="216" t="s">
        <v>1140</v>
      </c>
      <c r="Z50" s="219"/>
      <c r="AA50" s="219"/>
      <c r="AB50" s="219"/>
      <c r="AC50" s="219"/>
      <c r="AD50" s="286"/>
      <c r="AE50" s="286"/>
      <c r="AF50" s="286"/>
      <c r="AH50" s="219"/>
      <c r="AI50" s="219"/>
      <c r="AJ50" s="286"/>
    </row>
    <row r="51" spans="1:36" ht="38.25" x14ac:dyDescent="0.25">
      <c r="A51" s="286"/>
      <c r="B51" s="587" t="s">
        <v>914</v>
      </c>
      <c r="C51" s="575">
        <v>1176</v>
      </c>
      <c r="D51" s="219"/>
      <c r="E51" s="219"/>
      <c r="F51" s="219"/>
      <c r="G51" s="219"/>
      <c r="H51" s="219"/>
      <c r="I51" s="219"/>
      <c r="J51" s="294" t="s">
        <v>900</v>
      </c>
      <c r="K51" s="216" t="s">
        <v>647</v>
      </c>
      <c r="L51" s="294" t="s">
        <v>1236</v>
      </c>
      <c r="M51" s="216" t="s">
        <v>585</v>
      </c>
      <c r="N51" s="219"/>
      <c r="O51" s="219"/>
      <c r="P51" s="294" t="s">
        <v>968</v>
      </c>
      <c r="Q51" s="216" t="s">
        <v>969</v>
      </c>
      <c r="R51" s="219"/>
      <c r="S51" s="219"/>
      <c r="T51" s="219"/>
      <c r="U51" s="219"/>
      <c r="V51" s="219"/>
      <c r="W51" s="219"/>
      <c r="X51" s="294" t="s">
        <v>1145</v>
      </c>
      <c r="Y51" s="216" t="s">
        <v>1141</v>
      </c>
      <c r="Z51" s="219"/>
      <c r="AA51" s="219"/>
      <c r="AB51" s="219"/>
      <c r="AC51" s="219"/>
      <c r="AD51" s="286"/>
      <c r="AE51" s="286"/>
      <c r="AF51" s="286"/>
      <c r="AH51" s="219"/>
      <c r="AI51" s="219"/>
      <c r="AJ51" s="286"/>
    </row>
    <row r="52" spans="1:36" ht="39" thickBot="1" x14ac:dyDescent="0.3">
      <c r="A52" s="286"/>
      <c r="B52" s="587" t="s">
        <v>916</v>
      </c>
      <c r="C52" s="575">
        <v>1177</v>
      </c>
      <c r="D52" s="219"/>
      <c r="E52" s="219"/>
      <c r="F52" s="219"/>
      <c r="G52" s="219"/>
      <c r="H52" s="219"/>
      <c r="I52" s="219"/>
      <c r="J52" s="294" t="s">
        <v>901</v>
      </c>
      <c r="K52" s="216" t="s">
        <v>648</v>
      </c>
      <c r="L52" s="294" t="s">
        <v>1237</v>
      </c>
      <c r="M52" s="216" t="s">
        <v>588</v>
      </c>
      <c r="N52" s="219"/>
      <c r="O52" s="219"/>
      <c r="P52" s="294" t="s">
        <v>1116</v>
      </c>
      <c r="Q52" s="216" t="s">
        <v>1118</v>
      </c>
      <c r="R52" s="219"/>
      <c r="S52" s="219"/>
      <c r="T52" s="219"/>
      <c r="U52" s="219"/>
      <c r="V52" s="219"/>
      <c r="W52" s="219"/>
      <c r="X52" s="296" t="s">
        <v>1137</v>
      </c>
      <c r="Y52" s="216" t="s">
        <v>1142</v>
      </c>
      <c r="Z52" s="219"/>
      <c r="AA52" s="219"/>
      <c r="AB52" s="219"/>
      <c r="AC52" s="219"/>
      <c r="AD52" s="286"/>
      <c r="AE52" s="286"/>
      <c r="AF52" s="286"/>
      <c r="AH52" s="219"/>
      <c r="AI52" s="219"/>
      <c r="AJ52" s="286"/>
    </row>
    <row r="53" spans="1:36" ht="51.75" thickBot="1" x14ac:dyDescent="0.3">
      <c r="A53" s="286"/>
      <c r="B53" s="587" t="s">
        <v>917</v>
      </c>
      <c r="C53" s="575">
        <v>1178</v>
      </c>
      <c r="D53" s="219"/>
      <c r="E53" s="219"/>
      <c r="F53" s="219"/>
      <c r="G53" s="219"/>
      <c r="H53" s="219"/>
      <c r="I53" s="219"/>
      <c r="J53" s="294" t="s">
        <v>902</v>
      </c>
      <c r="K53" s="216" t="s">
        <v>649</v>
      </c>
      <c r="L53" s="294" t="s">
        <v>1238</v>
      </c>
      <c r="M53" s="216" t="s">
        <v>589</v>
      </c>
      <c r="N53" s="219"/>
      <c r="O53" s="219"/>
      <c r="P53" s="296" t="s">
        <v>1117</v>
      </c>
      <c r="Q53" s="218" t="s">
        <v>1119</v>
      </c>
      <c r="R53" s="219"/>
      <c r="S53" s="219"/>
      <c r="T53" s="219"/>
      <c r="U53" s="219"/>
      <c r="V53" s="219"/>
      <c r="W53" s="219"/>
      <c r="X53" s="229"/>
      <c r="Y53" s="231"/>
      <c r="Z53" s="219"/>
      <c r="AA53" s="219"/>
      <c r="AB53" s="219"/>
      <c r="AC53" s="219"/>
      <c r="AD53" s="286"/>
      <c r="AE53" s="286"/>
      <c r="AF53" s="286"/>
      <c r="AH53" s="219"/>
      <c r="AI53" s="219"/>
      <c r="AJ53" s="286"/>
    </row>
    <row r="54" spans="1:36" ht="38.25" x14ac:dyDescent="0.25">
      <c r="A54" s="286"/>
      <c r="B54" s="587" t="s">
        <v>1150</v>
      </c>
      <c r="C54" s="575">
        <v>1179</v>
      </c>
      <c r="D54" s="219"/>
      <c r="E54" s="219"/>
      <c r="F54" s="219"/>
      <c r="G54" s="219"/>
      <c r="H54" s="219"/>
      <c r="I54" s="219"/>
      <c r="J54" s="294" t="s">
        <v>903</v>
      </c>
      <c r="K54" s="216" t="s">
        <v>650</v>
      </c>
      <c r="L54" s="294" t="s">
        <v>1239</v>
      </c>
      <c r="M54" s="216" t="s">
        <v>591</v>
      </c>
      <c r="N54" s="219"/>
      <c r="O54" s="219"/>
      <c r="R54" s="219"/>
      <c r="S54" s="219"/>
      <c r="T54" s="219"/>
      <c r="U54" s="219"/>
      <c r="V54" s="219"/>
      <c r="W54" s="219"/>
      <c r="X54" s="229"/>
      <c r="Y54" s="231"/>
      <c r="Z54" s="219"/>
      <c r="AA54" s="219"/>
      <c r="AB54" s="219"/>
      <c r="AC54" s="219"/>
      <c r="AD54" s="286"/>
      <c r="AE54" s="286"/>
      <c r="AF54" s="286"/>
      <c r="AH54" s="219"/>
      <c r="AI54" s="219"/>
      <c r="AJ54" s="286"/>
    </row>
    <row r="55" spans="1:36" ht="89.25" x14ac:dyDescent="0.25">
      <c r="A55" s="286"/>
      <c r="B55" s="587" t="s">
        <v>1148</v>
      </c>
      <c r="C55" s="575">
        <v>1180</v>
      </c>
      <c r="D55" s="219"/>
      <c r="E55" s="219"/>
      <c r="F55" s="219"/>
      <c r="G55" s="219"/>
      <c r="H55" s="219"/>
      <c r="I55" s="219"/>
      <c r="J55" s="294" t="s">
        <v>904</v>
      </c>
      <c r="K55" s="216" t="s">
        <v>651</v>
      </c>
      <c r="L55" s="294" t="s">
        <v>1240</v>
      </c>
      <c r="M55" s="216" t="s">
        <v>594</v>
      </c>
      <c r="N55" s="219"/>
      <c r="O55" s="219"/>
      <c r="R55" s="219"/>
      <c r="S55" s="219"/>
      <c r="T55" s="219"/>
      <c r="U55" s="219"/>
      <c r="V55" s="219"/>
      <c r="W55" s="219"/>
      <c r="X55" s="229"/>
      <c r="Y55" s="231"/>
      <c r="Z55" s="219"/>
      <c r="AA55" s="219"/>
      <c r="AB55" s="219"/>
      <c r="AC55" s="219"/>
      <c r="AD55" s="286"/>
      <c r="AE55" s="286"/>
      <c r="AF55" s="286"/>
      <c r="AH55" s="219"/>
      <c r="AI55" s="219"/>
      <c r="AJ55" s="286"/>
    </row>
    <row r="56" spans="1:36" ht="51" x14ac:dyDescent="0.25">
      <c r="A56" s="286"/>
      <c r="B56" s="587" t="s">
        <v>922</v>
      </c>
      <c r="C56" s="575">
        <v>1183</v>
      </c>
      <c r="D56" s="219"/>
      <c r="E56" s="219"/>
      <c r="F56" s="219"/>
      <c r="G56" s="219"/>
      <c r="H56" s="219"/>
      <c r="I56" s="219"/>
      <c r="J56" s="294" t="s">
        <v>905</v>
      </c>
      <c r="K56" s="216" t="s">
        <v>652</v>
      </c>
      <c r="L56" s="294" t="s">
        <v>1241</v>
      </c>
      <c r="M56" s="216" t="s">
        <v>597</v>
      </c>
      <c r="N56" s="219"/>
      <c r="O56" s="219"/>
      <c r="R56" s="219"/>
      <c r="S56" s="219"/>
      <c r="T56" s="219"/>
      <c r="U56" s="219"/>
      <c r="V56" s="219"/>
      <c r="W56" s="219"/>
      <c r="X56" s="229"/>
      <c r="Y56" s="231"/>
      <c r="Z56" s="219"/>
      <c r="AA56" s="219"/>
      <c r="AB56" s="219"/>
      <c r="AC56" s="219"/>
      <c r="AD56" s="286"/>
      <c r="AE56" s="286"/>
      <c r="AF56" s="286"/>
      <c r="AH56" s="219"/>
      <c r="AI56" s="219"/>
      <c r="AJ56" s="286"/>
    </row>
    <row r="57" spans="1:36" ht="51" x14ac:dyDescent="0.25">
      <c r="A57" s="286"/>
      <c r="B57" s="587" t="s">
        <v>930</v>
      </c>
      <c r="C57" s="575">
        <v>1197</v>
      </c>
      <c r="D57" s="219"/>
      <c r="E57" s="219"/>
      <c r="F57" s="219"/>
      <c r="G57" s="219"/>
      <c r="H57" s="219"/>
      <c r="I57" s="219"/>
      <c r="J57" s="294" t="s">
        <v>906</v>
      </c>
      <c r="K57" s="216" t="s">
        <v>653</v>
      </c>
      <c r="L57" s="294" t="s">
        <v>1242</v>
      </c>
      <c r="M57" s="216" t="s">
        <v>598</v>
      </c>
      <c r="N57" s="219"/>
      <c r="O57" s="219"/>
      <c r="R57" s="219"/>
      <c r="S57" s="219"/>
      <c r="T57" s="219"/>
      <c r="U57" s="219"/>
      <c r="V57" s="219"/>
      <c r="W57" s="219"/>
      <c r="X57" s="229"/>
      <c r="Y57" s="231"/>
      <c r="Z57" s="219"/>
      <c r="AA57" s="219"/>
      <c r="AB57" s="219"/>
      <c r="AC57" s="219"/>
      <c r="AD57" s="286"/>
      <c r="AE57" s="286"/>
      <c r="AF57" s="286"/>
      <c r="AH57" s="219"/>
      <c r="AI57" s="219"/>
      <c r="AJ57" s="286"/>
    </row>
    <row r="58" spans="1:36" ht="63.75" x14ac:dyDescent="0.25">
      <c r="A58" s="286"/>
      <c r="B58" s="587" t="s">
        <v>970</v>
      </c>
      <c r="C58" s="575">
        <v>1199</v>
      </c>
      <c r="D58" s="219"/>
      <c r="E58" s="219"/>
      <c r="F58" s="219"/>
      <c r="G58" s="219"/>
      <c r="H58" s="219"/>
      <c r="I58" s="219"/>
      <c r="J58" s="294" t="s">
        <v>907</v>
      </c>
      <c r="K58" s="216" t="s">
        <v>654</v>
      </c>
      <c r="L58" s="294" t="s">
        <v>1243</v>
      </c>
      <c r="M58" s="216" t="s">
        <v>599</v>
      </c>
      <c r="N58" s="219"/>
      <c r="O58" s="219"/>
      <c r="R58" s="219"/>
      <c r="S58" s="219"/>
      <c r="T58" s="219"/>
      <c r="U58" s="219"/>
      <c r="V58" s="219"/>
      <c r="W58" s="219"/>
      <c r="X58" s="229"/>
      <c r="Y58" s="231"/>
      <c r="Z58" s="219"/>
      <c r="AA58" s="219"/>
      <c r="AB58" s="219"/>
      <c r="AC58" s="219"/>
      <c r="AD58" s="286"/>
      <c r="AE58" s="286"/>
      <c r="AF58" s="286"/>
      <c r="AH58" s="219"/>
      <c r="AI58" s="219"/>
      <c r="AJ58" s="286"/>
    </row>
    <row r="59" spans="1:36" ht="38.25" x14ac:dyDescent="0.25">
      <c r="A59" s="286"/>
      <c r="B59" s="587" t="s">
        <v>972</v>
      </c>
      <c r="C59" s="575">
        <v>9201</v>
      </c>
      <c r="D59" s="219"/>
      <c r="E59" s="219"/>
      <c r="F59" s="219"/>
      <c r="G59" s="219"/>
      <c r="H59" s="219"/>
      <c r="I59" s="219"/>
      <c r="J59" s="294" t="s">
        <v>909</v>
      </c>
      <c r="K59" s="216" t="s">
        <v>655</v>
      </c>
      <c r="L59" s="294" t="s">
        <v>1244</v>
      </c>
      <c r="M59" s="216" t="s">
        <v>600</v>
      </c>
      <c r="N59" s="219"/>
      <c r="O59" s="219"/>
      <c r="P59" s="229"/>
      <c r="Q59" s="231"/>
      <c r="R59" s="219"/>
      <c r="S59" s="219"/>
      <c r="T59" s="219"/>
      <c r="U59" s="219"/>
      <c r="V59" s="219"/>
      <c r="W59" s="219"/>
      <c r="X59" s="229"/>
      <c r="Y59" s="231"/>
      <c r="Z59" s="219"/>
      <c r="AA59" s="219"/>
      <c r="AB59" s="219"/>
      <c r="AC59" s="219"/>
      <c r="AD59" s="286"/>
      <c r="AE59" s="286"/>
      <c r="AF59" s="286"/>
      <c r="AH59" s="219"/>
      <c r="AI59" s="219"/>
      <c r="AJ59" s="286"/>
    </row>
    <row r="60" spans="1:36" ht="51" x14ac:dyDescent="0.25">
      <c r="A60" s="286"/>
      <c r="B60" s="587" t="s">
        <v>1416</v>
      </c>
      <c r="C60" s="575">
        <v>9202</v>
      </c>
      <c r="D60" s="219"/>
      <c r="E60" s="219"/>
      <c r="F60" s="219"/>
      <c r="G60" s="219"/>
      <c r="H60" s="219"/>
      <c r="I60" s="219"/>
      <c r="J60" s="294" t="s">
        <v>911</v>
      </c>
      <c r="K60" s="216" t="s">
        <v>656</v>
      </c>
      <c r="L60" s="294" t="s">
        <v>1245</v>
      </c>
      <c r="M60" s="216" t="s">
        <v>601</v>
      </c>
      <c r="N60" s="219"/>
      <c r="O60" s="219"/>
      <c r="P60" s="229"/>
      <c r="Q60" s="231"/>
      <c r="R60" s="219"/>
      <c r="S60" s="219"/>
      <c r="T60" s="219"/>
      <c r="U60" s="219"/>
      <c r="V60" s="219"/>
      <c r="W60" s="219"/>
      <c r="X60" s="229"/>
      <c r="Y60" s="231"/>
      <c r="Z60" s="219"/>
      <c r="AA60" s="219"/>
      <c r="AB60" s="219"/>
      <c r="AC60" s="219"/>
      <c r="AD60" s="286"/>
      <c r="AE60" s="286"/>
      <c r="AF60" s="286"/>
      <c r="AH60" s="219"/>
      <c r="AI60" s="219"/>
      <c r="AJ60" s="286"/>
    </row>
    <row r="61" spans="1:36" ht="51" x14ac:dyDescent="0.25">
      <c r="A61" s="286"/>
      <c r="B61" s="583" t="s">
        <v>1414</v>
      </c>
      <c r="C61" s="575">
        <v>9203</v>
      </c>
      <c r="D61" s="219"/>
      <c r="E61" s="219"/>
      <c r="F61" s="219"/>
      <c r="G61" s="219"/>
      <c r="H61" s="219"/>
      <c r="I61" s="219"/>
      <c r="J61" s="294" t="s">
        <v>912</v>
      </c>
      <c r="K61" s="216" t="s">
        <v>657</v>
      </c>
      <c r="L61" s="294" t="s">
        <v>1113</v>
      </c>
      <c r="M61" s="216" t="s">
        <v>602</v>
      </c>
      <c r="N61" s="219"/>
      <c r="O61" s="219"/>
      <c r="P61" s="229"/>
      <c r="Q61" s="231"/>
      <c r="R61" s="219"/>
      <c r="S61" s="219"/>
      <c r="T61" s="219"/>
      <c r="U61" s="219"/>
      <c r="V61" s="219"/>
      <c r="W61" s="219"/>
      <c r="X61" s="229"/>
      <c r="Y61" s="231"/>
      <c r="Z61" s="219"/>
      <c r="AA61" s="219"/>
      <c r="AB61" s="219"/>
      <c r="AC61" s="219"/>
      <c r="AD61" s="286"/>
      <c r="AE61" s="286"/>
      <c r="AF61" s="286"/>
      <c r="AH61" s="219"/>
      <c r="AI61" s="219"/>
      <c r="AJ61" s="286"/>
    </row>
    <row r="62" spans="1:36" ht="39" thickBot="1" x14ac:dyDescent="0.3">
      <c r="A62" s="286"/>
      <c r="B62" s="597" t="s">
        <v>1415</v>
      </c>
      <c r="C62" s="575">
        <v>9206</v>
      </c>
      <c r="D62" s="219"/>
      <c r="E62" s="219"/>
      <c r="F62" s="219"/>
      <c r="G62" s="219"/>
      <c r="H62" s="219"/>
      <c r="I62" s="219"/>
      <c r="J62" s="294" t="s">
        <v>915</v>
      </c>
      <c r="K62" s="216" t="s">
        <v>658</v>
      </c>
      <c r="L62" s="296" t="s">
        <v>1246</v>
      </c>
      <c r="M62" s="218" t="s">
        <v>603</v>
      </c>
      <c r="N62" s="219"/>
      <c r="O62" s="219"/>
      <c r="P62" s="229"/>
      <c r="Q62" s="231"/>
      <c r="R62" s="219"/>
      <c r="S62" s="219"/>
      <c r="T62" s="219"/>
      <c r="U62" s="219"/>
      <c r="V62" s="219"/>
      <c r="W62" s="219"/>
      <c r="X62" s="229"/>
      <c r="Y62" s="231"/>
      <c r="Z62" s="219"/>
      <c r="AA62" s="219"/>
      <c r="AB62" s="219"/>
      <c r="AC62" s="219"/>
      <c r="AD62" s="286"/>
      <c r="AE62" s="286"/>
      <c r="AF62" s="286"/>
      <c r="AH62" s="219"/>
      <c r="AI62" s="219"/>
      <c r="AJ62" s="286"/>
    </row>
    <row r="63" spans="1:36" ht="77.25" thickBot="1" x14ac:dyDescent="0.3">
      <c r="A63" s="286"/>
      <c r="B63" s="582" t="s">
        <v>941</v>
      </c>
      <c r="C63" s="575">
        <v>9207</v>
      </c>
      <c r="D63" s="558"/>
      <c r="E63" s="219"/>
      <c r="F63" s="219"/>
      <c r="G63" s="219"/>
      <c r="H63" s="219"/>
      <c r="I63" s="219"/>
      <c r="J63" s="294" t="s">
        <v>918</v>
      </c>
      <c r="K63" s="216" t="s">
        <v>659</v>
      </c>
      <c r="L63" s="296" t="s">
        <v>711</v>
      </c>
      <c r="M63" s="218" t="s">
        <v>1385</v>
      </c>
      <c r="N63" s="219"/>
      <c r="O63" s="219"/>
      <c r="P63" s="229"/>
      <c r="Q63" s="231"/>
      <c r="R63" s="219"/>
      <c r="S63" s="219"/>
      <c r="T63" s="219"/>
      <c r="U63" s="219"/>
      <c r="V63" s="219"/>
      <c r="W63" s="219"/>
      <c r="X63" s="229"/>
      <c r="Y63" s="231"/>
      <c r="Z63" s="219"/>
      <c r="AA63" s="219"/>
      <c r="AB63" s="219"/>
      <c r="AC63" s="219"/>
      <c r="AD63" s="286"/>
      <c r="AE63" s="286"/>
      <c r="AF63" s="286"/>
      <c r="AH63" s="219"/>
      <c r="AI63" s="219"/>
      <c r="AJ63" s="286"/>
    </row>
    <row r="64" spans="1:36" ht="51" x14ac:dyDescent="0.25">
      <c r="A64" s="286"/>
      <c r="B64" s="582" t="s">
        <v>944</v>
      </c>
      <c r="C64" s="575">
        <v>9208</v>
      </c>
      <c r="D64" s="219"/>
      <c r="E64" s="219"/>
      <c r="F64" s="219"/>
      <c r="G64" s="219"/>
      <c r="H64" s="219"/>
      <c r="I64" s="219"/>
      <c r="J64" s="294" t="s">
        <v>919</v>
      </c>
      <c r="K64" s="216" t="s">
        <v>660</v>
      </c>
      <c r="L64" s="219"/>
      <c r="M64" s="219"/>
      <c r="N64" s="219"/>
      <c r="O64" s="219"/>
      <c r="P64" s="229"/>
      <c r="Q64" s="231"/>
      <c r="R64" s="219"/>
      <c r="S64" s="219"/>
      <c r="T64" s="219"/>
      <c r="U64" s="219"/>
      <c r="V64" s="219"/>
      <c r="W64" s="219"/>
      <c r="X64" s="229"/>
      <c r="Y64" s="231"/>
      <c r="Z64" s="219"/>
      <c r="AA64" s="219"/>
      <c r="AB64" s="219"/>
      <c r="AC64" s="219"/>
      <c r="AD64" s="286"/>
      <c r="AE64" s="286"/>
      <c r="AF64" s="286"/>
      <c r="AH64" s="219"/>
      <c r="AI64" s="219"/>
      <c r="AJ64" s="286"/>
    </row>
    <row r="65" spans="1:36" ht="38.25" x14ac:dyDescent="0.25">
      <c r="A65" s="286"/>
      <c r="B65" s="582" t="s">
        <v>945</v>
      </c>
      <c r="C65" s="575">
        <v>9209</v>
      </c>
      <c r="D65" s="219"/>
      <c r="E65" s="219"/>
      <c r="F65" s="219"/>
      <c r="G65" s="219"/>
      <c r="H65" s="219"/>
      <c r="I65" s="219"/>
      <c r="J65" s="294" t="s">
        <v>920</v>
      </c>
      <c r="K65" s="216" t="s">
        <v>661</v>
      </c>
      <c r="L65" s="229"/>
      <c r="M65" s="231"/>
      <c r="N65" s="219"/>
      <c r="O65" s="219"/>
      <c r="P65" s="229"/>
      <c r="Q65" s="231"/>
      <c r="R65" s="219"/>
      <c r="S65" s="219"/>
      <c r="T65" s="219"/>
      <c r="U65" s="219"/>
      <c r="V65" s="219"/>
      <c r="W65" s="219"/>
      <c r="X65" s="229"/>
      <c r="Y65" s="231"/>
      <c r="Z65" s="219"/>
      <c r="AA65" s="219"/>
      <c r="AB65" s="219"/>
      <c r="AC65" s="219"/>
      <c r="AD65" s="286"/>
      <c r="AE65" s="286"/>
      <c r="AF65" s="286"/>
      <c r="AH65" s="219"/>
      <c r="AI65" s="219"/>
      <c r="AJ65" s="286"/>
    </row>
    <row r="66" spans="1:36" ht="51" x14ac:dyDescent="0.25">
      <c r="A66" s="286"/>
      <c r="B66" s="582" t="s">
        <v>946</v>
      </c>
      <c r="C66" s="575">
        <v>9210</v>
      </c>
      <c r="D66" s="219"/>
      <c r="E66" s="219"/>
      <c r="F66" s="219"/>
      <c r="G66" s="219"/>
      <c r="H66" s="219"/>
      <c r="I66" s="219"/>
      <c r="J66" s="294" t="s">
        <v>921</v>
      </c>
      <c r="K66" s="216" t="s">
        <v>662</v>
      </c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29"/>
      <c r="Y66" s="231"/>
      <c r="Z66" s="219"/>
      <c r="AA66" s="219"/>
      <c r="AB66" s="219"/>
      <c r="AC66" s="219"/>
      <c r="AD66" s="286"/>
      <c r="AE66" s="286"/>
      <c r="AF66" s="286"/>
      <c r="AH66" s="219"/>
      <c r="AI66" s="219"/>
      <c r="AJ66" s="286"/>
    </row>
    <row r="67" spans="1:36" ht="51" x14ac:dyDescent="0.25">
      <c r="A67" s="286"/>
      <c r="B67" s="587" t="s">
        <v>940</v>
      </c>
      <c r="C67" s="575">
        <v>9211</v>
      </c>
      <c r="D67" s="219"/>
      <c r="E67" s="219"/>
      <c r="F67" s="219"/>
      <c r="G67" s="219"/>
      <c r="H67" s="219"/>
      <c r="I67" s="219"/>
      <c r="J67" s="294" t="s">
        <v>923</v>
      </c>
      <c r="K67" s="216" t="s">
        <v>663</v>
      </c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29"/>
      <c r="Y67" s="231"/>
      <c r="Z67" s="219"/>
      <c r="AA67" s="219"/>
      <c r="AB67" s="219"/>
      <c r="AC67" s="219"/>
      <c r="AD67" s="286"/>
      <c r="AE67" s="286"/>
      <c r="AF67" s="286"/>
      <c r="AH67" s="219"/>
      <c r="AI67" s="219"/>
      <c r="AJ67" s="286"/>
    </row>
    <row r="68" spans="1:36" ht="38.25" x14ac:dyDescent="0.25">
      <c r="A68" s="286"/>
      <c r="B68" s="587" t="s">
        <v>1135</v>
      </c>
      <c r="C68" s="575">
        <v>9212</v>
      </c>
      <c r="D68" s="219"/>
      <c r="E68" s="219"/>
      <c r="F68" s="219"/>
      <c r="G68" s="219"/>
      <c r="H68" s="219"/>
      <c r="I68" s="219"/>
      <c r="J68" s="294" t="s">
        <v>924</v>
      </c>
      <c r="K68" s="216" t="s">
        <v>664</v>
      </c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29"/>
      <c r="Y68" s="231"/>
      <c r="Z68" s="219"/>
      <c r="AA68" s="219"/>
      <c r="AB68" s="219"/>
      <c r="AC68" s="219"/>
      <c r="AD68" s="286"/>
      <c r="AE68" s="286"/>
      <c r="AF68" s="286"/>
      <c r="AH68" s="219"/>
      <c r="AI68" s="219"/>
      <c r="AJ68" s="286"/>
    </row>
    <row r="69" spans="1:36" ht="38.25" x14ac:dyDescent="0.25">
      <c r="A69" s="286"/>
      <c r="B69" s="587" t="s">
        <v>692</v>
      </c>
      <c r="C69" s="575">
        <v>9213</v>
      </c>
      <c r="D69" s="219"/>
      <c r="E69" s="219"/>
      <c r="F69" s="219"/>
      <c r="G69" s="219"/>
      <c r="H69" s="219"/>
      <c r="I69" s="219"/>
      <c r="J69" s="294" t="s">
        <v>925</v>
      </c>
      <c r="K69" s="216" t="s">
        <v>665</v>
      </c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29"/>
      <c r="Y69" s="231"/>
      <c r="Z69" s="219"/>
      <c r="AA69" s="219"/>
      <c r="AB69" s="219"/>
      <c r="AC69" s="219"/>
      <c r="AD69" s="286"/>
      <c r="AE69" s="286"/>
      <c r="AF69" s="286"/>
      <c r="AH69" s="219"/>
      <c r="AI69" s="219"/>
      <c r="AJ69" s="286"/>
    </row>
    <row r="70" spans="1:36" ht="38.25" x14ac:dyDescent="0.25">
      <c r="A70" s="286"/>
      <c r="B70" s="587" t="s">
        <v>1263</v>
      </c>
      <c r="C70" s="575">
        <v>9214</v>
      </c>
      <c r="D70" s="219"/>
      <c r="E70" s="219"/>
      <c r="F70" s="219"/>
      <c r="G70" s="219"/>
      <c r="H70" s="219"/>
      <c r="I70" s="219"/>
      <c r="J70" s="294" t="s">
        <v>926</v>
      </c>
      <c r="K70" s="216" t="s">
        <v>666</v>
      </c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29"/>
      <c r="Y70" s="231"/>
      <c r="Z70" s="219"/>
      <c r="AA70" s="219"/>
      <c r="AB70" s="219"/>
      <c r="AC70" s="219"/>
      <c r="AD70" s="286"/>
      <c r="AE70" s="286"/>
      <c r="AF70" s="286"/>
      <c r="AH70" s="219"/>
      <c r="AI70" s="219"/>
      <c r="AJ70" s="286"/>
    </row>
    <row r="71" spans="1:36" ht="38.25" x14ac:dyDescent="0.25">
      <c r="A71" s="286"/>
      <c r="B71" s="587" t="s">
        <v>718</v>
      </c>
      <c r="C71" s="577" t="s">
        <v>381</v>
      </c>
      <c r="D71" s="219"/>
      <c r="E71" s="219"/>
      <c r="F71" s="219"/>
      <c r="G71" s="219"/>
      <c r="H71" s="219"/>
      <c r="I71" s="219"/>
      <c r="J71" s="294" t="s">
        <v>927</v>
      </c>
      <c r="K71" s="216" t="s">
        <v>667</v>
      </c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29"/>
      <c r="Y71" s="231"/>
      <c r="Z71" s="219"/>
      <c r="AA71" s="219"/>
      <c r="AB71" s="219"/>
      <c r="AC71" s="219"/>
      <c r="AD71" s="286"/>
      <c r="AE71" s="286"/>
      <c r="AF71" s="286"/>
      <c r="AH71" s="219"/>
      <c r="AI71" s="219"/>
      <c r="AJ71" s="286"/>
    </row>
    <row r="72" spans="1:36" ht="63.75" x14ac:dyDescent="0.25">
      <c r="A72" s="286"/>
      <c r="B72" s="587" t="s">
        <v>1101</v>
      </c>
      <c r="C72" s="570" t="s">
        <v>441</v>
      </c>
      <c r="D72" s="219"/>
      <c r="E72" s="219"/>
      <c r="F72" s="219"/>
      <c r="G72" s="219"/>
      <c r="H72" s="219"/>
      <c r="I72" s="219"/>
      <c r="J72" s="294" t="s">
        <v>928</v>
      </c>
      <c r="K72" s="216" t="s">
        <v>668</v>
      </c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29"/>
      <c r="Y72" s="231"/>
      <c r="Z72" s="219"/>
      <c r="AA72" s="219"/>
      <c r="AB72" s="219"/>
      <c r="AC72" s="219"/>
      <c r="AD72" s="286"/>
      <c r="AE72" s="286"/>
      <c r="AF72" s="286"/>
      <c r="AH72" s="219"/>
      <c r="AI72" s="219"/>
      <c r="AJ72" s="286"/>
    </row>
    <row r="73" spans="1:36" ht="39" thickBot="1" x14ac:dyDescent="0.3">
      <c r="A73" s="286"/>
      <c r="B73" s="594" t="s">
        <v>713</v>
      </c>
      <c r="C73" s="572" t="s">
        <v>675</v>
      </c>
      <c r="D73" s="219"/>
      <c r="E73" s="219"/>
      <c r="F73" s="219"/>
      <c r="G73" s="219"/>
      <c r="H73" s="219"/>
      <c r="I73" s="219"/>
      <c r="J73" s="294" t="s">
        <v>929</v>
      </c>
      <c r="K73" s="216" t="s">
        <v>669</v>
      </c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29"/>
      <c r="Y73" s="231"/>
      <c r="Z73" s="219"/>
      <c r="AA73" s="219"/>
      <c r="AB73" s="219"/>
      <c r="AC73" s="219"/>
      <c r="AD73" s="286"/>
      <c r="AE73" s="286"/>
      <c r="AF73" s="286"/>
      <c r="AH73" s="219"/>
      <c r="AI73" s="219"/>
      <c r="AJ73" s="286"/>
    </row>
    <row r="74" spans="1:36" ht="25.5" x14ac:dyDescent="0.25">
      <c r="A74" s="286"/>
      <c r="B74" s="574"/>
      <c r="C74" s="576"/>
      <c r="D74" s="286"/>
      <c r="E74" s="286"/>
      <c r="F74" s="286"/>
      <c r="G74" s="286"/>
      <c r="H74" s="286"/>
      <c r="I74" s="286"/>
      <c r="J74" s="294" t="s">
        <v>996</v>
      </c>
      <c r="K74" s="216" t="s">
        <v>995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29"/>
      <c r="Y74" s="231"/>
      <c r="Z74" s="286"/>
      <c r="AA74" s="286"/>
      <c r="AB74" s="286"/>
      <c r="AC74" s="286"/>
      <c r="AD74" s="286"/>
      <c r="AE74" s="286"/>
      <c r="AF74" s="286"/>
      <c r="AH74" s="286"/>
      <c r="AI74" s="286"/>
      <c r="AJ74" s="286"/>
    </row>
    <row r="75" spans="1:36" ht="25.5" x14ac:dyDescent="0.25">
      <c r="A75" s="286"/>
      <c r="B75" s="229"/>
      <c r="C75" s="230"/>
      <c r="D75" s="286"/>
      <c r="E75" s="286"/>
      <c r="F75" s="286"/>
      <c r="G75" s="286"/>
      <c r="H75" s="286"/>
      <c r="I75" s="286"/>
      <c r="J75" s="294" t="s">
        <v>1103</v>
      </c>
      <c r="K75" s="216" t="s">
        <v>1104</v>
      </c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H75" s="286"/>
      <c r="AI75" s="286"/>
      <c r="AJ75" s="286"/>
    </row>
    <row r="76" spans="1:36" ht="25.5" x14ac:dyDescent="0.25">
      <c r="A76" s="286"/>
      <c r="B76" s="229"/>
      <c r="C76" s="230"/>
      <c r="D76" s="286"/>
      <c r="E76" s="286"/>
      <c r="F76" s="286"/>
      <c r="G76" s="286"/>
      <c r="H76" s="286"/>
      <c r="I76" s="286"/>
      <c r="J76" s="294" t="s">
        <v>1105</v>
      </c>
      <c r="K76" s="216" t="s">
        <v>1106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H76" s="286"/>
      <c r="AI76" s="286"/>
      <c r="AJ76" s="286"/>
    </row>
    <row r="77" spans="1:36" ht="63.75" x14ac:dyDescent="0.25">
      <c r="A77" s="286"/>
      <c r="B77" s="229"/>
      <c r="C77" s="230"/>
      <c r="D77" s="286"/>
      <c r="E77" s="286"/>
      <c r="F77" s="286"/>
      <c r="G77" s="286"/>
      <c r="H77" s="286"/>
      <c r="I77" s="286"/>
      <c r="J77" s="294" t="s">
        <v>1107</v>
      </c>
      <c r="K77" s="216" t="s">
        <v>1108</v>
      </c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H77" s="286"/>
      <c r="AI77" s="286"/>
      <c r="AJ77" s="286"/>
    </row>
    <row r="78" spans="1:36" ht="38.25" x14ac:dyDescent="0.25">
      <c r="A78" s="286"/>
      <c r="B78" s="229"/>
      <c r="C78" s="230"/>
      <c r="D78" s="286"/>
      <c r="E78" s="286"/>
      <c r="F78" s="286"/>
      <c r="G78" s="286"/>
      <c r="H78" s="286"/>
      <c r="I78" s="286"/>
      <c r="J78" s="294" t="s">
        <v>1109</v>
      </c>
      <c r="K78" s="216" t="s">
        <v>1111</v>
      </c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H78" s="286"/>
      <c r="AI78" s="286"/>
      <c r="AJ78" s="286"/>
    </row>
    <row r="79" spans="1:36" ht="51.75" thickBot="1" x14ac:dyDescent="0.3">
      <c r="A79" s="286"/>
      <c r="B79" s="229"/>
      <c r="C79" s="230"/>
      <c r="D79" s="286"/>
      <c r="E79" s="286"/>
      <c r="F79" s="286"/>
      <c r="G79" s="286"/>
      <c r="H79" s="286"/>
      <c r="I79" s="286"/>
      <c r="J79" s="296" t="s">
        <v>1110</v>
      </c>
      <c r="K79" s="218" t="s">
        <v>1112</v>
      </c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H79" s="286"/>
      <c r="AI79" s="286"/>
      <c r="AJ79" s="286"/>
    </row>
    <row r="80" spans="1:36" ht="26.25" thickBot="1" x14ac:dyDescent="0.3">
      <c r="A80" s="286"/>
      <c r="B80" s="229"/>
      <c r="C80" s="230"/>
      <c r="D80" s="286"/>
      <c r="E80" s="286"/>
      <c r="F80" s="286"/>
      <c r="G80" s="286"/>
      <c r="H80" s="286"/>
      <c r="I80" s="286"/>
      <c r="J80" s="296" t="s">
        <v>1146</v>
      </c>
      <c r="K80" s="218" t="s">
        <v>1147</v>
      </c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H80" s="286"/>
      <c r="AI80" s="286"/>
      <c r="AJ80" s="286"/>
    </row>
    <row r="81" spans="1:36" x14ac:dyDescent="0.25">
      <c r="A81" s="286"/>
      <c r="B81" s="229"/>
      <c r="C81" s="230"/>
      <c r="D81" s="286"/>
      <c r="E81" s="286"/>
      <c r="F81" s="286"/>
      <c r="G81" s="286"/>
      <c r="H81" s="286"/>
      <c r="I81" s="286"/>
      <c r="J81" s="229"/>
      <c r="K81" s="231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H81" s="286"/>
      <c r="AI81" s="286"/>
      <c r="AJ81" s="286"/>
    </row>
    <row r="82" spans="1:36" x14ac:dyDescent="0.25">
      <c r="A82" s="286"/>
      <c r="B82" s="229"/>
      <c r="C82" s="230"/>
      <c r="D82" s="286"/>
      <c r="E82" s="286"/>
      <c r="F82" s="286"/>
      <c r="G82" s="286"/>
      <c r="H82" s="286"/>
      <c r="I82" s="286"/>
      <c r="J82" s="229"/>
      <c r="K82" s="231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H82" s="286"/>
      <c r="AI82" s="286"/>
      <c r="AJ82" s="286"/>
    </row>
    <row r="83" spans="1:36" x14ac:dyDescent="0.25">
      <c r="A83" s="286"/>
      <c r="B83" s="229"/>
      <c r="C83" s="230"/>
      <c r="D83" s="286"/>
      <c r="E83" s="286"/>
      <c r="F83" s="286"/>
      <c r="G83" s="286"/>
      <c r="H83" s="286"/>
      <c r="I83" s="286"/>
      <c r="J83" s="229"/>
      <c r="K83" s="231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H83" s="286"/>
      <c r="AI83" s="286"/>
      <c r="AJ83" s="286"/>
    </row>
    <row r="84" spans="1:36" x14ac:dyDescent="0.25">
      <c r="A84" s="286"/>
      <c r="B84" s="229"/>
      <c r="C84" s="230"/>
      <c r="D84" s="286"/>
      <c r="E84" s="286"/>
      <c r="F84" s="286"/>
      <c r="G84" s="286"/>
      <c r="H84" s="286"/>
      <c r="I84" s="286"/>
      <c r="J84" s="229"/>
      <c r="K84" s="231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H84" s="286"/>
      <c r="AI84" s="286"/>
      <c r="AJ84" s="286"/>
    </row>
    <row r="85" spans="1:36" x14ac:dyDescent="0.25">
      <c r="A85" s="286"/>
      <c r="B85" s="229"/>
      <c r="C85" s="230"/>
      <c r="D85" s="286"/>
      <c r="E85" s="286"/>
      <c r="F85" s="286"/>
      <c r="G85" s="286"/>
      <c r="H85" s="286"/>
      <c r="I85" s="286"/>
      <c r="J85" s="229"/>
      <c r="K85" s="231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H85" s="286"/>
      <c r="AI85" s="286"/>
      <c r="AJ85" s="286"/>
    </row>
    <row r="86" spans="1:36" x14ac:dyDescent="0.25">
      <c r="A86" s="286"/>
      <c r="B86" s="229"/>
      <c r="C86" s="230"/>
      <c r="D86" s="286"/>
      <c r="E86" s="286"/>
      <c r="F86" s="286"/>
      <c r="G86" s="286"/>
      <c r="H86" s="286"/>
      <c r="I86" s="286"/>
      <c r="J86" s="229"/>
      <c r="K86" s="231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H86" s="286"/>
      <c r="AI86" s="286"/>
      <c r="AJ86" s="286"/>
    </row>
    <row r="87" spans="1:36" x14ac:dyDescent="0.25">
      <c r="A87" s="286"/>
      <c r="B87" s="229"/>
      <c r="C87" s="230"/>
      <c r="D87" s="286"/>
      <c r="E87" s="286"/>
      <c r="F87" s="286"/>
      <c r="G87" s="286"/>
      <c r="H87" s="286"/>
      <c r="I87" s="286"/>
      <c r="J87" s="229"/>
      <c r="K87" s="231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H87" s="286"/>
      <c r="AI87" s="286"/>
      <c r="AJ87" s="286"/>
    </row>
    <row r="88" spans="1:36" x14ac:dyDescent="0.25">
      <c r="A88" s="286"/>
      <c r="B88" s="229"/>
      <c r="C88" s="230"/>
      <c r="D88" s="286"/>
      <c r="E88" s="286"/>
      <c r="F88" s="286"/>
      <c r="G88" s="286"/>
      <c r="H88" s="286"/>
      <c r="I88" s="286"/>
      <c r="J88" s="229"/>
      <c r="K88" s="231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H88" s="286"/>
      <c r="AI88" s="286"/>
      <c r="AJ88" s="286"/>
    </row>
    <row r="89" spans="1:36" x14ac:dyDescent="0.25">
      <c r="A89" s="286"/>
      <c r="B89" s="229"/>
      <c r="C89" s="230"/>
      <c r="D89" s="286"/>
      <c r="E89" s="286"/>
      <c r="F89" s="286"/>
      <c r="G89" s="286"/>
      <c r="H89" s="286"/>
      <c r="I89" s="286"/>
      <c r="J89" s="229"/>
      <c r="K89" s="231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H89" s="286"/>
      <c r="AI89" s="286"/>
      <c r="AJ89" s="286"/>
    </row>
    <row r="90" spans="1:36" x14ac:dyDescent="0.25">
      <c r="A90" s="286"/>
      <c r="B90" s="229"/>
      <c r="C90" s="230"/>
      <c r="D90" s="286"/>
      <c r="E90" s="286"/>
      <c r="F90" s="286"/>
      <c r="G90" s="286"/>
      <c r="H90" s="286"/>
      <c r="I90" s="286"/>
      <c r="J90" s="229"/>
      <c r="K90" s="231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H90" s="286"/>
      <c r="AI90" s="286"/>
      <c r="AJ90" s="286"/>
    </row>
    <row r="91" spans="1:36" x14ac:dyDescent="0.25">
      <c r="A91" s="286"/>
      <c r="B91" s="229"/>
      <c r="C91" s="230"/>
      <c r="D91" s="286"/>
      <c r="E91" s="286"/>
      <c r="F91" s="286"/>
      <c r="G91" s="286"/>
      <c r="H91" s="286"/>
      <c r="I91" s="286"/>
      <c r="J91" s="229"/>
      <c r="K91" s="231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H91" s="286"/>
      <c r="AI91" s="286"/>
      <c r="AJ91" s="286"/>
    </row>
    <row r="92" spans="1:36" x14ac:dyDescent="0.25">
      <c r="A92" s="286"/>
      <c r="B92" s="229"/>
      <c r="C92" s="230"/>
      <c r="D92" s="286"/>
      <c r="E92" s="286"/>
      <c r="F92" s="286"/>
      <c r="G92" s="286"/>
      <c r="H92" s="286"/>
      <c r="I92" s="286"/>
      <c r="J92" s="229"/>
      <c r="K92" s="231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H92" s="286"/>
      <c r="AI92" s="286"/>
      <c r="AJ92" s="286"/>
    </row>
    <row r="93" spans="1:36" x14ac:dyDescent="0.25">
      <c r="A93" s="286"/>
      <c r="B93" s="229"/>
      <c r="C93" s="230"/>
      <c r="D93" s="286"/>
      <c r="E93" s="286"/>
      <c r="F93" s="286"/>
      <c r="G93" s="286"/>
      <c r="H93" s="286"/>
      <c r="I93" s="286"/>
      <c r="J93" s="229"/>
      <c r="K93" s="231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H93" s="286"/>
      <c r="AI93" s="286"/>
      <c r="AJ93" s="286"/>
    </row>
    <row r="94" spans="1:36" x14ac:dyDescent="0.25">
      <c r="A94" s="286"/>
      <c r="B94" s="229"/>
      <c r="C94" s="230"/>
      <c r="D94" s="286"/>
      <c r="E94" s="286"/>
      <c r="F94" s="286"/>
      <c r="G94" s="286"/>
      <c r="H94" s="286"/>
      <c r="I94" s="286"/>
      <c r="J94" s="229"/>
      <c r="K94" s="231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H94" s="286"/>
      <c r="AI94" s="286"/>
      <c r="AJ94" s="286"/>
    </row>
    <row r="95" spans="1:36" x14ac:dyDescent="0.25">
      <c r="A95" s="286"/>
      <c r="B95" s="229"/>
      <c r="C95" s="230"/>
      <c r="D95" s="286"/>
      <c r="E95" s="286"/>
      <c r="F95" s="286"/>
      <c r="G95" s="286"/>
      <c r="H95" s="286"/>
      <c r="I95" s="286"/>
      <c r="J95" s="229"/>
      <c r="K95" s="231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H95" s="286"/>
      <c r="AI95" s="286"/>
      <c r="AJ95" s="286"/>
    </row>
    <row r="96" spans="1:36" x14ac:dyDescent="0.25">
      <c r="A96" s="286"/>
      <c r="B96" s="229"/>
      <c r="C96" s="230"/>
      <c r="D96" s="286"/>
      <c r="E96" s="286"/>
      <c r="F96" s="286"/>
      <c r="G96" s="286"/>
      <c r="H96" s="286"/>
      <c r="I96" s="286"/>
      <c r="J96" s="229"/>
      <c r="K96" s="231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H96" s="286"/>
      <c r="AI96" s="286"/>
      <c r="AJ96" s="286"/>
    </row>
    <row r="97" spans="1:36" x14ac:dyDescent="0.25">
      <c r="A97" s="286"/>
      <c r="B97" s="229"/>
      <c r="C97" s="230"/>
      <c r="D97" s="286"/>
      <c r="E97" s="286"/>
      <c r="F97" s="286"/>
      <c r="G97" s="286"/>
      <c r="H97" s="286"/>
      <c r="I97" s="286"/>
      <c r="J97" s="229"/>
      <c r="K97" s="231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H97" s="286"/>
      <c r="AI97" s="286"/>
      <c r="AJ97" s="286"/>
    </row>
    <row r="98" spans="1:36" x14ac:dyDescent="0.25">
      <c r="A98" s="286"/>
      <c r="B98" s="229"/>
      <c r="C98" s="230"/>
      <c r="D98" s="286"/>
      <c r="E98" s="286"/>
      <c r="F98" s="286"/>
      <c r="G98" s="286"/>
      <c r="H98" s="286"/>
      <c r="I98" s="286"/>
      <c r="J98" s="229"/>
      <c r="K98" s="231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H98" s="286"/>
      <c r="AI98" s="286"/>
      <c r="AJ98" s="286"/>
    </row>
    <row r="99" spans="1:36" x14ac:dyDescent="0.25">
      <c r="A99" s="286"/>
      <c r="B99" s="229"/>
      <c r="C99" s="230"/>
      <c r="D99" s="286"/>
      <c r="E99" s="286"/>
      <c r="F99" s="286"/>
      <c r="G99" s="286"/>
      <c r="H99" s="286"/>
      <c r="I99" s="286"/>
      <c r="J99" s="229"/>
      <c r="K99" s="231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H99" s="286"/>
      <c r="AI99" s="286"/>
      <c r="AJ99" s="286"/>
    </row>
    <row r="100" spans="1:36" x14ac:dyDescent="0.25">
      <c r="A100" s="286"/>
      <c r="B100" s="229"/>
      <c r="C100" s="230"/>
      <c r="D100" s="286"/>
      <c r="E100" s="286"/>
      <c r="F100" s="286"/>
      <c r="G100" s="286"/>
      <c r="H100" s="286"/>
      <c r="I100" s="286"/>
      <c r="J100" s="229"/>
      <c r="K100" s="231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H100" s="286"/>
      <c r="AI100" s="286"/>
      <c r="AJ100" s="286"/>
    </row>
    <row r="101" spans="1:36" x14ac:dyDescent="0.25">
      <c r="A101" s="286"/>
      <c r="B101" s="229"/>
      <c r="C101" s="230"/>
      <c r="D101" s="286"/>
      <c r="E101" s="286"/>
      <c r="F101" s="286"/>
      <c r="G101" s="286"/>
      <c r="H101" s="286"/>
      <c r="I101" s="286"/>
      <c r="J101" s="229"/>
      <c r="K101" s="231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H101" s="286"/>
      <c r="AI101" s="286"/>
      <c r="AJ101" s="286"/>
    </row>
    <row r="102" spans="1:36" x14ac:dyDescent="0.25">
      <c r="A102" s="286"/>
      <c r="B102" s="229"/>
      <c r="C102" s="230"/>
      <c r="D102" s="286"/>
      <c r="E102" s="286"/>
      <c r="F102" s="286"/>
      <c r="G102" s="286"/>
      <c r="H102" s="286"/>
      <c r="I102" s="286"/>
      <c r="J102" s="229"/>
      <c r="K102" s="231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H102" s="286"/>
      <c r="AI102" s="286"/>
      <c r="AJ102" s="286"/>
    </row>
    <row r="103" spans="1:36" x14ac:dyDescent="0.25">
      <c r="A103" s="286"/>
      <c r="B103" s="229"/>
      <c r="C103" s="230"/>
      <c r="D103" s="286"/>
      <c r="E103" s="286"/>
      <c r="F103" s="286"/>
      <c r="G103" s="286"/>
      <c r="H103" s="286"/>
      <c r="I103" s="286"/>
      <c r="J103" s="229"/>
      <c r="K103" s="231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H103" s="286"/>
      <c r="AI103" s="286"/>
      <c r="AJ103" s="286"/>
    </row>
    <row r="104" spans="1:36" x14ac:dyDescent="0.25">
      <c r="A104" s="286"/>
      <c r="B104" s="229"/>
      <c r="C104" s="230"/>
      <c r="D104" s="286"/>
      <c r="E104" s="286"/>
      <c r="F104" s="286"/>
      <c r="G104" s="286"/>
      <c r="H104" s="286"/>
      <c r="I104" s="286"/>
      <c r="J104" s="229"/>
      <c r="K104" s="231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H104" s="286"/>
      <c r="AI104" s="286"/>
      <c r="AJ104" s="286"/>
    </row>
    <row r="105" spans="1:36" x14ac:dyDescent="0.25">
      <c r="A105" s="286"/>
      <c r="B105" s="229"/>
      <c r="C105" s="230"/>
      <c r="D105" s="286"/>
      <c r="E105" s="286"/>
      <c r="F105" s="286"/>
      <c r="G105" s="286"/>
      <c r="H105" s="286"/>
      <c r="I105" s="286"/>
      <c r="J105" s="229"/>
      <c r="K105" s="231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H105" s="286"/>
      <c r="AI105" s="286"/>
      <c r="AJ105" s="286"/>
    </row>
    <row r="106" spans="1:36" x14ac:dyDescent="0.25">
      <c r="A106" s="286"/>
      <c r="B106" s="229"/>
      <c r="C106" s="230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H106" s="286"/>
      <c r="AI106" s="286"/>
      <c r="AJ106" s="286"/>
    </row>
    <row r="107" spans="1:36" x14ac:dyDescent="0.25">
      <c r="A107" s="286"/>
      <c r="B107" s="229"/>
      <c r="C107" s="230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H107" s="286"/>
      <c r="AI107" s="286"/>
      <c r="AJ107" s="286"/>
    </row>
    <row r="108" spans="1:36" x14ac:dyDescent="0.25">
      <c r="A108" s="286"/>
      <c r="B108" s="229"/>
      <c r="C108" s="230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H108" s="286"/>
      <c r="AI108" s="286"/>
      <c r="AJ108" s="286"/>
    </row>
    <row r="109" spans="1:36" x14ac:dyDescent="0.25">
      <c r="A109" s="286"/>
      <c r="B109" s="229"/>
      <c r="C109" s="230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H109" s="286"/>
      <c r="AI109" s="286"/>
      <c r="AJ109" s="286"/>
    </row>
    <row r="110" spans="1:36" x14ac:dyDescent="0.25">
      <c r="A110" s="286"/>
      <c r="B110" s="229"/>
      <c r="C110" s="230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H110" s="286"/>
      <c r="AI110" s="286"/>
      <c r="AJ110" s="286"/>
    </row>
    <row r="111" spans="1:36" x14ac:dyDescent="0.25">
      <c r="B111" s="229"/>
      <c r="C111" s="230"/>
    </row>
    <row r="112" spans="1:36" x14ac:dyDescent="0.25">
      <c r="B112" s="229"/>
      <c r="C112" s="230"/>
    </row>
    <row r="113" spans="2:3" x14ac:dyDescent="0.25">
      <c r="B113" s="229"/>
      <c r="C113" s="230"/>
    </row>
    <row r="114" spans="2:3" x14ac:dyDescent="0.25">
      <c r="B114" s="229"/>
      <c r="C114" s="230"/>
    </row>
    <row r="115" spans="2:3" x14ac:dyDescent="0.25">
      <c r="B115" s="229"/>
      <c r="C115" s="230"/>
    </row>
    <row r="116" spans="2:3" x14ac:dyDescent="0.25">
      <c r="B116" s="229"/>
      <c r="C116" s="230"/>
    </row>
    <row r="117" spans="2:3" x14ac:dyDescent="0.25">
      <c r="B117" s="229"/>
      <c r="C117" s="230"/>
    </row>
    <row r="118" spans="2:3" x14ac:dyDescent="0.25">
      <c r="B118" s="229"/>
      <c r="C118" s="230"/>
    </row>
    <row r="119" spans="2:3" x14ac:dyDescent="0.25">
      <c r="B119" s="229"/>
      <c r="C119" s="230"/>
    </row>
    <row r="120" spans="2:3" x14ac:dyDescent="0.25">
      <c r="B120" s="229"/>
      <c r="C120" s="230"/>
    </row>
    <row r="121" spans="2:3" x14ac:dyDescent="0.25">
      <c r="B121" s="229"/>
      <c r="C121" s="230"/>
    </row>
    <row r="122" spans="2:3" x14ac:dyDescent="0.25">
      <c r="B122" s="229"/>
      <c r="C122" s="230"/>
    </row>
    <row r="123" spans="2:3" x14ac:dyDescent="0.25">
      <c r="B123" s="229"/>
      <c r="C123" s="230"/>
    </row>
    <row r="124" spans="2:3" x14ac:dyDescent="0.25">
      <c r="B124" s="229"/>
      <c r="C124" s="230"/>
    </row>
    <row r="125" spans="2:3" x14ac:dyDescent="0.25">
      <c r="B125" s="229"/>
      <c r="C125" s="230"/>
    </row>
    <row r="126" spans="2:3" x14ac:dyDescent="0.25">
      <c r="B126" s="229"/>
      <c r="C126" s="230"/>
    </row>
    <row r="127" spans="2:3" x14ac:dyDescent="0.25">
      <c r="B127" s="229"/>
      <c r="C127" s="230"/>
    </row>
    <row r="128" spans="2:3" x14ac:dyDescent="0.25">
      <c r="B128" s="229"/>
      <c r="C128" s="230"/>
    </row>
    <row r="129" spans="2:3" x14ac:dyDescent="0.25">
      <c r="B129" s="229"/>
      <c r="C129" s="230"/>
    </row>
    <row r="130" spans="2:3" x14ac:dyDescent="0.25">
      <c r="B130" s="229"/>
      <c r="C130" s="230"/>
    </row>
    <row r="131" spans="2:3" x14ac:dyDescent="0.25">
      <c r="B131" s="229"/>
      <c r="C131" s="230"/>
    </row>
    <row r="132" spans="2:3" x14ac:dyDescent="0.25">
      <c r="B132" s="229"/>
      <c r="C132" s="230"/>
    </row>
    <row r="133" spans="2:3" x14ac:dyDescent="0.25">
      <c r="B133" s="229"/>
      <c r="C133" s="230"/>
    </row>
    <row r="134" spans="2:3" x14ac:dyDescent="0.25">
      <c r="B134" s="229"/>
      <c r="C134" s="230"/>
    </row>
    <row r="135" spans="2:3" x14ac:dyDescent="0.25">
      <c r="B135" s="229"/>
      <c r="C135" s="230"/>
    </row>
    <row r="136" spans="2:3" x14ac:dyDescent="0.25">
      <c r="B136" s="229"/>
      <c r="C136" s="230"/>
    </row>
    <row r="137" spans="2:3" x14ac:dyDescent="0.25">
      <c r="B137" s="229"/>
      <c r="C137" s="230"/>
    </row>
    <row r="138" spans="2:3" x14ac:dyDescent="0.25">
      <c r="B138" s="229"/>
      <c r="C138" s="230"/>
    </row>
    <row r="139" spans="2:3" x14ac:dyDescent="0.25">
      <c r="B139" s="229"/>
      <c r="C139" s="230"/>
    </row>
    <row r="140" spans="2:3" x14ac:dyDescent="0.25">
      <c r="B140" s="229"/>
      <c r="C140" s="230"/>
    </row>
    <row r="141" spans="2:3" x14ac:dyDescent="0.25">
      <c r="B141" s="229"/>
      <c r="C141" s="230"/>
    </row>
    <row r="142" spans="2:3" x14ac:dyDescent="0.25">
      <c r="B142" s="229"/>
      <c r="C142" s="230"/>
    </row>
    <row r="143" spans="2:3" x14ac:dyDescent="0.25">
      <c r="B143" s="229"/>
      <c r="C143" s="230"/>
    </row>
    <row r="144" spans="2:3" x14ac:dyDescent="0.25">
      <c r="B144" s="229"/>
      <c r="C144" s="230"/>
    </row>
    <row r="145" spans="2:3" x14ac:dyDescent="0.25">
      <c r="B145" s="229"/>
      <c r="C145" s="230"/>
    </row>
    <row r="146" spans="2:3" x14ac:dyDescent="0.25">
      <c r="B146" s="229"/>
      <c r="C146" s="230"/>
    </row>
    <row r="147" spans="2:3" x14ac:dyDescent="0.25">
      <c r="B147" s="229"/>
      <c r="C147" s="230"/>
    </row>
    <row r="148" spans="2:3" x14ac:dyDescent="0.25">
      <c r="B148" s="229"/>
      <c r="C148" s="230"/>
    </row>
    <row r="149" spans="2:3" x14ac:dyDescent="0.25">
      <c r="B149" s="229"/>
      <c r="C149" s="230"/>
    </row>
    <row r="150" spans="2:3" x14ac:dyDescent="0.25">
      <c r="B150" s="229"/>
      <c r="C150" s="230"/>
    </row>
    <row r="151" spans="2:3" x14ac:dyDescent="0.25">
      <c r="B151" s="229"/>
      <c r="C151" s="230"/>
    </row>
    <row r="152" spans="2:3" x14ac:dyDescent="0.25">
      <c r="B152" s="229"/>
      <c r="C152" s="230"/>
    </row>
    <row r="153" spans="2:3" x14ac:dyDescent="0.25">
      <c r="B153" s="229"/>
      <c r="C153" s="230"/>
    </row>
  </sheetData>
  <mergeCells count="1">
    <mergeCell ref="D2:L2"/>
  </mergeCells>
  <pageMargins left="0.7" right="0.7" top="0.75" bottom="0.75" header="0.3" footer="0.3"/>
  <pageSetup paperSize="9" scale="1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B2:O100"/>
  <sheetViews>
    <sheetView workbookViewId="0">
      <selection activeCell="G3" sqref="G3:G54"/>
    </sheetView>
  </sheetViews>
  <sheetFormatPr defaultRowHeight="15" x14ac:dyDescent="0.25"/>
  <cols>
    <col min="1" max="1" width="9.140625" style="1"/>
    <col min="2" max="2" width="68" style="1" customWidth="1"/>
    <col min="3" max="3" width="10" style="1" customWidth="1"/>
    <col min="4" max="4" width="5.42578125" style="1" customWidth="1"/>
    <col min="5" max="5" width="32.7109375" style="1" bestFit="1" customWidth="1"/>
    <col min="6" max="6" width="5.85546875" style="1" customWidth="1"/>
    <col min="7" max="7" width="16.140625" style="1" customWidth="1"/>
    <col min="8" max="8" width="9.140625" style="1"/>
    <col min="9" max="9" width="9.7109375" style="1" customWidth="1"/>
    <col min="10" max="10" width="9.140625" style="1"/>
    <col min="11" max="11" width="8.7109375" style="1" customWidth="1"/>
    <col min="12" max="12" width="59.7109375" style="1" customWidth="1"/>
    <col min="13" max="14" width="9.140625" style="1"/>
    <col min="15" max="15" width="11.140625" style="1" customWidth="1"/>
    <col min="16" max="16384" width="9.140625" style="1"/>
  </cols>
  <sheetData>
    <row r="2" spans="2:15" ht="25.5" x14ac:dyDescent="0.25">
      <c r="B2" s="44" t="s">
        <v>41</v>
      </c>
      <c r="C2" s="44" t="s">
        <v>42</v>
      </c>
      <c r="D2" s="45"/>
      <c r="E2" s="44" t="s">
        <v>43</v>
      </c>
      <c r="F2" s="45"/>
      <c r="G2" s="44" t="s">
        <v>991</v>
      </c>
      <c r="I2" s="44" t="s">
        <v>305</v>
      </c>
      <c r="K2" s="44" t="s">
        <v>1000</v>
      </c>
      <c r="L2" s="44" t="s">
        <v>1001</v>
      </c>
    </row>
    <row r="3" spans="2:15" ht="38.25" x14ac:dyDescent="0.25">
      <c r="B3" s="46" t="s">
        <v>44</v>
      </c>
      <c r="C3" s="47" t="s">
        <v>45</v>
      </c>
      <c r="D3" s="48"/>
      <c r="E3" s="49" t="s">
        <v>47</v>
      </c>
      <c r="F3" s="48"/>
      <c r="G3" s="49" t="s">
        <v>64</v>
      </c>
      <c r="I3" s="49" t="s">
        <v>306</v>
      </c>
      <c r="K3" s="46" t="s">
        <v>997</v>
      </c>
      <c r="L3" s="49" t="s">
        <v>1288</v>
      </c>
      <c r="O3" s="307"/>
    </row>
    <row r="4" spans="2:15" ht="25.5" x14ac:dyDescent="0.25">
      <c r="B4" s="46" t="s">
        <v>48</v>
      </c>
      <c r="C4" s="47" t="s">
        <v>49</v>
      </c>
      <c r="D4" s="48"/>
      <c r="E4" s="266" t="s">
        <v>46</v>
      </c>
      <c r="F4" s="48"/>
      <c r="G4" s="49" t="s">
        <v>65</v>
      </c>
      <c r="I4" s="49" t="s">
        <v>307</v>
      </c>
      <c r="K4" s="46" t="s">
        <v>998</v>
      </c>
      <c r="L4" s="49" t="s">
        <v>1289</v>
      </c>
    </row>
    <row r="5" spans="2:15" ht="25.5" x14ac:dyDescent="0.25">
      <c r="B5" s="46" t="s">
        <v>50</v>
      </c>
      <c r="C5" s="47" t="s">
        <v>51</v>
      </c>
      <c r="D5" s="48"/>
      <c r="E5" s="266" t="s">
        <v>935</v>
      </c>
      <c r="F5" s="48"/>
      <c r="G5" s="49" t="s">
        <v>66</v>
      </c>
      <c r="I5" s="49" t="s">
        <v>308</v>
      </c>
      <c r="K5" s="46" t="s">
        <v>999</v>
      </c>
      <c r="L5" s="49" t="s">
        <v>1290</v>
      </c>
    </row>
    <row r="6" spans="2:15" ht="25.5" x14ac:dyDescent="0.25">
      <c r="B6" s="46" t="s">
        <v>53</v>
      </c>
      <c r="C6" s="47" t="s">
        <v>54</v>
      </c>
      <c r="D6" s="48"/>
      <c r="E6" s="49" t="s">
        <v>52</v>
      </c>
      <c r="F6" s="48"/>
      <c r="G6" s="49" t="s">
        <v>67</v>
      </c>
      <c r="I6" s="49" t="s">
        <v>309</v>
      </c>
      <c r="K6" s="46" t="s">
        <v>1002</v>
      </c>
      <c r="L6" s="49" t="s">
        <v>1291</v>
      </c>
    </row>
    <row r="7" spans="2:15" ht="25.5" x14ac:dyDescent="0.25">
      <c r="B7" s="46" t="s">
        <v>55</v>
      </c>
      <c r="C7" s="47" t="s">
        <v>56</v>
      </c>
      <c r="D7" s="48"/>
      <c r="E7" s="49" t="s">
        <v>62</v>
      </c>
      <c r="F7" s="48"/>
      <c r="G7" s="49" t="s">
        <v>68</v>
      </c>
      <c r="I7" s="49" t="s">
        <v>310</v>
      </c>
      <c r="K7" s="46" t="s">
        <v>1003</v>
      </c>
      <c r="L7" s="49" t="s">
        <v>1292</v>
      </c>
    </row>
    <row r="8" spans="2:15" ht="25.5" x14ac:dyDescent="0.25">
      <c r="B8" s="46" t="s">
        <v>57</v>
      </c>
      <c r="C8" s="47" t="s">
        <v>58</v>
      </c>
      <c r="D8" s="48"/>
      <c r="E8" s="49" t="s">
        <v>59</v>
      </c>
      <c r="F8" s="48"/>
      <c r="G8" s="49" t="s">
        <v>69</v>
      </c>
      <c r="I8" s="49" t="s">
        <v>311</v>
      </c>
      <c r="K8" s="46" t="s">
        <v>1004</v>
      </c>
      <c r="L8" s="49" t="s">
        <v>1293</v>
      </c>
    </row>
    <row r="9" spans="2:15" ht="38.25" x14ac:dyDescent="0.25">
      <c r="B9" s="46" t="s">
        <v>1271</v>
      </c>
      <c r="C9" s="47" t="s">
        <v>1272</v>
      </c>
      <c r="D9" s="48"/>
      <c r="E9" s="49" t="s">
        <v>60</v>
      </c>
      <c r="F9" s="48"/>
      <c r="G9" s="49" t="s">
        <v>70</v>
      </c>
      <c r="I9" s="49" t="s">
        <v>312</v>
      </c>
      <c r="K9" s="46" t="s">
        <v>1005</v>
      </c>
      <c r="L9" s="49" t="s">
        <v>1294</v>
      </c>
    </row>
    <row r="10" spans="2:15" ht="25.5" x14ac:dyDescent="0.25">
      <c r="B10" s="449"/>
      <c r="C10" s="48"/>
      <c r="D10" s="48"/>
      <c r="E10" s="49" t="s">
        <v>61</v>
      </c>
      <c r="F10" s="48"/>
      <c r="G10" s="49" t="s">
        <v>71</v>
      </c>
      <c r="I10" s="49" t="s">
        <v>313</v>
      </c>
      <c r="K10" s="46" t="s">
        <v>1006</v>
      </c>
      <c r="L10" s="49" t="s">
        <v>1295</v>
      </c>
    </row>
    <row r="11" spans="2:15" ht="25.5" x14ac:dyDescent="0.25">
      <c r="B11" s="44" t="s">
        <v>990</v>
      </c>
      <c r="C11" s="44" t="s">
        <v>42</v>
      </c>
      <c r="D11" s="48"/>
      <c r="F11" s="48"/>
      <c r="G11" s="49" t="s">
        <v>268</v>
      </c>
      <c r="I11" s="49" t="s">
        <v>314</v>
      </c>
      <c r="K11" s="46" t="s">
        <v>1007</v>
      </c>
      <c r="L11" s="49" t="s">
        <v>1296</v>
      </c>
    </row>
    <row r="12" spans="2:15" ht="25.5" x14ac:dyDescent="0.25">
      <c r="B12" s="46" t="s">
        <v>99</v>
      </c>
      <c r="C12" s="47" t="s">
        <v>100</v>
      </c>
      <c r="D12" s="48"/>
      <c r="F12" s="48"/>
      <c r="G12" s="49" t="s">
        <v>72</v>
      </c>
      <c r="I12" s="49" t="s">
        <v>315</v>
      </c>
      <c r="K12" s="46" t="s">
        <v>1008</v>
      </c>
      <c r="L12" s="49" t="s">
        <v>1297</v>
      </c>
    </row>
    <row r="13" spans="2:15" ht="38.25" x14ac:dyDescent="0.25">
      <c r="B13" s="46" t="s">
        <v>171</v>
      </c>
      <c r="C13" s="47" t="s">
        <v>172</v>
      </c>
      <c r="D13" s="48"/>
      <c r="F13" s="48"/>
      <c r="G13" s="49" t="s">
        <v>73</v>
      </c>
      <c r="I13" s="49" t="s">
        <v>316</v>
      </c>
      <c r="K13" s="46" t="s">
        <v>1009</v>
      </c>
      <c r="L13" s="49" t="s">
        <v>1298</v>
      </c>
    </row>
    <row r="14" spans="2:15" ht="25.5" x14ac:dyDescent="0.25">
      <c r="B14" s="46" t="s">
        <v>101</v>
      </c>
      <c r="C14" s="47" t="s">
        <v>102</v>
      </c>
      <c r="D14" s="48"/>
      <c r="E14" s="45"/>
      <c r="F14" s="48"/>
      <c r="G14" s="49" t="s">
        <v>74</v>
      </c>
      <c r="I14" s="49" t="s">
        <v>317</v>
      </c>
      <c r="K14" s="46" t="s">
        <v>1010</v>
      </c>
      <c r="L14" s="49" t="s">
        <v>1299</v>
      </c>
    </row>
    <row r="15" spans="2:15" ht="38.25" x14ac:dyDescent="0.25">
      <c r="B15" s="46" t="s">
        <v>175</v>
      </c>
      <c r="C15" s="47" t="s">
        <v>173</v>
      </c>
      <c r="D15" s="48"/>
      <c r="E15" s="44" t="s">
        <v>111</v>
      </c>
      <c r="F15" s="48"/>
      <c r="G15" s="49" t="s">
        <v>75</v>
      </c>
      <c r="K15" s="46" t="s">
        <v>1011</v>
      </c>
      <c r="L15" s="49" t="s">
        <v>1300</v>
      </c>
    </row>
    <row r="16" spans="2:15" ht="25.5" x14ac:dyDescent="0.25">
      <c r="B16" s="46" t="s">
        <v>103</v>
      </c>
      <c r="C16" s="47" t="s">
        <v>104</v>
      </c>
      <c r="D16" s="48"/>
      <c r="E16" s="47" t="s">
        <v>112</v>
      </c>
      <c r="F16" s="48"/>
      <c r="G16" s="49" t="s">
        <v>76</v>
      </c>
      <c r="K16" s="46" t="s">
        <v>1012</v>
      </c>
      <c r="L16" s="49" t="s">
        <v>1301</v>
      </c>
    </row>
    <row r="17" spans="2:12" ht="25.5" x14ac:dyDescent="0.25">
      <c r="B17" s="46" t="s">
        <v>176</v>
      </c>
      <c r="C17" s="47" t="s">
        <v>174</v>
      </c>
      <c r="D17" s="48"/>
      <c r="E17" s="47" t="s">
        <v>113</v>
      </c>
      <c r="F17" s="48"/>
      <c r="G17" s="49" t="s">
        <v>77</v>
      </c>
      <c r="K17" s="46" t="s">
        <v>1013</v>
      </c>
      <c r="L17" s="49" t="s">
        <v>1302</v>
      </c>
    </row>
    <row r="18" spans="2:12" ht="25.5" x14ac:dyDescent="0.25">
      <c r="B18" s="46" t="s">
        <v>105</v>
      </c>
      <c r="C18" s="47" t="s">
        <v>106</v>
      </c>
      <c r="D18" s="48"/>
      <c r="E18" s="47" t="s">
        <v>98</v>
      </c>
      <c r="F18" s="48"/>
      <c r="G18" s="49" t="s">
        <v>78</v>
      </c>
      <c r="K18" s="46" t="s">
        <v>1014</v>
      </c>
      <c r="L18" s="49" t="s">
        <v>1303</v>
      </c>
    </row>
    <row r="19" spans="2:12" ht="25.5" x14ac:dyDescent="0.25">
      <c r="B19" s="46" t="s">
        <v>177</v>
      </c>
      <c r="C19" s="47" t="s">
        <v>178</v>
      </c>
      <c r="D19" s="48"/>
      <c r="E19" s="48"/>
      <c r="F19" s="48"/>
      <c r="G19" s="49" t="s">
        <v>79</v>
      </c>
      <c r="K19" s="46" t="s">
        <v>1015</v>
      </c>
      <c r="L19" s="49" t="s">
        <v>1304</v>
      </c>
    </row>
    <row r="20" spans="2:12" ht="25.5" x14ac:dyDescent="0.25">
      <c r="B20" s="46" t="s">
        <v>107</v>
      </c>
      <c r="C20" s="47" t="s">
        <v>108</v>
      </c>
      <c r="D20" s="48"/>
      <c r="E20" s="44" t="s">
        <v>198</v>
      </c>
      <c r="F20" s="48"/>
      <c r="G20" s="49" t="s">
        <v>80</v>
      </c>
      <c r="K20" s="46" t="s">
        <v>1016</v>
      </c>
      <c r="L20" s="49" t="s">
        <v>1305</v>
      </c>
    </row>
    <row r="21" spans="2:12" ht="25.5" x14ac:dyDescent="0.25">
      <c r="B21" s="46" t="s">
        <v>180</v>
      </c>
      <c r="C21" s="47" t="s">
        <v>179</v>
      </c>
      <c r="D21" s="48"/>
      <c r="E21" s="227" t="s">
        <v>264</v>
      </c>
      <c r="F21" s="48"/>
      <c r="G21" s="49" t="s">
        <v>81</v>
      </c>
      <c r="K21" s="46" t="s">
        <v>1017</v>
      </c>
      <c r="L21" s="49" t="s">
        <v>1306</v>
      </c>
    </row>
    <row r="22" spans="2:12" ht="25.5" x14ac:dyDescent="0.25">
      <c r="B22" s="46" t="s">
        <v>166</v>
      </c>
      <c r="C22" s="47" t="s">
        <v>186</v>
      </c>
      <c r="D22" s="48"/>
      <c r="E22" s="227" t="s">
        <v>620</v>
      </c>
      <c r="F22" s="48"/>
      <c r="G22" s="49" t="s">
        <v>82</v>
      </c>
      <c r="K22" s="46" t="s">
        <v>1018</v>
      </c>
      <c r="L22" s="49" t="s">
        <v>1307</v>
      </c>
    </row>
    <row r="23" spans="2:12" ht="25.5" x14ac:dyDescent="0.25">
      <c r="B23" s="46" t="s">
        <v>181</v>
      </c>
      <c r="C23" s="47" t="s">
        <v>187</v>
      </c>
      <c r="D23" s="48"/>
      <c r="E23" s="227" t="s">
        <v>1268</v>
      </c>
      <c r="F23" s="48"/>
      <c r="G23" s="49" t="s">
        <v>83</v>
      </c>
      <c r="K23" s="46" t="s">
        <v>1019</v>
      </c>
      <c r="L23" s="49" t="s">
        <v>1308</v>
      </c>
    </row>
    <row r="24" spans="2:12" ht="25.5" x14ac:dyDescent="0.25">
      <c r="B24" s="46" t="s">
        <v>167</v>
      </c>
      <c r="C24" s="47" t="s">
        <v>188</v>
      </c>
      <c r="D24" s="48"/>
      <c r="E24" s="227" t="s">
        <v>199</v>
      </c>
      <c r="F24" s="48"/>
      <c r="G24" s="49" t="s">
        <v>84</v>
      </c>
      <c r="K24" s="46" t="s">
        <v>1020</v>
      </c>
      <c r="L24" s="49" t="s">
        <v>1309</v>
      </c>
    </row>
    <row r="25" spans="2:12" ht="25.5" x14ac:dyDescent="0.25">
      <c r="B25" s="46" t="s">
        <v>182</v>
      </c>
      <c r="C25" s="47" t="s">
        <v>189</v>
      </c>
      <c r="D25" s="48"/>
      <c r="E25" s="227" t="s">
        <v>200</v>
      </c>
      <c r="F25" s="48"/>
      <c r="G25" s="49" t="s">
        <v>85</v>
      </c>
      <c r="K25" s="46" t="s">
        <v>1021</v>
      </c>
      <c r="L25" s="49" t="s">
        <v>1310</v>
      </c>
    </row>
    <row r="26" spans="2:12" ht="25.5" x14ac:dyDescent="0.25">
      <c r="B26" s="46" t="s">
        <v>168</v>
      </c>
      <c r="C26" s="47" t="s">
        <v>191</v>
      </c>
      <c r="D26" s="48"/>
      <c r="E26" s="227" t="s">
        <v>621</v>
      </c>
      <c r="F26" s="48"/>
      <c r="G26" s="49" t="s">
        <v>86</v>
      </c>
      <c r="K26" s="46" t="s">
        <v>1022</v>
      </c>
      <c r="L26" s="49" t="s">
        <v>1311</v>
      </c>
    </row>
    <row r="27" spans="2:12" ht="25.5" x14ac:dyDescent="0.25">
      <c r="B27" s="46" t="s">
        <v>183</v>
      </c>
      <c r="C27" s="47" t="s">
        <v>190</v>
      </c>
      <c r="D27" s="48"/>
      <c r="E27" s="227" t="s">
        <v>616</v>
      </c>
      <c r="F27" s="48"/>
      <c r="G27" s="49" t="s">
        <v>87</v>
      </c>
      <c r="K27" s="46" t="s">
        <v>1023</v>
      </c>
      <c r="L27" s="49" t="s">
        <v>1312</v>
      </c>
    </row>
    <row r="28" spans="2:12" ht="25.5" x14ac:dyDescent="0.25">
      <c r="B28" s="46" t="s">
        <v>169</v>
      </c>
      <c r="C28" s="47" t="s">
        <v>192</v>
      </c>
      <c r="D28" s="48"/>
      <c r="E28" s="227" t="s">
        <v>985</v>
      </c>
      <c r="F28" s="48"/>
      <c r="G28" s="49" t="s">
        <v>88</v>
      </c>
      <c r="K28" s="46" t="s">
        <v>1024</v>
      </c>
      <c r="L28" s="49" t="s">
        <v>1313</v>
      </c>
    </row>
    <row r="29" spans="2:12" ht="25.5" x14ac:dyDescent="0.25">
      <c r="B29" s="46" t="s">
        <v>184</v>
      </c>
      <c r="C29" s="47" t="s">
        <v>193</v>
      </c>
      <c r="D29" s="48"/>
      <c r="E29" s="227" t="s">
        <v>622</v>
      </c>
      <c r="F29" s="48"/>
      <c r="G29" s="49" t="s">
        <v>89</v>
      </c>
      <c r="K29" s="46" t="s">
        <v>1025</v>
      </c>
      <c r="L29" s="49" t="s">
        <v>1314</v>
      </c>
    </row>
    <row r="30" spans="2:12" ht="25.5" x14ac:dyDescent="0.25">
      <c r="B30" s="46" t="s">
        <v>170</v>
      </c>
      <c r="C30" s="47" t="s">
        <v>195</v>
      </c>
      <c r="D30" s="48"/>
      <c r="E30" s="227" t="s">
        <v>201</v>
      </c>
      <c r="F30" s="48"/>
      <c r="G30" s="49" t="s">
        <v>90</v>
      </c>
      <c r="K30" s="46" t="s">
        <v>1026</v>
      </c>
      <c r="L30" s="49" t="s">
        <v>1315</v>
      </c>
    </row>
    <row r="31" spans="2:12" ht="25.5" x14ac:dyDescent="0.25">
      <c r="B31" s="46" t="s">
        <v>185</v>
      </c>
      <c r="C31" s="47" t="s">
        <v>194</v>
      </c>
      <c r="D31" s="48"/>
      <c r="E31" s="227" t="s">
        <v>202</v>
      </c>
      <c r="F31" s="48"/>
      <c r="G31" s="49" t="s">
        <v>91</v>
      </c>
      <c r="K31" s="46" t="s">
        <v>1027</v>
      </c>
      <c r="L31" s="49" t="s">
        <v>1316</v>
      </c>
    </row>
    <row r="32" spans="2:12" ht="25.5" x14ac:dyDescent="0.25">
      <c r="B32" s="46" t="s">
        <v>196</v>
      </c>
      <c r="C32" s="47" t="s">
        <v>197</v>
      </c>
      <c r="D32" s="48"/>
      <c r="E32" s="227" t="s">
        <v>203</v>
      </c>
      <c r="F32" s="48"/>
      <c r="G32" s="49" t="s">
        <v>92</v>
      </c>
      <c r="K32" s="46" t="s">
        <v>1028</v>
      </c>
      <c r="L32" s="49" t="s">
        <v>1317</v>
      </c>
    </row>
    <row r="33" spans="2:12" ht="25.5" x14ac:dyDescent="0.25">
      <c r="B33" s="46" t="s">
        <v>109</v>
      </c>
      <c r="C33" s="47" t="s">
        <v>110</v>
      </c>
      <c r="D33" s="48"/>
      <c r="E33" s="227" t="s">
        <v>617</v>
      </c>
      <c r="F33" s="48"/>
      <c r="G33" s="49" t="s">
        <v>266</v>
      </c>
      <c r="K33" s="46" t="s">
        <v>1029</v>
      </c>
      <c r="L33" s="49" t="s">
        <v>1318</v>
      </c>
    </row>
    <row r="34" spans="2:12" ht="38.25" x14ac:dyDescent="0.25">
      <c r="B34" s="46" t="s">
        <v>98</v>
      </c>
      <c r="C34" s="47"/>
      <c r="D34" s="48"/>
      <c r="E34" s="227" t="s">
        <v>623</v>
      </c>
      <c r="F34" s="48"/>
      <c r="G34" s="49" t="s">
        <v>265</v>
      </c>
      <c r="K34" s="46" t="s">
        <v>1030</v>
      </c>
      <c r="L34" s="49" t="s">
        <v>1319</v>
      </c>
    </row>
    <row r="35" spans="2:12" ht="38.25" x14ac:dyDescent="0.25">
      <c r="B35" s="449"/>
      <c r="C35" s="450"/>
      <c r="D35" s="48"/>
      <c r="E35" s="227" t="s">
        <v>624</v>
      </c>
      <c r="F35" s="48"/>
      <c r="G35" s="49" t="s">
        <v>93</v>
      </c>
      <c r="K35" s="46" t="s">
        <v>1031</v>
      </c>
      <c r="L35" s="49" t="s">
        <v>1320</v>
      </c>
    </row>
    <row r="36" spans="2:12" ht="25.5" x14ac:dyDescent="0.25">
      <c r="B36" s="48"/>
      <c r="C36" s="48"/>
      <c r="D36" s="48"/>
      <c r="E36" s="227" t="s">
        <v>618</v>
      </c>
      <c r="F36" s="48"/>
      <c r="G36" s="49" t="s">
        <v>94</v>
      </c>
      <c r="K36" s="46" t="s">
        <v>1032</v>
      </c>
      <c r="L36" s="49" t="s">
        <v>1321</v>
      </c>
    </row>
    <row r="37" spans="2:12" ht="25.5" x14ac:dyDescent="0.25">
      <c r="B37" s="44" t="s">
        <v>148</v>
      </c>
      <c r="C37" s="44" t="s">
        <v>42</v>
      </c>
      <c r="D37" s="48"/>
      <c r="E37" s="227" t="s">
        <v>625</v>
      </c>
      <c r="F37" s="48"/>
      <c r="G37" s="49" t="s">
        <v>95</v>
      </c>
      <c r="K37" s="46" t="s">
        <v>1033</v>
      </c>
      <c r="L37" s="49" t="s">
        <v>1322</v>
      </c>
    </row>
    <row r="38" spans="2:12" ht="25.5" x14ac:dyDescent="0.25">
      <c r="B38" s="46" t="s">
        <v>147</v>
      </c>
      <c r="C38" s="49" t="s">
        <v>162</v>
      </c>
      <c r="D38" s="48"/>
      <c r="E38" s="227" t="s">
        <v>626</v>
      </c>
      <c r="F38" s="48"/>
      <c r="G38" s="49" t="s">
        <v>267</v>
      </c>
      <c r="K38" s="46" t="s">
        <v>1034</v>
      </c>
      <c r="L38" s="49" t="s">
        <v>1323</v>
      </c>
    </row>
    <row r="39" spans="2:12" ht="25.5" x14ac:dyDescent="0.25">
      <c r="B39" s="46" t="s">
        <v>149</v>
      </c>
      <c r="C39" s="49" t="s">
        <v>163</v>
      </c>
      <c r="D39" s="48"/>
      <c r="E39" s="227" t="s">
        <v>627</v>
      </c>
      <c r="F39" s="48"/>
      <c r="G39" s="49" t="s">
        <v>96</v>
      </c>
      <c r="K39" s="46" t="s">
        <v>1035</v>
      </c>
      <c r="L39" s="49" t="s">
        <v>1324</v>
      </c>
    </row>
    <row r="40" spans="2:12" ht="32.25" customHeight="1" x14ac:dyDescent="0.25">
      <c r="B40" s="46" t="s">
        <v>150</v>
      </c>
      <c r="C40" s="49" t="s">
        <v>164</v>
      </c>
      <c r="D40" s="48"/>
      <c r="E40" s="227" t="s">
        <v>628</v>
      </c>
      <c r="F40" s="48"/>
      <c r="G40" s="49" t="s">
        <v>97</v>
      </c>
      <c r="K40" s="46" t="s">
        <v>1036</v>
      </c>
      <c r="L40" s="49" t="s">
        <v>1325</v>
      </c>
    </row>
    <row r="41" spans="2:12" ht="25.5" x14ac:dyDescent="0.25">
      <c r="B41" s="48"/>
      <c r="C41" s="48"/>
      <c r="D41" s="48"/>
      <c r="E41" s="227" t="s">
        <v>629</v>
      </c>
      <c r="F41" s="48"/>
      <c r="G41" s="49" t="s">
        <v>631</v>
      </c>
      <c r="K41" s="46" t="s">
        <v>1037</v>
      </c>
      <c r="L41" s="49" t="s">
        <v>1326</v>
      </c>
    </row>
    <row r="42" spans="2:12" ht="25.5" x14ac:dyDescent="0.25">
      <c r="B42" s="48"/>
      <c r="C42" s="48"/>
      <c r="D42" s="48"/>
      <c r="E42" s="227" t="s">
        <v>322</v>
      </c>
      <c r="F42" s="48"/>
      <c r="G42" s="49" t="s">
        <v>632</v>
      </c>
      <c r="K42" s="46" t="s">
        <v>1038</v>
      </c>
      <c r="L42" s="49" t="s">
        <v>1327</v>
      </c>
    </row>
    <row r="43" spans="2:12" ht="38.25" x14ac:dyDescent="0.25">
      <c r="B43" s="48"/>
      <c r="C43" s="48"/>
      <c r="D43" s="48"/>
      <c r="E43" s="227" t="s">
        <v>630</v>
      </c>
      <c r="F43" s="48"/>
      <c r="G43" s="49" t="s">
        <v>633</v>
      </c>
      <c r="K43" s="46" t="s">
        <v>1039</v>
      </c>
      <c r="L43" s="49" t="s">
        <v>1328</v>
      </c>
    </row>
    <row r="44" spans="2:12" ht="38.25" x14ac:dyDescent="0.25">
      <c r="B44" s="48"/>
      <c r="C44" s="48"/>
      <c r="D44" s="48"/>
      <c r="E44" s="227" t="s">
        <v>615</v>
      </c>
      <c r="F44" s="48"/>
      <c r="G44" s="49" t="s">
        <v>634</v>
      </c>
      <c r="K44" s="46" t="s">
        <v>1040</v>
      </c>
      <c r="L44" s="49" t="s">
        <v>1329</v>
      </c>
    </row>
    <row r="45" spans="2:12" ht="25.5" x14ac:dyDescent="0.25">
      <c r="B45" s="48"/>
      <c r="C45" s="48"/>
      <c r="D45" s="48"/>
      <c r="E45" s="50" t="s">
        <v>263</v>
      </c>
      <c r="F45" s="48"/>
      <c r="G45" s="49" t="s">
        <v>635</v>
      </c>
      <c r="K45" s="46" t="s">
        <v>1041</v>
      </c>
      <c r="L45" s="49" t="s">
        <v>1330</v>
      </c>
    </row>
    <row r="46" spans="2:12" ht="25.5" x14ac:dyDescent="0.25">
      <c r="B46" s="48"/>
      <c r="C46" s="48"/>
      <c r="D46" s="48"/>
      <c r="F46" s="48"/>
      <c r="G46" s="49" t="s">
        <v>636</v>
      </c>
      <c r="K46" s="46" t="s">
        <v>1042</v>
      </c>
      <c r="L46" s="49" t="s">
        <v>1331</v>
      </c>
    </row>
    <row r="47" spans="2:12" ht="25.5" x14ac:dyDescent="0.25">
      <c r="B47" s="48"/>
      <c r="C47" s="48"/>
      <c r="D47" s="48"/>
      <c r="E47" s="48"/>
      <c r="F47" s="48"/>
      <c r="G47" s="49" t="s">
        <v>637</v>
      </c>
      <c r="K47" s="46" t="s">
        <v>1043</v>
      </c>
      <c r="L47" s="49" t="s">
        <v>1332</v>
      </c>
    </row>
    <row r="48" spans="2:12" ht="25.5" x14ac:dyDescent="0.25">
      <c r="B48" s="48"/>
      <c r="C48" s="48"/>
      <c r="D48" s="48"/>
      <c r="E48" s="48"/>
      <c r="F48" s="48"/>
      <c r="G48" s="49" t="s">
        <v>638</v>
      </c>
      <c r="K48" s="46" t="s">
        <v>1044</v>
      </c>
      <c r="L48" s="49" t="s">
        <v>1333</v>
      </c>
    </row>
    <row r="49" spans="2:12" ht="25.5" x14ac:dyDescent="0.25">
      <c r="B49" s="48"/>
      <c r="C49" s="48"/>
      <c r="D49" s="48"/>
      <c r="E49" s="48"/>
      <c r="F49" s="48"/>
      <c r="G49" s="49" t="s">
        <v>639</v>
      </c>
      <c r="K49" s="46" t="s">
        <v>1045</v>
      </c>
      <c r="L49" s="49" t="s">
        <v>1334</v>
      </c>
    </row>
    <row r="50" spans="2:12" ht="25.5" x14ac:dyDescent="0.25">
      <c r="B50" s="48"/>
      <c r="C50" s="48"/>
      <c r="D50" s="48"/>
      <c r="E50" s="48"/>
      <c r="F50" s="48"/>
      <c r="G50" s="49" t="s">
        <v>640</v>
      </c>
      <c r="K50" s="46" t="s">
        <v>1046</v>
      </c>
      <c r="L50" s="49" t="s">
        <v>1335</v>
      </c>
    </row>
    <row r="51" spans="2:12" ht="25.5" x14ac:dyDescent="0.25">
      <c r="B51" s="48"/>
      <c r="C51" s="48"/>
      <c r="D51" s="48"/>
      <c r="E51" s="48"/>
      <c r="F51" s="48"/>
      <c r="G51" s="49" t="s">
        <v>641</v>
      </c>
      <c r="K51" s="46" t="s">
        <v>1047</v>
      </c>
      <c r="L51" s="49" t="s">
        <v>1336</v>
      </c>
    </row>
    <row r="52" spans="2:12" ht="25.5" x14ac:dyDescent="0.25">
      <c r="B52" s="48"/>
      <c r="C52" s="48"/>
      <c r="D52" s="48"/>
      <c r="E52" s="48"/>
      <c r="F52" s="48"/>
      <c r="G52" s="49" t="s">
        <v>642</v>
      </c>
      <c r="K52" s="46" t="s">
        <v>1048</v>
      </c>
      <c r="L52" s="49" t="s">
        <v>1337</v>
      </c>
    </row>
    <row r="53" spans="2:12" ht="25.5" x14ac:dyDescent="0.25">
      <c r="B53" s="48"/>
      <c r="C53" s="48"/>
      <c r="E53" s="48"/>
      <c r="G53" s="49" t="s">
        <v>98</v>
      </c>
      <c r="K53" s="46" t="s">
        <v>1049</v>
      </c>
      <c r="L53" s="49" t="s">
        <v>1338</v>
      </c>
    </row>
    <row r="54" spans="2:12" ht="25.5" x14ac:dyDescent="0.25">
      <c r="E54" s="48"/>
      <c r="G54" s="49" t="s">
        <v>992</v>
      </c>
      <c r="K54" s="46" t="s">
        <v>1050</v>
      </c>
      <c r="L54" s="49" t="s">
        <v>1051</v>
      </c>
    </row>
    <row r="55" spans="2:12" ht="25.5" x14ac:dyDescent="0.25">
      <c r="E55" s="48"/>
      <c r="K55" s="46" t="s">
        <v>1052</v>
      </c>
      <c r="L55" s="49" t="s">
        <v>1339</v>
      </c>
    </row>
    <row r="56" spans="2:12" ht="40.5" customHeight="1" x14ac:dyDescent="0.25">
      <c r="B56" s="1226" t="s">
        <v>989</v>
      </c>
      <c r="C56" s="1227"/>
      <c r="D56" s="1227"/>
      <c r="E56" s="1227"/>
      <c r="F56" s="1227"/>
      <c r="G56" s="1227"/>
      <c r="K56" s="46" t="s">
        <v>1053</v>
      </c>
      <c r="L56" s="49" t="s">
        <v>1340</v>
      </c>
    </row>
    <row r="57" spans="2:12" ht="31.5" customHeight="1" x14ac:dyDescent="0.25">
      <c r="B57" s="1226" t="s">
        <v>993</v>
      </c>
      <c r="C57" s="1227"/>
      <c r="D57" s="1227"/>
      <c r="E57" s="1227"/>
      <c r="F57" s="1227"/>
      <c r="G57" s="1227"/>
      <c r="K57" s="46" t="s">
        <v>1054</v>
      </c>
      <c r="L57" s="49" t="s">
        <v>1055</v>
      </c>
    </row>
    <row r="58" spans="2:12" ht="38.25" x14ac:dyDescent="0.25">
      <c r="E58" s="48"/>
      <c r="K58" s="46" t="s">
        <v>1056</v>
      </c>
      <c r="L58" s="49" t="s">
        <v>1341</v>
      </c>
    </row>
    <row r="59" spans="2:12" ht="25.5" x14ac:dyDescent="0.25">
      <c r="K59" s="46" t="s">
        <v>1057</v>
      </c>
      <c r="L59" s="49" t="s">
        <v>1342</v>
      </c>
    </row>
    <row r="60" spans="2:12" ht="38.25" x14ac:dyDescent="0.25">
      <c r="K60" s="46" t="s">
        <v>1058</v>
      </c>
      <c r="L60" s="49" t="s">
        <v>1343</v>
      </c>
    </row>
    <row r="61" spans="2:12" ht="38.25" x14ac:dyDescent="0.25">
      <c r="K61" s="46" t="s">
        <v>1059</v>
      </c>
      <c r="L61" s="49" t="s">
        <v>1344</v>
      </c>
    </row>
    <row r="62" spans="2:12" ht="25.5" x14ac:dyDescent="0.25">
      <c r="K62" s="46" t="s">
        <v>1060</v>
      </c>
      <c r="L62" s="49" t="s">
        <v>1345</v>
      </c>
    </row>
    <row r="63" spans="2:12" ht="25.5" x14ac:dyDescent="0.25">
      <c r="K63" s="46" t="s">
        <v>1061</v>
      </c>
      <c r="L63" s="49" t="s">
        <v>1346</v>
      </c>
    </row>
    <row r="64" spans="2:12" ht="25.5" x14ac:dyDescent="0.25">
      <c r="K64" s="46" t="s">
        <v>1062</v>
      </c>
      <c r="L64" s="49" t="s">
        <v>1347</v>
      </c>
    </row>
    <row r="65" spans="11:12" ht="38.25" x14ac:dyDescent="0.25">
      <c r="K65" s="46" t="s">
        <v>1063</v>
      </c>
      <c r="L65" s="49" t="s">
        <v>1348</v>
      </c>
    </row>
    <row r="66" spans="11:12" ht="25.5" x14ac:dyDescent="0.25">
      <c r="K66" s="46" t="s">
        <v>1064</v>
      </c>
      <c r="L66" s="49" t="s">
        <v>1349</v>
      </c>
    </row>
    <row r="67" spans="11:12" ht="38.25" x14ac:dyDescent="0.25">
      <c r="K67" s="46" t="s">
        <v>1065</v>
      </c>
      <c r="L67" s="49" t="s">
        <v>1350</v>
      </c>
    </row>
    <row r="68" spans="11:12" ht="25.5" x14ac:dyDescent="0.25">
      <c r="K68" s="46" t="s">
        <v>1066</v>
      </c>
      <c r="L68" s="49" t="s">
        <v>1351</v>
      </c>
    </row>
    <row r="69" spans="11:12" x14ac:dyDescent="0.25">
      <c r="K69" s="46" t="s">
        <v>1067</v>
      </c>
      <c r="L69" s="49" t="s">
        <v>1352</v>
      </c>
    </row>
    <row r="70" spans="11:12" x14ac:dyDescent="0.25">
      <c r="K70" s="46" t="s">
        <v>1068</v>
      </c>
      <c r="L70" s="49" t="s">
        <v>1353</v>
      </c>
    </row>
    <row r="71" spans="11:12" x14ac:dyDescent="0.25">
      <c r="K71" s="46" t="s">
        <v>1069</v>
      </c>
      <c r="L71" s="49" t="s">
        <v>1354</v>
      </c>
    </row>
    <row r="72" spans="11:12" x14ac:dyDescent="0.25">
      <c r="K72" s="46" t="s">
        <v>1070</v>
      </c>
      <c r="L72" s="49" t="s">
        <v>1355</v>
      </c>
    </row>
    <row r="73" spans="11:12" ht="25.5" x14ac:dyDescent="0.25">
      <c r="K73" s="46" t="s">
        <v>1071</v>
      </c>
      <c r="L73" s="49" t="s">
        <v>1356</v>
      </c>
    </row>
    <row r="74" spans="11:12" ht="25.5" x14ac:dyDescent="0.25">
      <c r="K74" s="46" t="s">
        <v>1072</v>
      </c>
      <c r="L74" s="49" t="s">
        <v>1357</v>
      </c>
    </row>
    <row r="75" spans="11:12" x14ac:dyDescent="0.25">
      <c r="K75" s="46" t="s">
        <v>1073</v>
      </c>
      <c r="L75" s="49" t="s">
        <v>1358</v>
      </c>
    </row>
    <row r="76" spans="11:12" x14ac:dyDescent="0.25">
      <c r="K76" s="46" t="s">
        <v>1074</v>
      </c>
      <c r="L76" s="49" t="s">
        <v>1359</v>
      </c>
    </row>
    <row r="77" spans="11:12" ht="25.5" x14ac:dyDescent="0.25">
      <c r="K77" s="46" t="s">
        <v>1075</v>
      </c>
      <c r="L77" s="49" t="s">
        <v>1360</v>
      </c>
    </row>
    <row r="78" spans="11:12" ht="25.5" x14ac:dyDescent="0.25">
      <c r="K78" s="46" t="s">
        <v>1076</v>
      </c>
      <c r="L78" s="49" t="s">
        <v>1361</v>
      </c>
    </row>
    <row r="79" spans="11:12" x14ac:dyDescent="0.25">
      <c r="K79" s="46" t="s">
        <v>1077</v>
      </c>
      <c r="L79" s="49" t="s">
        <v>1362</v>
      </c>
    </row>
    <row r="80" spans="11:12" ht="38.25" x14ac:dyDescent="0.25">
      <c r="K80" s="46" t="s">
        <v>1078</v>
      </c>
      <c r="L80" s="49" t="s">
        <v>1363</v>
      </c>
    </row>
    <row r="81" spans="11:12" ht="38.25" x14ac:dyDescent="0.25">
      <c r="K81" s="46" t="s">
        <v>1079</v>
      </c>
      <c r="L81" s="49" t="s">
        <v>1364</v>
      </c>
    </row>
    <row r="82" spans="11:12" ht="38.25" x14ac:dyDescent="0.25">
      <c r="K82" s="46" t="s">
        <v>1080</v>
      </c>
      <c r="L82" s="49" t="s">
        <v>1365</v>
      </c>
    </row>
    <row r="83" spans="11:12" ht="38.25" x14ac:dyDescent="0.25">
      <c r="K83" s="46" t="s">
        <v>1081</v>
      </c>
      <c r="L83" s="49" t="s">
        <v>1366</v>
      </c>
    </row>
    <row r="84" spans="11:12" ht="38.25" x14ac:dyDescent="0.25">
      <c r="K84" s="46" t="s">
        <v>1082</v>
      </c>
      <c r="L84" s="49" t="s">
        <v>1367</v>
      </c>
    </row>
    <row r="85" spans="11:12" ht="25.5" x14ac:dyDescent="0.25">
      <c r="K85" s="46" t="s">
        <v>1083</v>
      </c>
      <c r="L85" s="49" t="s">
        <v>1368</v>
      </c>
    </row>
    <row r="86" spans="11:12" ht="38.25" x14ac:dyDescent="0.25">
      <c r="K86" s="46" t="s">
        <v>1084</v>
      </c>
      <c r="L86" s="49" t="s">
        <v>1369</v>
      </c>
    </row>
    <row r="87" spans="11:12" ht="25.5" x14ac:dyDescent="0.25">
      <c r="K87" s="46" t="s">
        <v>1085</v>
      </c>
      <c r="L87" s="49" t="s">
        <v>1370</v>
      </c>
    </row>
    <row r="88" spans="11:12" ht="38.25" x14ac:dyDescent="0.25">
      <c r="K88" s="46" t="s">
        <v>1086</v>
      </c>
      <c r="L88" s="49" t="s">
        <v>1371</v>
      </c>
    </row>
    <row r="89" spans="11:12" ht="38.25" x14ac:dyDescent="0.25">
      <c r="K89" s="46" t="s">
        <v>1087</v>
      </c>
      <c r="L89" s="49" t="s">
        <v>1372</v>
      </c>
    </row>
    <row r="90" spans="11:12" ht="38.25" x14ac:dyDescent="0.25">
      <c r="K90" s="46" t="s">
        <v>1088</v>
      </c>
      <c r="L90" s="49" t="s">
        <v>1373</v>
      </c>
    </row>
    <row r="91" spans="11:12" ht="38.25" x14ac:dyDescent="0.25">
      <c r="K91" s="46" t="s">
        <v>1089</v>
      </c>
      <c r="L91" s="49" t="s">
        <v>1374</v>
      </c>
    </row>
    <row r="92" spans="11:12" ht="38.25" x14ac:dyDescent="0.25">
      <c r="K92" s="46" t="s">
        <v>1090</v>
      </c>
      <c r="L92" s="49" t="s">
        <v>1375</v>
      </c>
    </row>
    <row r="93" spans="11:12" ht="38.25" x14ac:dyDescent="0.25">
      <c r="K93" s="46" t="s">
        <v>1091</v>
      </c>
      <c r="L93" s="49" t="s">
        <v>1376</v>
      </c>
    </row>
    <row r="94" spans="11:12" ht="38.25" x14ac:dyDescent="0.25">
      <c r="K94" s="46" t="s">
        <v>1092</v>
      </c>
      <c r="L94" s="49" t="s">
        <v>1377</v>
      </c>
    </row>
    <row r="95" spans="11:12" ht="38.25" x14ac:dyDescent="0.25">
      <c r="K95" s="46" t="s">
        <v>1093</v>
      </c>
      <c r="L95" s="49" t="s">
        <v>1378</v>
      </c>
    </row>
    <row r="96" spans="11:12" ht="38.25" x14ac:dyDescent="0.25">
      <c r="K96" s="46" t="s">
        <v>1094</v>
      </c>
      <c r="L96" s="49" t="s">
        <v>1379</v>
      </c>
    </row>
    <row r="97" spans="11:12" ht="38.25" x14ac:dyDescent="0.25">
      <c r="K97" s="46" t="s">
        <v>1095</v>
      </c>
      <c r="L97" s="49" t="s">
        <v>1380</v>
      </c>
    </row>
    <row r="98" spans="11:12" ht="38.25" x14ac:dyDescent="0.25">
      <c r="K98" s="46" t="s">
        <v>1096</v>
      </c>
      <c r="L98" s="49" t="s">
        <v>1381</v>
      </c>
    </row>
    <row r="99" spans="11:12" ht="38.25" x14ac:dyDescent="0.25">
      <c r="K99" s="46" t="s">
        <v>1097</v>
      </c>
      <c r="L99" s="49" t="s">
        <v>1382</v>
      </c>
    </row>
    <row r="100" spans="11:12" x14ac:dyDescent="0.25">
      <c r="K100" s="449"/>
      <c r="L100" s="561"/>
    </row>
  </sheetData>
  <mergeCells count="2">
    <mergeCell ref="B56:G56"/>
    <mergeCell ref="B57:G5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РПЗ</vt:lpstr>
      <vt:lpstr>РПЦЗ</vt:lpstr>
      <vt:lpstr>ПП</vt:lpstr>
      <vt:lpstr>Отчет РПЗ(ПЗ)_ПЗИП</vt:lpstr>
      <vt:lpstr>Отчет о ПП</vt:lpstr>
      <vt:lpstr>Коды заказчиков</vt:lpstr>
      <vt:lpstr>Справочно</vt:lpstr>
      <vt:lpstr>Диапазон1</vt:lpstr>
      <vt:lpstr>Источник_112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Аксенов Илья Олегович</dc:creator>
  <cp:lastModifiedBy>Васина Татьяна Сергеевна</cp:lastModifiedBy>
  <cp:lastPrinted>2017-04-13T06:58:43Z</cp:lastPrinted>
  <dcterms:created xsi:type="dcterms:W3CDTF">2015-04-27T08:46:38Z</dcterms:created>
  <dcterms:modified xsi:type="dcterms:W3CDTF">2018-02-20T10:56:43Z</dcterms:modified>
</cp:coreProperties>
</file>